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810"/>
  <workbookPr showInkAnnotation="0" defaultThemeVersion="124226"/>
  <mc:AlternateContent xmlns:mc="http://schemas.openxmlformats.org/markup-compatibility/2006">
    <mc:Choice Requires="x15">
      <x15ac:absPath xmlns:x15ac="http://schemas.microsoft.com/office/spreadsheetml/2010/11/ac" url="/Users/vwenger/Desktop/Bearbeitung CPDS/Government Composition (Supplement)/Update 2020 (1960-2018)/"/>
    </mc:Choice>
  </mc:AlternateContent>
  <xr:revisionPtr revIDLastSave="0" documentId="13_ncr:1_{FD81C87D-9F4B-8D4A-8A33-E97A488466E7}" xr6:coauthVersionLast="36" xr6:coauthVersionMax="45" xr10:uidLastSave="{00000000-0000-0000-0000-000000000000}"/>
  <bookViews>
    <workbookView xWindow="1560" yWindow="460" windowWidth="37160" windowHeight="21320" tabRatio="842" activeTab="10" xr2:uid="{00000000-000D-0000-FFFF-FFFF00000000}"/>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81029"/>
</workbook>
</file>

<file path=xl/calcChain.xml><?xml version="1.0" encoding="utf-8"?>
<calcChain xmlns="http://schemas.openxmlformats.org/spreadsheetml/2006/main">
  <c r="R147" i="10" l="1"/>
  <c r="H97" i="31" l="1"/>
  <c r="J109" i="28"/>
  <c r="B191" i="21" l="1"/>
  <c r="S191" i="21"/>
  <c r="T191" i="21"/>
  <c r="U191" i="21"/>
  <c r="S197" i="18"/>
  <c r="B197" i="18"/>
  <c r="T197" i="18"/>
  <c r="U197" i="18"/>
  <c r="W197" i="18"/>
  <c r="U206" i="22"/>
  <c r="T206" i="22"/>
  <c r="W206" i="22"/>
  <c r="S206" i="22"/>
  <c r="N206" i="22"/>
  <c r="J206" i="22"/>
  <c r="L206" i="22"/>
  <c r="H206" i="22"/>
  <c r="C206" i="22"/>
  <c r="D206" i="22"/>
  <c r="B206" i="22"/>
  <c r="R139" i="22"/>
  <c r="R138" i="22"/>
  <c r="K139" i="22"/>
  <c r="L139" i="22"/>
  <c r="N139" i="22" s="1"/>
  <c r="M139" i="22"/>
  <c r="K138" i="22"/>
  <c r="L138" i="22"/>
  <c r="M138" i="22"/>
  <c r="N138" i="22" s="1"/>
  <c r="B194" i="23"/>
  <c r="S194" i="23"/>
  <c r="T194" i="23"/>
  <c r="U194" i="23"/>
  <c r="W194" i="23"/>
  <c r="R126" i="23"/>
  <c r="M126" i="23"/>
  <c r="L126" i="23"/>
  <c r="K126" i="23"/>
  <c r="N126" i="23" s="1"/>
  <c r="R125" i="23"/>
  <c r="H194" i="23" s="1"/>
  <c r="M125" i="23"/>
  <c r="D194" i="23" s="1"/>
  <c r="L125" i="23"/>
  <c r="C194" i="23" s="1"/>
  <c r="K125" i="23"/>
  <c r="N125" i="23" s="1"/>
  <c r="B192" i="24"/>
  <c r="H192" i="24"/>
  <c r="S192" i="24"/>
  <c r="T192" i="24"/>
  <c r="U192" i="24"/>
  <c r="R125" i="24"/>
  <c r="M125" i="24"/>
  <c r="L125" i="24"/>
  <c r="K125" i="24"/>
  <c r="R124" i="24"/>
  <c r="J192" i="24" s="1"/>
  <c r="M124" i="24"/>
  <c r="D192" i="24" s="1"/>
  <c r="L124" i="24"/>
  <c r="N124" i="24" s="1"/>
  <c r="K124" i="24"/>
  <c r="U192" i="25"/>
  <c r="L192" i="25"/>
  <c r="D192" i="25"/>
  <c r="S192" i="25"/>
  <c r="T192" i="25"/>
  <c r="W192" i="25"/>
  <c r="R125" i="25"/>
  <c r="R124" i="25"/>
  <c r="H192" i="25" s="1"/>
  <c r="R123" i="25"/>
  <c r="K125" i="25"/>
  <c r="N125" i="25" s="1"/>
  <c r="L125" i="25"/>
  <c r="M125" i="25"/>
  <c r="K124" i="25"/>
  <c r="L124" i="25"/>
  <c r="C192" i="25" s="1"/>
  <c r="M124" i="25"/>
  <c r="T155" i="26"/>
  <c r="J155" i="26"/>
  <c r="C155" i="26"/>
  <c r="H155" i="26"/>
  <c r="S155" i="26"/>
  <c r="U155" i="26"/>
  <c r="R89" i="26"/>
  <c r="L89" i="26"/>
  <c r="M89" i="26"/>
  <c r="K89" i="26"/>
  <c r="N89" i="26" s="1"/>
  <c r="R88" i="26"/>
  <c r="M88" i="26"/>
  <c r="N88" i="26" s="1"/>
  <c r="L88" i="26"/>
  <c r="K88" i="26"/>
  <c r="B155" i="26" s="1"/>
  <c r="U103" i="38"/>
  <c r="S103" i="38"/>
  <c r="T103" i="38"/>
  <c r="R67" i="38"/>
  <c r="L103" i="38" s="1"/>
  <c r="K67" i="38"/>
  <c r="B103" i="38" s="1"/>
  <c r="L67" i="38"/>
  <c r="M67" i="38"/>
  <c r="D103" i="38" s="1"/>
  <c r="R66" i="38"/>
  <c r="H103" i="38" s="1"/>
  <c r="M66" i="38"/>
  <c r="L66" i="38"/>
  <c r="K66" i="38"/>
  <c r="N67" i="38" s="1"/>
  <c r="U108" i="37"/>
  <c r="W108" i="37"/>
  <c r="L108" i="37"/>
  <c r="B108" i="37"/>
  <c r="D108" i="37"/>
  <c r="H108" i="37"/>
  <c r="S108" i="37"/>
  <c r="T108" i="37"/>
  <c r="R71" i="37"/>
  <c r="R70" i="37"/>
  <c r="J108" i="37" s="1"/>
  <c r="K71" i="37"/>
  <c r="L71" i="37"/>
  <c r="M71" i="37"/>
  <c r="K70" i="37"/>
  <c r="L70" i="37"/>
  <c r="C108" i="37" s="1"/>
  <c r="M70" i="37"/>
  <c r="T124" i="36"/>
  <c r="U124" i="36"/>
  <c r="S124" i="36"/>
  <c r="W124" i="36"/>
  <c r="J124" i="36"/>
  <c r="L124" i="36"/>
  <c r="H124" i="36"/>
  <c r="N124" i="36" s="1"/>
  <c r="L89" i="36"/>
  <c r="K89" i="36"/>
  <c r="M89" i="36"/>
  <c r="K88" i="36"/>
  <c r="L88" i="36"/>
  <c r="M88" i="36"/>
  <c r="N88" i="36"/>
  <c r="M87" i="36"/>
  <c r="D124" i="36" s="1"/>
  <c r="L87" i="36"/>
  <c r="K87" i="36"/>
  <c r="N87" i="36" s="1"/>
  <c r="L162" i="16"/>
  <c r="D162" i="16"/>
  <c r="S162" i="16"/>
  <c r="T162" i="16"/>
  <c r="U162" i="16"/>
  <c r="W162" i="16"/>
  <c r="R96" i="16"/>
  <c r="M96" i="16"/>
  <c r="L96" i="16"/>
  <c r="K96" i="16"/>
  <c r="R95" i="16"/>
  <c r="H162" i="16" s="1"/>
  <c r="M95" i="16"/>
  <c r="L95" i="16"/>
  <c r="K95" i="16"/>
  <c r="B162" i="16" s="1"/>
  <c r="S133" i="35"/>
  <c r="H133" i="35"/>
  <c r="B133" i="35"/>
  <c r="N133" i="35"/>
  <c r="J133" i="35"/>
  <c r="L133" i="35"/>
  <c r="T133" i="35"/>
  <c r="U133" i="35"/>
  <c r="K97" i="35"/>
  <c r="L97" i="35"/>
  <c r="N97" i="35" s="1"/>
  <c r="M97" i="35"/>
  <c r="K96" i="35"/>
  <c r="E133" i="35" s="1"/>
  <c r="L96" i="35"/>
  <c r="C133" i="35" s="1"/>
  <c r="M96" i="35"/>
  <c r="D133" i="35" s="1"/>
  <c r="T193" i="17"/>
  <c r="L193" i="17"/>
  <c r="B193" i="17"/>
  <c r="S193" i="17"/>
  <c r="U193" i="17"/>
  <c r="W193" i="17"/>
  <c r="R127" i="17"/>
  <c r="R126" i="17"/>
  <c r="H193" i="17" s="1"/>
  <c r="K127" i="17"/>
  <c r="L127" i="17"/>
  <c r="N127" i="17" s="1"/>
  <c r="M127" i="17"/>
  <c r="K126" i="17"/>
  <c r="L126" i="17"/>
  <c r="M126" i="17"/>
  <c r="D193" i="17" s="1"/>
  <c r="R129" i="18"/>
  <c r="R128" i="18"/>
  <c r="H197" i="18" s="1"/>
  <c r="K128" i="18"/>
  <c r="L128" i="18"/>
  <c r="N128" i="18" s="1"/>
  <c r="M128" i="18"/>
  <c r="D197" i="18" s="1"/>
  <c r="K129" i="18"/>
  <c r="L129" i="18"/>
  <c r="N129" i="18" s="1"/>
  <c r="M129" i="18"/>
  <c r="W199" i="19"/>
  <c r="U199" i="19"/>
  <c r="T199" i="19"/>
  <c r="S199" i="19"/>
  <c r="B199" i="19"/>
  <c r="R131" i="19"/>
  <c r="R130" i="19"/>
  <c r="L199" i="19" s="1"/>
  <c r="K130" i="19"/>
  <c r="L130" i="19"/>
  <c r="N130" i="19" s="1"/>
  <c r="M130" i="19"/>
  <c r="K131" i="19"/>
  <c r="L131" i="19"/>
  <c r="M131" i="19"/>
  <c r="D199" i="19" s="1"/>
  <c r="L171" i="20"/>
  <c r="D171" i="20"/>
  <c r="S171" i="20"/>
  <c r="T171" i="20"/>
  <c r="U171" i="20"/>
  <c r="W171" i="20"/>
  <c r="R111" i="20"/>
  <c r="M111" i="20"/>
  <c r="L111" i="20"/>
  <c r="K111" i="20"/>
  <c r="N111" i="20" s="1"/>
  <c r="R110" i="20"/>
  <c r="H171" i="20" s="1"/>
  <c r="M110" i="20"/>
  <c r="L110" i="20"/>
  <c r="C171" i="20" s="1"/>
  <c r="K110" i="20"/>
  <c r="N110" i="20" s="1"/>
  <c r="R125" i="21"/>
  <c r="K125" i="21"/>
  <c r="L125" i="21"/>
  <c r="M125" i="21"/>
  <c r="R124" i="21"/>
  <c r="H191" i="21" s="1"/>
  <c r="M124" i="21"/>
  <c r="L124" i="21"/>
  <c r="C191" i="21" s="1"/>
  <c r="K124" i="21"/>
  <c r="T100" i="34"/>
  <c r="S100" i="34"/>
  <c r="U100" i="34"/>
  <c r="W100" i="34"/>
  <c r="R64" i="34"/>
  <c r="R65" i="34"/>
  <c r="K64" i="34"/>
  <c r="L64" i="34"/>
  <c r="M64" i="34"/>
  <c r="K65" i="34"/>
  <c r="L65" i="34"/>
  <c r="M65" i="34"/>
  <c r="T101" i="33"/>
  <c r="C101" i="33"/>
  <c r="B101" i="33"/>
  <c r="S101" i="33"/>
  <c r="U101" i="33"/>
  <c r="W101" i="33"/>
  <c r="R65" i="33"/>
  <c r="K65" i="33"/>
  <c r="L65" i="33"/>
  <c r="N65" i="33" s="1"/>
  <c r="M65" i="33"/>
  <c r="R64" i="33"/>
  <c r="H101" i="33" s="1"/>
  <c r="M64" i="33"/>
  <c r="D101" i="33" s="1"/>
  <c r="L64" i="33"/>
  <c r="K64" i="33"/>
  <c r="B208" i="9"/>
  <c r="S208" i="9"/>
  <c r="T208" i="9"/>
  <c r="U208" i="9"/>
  <c r="W208" i="9"/>
  <c r="R141" i="9"/>
  <c r="R140" i="9"/>
  <c r="H208" i="9" s="1"/>
  <c r="K141" i="9"/>
  <c r="L141" i="9"/>
  <c r="N141" i="9" s="1"/>
  <c r="M141" i="9"/>
  <c r="K140" i="9"/>
  <c r="E208" i="9" s="1"/>
  <c r="L140" i="9"/>
  <c r="C208" i="9" s="1"/>
  <c r="M140" i="9"/>
  <c r="D208" i="9" s="1"/>
  <c r="W103" i="38" l="1"/>
  <c r="J103" i="38"/>
  <c r="N103" i="38" s="1"/>
  <c r="C103" i="38"/>
  <c r="C124" i="36"/>
  <c r="N89" i="36"/>
  <c r="B100" i="34"/>
  <c r="C100" i="34"/>
  <c r="D100" i="34"/>
  <c r="H100" i="34"/>
  <c r="N100" i="34" s="1"/>
  <c r="J100" i="34"/>
  <c r="W191" i="21"/>
  <c r="L191" i="21"/>
  <c r="N125" i="21"/>
  <c r="D191" i="21"/>
  <c r="E191" i="21" s="1"/>
  <c r="J191" i="21"/>
  <c r="L197" i="18"/>
  <c r="J197" i="18"/>
  <c r="N197" i="18" s="1"/>
  <c r="C197" i="18"/>
  <c r="E197" i="18" s="1"/>
  <c r="E206" i="22"/>
  <c r="N194" i="23"/>
  <c r="L194" i="23"/>
  <c r="J194" i="23"/>
  <c r="E194" i="23"/>
  <c r="E192" i="24"/>
  <c r="N125" i="24"/>
  <c r="W192" i="24"/>
  <c r="L192" i="24"/>
  <c r="N192" i="24" s="1"/>
  <c r="C192" i="24"/>
  <c r="B192" i="25"/>
  <c r="E192" i="25"/>
  <c r="J192" i="25"/>
  <c r="N192" i="25" s="1"/>
  <c r="N124" i="25"/>
  <c r="D155" i="26"/>
  <c r="E155" i="26" s="1"/>
  <c r="L155" i="26"/>
  <c r="N155" i="26" s="1"/>
  <c r="W155" i="26"/>
  <c r="E103" i="38"/>
  <c r="E108" i="37"/>
  <c r="N70" i="37"/>
  <c r="N108" i="37"/>
  <c r="N71" i="37"/>
  <c r="B124" i="36"/>
  <c r="E124" i="36"/>
  <c r="E162" i="16"/>
  <c r="N95" i="16"/>
  <c r="J162" i="16"/>
  <c r="N162" i="16" s="1"/>
  <c r="C162" i="16"/>
  <c r="N96" i="16"/>
  <c r="W133" i="35"/>
  <c r="N96" i="35"/>
  <c r="N126" i="17"/>
  <c r="N193" i="17"/>
  <c r="J193" i="17"/>
  <c r="C193" i="17"/>
  <c r="E193" i="17" s="1"/>
  <c r="H199" i="19"/>
  <c r="J199" i="19"/>
  <c r="N131" i="19"/>
  <c r="C199" i="19"/>
  <c r="E199" i="19" s="1"/>
  <c r="J171" i="20"/>
  <c r="N171" i="20" s="1"/>
  <c r="B171" i="20"/>
  <c r="E171" i="20" s="1"/>
  <c r="N124" i="21"/>
  <c r="N64" i="34"/>
  <c r="L100" i="34"/>
  <c r="N65" i="34"/>
  <c r="E100" i="34"/>
  <c r="L101" i="33"/>
  <c r="J101" i="33"/>
  <c r="N101" i="33" s="1"/>
  <c r="N64" i="33"/>
  <c r="E101" i="33"/>
  <c r="L208" i="9"/>
  <c r="J208" i="9"/>
  <c r="N208" i="9" s="1"/>
  <c r="N140" i="9"/>
  <c r="S213" i="10"/>
  <c r="T213" i="10"/>
  <c r="U213" i="10"/>
  <c r="K147" i="10"/>
  <c r="L147" i="10"/>
  <c r="M147" i="10"/>
  <c r="R146" i="10"/>
  <c r="K146" i="10"/>
  <c r="L146" i="10"/>
  <c r="M146" i="10"/>
  <c r="D213" i="10" s="1"/>
  <c r="J198" i="11"/>
  <c r="S198" i="11"/>
  <c r="W198" i="11" s="1"/>
  <c r="T198" i="11"/>
  <c r="U198" i="11"/>
  <c r="R129" i="11"/>
  <c r="R128" i="11"/>
  <c r="H198" i="11" s="1"/>
  <c r="K129" i="11"/>
  <c r="L129" i="11"/>
  <c r="M129" i="11"/>
  <c r="K128" i="11"/>
  <c r="B198" i="11" s="1"/>
  <c r="L128" i="11"/>
  <c r="C198" i="11" s="1"/>
  <c r="M128" i="11"/>
  <c r="D198" i="11" s="1"/>
  <c r="N128" i="11"/>
  <c r="T194" i="12"/>
  <c r="U194" i="12"/>
  <c r="S194" i="12"/>
  <c r="L194" i="12"/>
  <c r="J194" i="12"/>
  <c r="H194" i="12"/>
  <c r="D194" i="12"/>
  <c r="C194" i="12"/>
  <c r="B194" i="12"/>
  <c r="W194" i="12"/>
  <c r="R127" i="12"/>
  <c r="R126" i="12"/>
  <c r="K126" i="12"/>
  <c r="L126" i="12"/>
  <c r="M126" i="12"/>
  <c r="N126" i="12"/>
  <c r="K127" i="12"/>
  <c r="L127" i="12"/>
  <c r="M127" i="12"/>
  <c r="N127" i="12"/>
  <c r="T102" i="32"/>
  <c r="W102" i="32" s="1"/>
  <c r="U102" i="32"/>
  <c r="S102" i="32"/>
  <c r="L101" i="32"/>
  <c r="J101" i="32"/>
  <c r="H101" i="32"/>
  <c r="L102" i="32"/>
  <c r="J102" i="32"/>
  <c r="H102" i="32"/>
  <c r="N102" i="32"/>
  <c r="C102" i="32"/>
  <c r="D102" i="32"/>
  <c r="B102" i="32"/>
  <c r="R67" i="32"/>
  <c r="R66" i="32"/>
  <c r="K67" i="32"/>
  <c r="L67" i="32"/>
  <c r="M67" i="32"/>
  <c r="K66" i="32"/>
  <c r="L66" i="32"/>
  <c r="M66" i="32"/>
  <c r="N66" i="32"/>
  <c r="D208" i="13"/>
  <c r="B208" i="13"/>
  <c r="S208" i="13"/>
  <c r="T208" i="13"/>
  <c r="U208" i="13"/>
  <c r="R141" i="13"/>
  <c r="R140" i="13"/>
  <c r="J208" i="13" s="1"/>
  <c r="K140" i="13"/>
  <c r="L140" i="13"/>
  <c r="C208" i="13" s="1"/>
  <c r="M140" i="13"/>
  <c r="K141" i="13"/>
  <c r="L141" i="13"/>
  <c r="M141" i="13"/>
  <c r="T196" i="14"/>
  <c r="U196" i="14"/>
  <c r="S196" i="14"/>
  <c r="L196" i="14"/>
  <c r="J196" i="14"/>
  <c r="H196" i="14"/>
  <c r="C196" i="14"/>
  <c r="D196" i="14"/>
  <c r="B196" i="14"/>
  <c r="W196" i="14"/>
  <c r="R130" i="14"/>
  <c r="K130" i="14"/>
  <c r="L130" i="14"/>
  <c r="M130" i="14"/>
  <c r="R129" i="14"/>
  <c r="M129" i="14"/>
  <c r="L129" i="14"/>
  <c r="K129" i="14"/>
  <c r="N129" i="14" s="1"/>
  <c r="U208" i="15"/>
  <c r="T208" i="15"/>
  <c r="S208" i="15"/>
  <c r="L208" i="15"/>
  <c r="J208" i="15"/>
  <c r="H208" i="15"/>
  <c r="D208" i="15"/>
  <c r="C208" i="15"/>
  <c r="B208" i="15"/>
  <c r="W208" i="15"/>
  <c r="R141" i="15"/>
  <c r="R140" i="15"/>
  <c r="K141" i="15"/>
  <c r="L141" i="15"/>
  <c r="M141" i="15"/>
  <c r="N141" i="15"/>
  <c r="K140" i="15"/>
  <c r="L140" i="15"/>
  <c r="M140" i="15"/>
  <c r="N140" i="15"/>
  <c r="U203" i="8"/>
  <c r="W203" i="8" s="1"/>
  <c r="T203" i="8"/>
  <c r="S203" i="8"/>
  <c r="J203" i="8"/>
  <c r="B203" i="8"/>
  <c r="R136" i="8"/>
  <c r="R135" i="8"/>
  <c r="H203" i="8" s="1"/>
  <c r="M136" i="8"/>
  <c r="L136" i="8"/>
  <c r="K136" i="8"/>
  <c r="K135" i="8"/>
  <c r="L135" i="8"/>
  <c r="C203" i="8" s="1"/>
  <c r="M135" i="8"/>
  <c r="N135" i="8" s="1"/>
  <c r="U97" i="31"/>
  <c r="B97" i="31"/>
  <c r="J97" i="31"/>
  <c r="N97" i="31" s="1"/>
  <c r="L97" i="31"/>
  <c r="S97" i="31"/>
  <c r="T97" i="31"/>
  <c r="W97" i="31" s="1"/>
  <c r="M62" i="31"/>
  <c r="L62" i="31"/>
  <c r="C97" i="31" s="1"/>
  <c r="K62" i="31"/>
  <c r="N62" i="31" s="1"/>
  <c r="M61" i="31"/>
  <c r="D97" i="31" s="1"/>
  <c r="L61" i="31"/>
  <c r="K61" i="31"/>
  <c r="N61" i="31" s="1"/>
  <c r="B193" i="7"/>
  <c r="S193" i="7"/>
  <c r="T193" i="7"/>
  <c r="U193" i="7"/>
  <c r="R126" i="7"/>
  <c r="H193" i="7" s="1"/>
  <c r="R127" i="7"/>
  <c r="K127" i="7"/>
  <c r="L127" i="7"/>
  <c r="M127" i="7"/>
  <c r="K126" i="7"/>
  <c r="L126" i="7"/>
  <c r="N126" i="7" s="1"/>
  <c r="M126" i="7"/>
  <c r="D193" i="7" s="1"/>
  <c r="S107" i="29"/>
  <c r="L107" i="29"/>
  <c r="H107" i="29"/>
  <c r="D107" i="29"/>
  <c r="B107" i="29"/>
  <c r="W107" i="29"/>
  <c r="T107" i="29"/>
  <c r="U107" i="29"/>
  <c r="R70" i="29"/>
  <c r="R69" i="29"/>
  <c r="J107" i="29" s="1"/>
  <c r="K70" i="29"/>
  <c r="L70" i="29"/>
  <c r="M70" i="29"/>
  <c r="N70" i="29"/>
  <c r="K69" i="29"/>
  <c r="E107" i="29" s="1"/>
  <c r="L69" i="29"/>
  <c r="C107" i="29" s="1"/>
  <c r="M69" i="29"/>
  <c r="N69" i="29"/>
  <c r="U145" i="6"/>
  <c r="H145" i="6"/>
  <c r="E145" i="6"/>
  <c r="B145" i="6"/>
  <c r="C145" i="6"/>
  <c r="D145" i="6"/>
  <c r="J145" i="6"/>
  <c r="L145" i="6"/>
  <c r="N145" i="6"/>
  <c r="S145" i="6"/>
  <c r="T145" i="6"/>
  <c r="W145" i="6"/>
  <c r="R98" i="6"/>
  <c r="R97" i="6"/>
  <c r="K97" i="6"/>
  <c r="N97" i="6" s="1"/>
  <c r="L97" i="6"/>
  <c r="M97" i="6"/>
  <c r="K98" i="6"/>
  <c r="N98" i="6" s="1"/>
  <c r="L98" i="6"/>
  <c r="M98" i="6"/>
  <c r="S85" i="30"/>
  <c r="W85" i="30" s="1"/>
  <c r="J85" i="30"/>
  <c r="H85" i="30"/>
  <c r="C85" i="30"/>
  <c r="B85" i="30"/>
  <c r="D85" i="30"/>
  <c r="E85" i="30"/>
  <c r="L85" i="30"/>
  <c r="N85" i="30"/>
  <c r="T85" i="30"/>
  <c r="U85" i="30"/>
  <c r="R50" i="30"/>
  <c r="R49" i="30"/>
  <c r="K49" i="30"/>
  <c r="N49" i="30" s="1"/>
  <c r="L49" i="30"/>
  <c r="M49" i="30"/>
  <c r="K50" i="30"/>
  <c r="N50" i="30" s="1"/>
  <c r="L50" i="30"/>
  <c r="M50" i="30"/>
  <c r="T194" i="5"/>
  <c r="J194" i="5"/>
  <c r="B194" i="5"/>
  <c r="S194" i="5"/>
  <c r="U194" i="5"/>
  <c r="W194" i="5"/>
  <c r="R127" i="5"/>
  <c r="R126" i="5"/>
  <c r="H194" i="5" s="1"/>
  <c r="K127" i="5"/>
  <c r="L127" i="5"/>
  <c r="N127" i="5" s="1"/>
  <c r="M127" i="5"/>
  <c r="K126" i="5"/>
  <c r="L126" i="5"/>
  <c r="C194" i="5" s="1"/>
  <c r="M126" i="5"/>
  <c r="D194" i="5" s="1"/>
  <c r="U109" i="28"/>
  <c r="T109" i="28"/>
  <c r="S109" i="28"/>
  <c r="L109" i="28"/>
  <c r="H109" i="28"/>
  <c r="D109" i="28"/>
  <c r="C109" i="28"/>
  <c r="B109" i="28"/>
  <c r="R73" i="28"/>
  <c r="R72" i="28"/>
  <c r="K73" i="28"/>
  <c r="L73" i="28"/>
  <c r="M73" i="28"/>
  <c r="N73" i="28"/>
  <c r="K72" i="28"/>
  <c r="L72" i="28"/>
  <c r="M72" i="28"/>
  <c r="N72" i="28"/>
  <c r="U201" i="3"/>
  <c r="T201" i="3"/>
  <c r="S201" i="3"/>
  <c r="L201" i="3"/>
  <c r="J201" i="3"/>
  <c r="H201" i="3"/>
  <c r="D201" i="3"/>
  <c r="C201" i="3"/>
  <c r="B201" i="3"/>
  <c r="W201" i="3"/>
  <c r="N201" i="3"/>
  <c r="E201" i="3"/>
  <c r="R133" i="3"/>
  <c r="M133" i="3"/>
  <c r="L133" i="3"/>
  <c r="K133" i="3"/>
  <c r="N133" i="3" s="1"/>
  <c r="R132" i="3"/>
  <c r="R131" i="3"/>
  <c r="K132" i="3"/>
  <c r="L132" i="3"/>
  <c r="M132" i="3"/>
  <c r="N132" i="3"/>
  <c r="K131" i="3"/>
  <c r="L131" i="3"/>
  <c r="M131" i="3"/>
  <c r="N131" i="3"/>
  <c r="H191" i="2"/>
  <c r="S191" i="2"/>
  <c r="J191" i="2"/>
  <c r="B191" i="2"/>
  <c r="B190" i="2"/>
  <c r="N191" i="2"/>
  <c r="L191" i="2"/>
  <c r="T191" i="2"/>
  <c r="U191" i="2"/>
  <c r="R125" i="2"/>
  <c r="R124" i="2"/>
  <c r="W191" i="2" s="1"/>
  <c r="K124" i="2"/>
  <c r="N124" i="2" s="1"/>
  <c r="L124" i="2"/>
  <c r="C191" i="2" s="1"/>
  <c r="M124" i="2"/>
  <c r="D191" i="2" s="1"/>
  <c r="K125" i="2"/>
  <c r="N125" i="2" s="1"/>
  <c r="L125" i="2"/>
  <c r="M125" i="2"/>
  <c r="U199" i="1"/>
  <c r="T199" i="1"/>
  <c r="S199" i="1"/>
  <c r="W199" i="1"/>
  <c r="L199" i="1"/>
  <c r="J199" i="1"/>
  <c r="H199" i="1"/>
  <c r="N199" i="1"/>
  <c r="D199" i="1"/>
  <c r="C199" i="1"/>
  <c r="B199" i="1"/>
  <c r="E199" i="1"/>
  <c r="B198" i="1"/>
  <c r="R132" i="1"/>
  <c r="K132" i="1"/>
  <c r="L132" i="1"/>
  <c r="M132" i="1"/>
  <c r="N132" i="1"/>
  <c r="R131" i="1"/>
  <c r="N131" i="1"/>
  <c r="K131" i="1"/>
  <c r="L131" i="1"/>
  <c r="M131" i="1"/>
  <c r="L203" i="8" l="1"/>
  <c r="D203" i="8"/>
  <c r="N136" i="8"/>
  <c r="W213" i="10"/>
  <c r="B213" i="10"/>
  <c r="H213" i="10"/>
  <c r="J213" i="10"/>
  <c r="L213" i="10"/>
  <c r="C213" i="10"/>
  <c r="N191" i="21"/>
  <c r="E213" i="10"/>
  <c r="N146" i="10"/>
  <c r="N147" i="10"/>
  <c r="E198" i="11"/>
  <c r="N129" i="11"/>
  <c r="L198" i="11"/>
  <c r="N198" i="11"/>
  <c r="N194" i="12"/>
  <c r="N67" i="32"/>
  <c r="W208" i="13"/>
  <c r="E208" i="13"/>
  <c r="H208" i="13"/>
  <c r="L208" i="13"/>
  <c r="N141" i="13"/>
  <c r="N140" i="13"/>
  <c r="N130" i="14"/>
  <c r="E97" i="31"/>
  <c r="E193" i="7"/>
  <c r="W193" i="7"/>
  <c r="N127" i="7"/>
  <c r="L193" i="7"/>
  <c r="J193" i="7"/>
  <c r="N193" i="7" s="1"/>
  <c r="C193" i="7"/>
  <c r="N107" i="29"/>
  <c r="N194" i="5"/>
  <c r="E194" i="5"/>
  <c r="L194" i="5"/>
  <c r="N126" i="5"/>
  <c r="W109" i="28"/>
  <c r="N109" i="28"/>
  <c r="E109" i="28"/>
  <c r="E191" i="2"/>
  <c r="S198" i="19"/>
  <c r="U207" i="15"/>
  <c r="T207" i="15"/>
  <c r="S207" i="15"/>
  <c r="N213" i="10" l="1"/>
  <c r="N208" i="13"/>
  <c r="U161" i="16"/>
  <c r="S161" i="16"/>
  <c r="U160" i="16"/>
  <c r="S160" i="16"/>
  <c r="U159" i="16"/>
  <c r="S159" i="16"/>
  <c r="R90" i="16"/>
  <c r="R91" i="16"/>
  <c r="R92" i="16"/>
  <c r="R93" i="16"/>
  <c r="R94" i="16"/>
  <c r="L161" i="16" l="1"/>
  <c r="L160" i="16"/>
  <c r="H161" i="16"/>
  <c r="H160" i="16"/>
  <c r="T205" i="22"/>
  <c r="U205" i="22"/>
  <c r="S205" i="22"/>
  <c r="U193" i="23"/>
  <c r="T193" i="23"/>
  <c r="S193" i="23"/>
  <c r="T191" i="24"/>
  <c r="U191" i="24"/>
  <c r="S191" i="24"/>
  <c r="T191" i="25"/>
  <c r="U191" i="25"/>
  <c r="S191" i="25"/>
  <c r="S154" i="26"/>
  <c r="T154" i="26"/>
  <c r="U154" i="26"/>
  <c r="S102" i="38"/>
  <c r="T102" i="38"/>
  <c r="U102" i="38"/>
  <c r="T107" i="37"/>
  <c r="U107" i="37"/>
  <c r="S107" i="37"/>
  <c r="T123" i="36"/>
  <c r="U123" i="36"/>
  <c r="S123" i="36"/>
  <c r="J123" i="36"/>
  <c r="L123" i="36"/>
  <c r="H123" i="36"/>
  <c r="T161" i="16"/>
  <c r="T132" i="35"/>
  <c r="U132" i="35"/>
  <c r="S132" i="35"/>
  <c r="J132" i="35"/>
  <c r="L132" i="35"/>
  <c r="H132" i="35"/>
  <c r="H131" i="35"/>
  <c r="T192" i="17"/>
  <c r="U192" i="17"/>
  <c r="S192" i="17"/>
  <c r="T196" i="18"/>
  <c r="U196" i="18"/>
  <c r="S196" i="18"/>
  <c r="T198" i="19"/>
  <c r="U198" i="19"/>
  <c r="T170" i="20"/>
  <c r="U170" i="20"/>
  <c r="S170" i="20"/>
  <c r="S190" i="21"/>
  <c r="T190" i="21"/>
  <c r="U190" i="21"/>
  <c r="T100" i="33"/>
  <c r="U100" i="33"/>
  <c r="S100" i="33"/>
  <c r="T207" i="9"/>
  <c r="U207" i="9"/>
  <c r="S207" i="9"/>
  <c r="T212" i="10"/>
  <c r="W212" i="10" s="1"/>
  <c r="U212" i="10"/>
  <c r="S212" i="10"/>
  <c r="T197" i="11"/>
  <c r="U197" i="11"/>
  <c r="S197" i="11"/>
  <c r="T193" i="12"/>
  <c r="U193" i="12"/>
  <c r="S193" i="12"/>
  <c r="J193" i="12"/>
  <c r="L193" i="12"/>
  <c r="H193" i="12"/>
  <c r="T101" i="32"/>
  <c r="U101" i="32"/>
  <c r="S101" i="32"/>
  <c r="U207" i="13"/>
  <c r="T207" i="13"/>
  <c r="S207" i="13"/>
  <c r="U195" i="14"/>
  <c r="T195" i="14"/>
  <c r="S195" i="14"/>
  <c r="W207" i="15"/>
  <c r="T99" i="34"/>
  <c r="U99" i="34"/>
  <c r="S99" i="34"/>
  <c r="T202" i="8"/>
  <c r="U202" i="8"/>
  <c r="S202" i="8"/>
  <c r="T96" i="31"/>
  <c r="U96" i="31"/>
  <c r="S96" i="31"/>
  <c r="J96" i="31"/>
  <c r="L96" i="31"/>
  <c r="H96" i="31"/>
  <c r="K55" i="31"/>
  <c r="L55" i="31"/>
  <c r="M55" i="31"/>
  <c r="K56" i="31"/>
  <c r="L56" i="31"/>
  <c r="M56" i="31"/>
  <c r="K54" i="31"/>
  <c r="T192" i="7"/>
  <c r="U192" i="7"/>
  <c r="S192" i="7"/>
  <c r="T106" i="29"/>
  <c r="U106" i="29"/>
  <c r="S106" i="29"/>
  <c r="W106" i="29" s="1"/>
  <c r="W205" i="22" l="1"/>
  <c r="W193" i="23"/>
  <c r="W191" i="24"/>
  <c r="W191" i="25"/>
  <c r="W154" i="26"/>
  <c r="W102" i="38"/>
  <c r="W107" i="37"/>
  <c r="W123" i="36"/>
  <c r="N123" i="36"/>
  <c r="W161" i="16"/>
  <c r="W132" i="35"/>
  <c r="N132" i="35"/>
  <c r="W192" i="17"/>
  <c r="W196" i="18"/>
  <c r="W198" i="19"/>
  <c r="W170" i="20"/>
  <c r="W190" i="21"/>
  <c r="W100" i="33"/>
  <c r="W207" i="9"/>
  <c r="W197" i="11"/>
  <c r="W193" i="12"/>
  <c r="N193" i="12"/>
  <c r="W101" i="32"/>
  <c r="W207" i="13"/>
  <c r="W195" i="14"/>
  <c r="W99" i="34"/>
  <c r="W202" i="8"/>
  <c r="W96" i="31"/>
  <c r="N96" i="31"/>
  <c r="N56" i="31"/>
  <c r="N55" i="31"/>
  <c r="T144" i="6"/>
  <c r="U144" i="6"/>
  <c r="S144" i="6"/>
  <c r="T143" i="6"/>
  <c r="U143" i="6"/>
  <c r="S143" i="6"/>
  <c r="T84" i="30"/>
  <c r="U84" i="30"/>
  <c r="S84" i="30"/>
  <c r="T193" i="5"/>
  <c r="U193" i="5"/>
  <c r="S193" i="5"/>
  <c r="T108" i="28"/>
  <c r="U108" i="28"/>
  <c r="S108" i="28"/>
  <c r="R70" i="28"/>
  <c r="R71" i="28"/>
  <c r="T200" i="3"/>
  <c r="U200" i="3"/>
  <c r="S200" i="3"/>
  <c r="T190" i="2"/>
  <c r="U190" i="2"/>
  <c r="S189" i="2"/>
  <c r="S190" i="2"/>
  <c r="L190" i="2"/>
  <c r="J190" i="2"/>
  <c r="H190" i="2"/>
  <c r="T198" i="1"/>
  <c r="U198" i="1"/>
  <c r="S198" i="1"/>
  <c r="W144" i="6" l="1"/>
  <c r="W84" i="30"/>
  <c r="W108" i="28"/>
  <c r="N190"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L113" i="24"/>
  <c r="M113" i="24"/>
  <c r="K114" i="24"/>
  <c r="L114" i="24"/>
  <c r="M114" i="24"/>
  <c r="K115" i="24"/>
  <c r="L115" i="24"/>
  <c r="M115" i="24"/>
  <c r="K116" i="24"/>
  <c r="L116" i="24"/>
  <c r="M116" i="24"/>
  <c r="K117" i="24"/>
  <c r="L117" i="24"/>
  <c r="M117" i="24"/>
  <c r="K118" i="24"/>
  <c r="L118" i="24"/>
  <c r="M118" i="24"/>
  <c r="K119" i="24"/>
  <c r="L119" i="24"/>
  <c r="M119" i="24"/>
  <c r="K120" i="24"/>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L136" i="22"/>
  <c r="M136" i="22"/>
  <c r="K137" i="22"/>
  <c r="L137" i="22"/>
  <c r="M137" i="22"/>
  <c r="K124" i="23"/>
  <c r="L124" i="23"/>
  <c r="M124" i="23"/>
  <c r="K123" i="23"/>
  <c r="B193" i="23" s="1"/>
  <c r="L123" i="23"/>
  <c r="M123" i="23"/>
  <c r="R123" i="24"/>
  <c r="R122" i="24"/>
  <c r="K123" i="25"/>
  <c r="L123" i="25"/>
  <c r="M123" i="25"/>
  <c r="R122" i="25"/>
  <c r="M122" i="25"/>
  <c r="L122" i="25"/>
  <c r="C191" i="25" s="1"/>
  <c r="K122" i="25"/>
  <c r="R87" i="26"/>
  <c r="M87" i="26"/>
  <c r="L87" i="26"/>
  <c r="K87" i="26"/>
  <c r="R86" i="26"/>
  <c r="M86" i="26"/>
  <c r="D154" i="26" s="1"/>
  <c r="L86" i="26"/>
  <c r="C154" i="26" s="1"/>
  <c r="K86" i="26"/>
  <c r="B154" i="26" s="1"/>
  <c r="R65" i="38"/>
  <c r="M65" i="38"/>
  <c r="L65" i="38"/>
  <c r="K65" i="38"/>
  <c r="R64" i="38"/>
  <c r="M64" i="38"/>
  <c r="L64" i="38"/>
  <c r="C102" i="38" s="1"/>
  <c r="K64" i="38"/>
  <c r="B102" i="38" s="1"/>
  <c r="R69" i="37"/>
  <c r="M69" i="37"/>
  <c r="L69" i="37"/>
  <c r="K69" i="37"/>
  <c r="R68" i="37"/>
  <c r="M68" i="37"/>
  <c r="L68" i="37"/>
  <c r="C107" i="37" s="1"/>
  <c r="K68" i="37"/>
  <c r="B107" i="37" s="1"/>
  <c r="C193" i="23" l="1"/>
  <c r="D193" i="23"/>
  <c r="N124" i="23"/>
  <c r="N118" i="24"/>
  <c r="N114" i="24"/>
  <c r="N113" i="24"/>
  <c r="N116" i="24"/>
  <c r="D191" i="24"/>
  <c r="N120" i="24"/>
  <c r="B191" i="25"/>
  <c r="N87" i="26"/>
  <c r="D102" i="38"/>
  <c r="N66" i="38"/>
  <c r="D107" i="37"/>
  <c r="D192" i="17"/>
  <c r="L107" i="37"/>
  <c r="J107" i="37"/>
  <c r="H107" i="37"/>
  <c r="J102" i="38"/>
  <c r="H102" i="38"/>
  <c r="L102" i="38"/>
  <c r="L154" i="26"/>
  <c r="J154" i="26"/>
  <c r="H154" i="26"/>
  <c r="J191" i="25"/>
  <c r="H191" i="25"/>
  <c r="L191" i="25"/>
  <c r="B205" i="22"/>
  <c r="J205" i="22"/>
  <c r="H205" i="22"/>
  <c r="L205" i="22"/>
  <c r="H191" i="24"/>
  <c r="L191" i="24"/>
  <c r="J191" i="24"/>
  <c r="N136" i="22"/>
  <c r="D205" i="22"/>
  <c r="N128" i="22"/>
  <c r="C191" i="24"/>
  <c r="C192" i="17"/>
  <c r="D191" i="25"/>
  <c r="N123" i="25"/>
  <c r="C205" i="22"/>
  <c r="L193" i="23"/>
  <c r="J193" i="23"/>
  <c r="H193" i="23"/>
  <c r="B191" i="24"/>
  <c r="N117" i="24"/>
  <c r="B192" i="17"/>
  <c r="N130" i="22"/>
  <c r="N127" i="22"/>
  <c r="N132" i="22"/>
  <c r="N134" i="22"/>
  <c r="N126" i="22"/>
  <c r="N133" i="22"/>
  <c r="N205" i="22"/>
  <c r="N135" i="22"/>
  <c r="N137" i="22"/>
  <c r="N129" i="22"/>
  <c r="N131" i="22"/>
  <c r="N123" i="23"/>
  <c r="N119" i="24"/>
  <c r="N123" i="24"/>
  <c r="N122" i="24"/>
  <c r="N121" i="24"/>
  <c r="N115" i="24"/>
  <c r="N122" i="25"/>
  <c r="N86" i="26"/>
  <c r="E154" i="26"/>
  <c r="E102" i="38"/>
  <c r="N65" i="38"/>
  <c r="N69" i="37"/>
  <c r="N68" i="37"/>
  <c r="N120" i="17"/>
  <c r="N124" i="17"/>
  <c r="N116" i="17"/>
  <c r="N118" i="17"/>
  <c r="N122" i="17"/>
  <c r="N117" i="17"/>
  <c r="N119" i="17"/>
  <c r="N121" i="17"/>
  <c r="N125" i="17"/>
  <c r="N123" i="17"/>
  <c r="M86" i="36"/>
  <c r="L86" i="36"/>
  <c r="K86" i="36"/>
  <c r="K85" i="36"/>
  <c r="L85" i="36"/>
  <c r="M85" i="36"/>
  <c r="K84" i="36"/>
  <c r="L84" i="36"/>
  <c r="M84" i="36"/>
  <c r="K83" i="36"/>
  <c r="L83" i="36"/>
  <c r="M83" i="36"/>
  <c r="K82" i="36"/>
  <c r="L82" i="36"/>
  <c r="M82" i="36"/>
  <c r="K81" i="36"/>
  <c r="L81" i="36"/>
  <c r="M81" i="36"/>
  <c r="K93" i="16"/>
  <c r="L93" i="16"/>
  <c r="M93" i="16"/>
  <c r="K94" i="16"/>
  <c r="L94" i="16"/>
  <c r="M94" i="16"/>
  <c r="K95" i="35"/>
  <c r="L95" i="35"/>
  <c r="M95" i="35"/>
  <c r="M94" i="35"/>
  <c r="L94" i="35"/>
  <c r="C132" i="35" s="1"/>
  <c r="K94" i="35"/>
  <c r="R125" i="17"/>
  <c r="R124" i="17"/>
  <c r="R127" i="18"/>
  <c r="K127" i="18"/>
  <c r="L127" i="18"/>
  <c r="M127" i="18"/>
  <c r="R126" i="18"/>
  <c r="M126" i="18"/>
  <c r="L126" i="18"/>
  <c r="C196" i="18" s="1"/>
  <c r="K126" i="18"/>
  <c r="R129" i="19"/>
  <c r="K129" i="19"/>
  <c r="L129" i="19"/>
  <c r="M129" i="19"/>
  <c r="R128" i="19"/>
  <c r="K128" i="19"/>
  <c r="L128" i="19"/>
  <c r="M128" i="19"/>
  <c r="R127" i="19"/>
  <c r="M127" i="19"/>
  <c r="L127" i="19"/>
  <c r="C198" i="19" s="1"/>
  <c r="K127" i="19"/>
  <c r="R109" i="20"/>
  <c r="K109" i="20"/>
  <c r="L109" i="20"/>
  <c r="M109" i="20"/>
  <c r="R108" i="20"/>
  <c r="M108" i="20"/>
  <c r="L108" i="20"/>
  <c r="C170" i="20" s="1"/>
  <c r="K108" i="20"/>
  <c r="B170" i="20" s="1"/>
  <c r="R123" i="21"/>
  <c r="R122" i="21"/>
  <c r="K123" i="21"/>
  <c r="L123" i="21"/>
  <c r="M123" i="21"/>
  <c r="K122" i="21"/>
  <c r="L122" i="21"/>
  <c r="M122" i="21"/>
  <c r="R63" i="34"/>
  <c r="R62" i="34"/>
  <c r="K62" i="34"/>
  <c r="L62" i="34"/>
  <c r="M62" i="34"/>
  <c r="K63" i="34"/>
  <c r="L63" i="34"/>
  <c r="M63" i="34"/>
  <c r="R63" i="33"/>
  <c r="R62" i="33"/>
  <c r="K63" i="33"/>
  <c r="L63" i="33"/>
  <c r="M63" i="33"/>
  <c r="K62" i="33"/>
  <c r="B100" i="33" s="1"/>
  <c r="L62" i="33"/>
  <c r="M62" i="33"/>
  <c r="R139" i="9"/>
  <c r="R138" i="9"/>
  <c r="K139" i="9"/>
  <c r="L139" i="9"/>
  <c r="M139" i="9"/>
  <c r="K138" i="9"/>
  <c r="L138" i="9"/>
  <c r="C207" i="9" s="1"/>
  <c r="M138" i="9"/>
  <c r="R145" i="10"/>
  <c r="R144" i="10"/>
  <c r="K144" i="10"/>
  <c r="L144" i="10"/>
  <c r="M144" i="10"/>
  <c r="K145" i="10"/>
  <c r="L145" i="10"/>
  <c r="M145" i="10"/>
  <c r="R127" i="11"/>
  <c r="K127" i="11"/>
  <c r="L127" i="11"/>
  <c r="M127" i="11"/>
  <c r="R126" i="11"/>
  <c r="K126" i="11"/>
  <c r="B197" i="11" s="1"/>
  <c r="L126" i="11"/>
  <c r="C197" i="11" s="1"/>
  <c r="M126" i="11"/>
  <c r="D197" i="11" s="1"/>
  <c r="R125" i="12"/>
  <c r="M125" i="12"/>
  <c r="K125" i="12"/>
  <c r="L125" i="12"/>
  <c r="R124" i="12"/>
  <c r="K124" i="12"/>
  <c r="L124" i="12"/>
  <c r="M124" i="12"/>
  <c r="R123" i="12"/>
  <c r="K123" i="12"/>
  <c r="L123" i="12"/>
  <c r="M123" i="12"/>
  <c r="D193" i="12" s="1"/>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R127" i="14"/>
  <c r="R126" i="14"/>
  <c r="M127" i="14"/>
  <c r="L127" i="14"/>
  <c r="K127" i="14"/>
  <c r="M126" i="14"/>
  <c r="L126" i="14"/>
  <c r="K126" i="14"/>
  <c r="R139" i="15"/>
  <c r="K139" i="15"/>
  <c r="E208" i="15" s="1"/>
  <c r="L139" i="15"/>
  <c r="M139" i="15"/>
  <c r="R138" i="15"/>
  <c r="K138" i="15"/>
  <c r="L138" i="15"/>
  <c r="M138" i="15"/>
  <c r="R137" i="15"/>
  <c r="K137" i="15"/>
  <c r="L137" i="15"/>
  <c r="C207" i="15" s="1"/>
  <c r="M137" i="15"/>
  <c r="R132" i="8"/>
  <c r="K132" i="8"/>
  <c r="L132" i="8"/>
  <c r="M132" i="8"/>
  <c r="R134" i="8"/>
  <c r="R133" i="8"/>
  <c r="K134" i="8"/>
  <c r="L134" i="8"/>
  <c r="M134" i="8"/>
  <c r="K133" i="8"/>
  <c r="L133" i="8"/>
  <c r="M133" i="8"/>
  <c r="K59" i="31"/>
  <c r="B96" i="31" s="1"/>
  <c r="L59" i="31"/>
  <c r="M59" i="31"/>
  <c r="K60" i="31"/>
  <c r="L60" i="31"/>
  <c r="M60" i="31"/>
  <c r="R125" i="7"/>
  <c r="R124" i="7"/>
  <c r="K124" i="7"/>
  <c r="L124" i="7"/>
  <c r="M124" i="7"/>
  <c r="K125" i="7"/>
  <c r="L125" i="7"/>
  <c r="M125" i="7"/>
  <c r="R68" i="29"/>
  <c r="K68" i="29"/>
  <c r="L68" i="29"/>
  <c r="M68" i="29"/>
  <c r="N68" i="29"/>
  <c r="R67" i="29"/>
  <c r="M67" i="29"/>
  <c r="D106" i="29" s="1"/>
  <c r="L67" i="29"/>
  <c r="C106" i="29" s="1"/>
  <c r="K67" i="29"/>
  <c r="B106" i="29" s="1"/>
  <c r="R94" i="6"/>
  <c r="K94" i="6"/>
  <c r="L94" i="6"/>
  <c r="M94" i="6"/>
  <c r="R96" i="6"/>
  <c r="R95" i="6"/>
  <c r="K96" i="6"/>
  <c r="L96" i="6"/>
  <c r="M96" i="6"/>
  <c r="K95" i="6"/>
  <c r="L95" i="6"/>
  <c r="C144" i="6" s="1"/>
  <c r="M95" i="6"/>
  <c r="R47" i="30"/>
  <c r="R48" i="30"/>
  <c r="K47" i="30"/>
  <c r="L47" i="30"/>
  <c r="M47" i="30"/>
  <c r="K48" i="30"/>
  <c r="L48" i="30"/>
  <c r="C84" i="30" s="1"/>
  <c r="M48" i="30"/>
  <c r="R124" i="5"/>
  <c r="R125" i="5"/>
  <c r="K125" i="5"/>
  <c r="L125" i="5"/>
  <c r="M125" i="5"/>
  <c r="K124" i="5"/>
  <c r="L124" i="5"/>
  <c r="C193" i="5" s="1"/>
  <c r="M124" i="5"/>
  <c r="B196" i="18" l="1"/>
  <c r="E191" i="24"/>
  <c r="E191" i="25"/>
  <c r="N154" i="26"/>
  <c r="N102" i="38"/>
  <c r="B123" i="36"/>
  <c r="N85" i="36"/>
  <c r="B161" i="16"/>
  <c r="C161" i="16"/>
  <c r="D132" i="35"/>
  <c r="B132" i="35"/>
  <c r="E192" i="17"/>
  <c r="B198" i="19"/>
  <c r="D190" i="21"/>
  <c r="C190" i="21"/>
  <c r="B99" i="34"/>
  <c r="C100" i="33"/>
  <c r="D100" i="33"/>
  <c r="N139" i="9"/>
  <c r="D207" i="9"/>
  <c r="N125" i="12"/>
  <c r="E194" i="12"/>
  <c r="E102" i="32"/>
  <c r="C101" i="32"/>
  <c r="D101" i="32"/>
  <c r="C207" i="13"/>
  <c r="D207" i="13"/>
  <c r="N128" i="14"/>
  <c r="E196" i="14"/>
  <c r="C195" i="14"/>
  <c r="B195" i="14"/>
  <c r="N208" i="15"/>
  <c r="E203" i="8"/>
  <c r="N134" i="8"/>
  <c r="N133" i="8"/>
  <c r="C96" i="31"/>
  <c r="B192" i="7"/>
  <c r="D192" i="7"/>
  <c r="E192" i="7" s="1"/>
  <c r="C192" i="7"/>
  <c r="N96" i="6"/>
  <c r="D144" i="6"/>
  <c r="D84" i="30"/>
  <c r="D193" i="5"/>
  <c r="N125" i="5"/>
  <c r="D96" i="31"/>
  <c r="D202" i="8"/>
  <c r="D207" i="15"/>
  <c r="C212" i="10"/>
  <c r="C99" i="34"/>
  <c r="L192" i="17"/>
  <c r="J192" i="17"/>
  <c r="H192" i="17"/>
  <c r="C202" i="8"/>
  <c r="C193" i="12"/>
  <c r="N144" i="10"/>
  <c r="B212" i="10"/>
  <c r="N123" i="21"/>
  <c r="B193" i="5"/>
  <c r="E193" i="5" s="1"/>
  <c r="B144" i="6"/>
  <c r="L144" i="6"/>
  <c r="J144" i="6"/>
  <c r="H144" i="6"/>
  <c r="N124" i="5"/>
  <c r="J193" i="5"/>
  <c r="H193" i="5"/>
  <c r="W193" i="5"/>
  <c r="L193" i="5"/>
  <c r="N67" i="29"/>
  <c r="N132" i="8"/>
  <c r="B202" i="8"/>
  <c r="E202" i="8" s="1"/>
  <c r="N137" i="15"/>
  <c r="B207" i="15"/>
  <c r="N138" i="15"/>
  <c r="D195" i="14"/>
  <c r="L195" i="14"/>
  <c r="H195" i="14"/>
  <c r="J195" i="14"/>
  <c r="B207" i="13"/>
  <c r="H207" i="13"/>
  <c r="L207" i="13"/>
  <c r="J207" i="13"/>
  <c r="N207" i="13" s="1"/>
  <c r="B101" i="32"/>
  <c r="B193" i="12"/>
  <c r="N145" i="10"/>
  <c r="J212" i="10"/>
  <c r="L212" i="10"/>
  <c r="H212" i="10"/>
  <c r="B207" i="9"/>
  <c r="E207" i="9" s="1"/>
  <c r="H207" i="9"/>
  <c r="L207" i="9"/>
  <c r="J207" i="9"/>
  <c r="J100" i="33"/>
  <c r="H100" i="33"/>
  <c r="L100" i="33"/>
  <c r="L99" i="34"/>
  <c r="H99" i="34"/>
  <c r="J99" i="34"/>
  <c r="B190" i="21"/>
  <c r="E190" i="21" s="1"/>
  <c r="H190" i="21"/>
  <c r="L190" i="21"/>
  <c r="J190" i="21"/>
  <c r="D170" i="20"/>
  <c r="D198" i="19"/>
  <c r="D196" i="18"/>
  <c r="E196" i="18" s="1"/>
  <c r="N94" i="35"/>
  <c r="N94" i="16"/>
  <c r="D123" i="36"/>
  <c r="B84" i="30"/>
  <c r="E84" i="30" s="1"/>
  <c r="E106" i="29"/>
  <c r="L106" i="29"/>
  <c r="H106" i="29"/>
  <c r="N106" i="29" s="1"/>
  <c r="J106" i="29"/>
  <c r="W192" i="7"/>
  <c r="J192" i="7"/>
  <c r="H192" i="7"/>
  <c r="L192" i="7"/>
  <c r="N60" i="31"/>
  <c r="J202" i="8"/>
  <c r="L202" i="8"/>
  <c r="H202" i="8"/>
  <c r="L207" i="15"/>
  <c r="J207" i="15"/>
  <c r="H207" i="15"/>
  <c r="N207" i="15" s="1"/>
  <c r="L197" i="11"/>
  <c r="J197" i="11"/>
  <c r="H197" i="11"/>
  <c r="D212" i="10"/>
  <c r="D99" i="34"/>
  <c r="H170" i="20"/>
  <c r="L170" i="20"/>
  <c r="J170" i="20"/>
  <c r="H198" i="19"/>
  <c r="L198" i="19"/>
  <c r="J198" i="19"/>
  <c r="H196" i="18"/>
  <c r="L196" i="18"/>
  <c r="J196" i="18"/>
  <c r="N95" i="35"/>
  <c r="D161" i="16"/>
  <c r="E161" i="16" s="1"/>
  <c r="C123" i="36"/>
  <c r="E207" i="15"/>
  <c r="N139" i="15"/>
  <c r="L84" i="30"/>
  <c r="H84" i="30"/>
  <c r="J84" i="30"/>
  <c r="J161" i="16"/>
  <c r="E205" i="22"/>
  <c r="E193" i="23"/>
  <c r="N193" i="23"/>
  <c r="N191" i="24"/>
  <c r="N191" i="25"/>
  <c r="N82" i="36"/>
  <c r="N83" i="36"/>
  <c r="N84" i="36"/>
  <c r="N93" i="16"/>
  <c r="N127" i="18"/>
  <c r="N126" i="18"/>
  <c r="N127" i="19"/>
  <c r="N128" i="19"/>
  <c r="N129" i="19"/>
  <c r="N109" i="20"/>
  <c r="N108" i="20"/>
  <c r="N122" i="21"/>
  <c r="N62" i="33"/>
  <c r="N138" i="9"/>
  <c r="N126" i="11"/>
  <c r="N127" i="11"/>
  <c r="N123" i="12"/>
  <c r="N124" i="12"/>
  <c r="N65" i="32"/>
  <c r="N63" i="32"/>
  <c r="N64" i="32"/>
  <c r="N138" i="13"/>
  <c r="E207" i="13"/>
  <c r="N139" i="13"/>
  <c r="N126" i="14"/>
  <c r="N127" i="14"/>
  <c r="N63" i="34"/>
  <c r="N47" i="30"/>
  <c r="N59" i="31"/>
  <c r="N86" i="36"/>
  <c r="N81" i="36"/>
  <c r="N62" i="34"/>
  <c r="N63" i="33"/>
  <c r="N125" i="7"/>
  <c r="N124" i="7"/>
  <c r="N95" i="6"/>
  <c r="N94" i="6"/>
  <c r="N48" i="30"/>
  <c r="K71" i="28"/>
  <c r="L71" i="28"/>
  <c r="M71" i="28"/>
  <c r="K70" i="28"/>
  <c r="N70" i="28" s="1"/>
  <c r="L70" i="28"/>
  <c r="M70" i="28"/>
  <c r="R69" i="28"/>
  <c r="K69" i="28"/>
  <c r="B108" i="28" s="1"/>
  <c r="L69" i="28"/>
  <c r="M69" i="28"/>
  <c r="D108" i="28" s="1"/>
  <c r="E123" i="36" l="1"/>
  <c r="E198" i="19"/>
  <c r="N199" i="19"/>
  <c r="N198" i="19"/>
  <c r="N170" i="20"/>
  <c r="N100" i="33"/>
  <c r="E100" i="33"/>
  <c r="N197" i="11"/>
  <c r="E193" i="12"/>
  <c r="N196" i="14"/>
  <c r="N203" i="8"/>
  <c r="E96" i="31"/>
  <c r="N192" i="7"/>
  <c r="E144" i="6"/>
  <c r="N144" i="6"/>
  <c r="N71" i="28"/>
  <c r="N202" i="8"/>
  <c r="N69" i="28"/>
  <c r="N193" i="5"/>
  <c r="L108" i="28"/>
  <c r="J108" i="28"/>
  <c r="H108" i="28"/>
  <c r="C108" i="28"/>
  <c r="E108" i="28" s="1"/>
  <c r="N84" i="30"/>
  <c r="N161" i="16"/>
  <c r="N192" i="17"/>
  <c r="N196" i="18"/>
  <c r="E170" i="20"/>
  <c r="N190" i="21"/>
  <c r="N207" i="9"/>
  <c r="E197" i="11"/>
  <c r="E101" i="32"/>
  <c r="N101" i="32"/>
  <c r="E195" i="14"/>
  <c r="N195" i="14"/>
  <c r="R130" i="3"/>
  <c r="R129" i="3"/>
  <c r="K130" i="3"/>
  <c r="L130" i="3"/>
  <c r="M130" i="3"/>
  <c r="K129" i="3"/>
  <c r="L129" i="3"/>
  <c r="M129" i="3"/>
  <c r="R123" i="2"/>
  <c r="K123" i="2"/>
  <c r="L123" i="2"/>
  <c r="M123" i="2"/>
  <c r="R122" i="2"/>
  <c r="M122" i="2"/>
  <c r="D190" i="2" s="1"/>
  <c r="L122" i="2"/>
  <c r="C190" i="2" s="1"/>
  <c r="K122" i="2"/>
  <c r="K129" i="1"/>
  <c r="L129" i="1"/>
  <c r="M129" i="1"/>
  <c r="K130" i="1"/>
  <c r="N130" i="1" s="1"/>
  <c r="L130" i="1"/>
  <c r="M130" i="1"/>
  <c r="R130" i="1"/>
  <c r="R129" i="1"/>
  <c r="S197" i="1"/>
  <c r="C200" i="3" l="1"/>
  <c r="N130" i="3"/>
  <c r="B200" i="3"/>
  <c r="W190" i="2"/>
  <c r="D198" i="1"/>
  <c r="C198" i="1"/>
  <c r="J198" i="1"/>
  <c r="H198" i="1"/>
  <c r="W198" i="1"/>
  <c r="L198" i="1"/>
  <c r="E190" i="2"/>
  <c r="N129" i="3"/>
  <c r="D200" i="3"/>
  <c r="E200" i="3" s="1"/>
  <c r="N108" i="28"/>
  <c r="W200" i="3"/>
  <c r="L200" i="3"/>
  <c r="J200" i="3"/>
  <c r="H200" i="3"/>
  <c r="N129" i="1"/>
  <c r="E198" i="1" s="1"/>
  <c r="N123" i="2"/>
  <c r="N122" i="2"/>
  <c r="J192" i="12"/>
  <c r="H192" i="12"/>
  <c r="H191" i="12"/>
  <c r="S206" i="15"/>
  <c r="T206" i="15"/>
  <c r="U206" i="15"/>
  <c r="U204" i="15"/>
  <c r="T189" i="2"/>
  <c r="N200" i="3" l="1"/>
  <c r="N198" i="1"/>
  <c r="W206" i="15"/>
  <c r="T106" i="37"/>
  <c r="U106" i="37"/>
  <c r="S106" i="37"/>
  <c r="T191" i="7"/>
  <c r="U191" i="7"/>
  <c r="S191" i="7"/>
  <c r="T83" i="30"/>
  <c r="U83" i="30"/>
  <c r="S83" i="30"/>
  <c r="R46" i="30"/>
  <c r="M46" i="30"/>
  <c r="K46" i="30"/>
  <c r="L46" i="30"/>
  <c r="R45" i="30"/>
  <c r="K45" i="30"/>
  <c r="L45" i="30"/>
  <c r="M45" i="30"/>
  <c r="N45" i="30" l="1"/>
  <c r="N46" i="30"/>
  <c r="W106" i="37"/>
  <c r="W83" i="30"/>
  <c r="U99" i="33"/>
  <c r="T99" i="33"/>
  <c r="S99" i="33"/>
  <c r="W99" i="33" l="1"/>
  <c r="U204" i="22"/>
  <c r="T204" i="22"/>
  <c r="S204" i="22"/>
  <c r="L204" i="22"/>
  <c r="J204" i="22"/>
  <c r="H204" i="22"/>
  <c r="D204" i="22"/>
  <c r="C204" i="22"/>
  <c r="B204" i="22"/>
  <c r="U192" i="23"/>
  <c r="T192" i="23"/>
  <c r="S192" i="23"/>
  <c r="L192" i="23"/>
  <c r="J192" i="23"/>
  <c r="H192" i="23"/>
  <c r="K122" i="23"/>
  <c r="L122" i="23"/>
  <c r="M122" i="23"/>
  <c r="K121" i="23"/>
  <c r="L121" i="23"/>
  <c r="M121" i="23"/>
  <c r="S190" i="24"/>
  <c r="U190" i="24"/>
  <c r="T190" i="24"/>
  <c r="D190" i="24"/>
  <c r="C190" i="24"/>
  <c r="B190" i="24"/>
  <c r="R121" i="24"/>
  <c r="R120" i="24"/>
  <c r="J190" i="24" s="1"/>
  <c r="U190" i="25"/>
  <c r="T190" i="25"/>
  <c r="S190" i="25"/>
  <c r="R121" i="25"/>
  <c r="R120" i="25"/>
  <c r="K120" i="25"/>
  <c r="L120" i="25"/>
  <c r="M120" i="25"/>
  <c r="K121" i="25"/>
  <c r="L121" i="25"/>
  <c r="M121" i="25"/>
  <c r="U153" i="26"/>
  <c r="T153" i="26"/>
  <c r="S153" i="26"/>
  <c r="R85" i="26"/>
  <c r="K85" i="26"/>
  <c r="L85" i="26"/>
  <c r="M85" i="26"/>
  <c r="R84" i="26"/>
  <c r="L153" i="26" s="1"/>
  <c r="K84" i="26"/>
  <c r="B153" i="26" s="1"/>
  <c r="L84" i="26"/>
  <c r="M84" i="26"/>
  <c r="D153" i="26" s="1"/>
  <c r="U101" i="38"/>
  <c r="T101" i="38"/>
  <c r="S101" i="38"/>
  <c r="R63" i="38"/>
  <c r="R62" i="38"/>
  <c r="K63" i="38"/>
  <c r="L63" i="38"/>
  <c r="M63" i="38"/>
  <c r="K62" i="38"/>
  <c r="L62" i="38"/>
  <c r="C101" i="38" s="1"/>
  <c r="M62" i="38"/>
  <c r="B192" i="23" l="1"/>
  <c r="D192" i="23"/>
  <c r="C192" i="23"/>
  <c r="N122" i="23"/>
  <c r="J190" i="25"/>
  <c r="D190" i="25"/>
  <c r="C190" i="25"/>
  <c r="N120" i="25"/>
  <c r="N85" i="26"/>
  <c r="B101" i="38"/>
  <c r="E101" i="38" s="1"/>
  <c r="H101" i="38"/>
  <c r="D101" i="38"/>
  <c r="W101" i="38"/>
  <c r="C153" i="26"/>
  <c r="L190" i="24"/>
  <c r="L190" i="25"/>
  <c r="H190" i="24"/>
  <c r="J101" i="38"/>
  <c r="H153" i="26"/>
  <c r="N192" i="23"/>
  <c r="W190" i="24"/>
  <c r="E190" i="24"/>
  <c r="B190" i="25"/>
  <c r="H190" i="25"/>
  <c r="N190" i="25" s="1"/>
  <c r="N84" i="26"/>
  <c r="J153" i="26"/>
  <c r="L101" i="38"/>
  <c r="N64" i="38"/>
  <c r="N63" i="38"/>
  <c r="N204" i="22"/>
  <c r="W204" i="22"/>
  <c r="E204" i="22"/>
  <c r="W192" i="23"/>
  <c r="N121" i="23"/>
  <c r="N121" i="25"/>
  <c r="W190" i="25"/>
  <c r="W153" i="26"/>
  <c r="E153" i="26"/>
  <c r="R67" i="37"/>
  <c r="K67" i="37"/>
  <c r="L67" i="37"/>
  <c r="M67" i="37"/>
  <c r="E192" i="23" l="1"/>
  <c r="N190" i="24"/>
  <c r="E190" i="25"/>
  <c r="N153" i="26"/>
  <c r="N101" i="38"/>
  <c r="N67" i="37"/>
  <c r="E107" i="37"/>
  <c r="R66" i="37"/>
  <c r="K66" i="37"/>
  <c r="L66" i="37"/>
  <c r="M66" i="37"/>
  <c r="R65" i="37"/>
  <c r="K65" i="37"/>
  <c r="L65" i="37"/>
  <c r="C106" i="37" s="1"/>
  <c r="M65" i="37"/>
  <c r="D106" i="37" s="1"/>
  <c r="T122" i="36"/>
  <c r="U122" i="36"/>
  <c r="S122" i="36"/>
  <c r="K79" i="36"/>
  <c r="L79" i="36"/>
  <c r="M79" i="36"/>
  <c r="K80" i="36"/>
  <c r="L80" i="36"/>
  <c r="M80" i="36"/>
  <c r="T160" i="16"/>
  <c r="K91" i="16"/>
  <c r="L91" i="16"/>
  <c r="M91" i="16"/>
  <c r="K92" i="16"/>
  <c r="L92" i="16"/>
  <c r="M92" i="16"/>
  <c r="U131" i="35"/>
  <c r="T131" i="35"/>
  <c r="S131" i="35"/>
  <c r="L131" i="35"/>
  <c r="J131" i="35"/>
  <c r="K93" i="35"/>
  <c r="L93" i="35"/>
  <c r="M93" i="35"/>
  <c r="K92" i="35"/>
  <c r="L92" i="35"/>
  <c r="M92" i="35"/>
  <c r="K91" i="35"/>
  <c r="L91" i="35"/>
  <c r="M91" i="35"/>
  <c r="U191" i="17"/>
  <c r="T191" i="17"/>
  <c r="S191" i="17"/>
  <c r="D191" i="17"/>
  <c r="C191" i="17"/>
  <c r="B191" i="17"/>
  <c r="R123" i="17"/>
  <c r="R122" i="17"/>
  <c r="S195" i="18"/>
  <c r="U195" i="18"/>
  <c r="T195" i="18"/>
  <c r="R125" i="18"/>
  <c r="K125" i="18"/>
  <c r="L125" i="18"/>
  <c r="M125" i="18"/>
  <c r="R124" i="18"/>
  <c r="J195" i="18" s="1"/>
  <c r="M124" i="18"/>
  <c r="L124" i="18"/>
  <c r="C195" i="18" s="1"/>
  <c r="K124" i="18"/>
  <c r="U197" i="19"/>
  <c r="T197" i="19"/>
  <c r="S197" i="19"/>
  <c r="R126" i="19"/>
  <c r="M126" i="19"/>
  <c r="L126" i="19"/>
  <c r="K126" i="19"/>
  <c r="R125" i="19"/>
  <c r="L197" i="19" s="1"/>
  <c r="M125" i="19"/>
  <c r="L125" i="19"/>
  <c r="C197" i="19" s="1"/>
  <c r="K125" i="19"/>
  <c r="R107" i="20"/>
  <c r="R106" i="20"/>
  <c r="L169" i="20" s="1"/>
  <c r="U169" i="20"/>
  <c r="T169" i="20"/>
  <c r="S169" i="20"/>
  <c r="C169" i="20"/>
  <c r="K107" i="20"/>
  <c r="L107" i="20"/>
  <c r="M107" i="20"/>
  <c r="K106" i="20"/>
  <c r="B169" i="20" s="1"/>
  <c r="L106" i="20"/>
  <c r="M106" i="20"/>
  <c r="U189" i="21"/>
  <c r="T189" i="21"/>
  <c r="S189" i="21"/>
  <c r="R120" i="21"/>
  <c r="R121" i="21"/>
  <c r="K120" i="21"/>
  <c r="L120" i="21"/>
  <c r="M120" i="21"/>
  <c r="K121" i="21"/>
  <c r="L121" i="21"/>
  <c r="M121" i="21"/>
  <c r="W131" i="35" l="1"/>
  <c r="D169" i="20"/>
  <c r="D189" i="21"/>
  <c r="B189" i="21"/>
  <c r="H189" i="21"/>
  <c r="C189" i="21"/>
  <c r="L189" i="21"/>
  <c r="N124" i="18"/>
  <c r="L195" i="18"/>
  <c r="D131" i="35"/>
  <c r="N66" i="37"/>
  <c r="N92" i="35"/>
  <c r="N107" i="20"/>
  <c r="W169" i="20"/>
  <c r="D195" i="18"/>
  <c r="C160" i="16"/>
  <c r="W160" i="16"/>
  <c r="N107" i="37"/>
  <c r="B160" i="16"/>
  <c r="N93" i="35"/>
  <c r="E132" i="35"/>
  <c r="N91" i="35"/>
  <c r="B131" i="35"/>
  <c r="C131" i="35"/>
  <c r="E131" i="35" s="1"/>
  <c r="J191" i="17"/>
  <c r="L191" i="17"/>
  <c r="B195" i="18"/>
  <c r="E195" i="18" s="1"/>
  <c r="H195" i="18"/>
  <c r="N195" i="18" s="1"/>
  <c r="N125" i="19"/>
  <c r="J197" i="19"/>
  <c r="H197" i="19"/>
  <c r="N197" i="19" s="1"/>
  <c r="D197" i="19"/>
  <c r="B197" i="19"/>
  <c r="E169" i="20"/>
  <c r="H169" i="20"/>
  <c r="J189" i="21"/>
  <c r="H106" i="37"/>
  <c r="J106" i="37"/>
  <c r="L106" i="37"/>
  <c r="N65" i="37"/>
  <c r="B106" i="37"/>
  <c r="E106" i="37" s="1"/>
  <c r="N92" i="16"/>
  <c r="N91" i="16"/>
  <c r="J160" i="16"/>
  <c r="D160" i="16"/>
  <c r="H191" i="17"/>
  <c r="N122" i="36"/>
  <c r="C122" i="36"/>
  <c r="B122" i="36"/>
  <c r="N80" i="36"/>
  <c r="N79" i="36"/>
  <c r="W122" i="36"/>
  <c r="D122" i="36"/>
  <c r="N131" i="35"/>
  <c r="W191" i="17"/>
  <c r="E191" i="17"/>
  <c r="W195" i="18"/>
  <c r="N125" i="18"/>
  <c r="W197" i="19"/>
  <c r="N126" i="19"/>
  <c r="J169" i="20"/>
  <c r="N106" i="20"/>
  <c r="W189" i="21"/>
  <c r="N120" i="21"/>
  <c r="N121" i="21"/>
  <c r="T98" i="34"/>
  <c r="U98" i="34"/>
  <c r="S98" i="34"/>
  <c r="R61" i="34"/>
  <c r="K61" i="34"/>
  <c r="L61" i="34"/>
  <c r="M61" i="34"/>
  <c r="R60" i="34"/>
  <c r="J98" i="34" s="1"/>
  <c r="K60" i="34"/>
  <c r="L60" i="34"/>
  <c r="M60" i="34"/>
  <c r="R61" i="33"/>
  <c r="K61" i="33"/>
  <c r="L61" i="33"/>
  <c r="M61" i="33"/>
  <c r="R60" i="33"/>
  <c r="K60" i="33"/>
  <c r="L60" i="33"/>
  <c r="C99" i="33" s="1"/>
  <c r="M60" i="33"/>
  <c r="D99" i="33" s="1"/>
  <c r="U206" i="9"/>
  <c r="T206" i="9"/>
  <c r="W206" i="9" s="1"/>
  <c r="S206" i="9"/>
  <c r="R137" i="9"/>
  <c r="M137" i="9"/>
  <c r="L137" i="9"/>
  <c r="K137" i="9"/>
  <c r="R136" i="9"/>
  <c r="K136" i="9"/>
  <c r="L136" i="9"/>
  <c r="C206" i="9" s="1"/>
  <c r="M136" i="9"/>
  <c r="E160" i="16" l="1"/>
  <c r="N169" i="20"/>
  <c r="E189" i="21"/>
  <c r="N189" i="21"/>
  <c r="B206" i="9"/>
  <c r="W98" i="34"/>
  <c r="E197" i="19"/>
  <c r="N191" i="17"/>
  <c r="L206" i="9"/>
  <c r="E99" i="34"/>
  <c r="N99" i="34"/>
  <c r="D98" i="34"/>
  <c r="N106" i="37"/>
  <c r="E122" i="36"/>
  <c r="N160" i="16"/>
  <c r="C98" i="34"/>
  <c r="L98" i="34"/>
  <c r="N61" i="34"/>
  <c r="N60" i="34"/>
  <c r="H98" i="34"/>
  <c r="B98" i="34"/>
  <c r="B99" i="33"/>
  <c r="E99" i="33" s="1"/>
  <c r="L99" i="33"/>
  <c r="J99" i="33"/>
  <c r="H99" i="33"/>
  <c r="N61" i="33"/>
  <c r="D206" i="9"/>
  <c r="H206" i="9"/>
  <c r="J206" i="9"/>
  <c r="N137" i="9"/>
  <c r="N60" i="33"/>
  <c r="N136" i="9"/>
  <c r="U211" i="10"/>
  <c r="T211" i="10"/>
  <c r="S211" i="10"/>
  <c r="K141" i="10"/>
  <c r="L141" i="10"/>
  <c r="M141" i="10"/>
  <c r="R143" i="10"/>
  <c r="K143" i="10"/>
  <c r="L143" i="10"/>
  <c r="M143" i="10"/>
  <c r="R141" i="10"/>
  <c r="R142" i="10"/>
  <c r="K142" i="10"/>
  <c r="L142" i="10"/>
  <c r="M142" i="10"/>
  <c r="U192" i="12"/>
  <c r="T192" i="12"/>
  <c r="S192" i="12"/>
  <c r="L192" i="12"/>
  <c r="N98" i="34" l="1"/>
  <c r="E98" i="34"/>
  <c r="E206" i="9"/>
  <c r="W211" i="10"/>
  <c r="J211" i="10"/>
  <c r="L211" i="10"/>
  <c r="W192" i="12"/>
  <c r="D211" i="10"/>
  <c r="E212" i="10"/>
  <c r="H211" i="10"/>
  <c r="N212" i="10"/>
  <c r="C211" i="10"/>
  <c r="B211" i="10"/>
  <c r="N99" i="33"/>
  <c r="N206" i="9"/>
  <c r="N141" i="10"/>
  <c r="N143" i="10"/>
  <c r="N142" i="10"/>
  <c r="N192" i="12"/>
  <c r="R122" i="12"/>
  <c r="M122" i="12"/>
  <c r="L122" i="12"/>
  <c r="K122" i="12"/>
  <c r="R134" i="15"/>
  <c r="R135" i="15"/>
  <c r="R136" i="15"/>
  <c r="R132" i="15"/>
  <c r="R133" i="15"/>
  <c r="R131" i="15"/>
  <c r="T74" i="30"/>
  <c r="U196" i="11"/>
  <c r="T196" i="11"/>
  <c r="S196" i="11"/>
  <c r="R125" i="11"/>
  <c r="M125" i="11"/>
  <c r="K125" i="11"/>
  <c r="L125" i="11"/>
  <c r="R124" i="11"/>
  <c r="K124" i="11"/>
  <c r="L124" i="11"/>
  <c r="M124" i="11"/>
  <c r="R121" i="12"/>
  <c r="K121" i="12"/>
  <c r="L121" i="12"/>
  <c r="M121" i="12"/>
  <c r="N211" i="10" l="1"/>
  <c r="W196" i="11"/>
  <c r="J196" i="11"/>
  <c r="D196" i="11"/>
  <c r="C196" i="11"/>
  <c r="C192" i="12"/>
  <c r="B192" i="12"/>
  <c r="L196" i="11"/>
  <c r="N124" i="11"/>
  <c r="H196" i="11"/>
  <c r="B196" i="11"/>
  <c r="D192" i="12"/>
  <c r="E211" i="10"/>
  <c r="J206" i="15"/>
  <c r="H206" i="15"/>
  <c r="L206" i="15"/>
  <c r="N121" i="12"/>
  <c r="N122" i="12"/>
  <c r="N125" i="11"/>
  <c r="U100" i="32"/>
  <c r="T100" i="32"/>
  <c r="S100" i="32"/>
  <c r="R61" i="32"/>
  <c r="M61" i="32"/>
  <c r="L61" i="32"/>
  <c r="K61" i="32"/>
  <c r="R62" i="32"/>
  <c r="M62" i="32"/>
  <c r="L62" i="32"/>
  <c r="K62" i="32"/>
  <c r="U206" i="13"/>
  <c r="T206" i="13"/>
  <c r="S206" i="13"/>
  <c r="K137" i="13"/>
  <c r="L137" i="13"/>
  <c r="M137" i="13"/>
  <c r="R136" i="13"/>
  <c r="R137" i="13"/>
  <c r="K136" i="13"/>
  <c r="L136" i="13"/>
  <c r="M136" i="13"/>
  <c r="D206" i="13" s="1"/>
  <c r="U194" i="14"/>
  <c r="T194" i="14"/>
  <c r="S194" i="14"/>
  <c r="R124" i="14"/>
  <c r="M124" i="14"/>
  <c r="L124" i="14"/>
  <c r="K124" i="14"/>
  <c r="R125" i="14"/>
  <c r="M125" i="14"/>
  <c r="L125" i="14"/>
  <c r="C194" i="14" s="1"/>
  <c r="K125" i="14"/>
  <c r="K136" i="15"/>
  <c r="L136" i="15"/>
  <c r="M136" i="15"/>
  <c r="K132" i="15"/>
  <c r="L132" i="15"/>
  <c r="M132" i="15"/>
  <c r="K133" i="15"/>
  <c r="L133" i="15"/>
  <c r="M133" i="15"/>
  <c r="K134" i="15"/>
  <c r="L134" i="15"/>
  <c r="M134" i="15"/>
  <c r="K135" i="15"/>
  <c r="L135" i="15"/>
  <c r="M135" i="15"/>
  <c r="U201" i="8"/>
  <c r="T201" i="8"/>
  <c r="S201" i="8"/>
  <c r="K130" i="8"/>
  <c r="L130" i="8"/>
  <c r="M130" i="8"/>
  <c r="R130" i="8"/>
  <c r="K131" i="8"/>
  <c r="N131" i="8" s="1"/>
  <c r="L131" i="8"/>
  <c r="M131" i="8"/>
  <c r="D201" i="8" s="1"/>
  <c r="R131" i="8"/>
  <c r="U95" i="31"/>
  <c r="T95" i="31"/>
  <c r="S95" i="31"/>
  <c r="K57" i="31"/>
  <c r="K58" i="31"/>
  <c r="N58" i="31" s="1"/>
  <c r="L58" i="31"/>
  <c r="M58" i="31"/>
  <c r="R57" i="31"/>
  <c r="L95" i="31" s="1"/>
  <c r="R56" i="31"/>
  <c r="L57" i="31"/>
  <c r="M57" i="31"/>
  <c r="D95" i="31" s="1"/>
  <c r="R123" i="7"/>
  <c r="K123" i="7"/>
  <c r="L123" i="7"/>
  <c r="M123" i="7"/>
  <c r="R122" i="7"/>
  <c r="W191" i="7" s="1"/>
  <c r="K122" i="7"/>
  <c r="L122" i="7"/>
  <c r="M122" i="7"/>
  <c r="U105" i="29"/>
  <c r="T105" i="29"/>
  <c r="S105" i="29"/>
  <c r="W105" i="29" s="1"/>
  <c r="K66" i="29"/>
  <c r="L66" i="29"/>
  <c r="M66" i="29"/>
  <c r="R66" i="29"/>
  <c r="R65" i="29"/>
  <c r="K65" i="29"/>
  <c r="L65" i="29"/>
  <c r="M65" i="29"/>
  <c r="D105" i="29" s="1"/>
  <c r="E196" i="11" l="1"/>
  <c r="N196" i="11"/>
  <c r="E192" i="12"/>
  <c r="D100" i="32"/>
  <c r="C206" i="13"/>
  <c r="B206" i="13"/>
  <c r="L206" i="13"/>
  <c r="B194" i="14"/>
  <c r="N125" i="14"/>
  <c r="W201" i="8"/>
  <c r="C201" i="8"/>
  <c r="B201" i="8"/>
  <c r="L201" i="8"/>
  <c r="H201" i="8"/>
  <c r="C95" i="31"/>
  <c r="B95" i="31"/>
  <c r="L194" i="14"/>
  <c r="C100" i="32"/>
  <c r="J201" i="8"/>
  <c r="B105" i="29"/>
  <c r="N66" i="29"/>
  <c r="J95" i="31"/>
  <c r="L100" i="32"/>
  <c r="N65" i="29"/>
  <c r="J105" i="29"/>
  <c r="W95" i="31"/>
  <c r="N130" i="8"/>
  <c r="N124" i="14"/>
  <c r="J206" i="13"/>
  <c r="N62" i="32"/>
  <c r="B100" i="32"/>
  <c r="E100" i="32" s="1"/>
  <c r="W100" i="32"/>
  <c r="H100" i="32"/>
  <c r="J100" i="32"/>
  <c r="N61" i="32"/>
  <c r="H206" i="13"/>
  <c r="W194" i="14"/>
  <c r="D194" i="14"/>
  <c r="H194" i="14"/>
  <c r="J194" i="14"/>
  <c r="H95" i="31"/>
  <c r="N57" i="31"/>
  <c r="N135" i="15"/>
  <c r="N134" i="15"/>
  <c r="D206" i="15"/>
  <c r="C206" i="15"/>
  <c r="N206" i="15"/>
  <c r="N132" i="15"/>
  <c r="B206" i="15"/>
  <c r="C191" i="7"/>
  <c r="B191" i="7"/>
  <c r="N123" i="7"/>
  <c r="D191" i="7"/>
  <c r="J191" i="7"/>
  <c r="H191" i="7"/>
  <c r="L191" i="7"/>
  <c r="N122" i="7"/>
  <c r="L105" i="29"/>
  <c r="C105" i="29"/>
  <c r="H105" i="29"/>
  <c r="N136" i="15"/>
  <c r="N133" i="15"/>
  <c r="W206" i="13"/>
  <c r="E206" i="13"/>
  <c r="N136" i="13"/>
  <c r="N137" i="13"/>
  <c r="E194" i="14"/>
  <c r="E201" i="8"/>
  <c r="W143" i="6"/>
  <c r="R93" i="6"/>
  <c r="K93" i="6"/>
  <c r="B143" i="6" s="1"/>
  <c r="L93" i="6"/>
  <c r="C143" i="6" s="1"/>
  <c r="M93" i="6"/>
  <c r="D143" i="6" s="1"/>
  <c r="N206" i="13" l="1"/>
  <c r="E206" i="15"/>
  <c r="N201" i="8"/>
  <c r="N95" i="31"/>
  <c r="E105" i="29"/>
  <c r="N105" i="29"/>
  <c r="N194" i="14"/>
  <c r="L143" i="6"/>
  <c r="J143" i="6"/>
  <c r="N143" i="6" s="1"/>
  <c r="H143" i="6"/>
  <c r="N100" i="32"/>
  <c r="E191" i="7"/>
  <c r="N191" i="7"/>
  <c r="N93" i="6"/>
  <c r="E143" i="6"/>
  <c r="R44" i="30"/>
  <c r="K44" i="30"/>
  <c r="L44" i="30"/>
  <c r="C83" i="30" s="1"/>
  <c r="M44" i="30"/>
  <c r="D83" i="30" s="1"/>
  <c r="T192" i="5"/>
  <c r="U192" i="5"/>
  <c r="S192" i="5"/>
  <c r="R122" i="5"/>
  <c r="R123" i="5"/>
  <c r="L192" i="5" s="1"/>
  <c r="K122" i="5"/>
  <c r="L122" i="5"/>
  <c r="M122" i="5"/>
  <c r="K123" i="5"/>
  <c r="L123" i="5"/>
  <c r="M123" i="5"/>
  <c r="U107" i="28"/>
  <c r="T107" i="28"/>
  <c r="S107" i="28"/>
  <c r="R67" i="28"/>
  <c r="R68" i="28"/>
  <c r="K68" i="28"/>
  <c r="L68" i="28"/>
  <c r="M68" i="28"/>
  <c r="K67" i="28"/>
  <c r="L67" i="28"/>
  <c r="M67" i="28"/>
  <c r="U199" i="3"/>
  <c r="T199" i="3"/>
  <c r="S199" i="3"/>
  <c r="K128" i="3"/>
  <c r="N128" i="3" s="1"/>
  <c r="L128" i="3"/>
  <c r="M128" i="3"/>
  <c r="R128" i="3"/>
  <c r="R127" i="3"/>
  <c r="W199" i="3" s="1"/>
  <c r="K127" i="3"/>
  <c r="L127" i="3"/>
  <c r="C199" i="3" s="1"/>
  <c r="M127" i="3"/>
  <c r="C192" i="5" l="1"/>
  <c r="C107" i="28"/>
  <c r="D107" i="28"/>
  <c r="L107" i="28"/>
  <c r="D199" i="3"/>
  <c r="H199" i="3"/>
  <c r="J199" i="3"/>
  <c r="D192" i="5"/>
  <c r="W192" i="5"/>
  <c r="L199" i="3"/>
  <c r="J192" i="5"/>
  <c r="N122" i="5"/>
  <c r="B192" i="5"/>
  <c r="N44" i="30"/>
  <c r="B83" i="30"/>
  <c r="E83" i="30" s="1"/>
  <c r="L83" i="30"/>
  <c r="J83" i="30"/>
  <c r="H83" i="30"/>
  <c r="B107" i="28"/>
  <c r="N68" i="28"/>
  <c r="H107" i="28"/>
  <c r="J107" i="28"/>
  <c r="H192" i="5"/>
  <c r="N192" i="5" s="1"/>
  <c r="N123" i="5"/>
  <c r="W107" i="28"/>
  <c r="E107" i="28"/>
  <c r="N67" i="28"/>
  <c r="N127" i="3"/>
  <c r="U189" i="2"/>
  <c r="L189" i="2"/>
  <c r="J189" i="2"/>
  <c r="H189" i="2"/>
  <c r="H188" i="2"/>
  <c r="R121" i="2"/>
  <c r="K121" i="2"/>
  <c r="L121" i="2"/>
  <c r="M121" i="2"/>
  <c r="R120" i="2"/>
  <c r="K120" i="2"/>
  <c r="L120" i="2"/>
  <c r="M120" i="2"/>
  <c r="U197" i="1"/>
  <c r="T197" i="1"/>
  <c r="R128" i="1"/>
  <c r="L128" i="1"/>
  <c r="M128" i="1"/>
  <c r="K128" i="1"/>
  <c r="E192" i="5" l="1"/>
  <c r="N189" i="2"/>
  <c r="W189" i="2"/>
  <c r="N199" i="3"/>
  <c r="N83" i="30"/>
  <c r="N107" i="28"/>
  <c r="D189" i="2"/>
  <c r="C189" i="2"/>
  <c r="B189" i="2"/>
  <c r="N128" i="1"/>
  <c r="N120" i="2"/>
  <c r="N121" i="2"/>
  <c r="R126" i="1"/>
  <c r="M126" i="1"/>
  <c r="L126" i="1"/>
  <c r="K126" i="1"/>
  <c r="R127" i="1"/>
  <c r="M127" i="1"/>
  <c r="L127" i="1"/>
  <c r="K127" i="1"/>
  <c r="C197" i="1" l="1"/>
  <c r="E189" i="2"/>
  <c r="D197" i="1"/>
  <c r="L197" i="1"/>
  <c r="J197" i="1"/>
  <c r="H197" i="1"/>
  <c r="W197" i="1"/>
  <c r="B197" i="1"/>
  <c r="N126" i="1"/>
  <c r="N127" i="1"/>
  <c r="K115" i="23"/>
  <c r="L115" i="23"/>
  <c r="M115" i="23"/>
  <c r="K116" i="23"/>
  <c r="L116" i="23"/>
  <c r="M116" i="23"/>
  <c r="K117" i="23"/>
  <c r="L117" i="23"/>
  <c r="M117" i="23"/>
  <c r="K118" i="23"/>
  <c r="L118" i="23"/>
  <c r="M118" i="23"/>
  <c r="K119" i="23"/>
  <c r="L119" i="23"/>
  <c r="M119" i="23"/>
  <c r="K120" i="23"/>
  <c r="L120" i="23"/>
  <c r="M120" i="23"/>
  <c r="N117" i="23" l="1"/>
  <c r="B191" i="23"/>
  <c r="E197" i="1"/>
  <c r="N197" i="1"/>
  <c r="N118" i="23"/>
  <c r="N119" i="23"/>
  <c r="N115" i="23"/>
  <c r="D191" i="23"/>
  <c r="N116" i="23"/>
  <c r="C191" i="23"/>
  <c r="N120" i="23"/>
  <c r="E191" i="23" l="1"/>
  <c r="S105" i="37"/>
  <c r="S200" i="8" l="1"/>
  <c r="T200" i="8"/>
  <c r="U106" i="28" l="1"/>
  <c r="T106" i="28"/>
  <c r="S106" i="28"/>
  <c r="U203" i="22" l="1"/>
  <c r="T203" i="22"/>
  <c r="S203" i="22"/>
  <c r="L203" i="22"/>
  <c r="J203" i="22"/>
  <c r="H203" i="22"/>
  <c r="D203" i="22"/>
  <c r="C203" i="22"/>
  <c r="B203" i="22"/>
  <c r="S191" i="23"/>
  <c r="T191" i="23"/>
  <c r="U191" i="23"/>
  <c r="H191" i="23"/>
  <c r="J191" i="23"/>
  <c r="L191" i="23"/>
  <c r="B189" i="24"/>
  <c r="C189" i="24"/>
  <c r="D189" i="24"/>
  <c r="S189" i="24"/>
  <c r="T189" i="24"/>
  <c r="U189" i="24"/>
  <c r="R119" i="24"/>
  <c r="L189" i="24" s="1"/>
  <c r="S189" i="25"/>
  <c r="T189" i="25"/>
  <c r="U189" i="25"/>
  <c r="R119" i="25"/>
  <c r="R118" i="25"/>
  <c r="K118" i="25"/>
  <c r="L118" i="25"/>
  <c r="M118" i="25"/>
  <c r="K119" i="25"/>
  <c r="L119" i="25"/>
  <c r="M119" i="25"/>
  <c r="J189" i="25" l="1"/>
  <c r="W189" i="25"/>
  <c r="J189" i="24"/>
  <c r="H189" i="24"/>
  <c r="D189" i="25"/>
  <c r="C189" i="25"/>
  <c r="E189" i="24"/>
  <c r="W189" i="24"/>
  <c r="H189" i="25"/>
  <c r="N119" i="25"/>
  <c r="B189" i="25"/>
  <c r="N118" i="25"/>
  <c r="L189" i="25"/>
  <c r="N191" i="23"/>
  <c r="W191" i="23"/>
  <c r="W203" i="22"/>
  <c r="N203" i="22"/>
  <c r="E203" i="22"/>
  <c r="S152" i="26"/>
  <c r="T152" i="26"/>
  <c r="U152" i="26"/>
  <c r="R83" i="26"/>
  <c r="R82" i="26"/>
  <c r="L152" i="26" s="1"/>
  <c r="K82" i="26"/>
  <c r="L82" i="26"/>
  <c r="M82" i="26"/>
  <c r="K83" i="26"/>
  <c r="L83" i="26"/>
  <c r="M83" i="26"/>
  <c r="U100" i="38"/>
  <c r="T100" i="38"/>
  <c r="S100" i="38"/>
  <c r="R61" i="38"/>
  <c r="R60" i="38"/>
  <c r="K60" i="38"/>
  <c r="L60" i="38"/>
  <c r="M60" i="38"/>
  <c r="K61" i="38"/>
  <c r="L61" i="38"/>
  <c r="M61" i="38"/>
  <c r="T105" i="37"/>
  <c r="W105" i="37" s="1"/>
  <c r="U105" i="37"/>
  <c r="R64" i="37"/>
  <c r="R63" i="37"/>
  <c r="K63" i="37"/>
  <c r="L63" i="37"/>
  <c r="M63" i="37"/>
  <c r="K64" i="37"/>
  <c r="L64" i="37"/>
  <c r="M64" i="37"/>
  <c r="U121" i="36"/>
  <c r="T121" i="36"/>
  <c r="S121" i="36"/>
  <c r="U120" i="36"/>
  <c r="T120" i="36"/>
  <c r="S120" i="36"/>
  <c r="R75" i="36"/>
  <c r="H121" i="36" s="1"/>
  <c r="M78" i="36"/>
  <c r="L78" i="36"/>
  <c r="K78" i="36"/>
  <c r="K77" i="36"/>
  <c r="L77" i="36"/>
  <c r="M77" i="36"/>
  <c r="K76" i="36"/>
  <c r="L76" i="36"/>
  <c r="M76" i="36"/>
  <c r="K75" i="36"/>
  <c r="L75" i="36"/>
  <c r="M75" i="36"/>
  <c r="N189" i="24" l="1"/>
  <c r="B152" i="26"/>
  <c r="J105" i="37"/>
  <c r="D105" i="37"/>
  <c r="W100" i="38"/>
  <c r="L105" i="37"/>
  <c r="E189" i="25"/>
  <c r="L100" i="38"/>
  <c r="N189" i="25"/>
  <c r="W152" i="26"/>
  <c r="C152" i="26"/>
  <c r="N83" i="26"/>
  <c r="C100" i="38"/>
  <c r="N64" i="37"/>
  <c r="C105" i="37"/>
  <c r="B105" i="37"/>
  <c r="D152" i="26"/>
  <c r="H100" i="38"/>
  <c r="N62" i="38"/>
  <c r="N61" i="38"/>
  <c r="D100" i="38"/>
  <c r="N75" i="36"/>
  <c r="J121" i="36"/>
  <c r="N78" i="36"/>
  <c r="N77" i="36"/>
  <c r="C121" i="36"/>
  <c r="L121" i="36"/>
  <c r="W121" i="36"/>
  <c r="J152" i="26"/>
  <c r="B121" i="36"/>
  <c r="H105" i="37"/>
  <c r="N105" i="37" s="1"/>
  <c r="J100" i="38"/>
  <c r="D121" i="36"/>
  <c r="H152" i="26"/>
  <c r="N76" i="36"/>
  <c r="N63" i="37"/>
  <c r="B100" i="38"/>
  <c r="E100" i="38" s="1"/>
  <c r="N82" i="26"/>
  <c r="T159" i="16"/>
  <c r="M90" i="16"/>
  <c r="L90" i="16"/>
  <c r="K90" i="16"/>
  <c r="R89" i="16"/>
  <c r="R88" i="16"/>
  <c r="K89" i="16"/>
  <c r="L89" i="16"/>
  <c r="M89" i="16"/>
  <c r="K88" i="16"/>
  <c r="L88" i="16"/>
  <c r="M88" i="16"/>
  <c r="S130" i="35"/>
  <c r="T130" i="35"/>
  <c r="U130" i="35"/>
  <c r="R88" i="35"/>
  <c r="R89" i="35"/>
  <c r="K88" i="35"/>
  <c r="L88" i="35"/>
  <c r="M88" i="35"/>
  <c r="K89" i="35"/>
  <c r="L89" i="35"/>
  <c r="M89" i="35"/>
  <c r="K90" i="35"/>
  <c r="L90" i="35"/>
  <c r="M90" i="35"/>
  <c r="S190" i="17"/>
  <c r="T190" i="17"/>
  <c r="U190" i="17"/>
  <c r="B190" i="17"/>
  <c r="C190" i="17"/>
  <c r="D190" i="17"/>
  <c r="R121" i="17"/>
  <c r="R120" i="17"/>
  <c r="U194" i="18"/>
  <c r="T194" i="18"/>
  <c r="S194" i="18"/>
  <c r="R123" i="18"/>
  <c r="R122" i="18"/>
  <c r="K122" i="18"/>
  <c r="L122" i="18"/>
  <c r="M122" i="18"/>
  <c r="K123" i="18"/>
  <c r="L123" i="18"/>
  <c r="M123" i="18"/>
  <c r="S196" i="19"/>
  <c r="T196" i="19"/>
  <c r="U196" i="19"/>
  <c r="R124" i="19"/>
  <c r="R123" i="19"/>
  <c r="L196" i="19" s="1"/>
  <c r="K123" i="19"/>
  <c r="L123" i="19"/>
  <c r="M123" i="19"/>
  <c r="K124" i="19"/>
  <c r="L124" i="19"/>
  <c r="M124" i="19"/>
  <c r="E105" i="37" l="1"/>
  <c r="W130" i="35"/>
  <c r="H130" i="35"/>
  <c r="D130" i="35"/>
  <c r="L159" i="16"/>
  <c r="H159" i="16"/>
  <c r="L194" i="18"/>
  <c r="C130" i="35"/>
  <c r="W194" i="18"/>
  <c r="E152" i="26"/>
  <c r="N100" i="38"/>
  <c r="J130" i="35"/>
  <c r="B130" i="35"/>
  <c r="E130" i="35" s="1"/>
  <c r="E190" i="17"/>
  <c r="L190" i="17"/>
  <c r="W190" i="17"/>
  <c r="J194" i="18"/>
  <c r="C194" i="18"/>
  <c r="D194" i="18"/>
  <c r="B194" i="18"/>
  <c r="N123" i="19"/>
  <c r="B196" i="19"/>
  <c r="D196" i="19"/>
  <c r="N88" i="16"/>
  <c r="D159" i="16"/>
  <c r="C159" i="16"/>
  <c r="H190" i="17"/>
  <c r="N152" i="26"/>
  <c r="N121" i="36"/>
  <c r="H194" i="18"/>
  <c r="N123" i="18"/>
  <c r="J190" i="17"/>
  <c r="B159" i="16"/>
  <c r="W196" i="19"/>
  <c r="N124" i="19"/>
  <c r="C196" i="19"/>
  <c r="N89" i="35"/>
  <c r="E121" i="36"/>
  <c r="N88" i="35"/>
  <c r="H196" i="19"/>
  <c r="N90" i="35"/>
  <c r="N89" i="16"/>
  <c r="L130" i="35"/>
  <c r="N90" i="16"/>
  <c r="J159" i="16"/>
  <c r="J196" i="19"/>
  <c r="N122" i="18"/>
  <c r="W159" i="16"/>
  <c r="S168" i="20"/>
  <c r="T168" i="20"/>
  <c r="U168" i="20"/>
  <c r="M102" i="20"/>
  <c r="M104" i="20"/>
  <c r="R105" i="20"/>
  <c r="M105" i="20"/>
  <c r="L105" i="20"/>
  <c r="K105" i="20"/>
  <c r="R104" i="20"/>
  <c r="L104" i="20"/>
  <c r="K104" i="20"/>
  <c r="S188" i="21"/>
  <c r="T188" i="21"/>
  <c r="U188" i="21"/>
  <c r="R118" i="21"/>
  <c r="R119" i="21"/>
  <c r="K118" i="21"/>
  <c r="L118" i="21"/>
  <c r="M118" i="21"/>
  <c r="K119" i="21"/>
  <c r="L119" i="21"/>
  <c r="M119" i="21"/>
  <c r="S97" i="34"/>
  <c r="T97" i="34"/>
  <c r="U97" i="34"/>
  <c r="K57" i="34"/>
  <c r="L57" i="34"/>
  <c r="M57" i="34"/>
  <c r="K58" i="34"/>
  <c r="L58" i="34"/>
  <c r="M58" i="34"/>
  <c r="K59" i="34"/>
  <c r="L59" i="34"/>
  <c r="M59" i="34"/>
  <c r="L56" i="34"/>
  <c r="R59" i="34"/>
  <c r="R58" i="34"/>
  <c r="U98" i="33"/>
  <c r="T98" i="33"/>
  <c r="S98" i="33"/>
  <c r="R59" i="33"/>
  <c r="R58" i="33"/>
  <c r="K58" i="33"/>
  <c r="L58" i="33"/>
  <c r="M58" i="33"/>
  <c r="K59" i="33"/>
  <c r="L59" i="33"/>
  <c r="M59" i="33"/>
  <c r="S205" i="9"/>
  <c r="T205" i="9"/>
  <c r="U205" i="9"/>
  <c r="R135" i="9"/>
  <c r="R134" i="9"/>
  <c r="K134" i="9"/>
  <c r="L134" i="9"/>
  <c r="M134" i="9"/>
  <c r="K135" i="9"/>
  <c r="L135" i="9"/>
  <c r="M135" i="9"/>
  <c r="U210" i="10"/>
  <c r="T210" i="10"/>
  <c r="S210" i="10"/>
  <c r="R140" i="10"/>
  <c r="R139" i="10"/>
  <c r="R138" i="10"/>
  <c r="R137" i="10"/>
  <c r="K137" i="10"/>
  <c r="L137" i="10"/>
  <c r="M137" i="10"/>
  <c r="K138" i="10"/>
  <c r="L138" i="10"/>
  <c r="M138" i="10"/>
  <c r="K139" i="10"/>
  <c r="L139" i="10"/>
  <c r="M139" i="10"/>
  <c r="K140" i="10"/>
  <c r="L140" i="10"/>
  <c r="M140" i="10"/>
  <c r="N130" i="35" l="1"/>
  <c r="N194" i="18"/>
  <c r="E194" i="18"/>
  <c r="L188" i="21"/>
  <c r="D98" i="33"/>
  <c r="L98" i="33"/>
  <c r="H205" i="9"/>
  <c r="C97" i="34"/>
  <c r="B188" i="21"/>
  <c r="N59" i="33"/>
  <c r="N59" i="34"/>
  <c r="J188" i="21"/>
  <c r="E159" i="16"/>
  <c r="N190" i="17"/>
  <c r="E196" i="19"/>
  <c r="W168" i="20"/>
  <c r="L168" i="20"/>
  <c r="D188" i="21"/>
  <c r="N159" i="16"/>
  <c r="N57" i="34"/>
  <c r="W210" i="10"/>
  <c r="C98" i="33"/>
  <c r="N58" i="33"/>
  <c r="D205" i="9"/>
  <c r="C205" i="9"/>
  <c r="N196" i="19"/>
  <c r="D168" i="20"/>
  <c r="N104" i="20"/>
  <c r="C168" i="20"/>
  <c r="J168" i="20"/>
  <c r="N119" i="21"/>
  <c r="C188" i="21"/>
  <c r="W188" i="21"/>
  <c r="H188" i="21"/>
  <c r="B98" i="33"/>
  <c r="W205" i="9"/>
  <c r="L205" i="9"/>
  <c r="B205" i="9"/>
  <c r="D210" i="10"/>
  <c r="B210" i="10"/>
  <c r="C210" i="10"/>
  <c r="N138" i="10"/>
  <c r="N140" i="10"/>
  <c r="L210" i="10"/>
  <c r="H168" i="20"/>
  <c r="N137" i="10"/>
  <c r="H210" i="10"/>
  <c r="H97" i="34"/>
  <c r="N58" i="34"/>
  <c r="J205" i="9"/>
  <c r="N139" i="10"/>
  <c r="J210" i="10"/>
  <c r="N135" i="9"/>
  <c r="H98" i="33"/>
  <c r="N105" i="20"/>
  <c r="B168" i="20"/>
  <c r="N134" i="9"/>
  <c r="J98" i="33"/>
  <c r="N118" i="21"/>
  <c r="W97" i="34"/>
  <c r="D97" i="34"/>
  <c r="B97" i="34"/>
  <c r="L97" i="34"/>
  <c r="J97" i="34"/>
  <c r="W98" i="33"/>
  <c r="S195" i="11"/>
  <c r="W195" i="11" s="1"/>
  <c r="T195" i="11"/>
  <c r="U195" i="11"/>
  <c r="R123" i="11"/>
  <c r="M123" i="11"/>
  <c r="L123" i="11"/>
  <c r="K123" i="11"/>
  <c r="R122" i="11"/>
  <c r="M122" i="11"/>
  <c r="L122" i="11"/>
  <c r="C195" i="11" s="1"/>
  <c r="K122" i="11"/>
  <c r="B195" i="11" s="1"/>
  <c r="T191" i="12"/>
  <c r="S191" i="12"/>
  <c r="U191" i="12"/>
  <c r="J191" i="12"/>
  <c r="L191" i="12"/>
  <c r="R120" i="12"/>
  <c r="M120" i="12"/>
  <c r="L120" i="12"/>
  <c r="K120" i="12"/>
  <c r="R119" i="12"/>
  <c r="M119" i="12"/>
  <c r="L119" i="12"/>
  <c r="K119" i="12"/>
  <c r="S99" i="32"/>
  <c r="T99" i="32"/>
  <c r="U99" i="32"/>
  <c r="S205" i="13"/>
  <c r="R60" i="32"/>
  <c r="M60" i="32"/>
  <c r="L60" i="32"/>
  <c r="K60" i="32"/>
  <c r="R59" i="32"/>
  <c r="L99" i="32" s="1"/>
  <c r="K59" i="32"/>
  <c r="L59" i="32"/>
  <c r="M59" i="32"/>
  <c r="U205" i="13"/>
  <c r="T205" i="13"/>
  <c r="R135" i="13"/>
  <c r="L135" i="13"/>
  <c r="M135" i="13"/>
  <c r="K135" i="13"/>
  <c r="K134" i="13"/>
  <c r="L134" i="13"/>
  <c r="M134" i="13"/>
  <c r="R134" i="13"/>
  <c r="R133" i="13"/>
  <c r="K133" i="13"/>
  <c r="L133" i="13"/>
  <c r="M133" i="13"/>
  <c r="K132" i="13"/>
  <c r="R132" i="13"/>
  <c r="M132" i="13"/>
  <c r="L132" i="13"/>
  <c r="S193" i="14"/>
  <c r="T193" i="14"/>
  <c r="U193" i="14"/>
  <c r="R123" i="14"/>
  <c r="R122" i="14"/>
  <c r="J193" i="14" s="1"/>
  <c r="K122" i="14"/>
  <c r="L122" i="14"/>
  <c r="M122" i="14"/>
  <c r="K123" i="14"/>
  <c r="L123" i="14"/>
  <c r="M123" i="14"/>
  <c r="N188" i="21" l="1"/>
  <c r="N168" i="20"/>
  <c r="E97" i="34"/>
  <c r="C99" i="32"/>
  <c r="D99" i="32"/>
  <c r="N132" i="13"/>
  <c r="N133" i="13"/>
  <c r="D193" i="14"/>
  <c r="W193" i="14"/>
  <c r="L193" i="14"/>
  <c r="N59" i="32"/>
  <c r="D191" i="12"/>
  <c r="N97" i="34"/>
  <c r="E205" i="9"/>
  <c r="N122" i="14"/>
  <c r="E188" i="21"/>
  <c r="E168" i="20"/>
  <c r="E98" i="33"/>
  <c r="D195" i="11"/>
  <c r="E195" i="11" s="1"/>
  <c r="L195" i="11"/>
  <c r="B191" i="12"/>
  <c r="C191" i="12"/>
  <c r="B99" i="32"/>
  <c r="E99" i="32" s="1"/>
  <c r="W99" i="32"/>
  <c r="H99" i="32"/>
  <c r="N135" i="13"/>
  <c r="C193" i="14"/>
  <c r="B193" i="14"/>
  <c r="N98" i="33"/>
  <c r="N205" i="9"/>
  <c r="E210" i="10"/>
  <c r="N210" i="10"/>
  <c r="N120" i="12"/>
  <c r="C205" i="13"/>
  <c r="D205" i="13"/>
  <c r="J99" i="32"/>
  <c r="N99" i="32" s="1"/>
  <c r="H193" i="14"/>
  <c r="H205" i="13"/>
  <c r="N123" i="11"/>
  <c r="J195" i="11"/>
  <c r="B205" i="13"/>
  <c r="N134" i="13"/>
  <c r="W191" i="12"/>
  <c r="H195" i="11"/>
  <c r="N191" i="12"/>
  <c r="N123" i="14"/>
  <c r="J205" i="13"/>
  <c r="N122" i="11"/>
  <c r="L205" i="13"/>
  <c r="N60" i="32"/>
  <c r="N119" i="12"/>
  <c r="W205" i="13"/>
  <c r="U205" i="15"/>
  <c r="T205" i="15"/>
  <c r="S205" i="15"/>
  <c r="R130" i="15"/>
  <c r="L205" i="15" s="1"/>
  <c r="L128" i="15"/>
  <c r="M130" i="15"/>
  <c r="M131" i="15"/>
  <c r="K129" i="15"/>
  <c r="K130" i="15"/>
  <c r="K131" i="15"/>
  <c r="L125" i="15"/>
  <c r="L126" i="15"/>
  <c r="L127" i="15"/>
  <c r="L129" i="15"/>
  <c r="L130" i="15"/>
  <c r="L131" i="15"/>
  <c r="M129" i="15"/>
  <c r="K123" i="15"/>
  <c r="U200" i="8"/>
  <c r="R129" i="8"/>
  <c r="K129" i="8"/>
  <c r="L129" i="8"/>
  <c r="M129" i="8"/>
  <c r="R128" i="8"/>
  <c r="H200" i="8" s="1"/>
  <c r="K128" i="8"/>
  <c r="L128" i="8"/>
  <c r="C200" i="8" s="1"/>
  <c r="M128" i="8"/>
  <c r="D200" i="8" s="1"/>
  <c r="U94" i="31"/>
  <c r="T94" i="31"/>
  <c r="S94" i="31"/>
  <c r="R54" i="31"/>
  <c r="R55" i="31"/>
  <c r="R53" i="31"/>
  <c r="K53" i="31"/>
  <c r="L53" i="31"/>
  <c r="M53" i="31"/>
  <c r="L54" i="31"/>
  <c r="M54" i="31"/>
  <c r="N193" i="14" l="1"/>
  <c r="E193" i="14"/>
  <c r="B205" i="15"/>
  <c r="N128" i="8"/>
  <c r="W94" i="31"/>
  <c r="C94" i="31"/>
  <c r="J200" i="8"/>
  <c r="L200" i="8"/>
  <c r="N200" i="8" s="1"/>
  <c r="N53" i="31"/>
  <c r="B94" i="31"/>
  <c r="D94" i="31"/>
  <c r="B200" i="8"/>
  <c r="E200" i="8" s="1"/>
  <c r="E191" i="12"/>
  <c r="L94" i="31"/>
  <c r="E95" i="31"/>
  <c r="C205" i="15"/>
  <c r="N130" i="15"/>
  <c r="E205" i="13"/>
  <c r="N205" i="13"/>
  <c r="D205" i="15"/>
  <c r="J205" i="15"/>
  <c r="N195" i="11"/>
  <c r="N129" i="8"/>
  <c r="H94" i="31"/>
  <c r="J94" i="31"/>
  <c r="H205" i="15"/>
  <c r="N54" i="31"/>
  <c r="W205" i="15"/>
  <c r="N131" i="15"/>
  <c r="W200" i="8"/>
  <c r="U190" i="7"/>
  <c r="T190" i="7"/>
  <c r="S190" i="7"/>
  <c r="R121" i="7"/>
  <c r="K120" i="7"/>
  <c r="L120" i="7"/>
  <c r="M120" i="7"/>
  <c r="K121" i="7"/>
  <c r="L121" i="7"/>
  <c r="M121" i="7"/>
  <c r="R120" i="7"/>
  <c r="S103" i="29"/>
  <c r="S104" i="29"/>
  <c r="T104" i="29"/>
  <c r="U104" i="29"/>
  <c r="R64" i="29"/>
  <c r="R63" i="29"/>
  <c r="K63" i="29"/>
  <c r="L63" i="29"/>
  <c r="M63" i="29"/>
  <c r="K64" i="29"/>
  <c r="L64" i="29"/>
  <c r="M64" i="29"/>
  <c r="U82" i="30"/>
  <c r="T82" i="30"/>
  <c r="S82" i="30"/>
  <c r="U142" i="6"/>
  <c r="T142" i="6"/>
  <c r="S142" i="6"/>
  <c r="R92" i="6"/>
  <c r="R91" i="6"/>
  <c r="K92" i="6"/>
  <c r="K91" i="6"/>
  <c r="L91" i="6"/>
  <c r="M91" i="6"/>
  <c r="L92" i="6"/>
  <c r="M92" i="6"/>
  <c r="E94" i="31" l="1"/>
  <c r="N94" i="31"/>
  <c r="H142" i="6"/>
  <c r="N91" i="6"/>
  <c r="L104" i="29"/>
  <c r="W190" i="7"/>
  <c r="B142" i="6"/>
  <c r="C190" i="7"/>
  <c r="E205" i="15"/>
  <c r="H190" i="7"/>
  <c r="B190" i="7"/>
  <c r="N121" i="7"/>
  <c r="C104" i="29"/>
  <c r="B104" i="29"/>
  <c r="D104" i="29"/>
  <c r="L142" i="6"/>
  <c r="N92" i="6"/>
  <c r="D142" i="6"/>
  <c r="N205" i="15"/>
  <c r="H104" i="29"/>
  <c r="C142" i="6"/>
  <c r="J142" i="6"/>
  <c r="J104" i="29"/>
  <c r="W104" i="29"/>
  <c r="N63" i="29"/>
  <c r="N120" i="7"/>
  <c r="W142" i="6"/>
  <c r="N64" i="29"/>
  <c r="J190" i="7"/>
  <c r="D190" i="7"/>
  <c r="L190" i="7"/>
  <c r="W82" i="30"/>
  <c r="R43" i="30"/>
  <c r="R42" i="30"/>
  <c r="R41" i="30"/>
  <c r="K41" i="30"/>
  <c r="L41" i="30"/>
  <c r="M41" i="30"/>
  <c r="K42" i="30"/>
  <c r="L42" i="30"/>
  <c r="M42" i="30"/>
  <c r="K43" i="30"/>
  <c r="L43" i="30"/>
  <c r="M43" i="30"/>
  <c r="S191" i="5"/>
  <c r="T191" i="5"/>
  <c r="U191" i="5"/>
  <c r="R121" i="5"/>
  <c r="R66" i="28"/>
  <c r="K121" i="5"/>
  <c r="L121" i="5"/>
  <c r="M121" i="5"/>
  <c r="N121" i="5" s="1"/>
  <c r="R120" i="5"/>
  <c r="K120" i="5"/>
  <c r="L120" i="5"/>
  <c r="M120" i="5"/>
  <c r="E142" i="6" l="1"/>
  <c r="D191" i="5"/>
  <c r="N142" i="6"/>
  <c r="E190" i="7"/>
  <c r="E104" i="29"/>
  <c r="C191" i="5"/>
  <c r="N41" i="30"/>
  <c r="B82" i="30"/>
  <c r="N42" i="30"/>
  <c r="N120" i="5"/>
  <c r="J191" i="5"/>
  <c r="W191" i="5"/>
  <c r="B191" i="5"/>
  <c r="N190" i="7"/>
  <c r="L191" i="5"/>
  <c r="N104" i="29"/>
  <c r="D82" i="30"/>
  <c r="C82" i="30"/>
  <c r="H191" i="5"/>
  <c r="L82" i="30"/>
  <c r="J82" i="30"/>
  <c r="H82" i="30"/>
  <c r="N43" i="30"/>
  <c r="W106" i="28"/>
  <c r="S105" i="28"/>
  <c r="R65" i="28"/>
  <c r="K66" i="28"/>
  <c r="M66" i="28"/>
  <c r="M65" i="28"/>
  <c r="K65" i="28"/>
  <c r="L66" i="28"/>
  <c r="L65" i="28"/>
  <c r="U198" i="3"/>
  <c r="T198" i="3"/>
  <c r="S198" i="3"/>
  <c r="R126" i="3"/>
  <c r="R125" i="3"/>
  <c r="J198" i="3" s="1"/>
  <c r="K125" i="3"/>
  <c r="L125" i="3"/>
  <c r="M125" i="3"/>
  <c r="N125" i="3"/>
  <c r="K126" i="3"/>
  <c r="B199" i="3" s="1"/>
  <c r="E199" i="3" s="1"/>
  <c r="L126" i="3"/>
  <c r="M126" i="3"/>
  <c r="T188" i="2"/>
  <c r="S188" i="2"/>
  <c r="U188" i="2"/>
  <c r="J188" i="2"/>
  <c r="L188" i="2"/>
  <c r="R119" i="2"/>
  <c r="R118" i="2"/>
  <c r="K118" i="2"/>
  <c r="L118" i="2"/>
  <c r="M118" i="2"/>
  <c r="K119" i="2"/>
  <c r="L119" i="2"/>
  <c r="M119" i="2"/>
  <c r="S196" i="1"/>
  <c r="T196" i="1"/>
  <c r="U196" i="1"/>
  <c r="R125" i="1"/>
  <c r="K125" i="1"/>
  <c r="L125" i="1"/>
  <c r="M125" i="1"/>
  <c r="R124" i="1"/>
  <c r="K124" i="1"/>
  <c r="L124" i="1"/>
  <c r="M124" i="1"/>
  <c r="E191" i="5" l="1"/>
  <c r="D106" i="28"/>
  <c r="D198" i="3"/>
  <c r="E82" i="30"/>
  <c r="C106" i="28"/>
  <c r="N188" i="2"/>
  <c r="W188" i="2"/>
  <c r="C196" i="1"/>
  <c r="D196" i="1"/>
  <c r="B106" i="28"/>
  <c r="B188" i="2"/>
  <c r="D188" i="2"/>
  <c r="C188" i="2"/>
  <c r="N124" i="1"/>
  <c r="J196" i="1"/>
  <c r="W196" i="1"/>
  <c r="N119" i="2"/>
  <c r="W198" i="3"/>
  <c r="N191" i="5"/>
  <c r="H196" i="1"/>
  <c r="N118" i="2"/>
  <c r="C198" i="3"/>
  <c r="L198" i="3"/>
  <c r="L106" i="28"/>
  <c r="J106" i="28"/>
  <c r="H106" i="28"/>
  <c r="L196" i="1"/>
  <c r="N125" i="1"/>
  <c r="B196" i="1"/>
  <c r="B198" i="3"/>
  <c r="N82" i="30"/>
  <c r="N65" i="28"/>
  <c r="N66" i="28"/>
  <c r="N126" i="3"/>
  <c r="H198" i="3"/>
  <c r="N116" i="6"/>
  <c r="N117" i="6"/>
  <c r="N118" i="6"/>
  <c r="N119" i="6"/>
  <c r="U112" i="6"/>
  <c r="T112" i="6"/>
  <c r="S112" i="6"/>
  <c r="U110" i="6"/>
  <c r="T110" i="6"/>
  <c r="S110" i="6"/>
  <c r="U107" i="6"/>
  <c r="T107" i="6"/>
  <c r="S107" i="6"/>
  <c r="U105" i="6"/>
  <c r="T105" i="6"/>
  <c r="S105"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06" i="28" l="1"/>
  <c r="N106" i="28"/>
  <c r="N196" i="1"/>
  <c r="E196" i="1"/>
  <c r="E188" i="2"/>
  <c r="N21" i="6"/>
  <c r="N25" i="6"/>
  <c r="N13" i="6"/>
  <c r="N24" i="6"/>
  <c r="K59" i="38"/>
  <c r="U99" i="38" l="1"/>
  <c r="T99" i="38"/>
  <c r="S99" i="38"/>
  <c r="R59" i="38"/>
  <c r="M59" i="38"/>
  <c r="L59" i="38"/>
  <c r="N60" i="38" s="1"/>
  <c r="R58" i="38"/>
  <c r="K58" i="38"/>
  <c r="L58" i="38"/>
  <c r="M58" i="38"/>
  <c r="R57" i="38"/>
  <c r="K57" i="38"/>
  <c r="L57" i="38"/>
  <c r="M57" i="38"/>
  <c r="U109" i="6"/>
  <c r="T109" i="6"/>
  <c r="S109" i="6"/>
  <c r="U108" i="6"/>
  <c r="T108" i="6"/>
  <c r="S108" i="6"/>
  <c r="U116" i="6"/>
  <c r="T116" i="6"/>
  <c r="S116" i="6"/>
  <c r="U114" i="6"/>
  <c r="T114" i="6"/>
  <c r="S114" i="6"/>
  <c r="U113" i="6"/>
  <c r="T113" i="6"/>
  <c r="S113" i="6"/>
  <c r="U115" i="6"/>
  <c r="T115" i="6"/>
  <c r="S115" i="6"/>
  <c r="S111" i="6"/>
  <c r="T111" i="6"/>
  <c r="U111" i="6"/>
  <c r="S106" i="6"/>
  <c r="T106" i="6"/>
  <c r="U106" i="6"/>
  <c r="T134" i="6"/>
  <c r="U134" i="6"/>
  <c r="S134" i="6"/>
  <c r="U133" i="6"/>
  <c r="T133" i="6"/>
  <c r="S133" i="6"/>
  <c r="U132" i="6"/>
  <c r="T132" i="6"/>
  <c r="S132" i="6"/>
  <c r="M9" i="6"/>
  <c r="D105" i="6" s="1"/>
  <c r="M10" i="6"/>
  <c r="M11" i="6"/>
  <c r="M12" i="6"/>
  <c r="M14" i="6"/>
  <c r="M15" i="6"/>
  <c r="M16" i="6"/>
  <c r="M17" i="6"/>
  <c r="M18" i="6"/>
  <c r="M19" i="6"/>
  <c r="M20" i="6"/>
  <c r="M22" i="6"/>
  <c r="M23" i="6"/>
  <c r="M26" i="6"/>
  <c r="M27" i="6"/>
  <c r="M28" i="6"/>
  <c r="M29" i="6"/>
  <c r="M30" i="6"/>
  <c r="M31" i="6"/>
  <c r="M32" i="6"/>
  <c r="M33" i="6"/>
  <c r="M34" i="6"/>
  <c r="M35" i="6"/>
  <c r="L9" i="6"/>
  <c r="C105" i="6" s="1"/>
  <c r="L10" i="6"/>
  <c r="L11" i="6"/>
  <c r="L12" i="6"/>
  <c r="L14" i="6"/>
  <c r="L15" i="6"/>
  <c r="L16" i="6"/>
  <c r="L17" i="6"/>
  <c r="L18" i="6"/>
  <c r="L19" i="6"/>
  <c r="L20" i="6"/>
  <c r="L22" i="6"/>
  <c r="L23" i="6"/>
  <c r="L26" i="6"/>
  <c r="L27" i="6"/>
  <c r="L28" i="6"/>
  <c r="L29" i="6"/>
  <c r="L30" i="6"/>
  <c r="L31" i="6"/>
  <c r="L32" i="6"/>
  <c r="L33" i="6"/>
  <c r="L34" i="6"/>
  <c r="L35" i="6"/>
  <c r="K9" i="6"/>
  <c r="B105"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B110" i="6" l="1"/>
  <c r="B114" i="6"/>
  <c r="B107" i="6"/>
  <c r="D99" i="38"/>
  <c r="N58" i="38"/>
  <c r="J99" i="38"/>
  <c r="N59" i="38"/>
  <c r="C99" i="38"/>
  <c r="B99" i="38"/>
  <c r="H114" i="6"/>
  <c r="L114" i="6"/>
  <c r="J114" i="6"/>
  <c r="C112" i="6"/>
  <c r="C107" i="6"/>
  <c r="B111" i="6"/>
  <c r="J115" i="6"/>
  <c r="L115" i="6"/>
  <c r="H115" i="6"/>
  <c r="J107" i="6"/>
  <c r="L107" i="6"/>
  <c r="H107" i="6"/>
  <c r="C110" i="6"/>
  <c r="L110" i="6"/>
  <c r="J110" i="6"/>
  <c r="H110" i="6"/>
  <c r="L105" i="6"/>
  <c r="H105" i="6"/>
  <c r="J105" i="6"/>
  <c r="C108" i="6"/>
  <c r="B112" i="6"/>
  <c r="D107" i="6"/>
  <c r="H112" i="6"/>
  <c r="J112" i="6"/>
  <c r="L112" i="6"/>
  <c r="D110" i="6"/>
  <c r="B106" i="6"/>
  <c r="D112" i="6"/>
  <c r="L111" i="6"/>
  <c r="W115" i="6"/>
  <c r="N19" i="6"/>
  <c r="W110" i="6"/>
  <c r="B115" i="6"/>
  <c r="W107" i="6"/>
  <c r="W114" i="6"/>
  <c r="W116" i="6"/>
  <c r="N29" i="6"/>
  <c r="N18" i="6"/>
  <c r="D113" i="6"/>
  <c r="N17" i="6"/>
  <c r="W112" i="6"/>
  <c r="L108" i="6"/>
  <c r="N27" i="6"/>
  <c r="W109" i="6"/>
  <c r="W106" i="6"/>
  <c r="W111" i="6"/>
  <c r="W113" i="6"/>
  <c r="D109" i="6"/>
  <c r="D115" i="6"/>
  <c r="N22" i="6"/>
  <c r="L106" i="6"/>
  <c r="C109" i="6"/>
  <c r="H111" i="6"/>
  <c r="N16" i="6"/>
  <c r="D116" i="6"/>
  <c r="D108" i="6"/>
  <c r="J106" i="6"/>
  <c r="B116" i="6"/>
  <c r="C116" i="6"/>
  <c r="N23" i="6"/>
  <c r="H106" i="6"/>
  <c r="L113" i="6"/>
  <c r="L109" i="6"/>
  <c r="D114" i="6"/>
  <c r="D106" i="6"/>
  <c r="H108" i="6"/>
  <c r="C114" i="6"/>
  <c r="W105" i="6"/>
  <c r="W108" i="6"/>
  <c r="C111" i="6"/>
  <c r="H109" i="6"/>
  <c r="C113" i="6"/>
  <c r="J109" i="6"/>
  <c r="N15" i="6"/>
  <c r="D111" i="6"/>
  <c r="B109" i="6"/>
  <c r="N30" i="6"/>
  <c r="N28" i="6"/>
  <c r="N26" i="6"/>
  <c r="J111" i="6"/>
  <c r="N14" i="6"/>
  <c r="N33" i="6"/>
  <c r="C115" i="6"/>
  <c r="B113" i="6"/>
  <c r="H113" i="6"/>
  <c r="N32" i="6"/>
  <c r="N12" i="6"/>
  <c r="B108" i="6"/>
  <c r="J113" i="6"/>
  <c r="J108" i="6"/>
  <c r="N10" i="6"/>
  <c r="C106" i="6"/>
  <c r="E105" i="6"/>
  <c r="W99" i="38"/>
  <c r="H99" i="38"/>
  <c r="L99" i="38"/>
  <c r="N35" i="6"/>
  <c r="N34" i="6"/>
  <c r="N9" i="6"/>
  <c r="N31" i="6"/>
  <c r="N20" i="6"/>
  <c r="N11" i="6"/>
  <c r="S188" i="25"/>
  <c r="T188" i="25"/>
  <c r="U188" i="25"/>
  <c r="K117" i="25"/>
  <c r="L117" i="25"/>
  <c r="M117" i="25"/>
  <c r="R117" i="25"/>
  <c r="R116" i="25"/>
  <c r="M116" i="25"/>
  <c r="L116" i="25"/>
  <c r="K116" i="25"/>
  <c r="S151" i="26"/>
  <c r="T151" i="26"/>
  <c r="U151" i="26"/>
  <c r="R81" i="26"/>
  <c r="M81" i="26"/>
  <c r="L81" i="26"/>
  <c r="K81" i="26"/>
  <c r="R80" i="26"/>
  <c r="M80" i="26"/>
  <c r="L80" i="26"/>
  <c r="K80" i="26"/>
  <c r="S104" i="37"/>
  <c r="T104" i="37"/>
  <c r="U104" i="37"/>
  <c r="R62" i="37"/>
  <c r="M62" i="37"/>
  <c r="L62" i="37"/>
  <c r="K62" i="37"/>
  <c r="R61" i="37"/>
  <c r="M61" i="37"/>
  <c r="L61" i="37"/>
  <c r="C104" i="37" s="1"/>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58" i="16"/>
  <c r="T158" i="16"/>
  <c r="U158" i="16"/>
  <c r="R87" i="16"/>
  <c r="M87" i="16"/>
  <c r="L87" i="16"/>
  <c r="K87" i="16"/>
  <c r="R86" i="16"/>
  <c r="M86" i="16"/>
  <c r="L86" i="16"/>
  <c r="K86" i="16"/>
  <c r="U129" i="35"/>
  <c r="T129" i="35"/>
  <c r="S129" i="35"/>
  <c r="R87" i="35"/>
  <c r="M87" i="35"/>
  <c r="K87" i="35"/>
  <c r="L87" i="35"/>
  <c r="R86" i="35"/>
  <c r="M86" i="35"/>
  <c r="L86" i="35"/>
  <c r="K86" i="35"/>
  <c r="R85" i="35"/>
  <c r="M85" i="35"/>
  <c r="L85" i="35"/>
  <c r="K85" i="35"/>
  <c r="S189" i="17"/>
  <c r="T189" i="17"/>
  <c r="U189" i="17"/>
  <c r="B189" i="17"/>
  <c r="C189" i="17"/>
  <c r="D189" i="17"/>
  <c r="R119" i="17"/>
  <c r="R118" i="17"/>
  <c r="S193" i="18"/>
  <c r="U193" i="18"/>
  <c r="T193" i="18"/>
  <c r="R121" i="18"/>
  <c r="K121" i="18"/>
  <c r="L121" i="18"/>
  <c r="M121" i="18"/>
  <c r="R120" i="18"/>
  <c r="M120" i="18"/>
  <c r="L120" i="18"/>
  <c r="K120" i="18"/>
  <c r="R119" i="18"/>
  <c r="M119" i="18"/>
  <c r="L119" i="18"/>
  <c r="K119" i="18"/>
  <c r="S195" i="19"/>
  <c r="T195" i="19"/>
  <c r="U195" i="19"/>
  <c r="R122" i="19"/>
  <c r="M122" i="19"/>
  <c r="L122" i="19"/>
  <c r="K122" i="19"/>
  <c r="R121" i="19"/>
  <c r="M121" i="19"/>
  <c r="L121" i="19"/>
  <c r="C195" i="19" s="1"/>
  <c r="K121" i="19"/>
  <c r="U167" i="20"/>
  <c r="S167" i="20"/>
  <c r="T167" i="20"/>
  <c r="R103" i="20"/>
  <c r="R102" i="20"/>
  <c r="K102" i="20"/>
  <c r="L102" i="20"/>
  <c r="K103" i="20"/>
  <c r="N103" i="20" s="1"/>
  <c r="L103" i="20"/>
  <c r="M103" i="20"/>
  <c r="R36" i="6"/>
  <c r="U92" i="33"/>
  <c r="U97" i="33"/>
  <c r="U94" i="33"/>
  <c r="U93" i="33"/>
  <c r="U83" i="33"/>
  <c r="T97" i="33"/>
  <c r="T94" i="33"/>
  <c r="T93" i="33"/>
  <c r="T92" i="33"/>
  <c r="T91" i="33"/>
  <c r="T103" i="29"/>
  <c r="S209" i="10"/>
  <c r="T209" i="10"/>
  <c r="U209" i="10"/>
  <c r="U208" i="10"/>
  <c r="T208" i="10"/>
  <c r="S208" i="10"/>
  <c r="R136" i="10"/>
  <c r="K134" i="10"/>
  <c r="L134" i="10"/>
  <c r="M134" i="10"/>
  <c r="K135" i="10"/>
  <c r="L135" i="10"/>
  <c r="M135" i="10"/>
  <c r="R133" i="10"/>
  <c r="R134" i="10"/>
  <c r="R135" i="10"/>
  <c r="K133" i="10"/>
  <c r="L133" i="10"/>
  <c r="M133" i="10"/>
  <c r="U105" i="28"/>
  <c r="T105" i="28"/>
  <c r="S188" i="24"/>
  <c r="W188" i="24" s="1"/>
  <c r="T188" i="24"/>
  <c r="U188" i="24"/>
  <c r="H188" i="24"/>
  <c r="J188" i="24"/>
  <c r="L188" i="24"/>
  <c r="B188" i="24"/>
  <c r="C188" i="24"/>
  <c r="D188" i="24"/>
  <c r="S190" i="23"/>
  <c r="T190" i="23"/>
  <c r="U190" i="23"/>
  <c r="H190" i="23"/>
  <c r="J190" i="23"/>
  <c r="L190" i="23"/>
  <c r="B190" i="23"/>
  <c r="C190" i="23"/>
  <c r="D190" i="23"/>
  <c r="U202" i="22"/>
  <c r="T202" i="22"/>
  <c r="S202" i="22"/>
  <c r="L202" i="22"/>
  <c r="J202" i="22"/>
  <c r="H202" i="22"/>
  <c r="D202" i="22"/>
  <c r="C202" i="22"/>
  <c r="B202" i="22"/>
  <c r="U187" i="21"/>
  <c r="S187" i="21"/>
  <c r="T187" i="21"/>
  <c r="R117" i="21"/>
  <c r="M117" i="21"/>
  <c r="L117" i="21"/>
  <c r="K117" i="21"/>
  <c r="R116" i="21"/>
  <c r="M116" i="21"/>
  <c r="L116" i="21"/>
  <c r="K116" i="21"/>
  <c r="B187" i="21" s="1"/>
  <c r="S96" i="34"/>
  <c r="T96" i="34"/>
  <c r="U96" i="34"/>
  <c r="R57" i="34"/>
  <c r="R56" i="34"/>
  <c r="H96" i="34" s="1"/>
  <c r="K56" i="34"/>
  <c r="B96" i="34" s="1"/>
  <c r="C96" i="34"/>
  <c r="M56" i="34"/>
  <c r="S97" i="33"/>
  <c r="R57" i="33"/>
  <c r="K57" i="33"/>
  <c r="L57" i="33"/>
  <c r="M57" i="33"/>
  <c r="R55" i="33"/>
  <c r="R56" i="33"/>
  <c r="S94" i="33"/>
  <c r="S93" i="33"/>
  <c r="S92" i="33"/>
  <c r="K56" i="33"/>
  <c r="L56" i="33"/>
  <c r="M56" i="33"/>
  <c r="M55" i="33"/>
  <c r="K55" i="33"/>
  <c r="L55" i="33"/>
  <c r="R54" i="33"/>
  <c r="M54" i="33"/>
  <c r="L54" i="33"/>
  <c r="K54" i="33"/>
  <c r="S204" i="9"/>
  <c r="T204" i="9"/>
  <c r="U204" i="9"/>
  <c r="S203" i="9"/>
  <c r="R133" i="9"/>
  <c r="M133" i="9"/>
  <c r="L133" i="9"/>
  <c r="K133" i="9"/>
  <c r="R132" i="9"/>
  <c r="M132" i="9"/>
  <c r="L132" i="9"/>
  <c r="K132" i="9"/>
  <c r="M136" i="10"/>
  <c r="L136" i="10"/>
  <c r="K136" i="10"/>
  <c r="S194" i="11"/>
  <c r="T194" i="11"/>
  <c r="U194" i="11"/>
  <c r="R121" i="11"/>
  <c r="M121" i="11"/>
  <c r="L121" i="11"/>
  <c r="K121" i="11"/>
  <c r="R120" i="11"/>
  <c r="M120" i="11"/>
  <c r="L120" i="11"/>
  <c r="K120" i="11"/>
  <c r="J190" i="12"/>
  <c r="H190" i="12"/>
  <c r="S190" i="12"/>
  <c r="T190" i="12"/>
  <c r="U190" i="12"/>
  <c r="L190" i="12"/>
  <c r="R118" i="12"/>
  <c r="K118" i="12"/>
  <c r="M118" i="12"/>
  <c r="L118" i="12"/>
  <c r="R117" i="12"/>
  <c r="M117" i="12"/>
  <c r="L117" i="12"/>
  <c r="K117" i="12"/>
  <c r="S98" i="32"/>
  <c r="T98" i="32"/>
  <c r="U98" i="32"/>
  <c r="R58" i="32"/>
  <c r="K58" i="32"/>
  <c r="L58" i="32"/>
  <c r="M58" i="32"/>
  <c r="R57" i="32"/>
  <c r="M57" i="32"/>
  <c r="L57" i="32"/>
  <c r="K57" i="32"/>
  <c r="B98" i="32" s="1"/>
  <c r="S204" i="13"/>
  <c r="T204" i="13"/>
  <c r="U204" i="13"/>
  <c r="R131" i="13"/>
  <c r="R130" i="13"/>
  <c r="M131" i="13"/>
  <c r="L131" i="13"/>
  <c r="K131" i="13"/>
  <c r="M130" i="13"/>
  <c r="L130" i="13"/>
  <c r="K130" i="13"/>
  <c r="U192" i="14"/>
  <c r="S192" i="14"/>
  <c r="T192" i="14"/>
  <c r="R121" i="14"/>
  <c r="R120" i="14"/>
  <c r="M121" i="14"/>
  <c r="L121" i="14"/>
  <c r="K121" i="14"/>
  <c r="M120" i="14"/>
  <c r="L120" i="14"/>
  <c r="K120" i="14"/>
  <c r="C204" i="15"/>
  <c r="T204" i="15"/>
  <c r="S204" i="15"/>
  <c r="R129" i="15"/>
  <c r="R128" i="15"/>
  <c r="M128" i="15"/>
  <c r="K128" i="15"/>
  <c r="R127" i="15"/>
  <c r="M127" i="15"/>
  <c r="K127" i="15"/>
  <c r="U199" i="8"/>
  <c r="S199" i="8"/>
  <c r="T199" i="8"/>
  <c r="K127" i="8"/>
  <c r="L127" i="8"/>
  <c r="M127" i="8"/>
  <c r="R127" i="8"/>
  <c r="R126" i="8"/>
  <c r="M126" i="8"/>
  <c r="L126" i="8"/>
  <c r="K126" i="8"/>
  <c r="R125" i="8"/>
  <c r="K125" i="8"/>
  <c r="L125" i="8"/>
  <c r="M125" i="8"/>
  <c r="R124" i="8"/>
  <c r="M124" i="8"/>
  <c r="L124" i="8"/>
  <c r="K124" i="8"/>
  <c r="N124" i="8" s="1"/>
  <c r="S93" i="31"/>
  <c r="T93" i="31"/>
  <c r="U93" i="31"/>
  <c r="R52" i="31"/>
  <c r="K52" i="31"/>
  <c r="L52" i="31"/>
  <c r="M52" i="31"/>
  <c r="R51" i="31"/>
  <c r="J93" i="31" s="1"/>
  <c r="K51" i="31"/>
  <c r="B93" i="31" s="1"/>
  <c r="L51" i="31"/>
  <c r="M51" i="31"/>
  <c r="S189" i="7"/>
  <c r="T189" i="7"/>
  <c r="U189" i="7"/>
  <c r="R118" i="7"/>
  <c r="R119" i="7"/>
  <c r="M119" i="7"/>
  <c r="K119" i="7"/>
  <c r="M118" i="7"/>
  <c r="K118" i="7"/>
  <c r="L119" i="7"/>
  <c r="L118" i="7"/>
  <c r="R117" i="7"/>
  <c r="M117" i="7"/>
  <c r="L117" i="7"/>
  <c r="K117" i="7"/>
  <c r="U103" i="29"/>
  <c r="R62" i="29"/>
  <c r="M62" i="29"/>
  <c r="K62" i="29"/>
  <c r="L62" i="29"/>
  <c r="R61" i="29"/>
  <c r="K61" i="29"/>
  <c r="L61" i="29"/>
  <c r="C103" i="29" s="1"/>
  <c r="M61" i="29"/>
  <c r="U141" i="6"/>
  <c r="T141" i="6"/>
  <c r="S141" i="6"/>
  <c r="K88" i="6"/>
  <c r="K89" i="6"/>
  <c r="R90" i="6"/>
  <c r="K90" i="6"/>
  <c r="L90" i="6"/>
  <c r="M90" i="6"/>
  <c r="R89" i="6"/>
  <c r="L89" i="6"/>
  <c r="M89" i="6"/>
  <c r="R88" i="6"/>
  <c r="L88" i="6"/>
  <c r="M88" i="6"/>
  <c r="S81" i="30"/>
  <c r="T81" i="30"/>
  <c r="U81" i="30"/>
  <c r="R40" i="30"/>
  <c r="K40" i="30"/>
  <c r="L40" i="30"/>
  <c r="M40" i="30"/>
  <c r="R39" i="30"/>
  <c r="K39" i="30"/>
  <c r="L39" i="30"/>
  <c r="M39" i="30"/>
  <c r="S190" i="5"/>
  <c r="T190" i="5"/>
  <c r="U190" i="5"/>
  <c r="R119" i="5"/>
  <c r="R118" i="5"/>
  <c r="M119" i="5"/>
  <c r="L119" i="5"/>
  <c r="K119" i="5"/>
  <c r="M118" i="5"/>
  <c r="D190" i="5" s="1"/>
  <c r="L118" i="5"/>
  <c r="K118" i="5"/>
  <c r="R64" i="28"/>
  <c r="M63" i="28"/>
  <c r="M64" i="28"/>
  <c r="K63" i="28"/>
  <c r="K64" i="28"/>
  <c r="L64" i="28"/>
  <c r="R63" i="28"/>
  <c r="L63" i="28"/>
  <c r="R62" i="28"/>
  <c r="H105" i="28" s="1"/>
  <c r="M62" i="28"/>
  <c r="D105" i="28" s="1"/>
  <c r="L62" i="28"/>
  <c r="K62" i="28"/>
  <c r="U197" i="3"/>
  <c r="T197" i="3"/>
  <c r="S197" i="3"/>
  <c r="R124" i="3"/>
  <c r="N198" i="3" s="1"/>
  <c r="L124" i="3"/>
  <c r="K124" i="3"/>
  <c r="M124" i="3"/>
  <c r="E198" i="3" s="1"/>
  <c r="R123" i="3"/>
  <c r="K104" i="3"/>
  <c r="K123" i="3"/>
  <c r="L123" i="3"/>
  <c r="M123" i="3"/>
  <c r="K122" i="3"/>
  <c r="R122" i="3"/>
  <c r="L122" i="3"/>
  <c r="M122" i="3"/>
  <c r="H174" i="2"/>
  <c r="H184" i="2"/>
  <c r="J187" i="2"/>
  <c r="L187" i="2"/>
  <c r="S187" i="2"/>
  <c r="T187" i="2"/>
  <c r="U187" i="2"/>
  <c r="H187" i="2"/>
  <c r="R116" i="2"/>
  <c r="R117" i="2"/>
  <c r="K117" i="2"/>
  <c r="L117" i="2"/>
  <c r="M117" i="2"/>
  <c r="K116" i="2"/>
  <c r="L116" i="2"/>
  <c r="M116" i="2"/>
  <c r="S195" i="1"/>
  <c r="U195" i="1"/>
  <c r="T195" i="1"/>
  <c r="R120" i="1"/>
  <c r="R122" i="1"/>
  <c r="J195" i="1" s="1"/>
  <c r="R123" i="1"/>
  <c r="M122" i="1"/>
  <c r="M123" i="1"/>
  <c r="L122" i="1"/>
  <c r="L123" i="1"/>
  <c r="K122" i="1"/>
  <c r="K123" i="1"/>
  <c r="K117" i="1"/>
  <c r="U165" i="20"/>
  <c r="T165" i="20"/>
  <c r="S165" i="20"/>
  <c r="W165" i="20" s="1"/>
  <c r="U164" i="20"/>
  <c r="T164" i="20"/>
  <c r="S164" i="20"/>
  <c r="U163" i="20"/>
  <c r="T163" i="20"/>
  <c r="S163" i="20"/>
  <c r="U162" i="20"/>
  <c r="T162" i="20"/>
  <c r="S162" i="20"/>
  <c r="U160" i="20"/>
  <c r="T160" i="20"/>
  <c r="S160" i="20"/>
  <c r="U153" i="20"/>
  <c r="T153" i="20"/>
  <c r="S153" i="20"/>
  <c r="U142" i="20"/>
  <c r="T142" i="20"/>
  <c r="S142" i="20"/>
  <c r="U141" i="20"/>
  <c r="T141" i="20"/>
  <c r="S141" i="20"/>
  <c r="U139" i="20"/>
  <c r="T139" i="20"/>
  <c r="S139" i="20"/>
  <c r="U138" i="20"/>
  <c r="T138" i="20"/>
  <c r="S138" i="20"/>
  <c r="U136" i="20"/>
  <c r="T136" i="20"/>
  <c r="S136" i="20"/>
  <c r="U135" i="20"/>
  <c r="T135" i="20"/>
  <c r="S135" i="20"/>
  <c r="U133" i="20"/>
  <c r="T133" i="20"/>
  <c r="S133" i="20"/>
  <c r="U132" i="20"/>
  <c r="T132" i="20"/>
  <c r="S132" i="20"/>
  <c r="U131" i="20"/>
  <c r="T131" i="20"/>
  <c r="S131" i="20"/>
  <c r="U130" i="20"/>
  <c r="T130" i="20"/>
  <c r="S130" i="20"/>
  <c r="U128" i="20"/>
  <c r="T128" i="20"/>
  <c r="S128" i="20"/>
  <c r="U127" i="20"/>
  <c r="T127" i="20"/>
  <c r="S127" i="20"/>
  <c r="U126" i="20"/>
  <c r="T126" i="20"/>
  <c r="S126" i="20"/>
  <c r="U125" i="20"/>
  <c r="T125" i="20"/>
  <c r="S125" i="20"/>
  <c r="U123" i="20"/>
  <c r="T123" i="20"/>
  <c r="S123" i="20"/>
  <c r="U122" i="20"/>
  <c r="T122" i="20"/>
  <c r="S122" i="20"/>
  <c r="U121" i="20"/>
  <c r="T121" i="20"/>
  <c r="S121" i="20"/>
  <c r="U120" i="20"/>
  <c r="T120" i="20"/>
  <c r="S120" i="20"/>
  <c r="R101" i="20"/>
  <c r="M101" i="20"/>
  <c r="L101" i="20"/>
  <c r="K101" i="20"/>
  <c r="E101" i="20"/>
  <c r="U166" i="20" s="1"/>
  <c r="R100" i="20"/>
  <c r="M100" i="20"/>
  <c r="L100" i="20"/>
  <c r="K100" i="20"/>
  <c r="R99" i="20"/>
  <c r="M99" i="20"/>
  <c r="L99" i="20"/>
  <c r="K99" i="20"/>
  <c r="R98" i="20"/>
  <c r="H165" i="20" s="1"/>
  <c r="M98" i="20"/>
  <c r="D165" i="20" s="1"/>
  <c r="L98" i="20"/>
  <c r="K98" i="20"/>
  <c r="R97" i="20"/>
  <c r="M97" i="20"/>
  <c r="L97" i="20"/>
  <c r="K97" i="20"/>
  <c r="R96" i="20"/>
  <c r="M96" i="20"/>
  <c r="D164"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58" i="20" s="1"/>
  <c r="R84" i="20"/>
  <c r="M84" i="20"/>
  <c r="L84" i="20"/>
  <c r="K84" i="20"/>
  <c r="R83" i="20"/>
  <c r="M83" i="20"/>
  <c r="L83" i="20"/>
  <c r="K83" i="20"/>
  <c r="E83" i="20"/>
  <c r="R82" i="20"/>
  <c r="M82" i="20"/>
  <c r="L82" i="20"/>
  <c r="K82" i="20"/>
  <c r="R81" i="20"/>
  <c r="M81" i="20"/>
  <c r="L81" i="20"/>
  <c r="K81" i="20"/>
  <c r="E81" i="20"/>
  <c r="S156" i="20" s="1"/>
  <c r="R80" i="20"/>
  <c r="M80" i="20"/>
  <c r="L80" i="20"/>
  <c r="K80" i="20"/>
  <c r="R79" i="20"/>
  <c r="M79" i="20"/>
  <c r="L79" i="20"/>
  <c r="K79" i="20"/>
  <c r="E79" i="20"/>
  <c r="R78" i="20"/>
  <c r="M78" i="20"/>
  <c r="L78" i="20"/>
  <c r="K78" i="20"/>
  <c r="R77" i="20"/>
  <c r="M77" i="20"/>
  <c r="L77" i="20"/>
  <c r="K77" i="20"/>
  <c r="E77" i="20"/>
  <c r="U154" i="20" s="1"/>
  <c r="R76" i="20"/>
  <c r="M76" i="20"/>
  <c r="L76" i="20"/>
  <c r="K76" i="20"/>
  <c r="R75" i="20"/>
  <c r="M75" i="20"/>
  <c r="L75" i="20"/>
  <c r="K75" i="20"/>
  <c r="R74" i="20"/>
  <c r="H153" i="20" s="1"/>
  <c r="M74" i="20"/>
  <c r="L74" i="20"/>
  <c r="K74" i="20"/>
  <c r="R73" i="20"/>
  <c r="M73" i="20"/>
  <c r="L73" i="20"/>
  <c r="K73" i="20"/>
  <c r="E73" i="20"/>
  <c r="U152"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48" i="20" s="1"/>
  <c r="R64" i="20"/>
  <c r="M64" i="20"/>
  <c r="L64" i="20"/>
  <c r="K64" i="20"/>
  <c r="R63" i="20"/>
  <c r="M63" i="20"/>
  <c r="L63" i="20"/>
  <c r="K63" i="20"/>
  <c r="E63" i="20"/>
  <c r="R62" i="20"/>
  <c r="M62" i="20"/>
  <c r="L62" i="20"/>
  <c r="K62" i="20"/>
  <c r="R61" i="20"/>
  <c r="M61" i="20"/>
  <c r="L61" i="20"/>
  <c r="K61" i="20"/>
  <c r="E61" i="20"/>
  <c r="S146" i="20" s="1"/>
  <c r="R60" i="20"/>
  <c r="M60" i="20"/>
  <c r="L60" i="20"/>
  <c r="K60" i="20"/>
  <c r="R59" i="20"/>
  <c r="M59" i="20"/>
  <c r="L59" i="20"/>
  <c r="K59" i="20"/>
  <c r="N59" i="20" s="1"/>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40" i="20" s="1"/>
  <c r="R48" i="20"/>
  <c r="M48" i="20"/>
  <c r="L48" i="20"/>
  <c r="K48" i="20"/>
  <c r="R47" i="20"/>
  <c r="M47" i="20"/>
  <c r="L47" i="20"/>
  <c r="K47" i="20"/>
  <c r="R46" i="20"/>
  <c r="M46" i="20"/>
  <c r="L46" i="20"/>
  <c r="K46" i="20"/>
  <c r="N46" i="20" s="1"/>
  <c r="R45" i="20"/>
  <c r="M45" i="20"/>
  <c r="L45" i="20"/>
  <c r="K45" i="20"/>
  <c r="R44" i="20"/>
  <c r="M44" i="20"/>
  <c r="L44" i="20"/>
  <c r="K44" i="20"/>
  <c r="B138" i="20" s="1"/>
  <c r="R43" i="20"/>
  <c r="M43" i="20"/>
  <c r="L43" i="20"/>
  <c r="K43" i="20"/>
  <c r="E43" i="20"/>
  <c r="S137" i="20" s="1"/>
  <c r="R42" i="20"/>
  <c r="M42" i="20"/>
  <c r="L42" i="20"/>
  <c r="K42" i="20"/>
  <c r="R41" i="20"/>
  <c r="M41" i="20"/>
  <c r="L41" i="20"/>
  <c r="K41" i="20"/>
  <c r="R40" i="20"/>
  <c r="M40" i="20"/>
  <c r="L40" i="20"/>
  <c r="C136" i="20" s="1"/>
  <c r="K40" i="20"/>
  <c r="R39" i="20"/>
  <c r="M39" i="20"/>
  <c r="L39" i="20"/>
  <c r="K39" i="20"/>
  <c r="R38" i="20"/>
  <c r="M38" i="20"/>
  <c r="D135" i="20" s="1"/>
  <c r="L38" i="20"/>
  <c r="K38" i="20"/>
  <c r="B135" i="20" s="1"/>
  <c r="R37" i="20"/>
  <c r="M37" i="20"/>
  <c r="L37" i="20"/>
  <c r="K37" i="20"/>
  <c r="E37" i="20"/>
  <c r="R36" i="20"/>
  <c r="M36" i="20"/>
  <c r="L36" i="20"/>
  <c r="K36" i="20"/>
  <c r="R35" i="20"/>
  <c r="M35" i="20"/>
  <c r="L35" i="20"/>
  <c r="K35" i="20"/>
  <c r="R34" i="20"/>
  <c r="L133" i="20" s="1"/>
  <c r="M34" i="20"/>
  <c r="L34" i="20"/>
  <c r="K34" i="20"/>
  <c r="R33" i="20"/>
  <c r="M33" i="20"/>
  <c r="L33" i="20"/>
  <c r="K33" i="20"/>
  <c r="R32" i="20"/>
  <c r="M32" i="20"/>
  <c r="D132" i="20" s="1"/>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L125" i="20" s="1"/>
  <c r="M18" i="20"/>
  <c r="L18" i="20"/>
  <c r="K18" i="20"/>
  <c r="R17" i="20"/>
  <c r="M17" i="20"/>
  <c r="L17" i="20"/>
  <c r="K17" i="20"/>
  <c r="E17" i="20"/>
  <c r="R16" i="20"/>
  <c r="M16" i="20"/>
  <c r="L16" i="20"/>
  <c r="K16" i="20"/>
  <c r="R15" i="20"/>
  <c r="M15" i="20"/>
  <c r="L15" i="20"/>
  <c r="K15" i="20"/>
  <c r="N15" i="20" s="1"/>
  <c r="R14" i="20"/>
  <c r="M14" i="20"/>
  <c r="L14" i="20"/>
  <c r="K14" i="20"/>
  <c r="R13" i="20"/>
  <c r="M13" i="20"/>
  <c r="L13" i="20"/>
  <c r="K13" i="20"/>
  <c r="R12" i="20"/>
  <c r="M12" i="20"/>
  <c r="L12" i="20"/>
  <c r="K12" i="20"/>
  <c r="R11" i="20"/>
  <c r="M11" i="20"/>
  <c r="L11" i="20"/>
  <c r="K11" i="20"/>
  <c r="N11" i="20" s="1"/>
  <c r="R10" i="20"/>
  <c r="M10" i="20"/>
  <c r="L10" i="20"/>
  <c r="K10" i="20"/>
  <c r="R9" i="20"/>
  <c r="M9" i="20"/>
  <c r="L9" i="20"/>
  <c r="K9" i="20"/>
  <c r="R8" i="20"/>
  <c r="M8" i="20"/>
  <c r="L8" i="20"/>
  <c r="K8" i="20"/>
  <c r="R7" i="20"/>
  <c r="M7" i="20"/>
  <c r="L7" i="20"/>
  <c r="K7" i="20"/>
  <c r="E7" i="20"/>
  <c r="U95" i="34"/>
  <c r="T95" i="34"/>
  <c r="S95" i="34"/>
  <c r="E61" i="28"/>
  <c r="T104" i="28" s="1"/>
  <c r="R61" i="28"/>
  <c r="M61" i="28"/>
  <c r="L61" i="28"/>
  <c r="K61" i="28"/>
  <c r="E56" i="38"/>
  <c r="U98" i="38" s="1"/>
  <c r="R56" i="38"/>
  <c r="R55" i="38"/>
  <c r="K56" i="38"/>
  <c r="L56" i="38"/>
  <c r="M56" i="38"/>
  <c r="K55" i="38"/>
  <c r="L55" i="38"/>
  <c r="M55" i="38"/>
  <c r="E84" i="35"/>
  <c r="T128" i="35" s="1"/>
  <c r="R82" i="35"/>
  <c r="K82" i="35"/>
  <c r="L82" i="35"/>
  <c r="M82" i="35"/>
  <c r="R83" i="35"/>
  <c r="R84" i="35"/>
  <c r="K83" i="35"/>
  <c r="L83" i="35"/>
  <c r="N83" i="35" s="1"/>
  <c r="M83" i="35"/>
  <c r="E56" i="32"/>
  <c r="U97" i="32" s="1"/>
  <c r="R54" i="32"/>
  <c r="K54" i="32"/>
  <c r="L54" i="32"/>
  <c r="M54" i="32"/>
  <c r="E54" i="32"/>
  <c r="U96" i="32" s="1"/>
  <c r="K52" i="32"/>
  <c r="E51" i="32"/>
  <c r="S95" i="32" s="1"/>
  <c r="L60" i="29"/>
  <c r="M60" i="29"/>
  <c r="U139" i="6"/>
  <c r="R86" i="6"/>
  <c r="U202" i="10"/>
  <c r="T202" i="10"/>
  <c r="S202" i="10"/>
  <c r="N207" i="10"/>
  <c r="R132" i="10"/>
  <c r="M132" i="10"/>
  <c r="L132" i="10"/>
  <c r="K132" i="10"/>
  <c r="R54" i="38"/>
  <c r="K53" i="38"/>
  <c r="K54" i="38"/>
  <c r="L54" i="38"/>
  <c r="M54" i="38"/>
  <c r="R53" i="38"/>
  <c r="L53" i="38"/>
  <c r="M53" i="38"/>
  <c r="K52" i="38"/>
  <c r="L52" i="38"/>
  <c r="M52" i="38"/>
  <c r="R52" i="38"/>
  <c r="U103" i="37"/>
  <c r="T103" i="37"/>
  <c r="S103" i="37"/>
  <c r="R59" i="37"/>
  <c r="R60" i="37"/>
  <c r="M60" i="37"/>
  <c r="K60" i="37"/>
  <c r="L60" i="37"/>
  <c r="K59" i="37"/>
  <c r="L59" i="37"/>
  <c r="M59" i="37"/>
  <c r="D103" i="37" s="1"/>
  <c r="E66" i="36"/>
  <c r="S119" i="36" s="1"/>
  <c r="R66" i="36"/>
  <c r="R65" i="36"/>
  <c r="L66" i="36"/>
  <c r="K66" i="36"/>
  <c r="M66" i="36"/>
  <c r="K65" i="36"/>
  <c r="L65" i="36"/>
  <c r="M65" i="36"/>
  <c r="K84" i="35"/>
  <c r="L84" i="35"/>
  <c r="M84" i="35"/>
  <c r="R81" i="35"/>
  <c r="M81" i="35"/>
  <c r="L81" i="35"/>
  <c r="K81" i="35"/>
  <c r="R55" i="34"/>
  <c r="M55" i="34"/>
  <c r="L55" i="34"/>
  <c r="K55" i="34"/>
  <c r="R54" i="34"/>
  <c r="M54" i="34"/>
  <c r="L54" i="34"/>
  <c r="K54" i="34"/>
  <c r="U96" i="33"/>
  <c r="T96" i="33"/>
  <c r="S96" i="33"/>
  <c r="R53" i="33"/>
  <c r="M53" i="33"/>
  <c r="L53" i="33"/>
  <c r="K53" i="33"/>
  <c r="R52" i="33"/>
  <c r="M52" i="33"/>
  <c r="D96" i="33" s="1"/>
  <c r="L52" i="33"/>
  <c r="K52" i="33"/>
  <c r="R55" i="32"/>
  <c r="R56" i="32"/>
  <c r="K56" i="32"/>
  <c r="L56" i="32"/>
  <c r="M56" i="32"/>
  <c r="K55" i="32"/>
  <c r="B97" i="32" s="1"/>
  <c r="L55" i="32"/>
  <c r="M55" i="32"/>
  <c r="U92" i="31"/>
  <c r="T92" i="31"/>
  <c r="S92" i="31"/>
  <c r="R50" i="31"/>
  <c r="M50" i="31"/>
  <c r="L50" i="31"/>
  <c r="K50" i="31"/>
  <c r="R49" i="31"/>
  <c r="M49" i="31"/>
  <c r="L49" i="31"/>
  <c r="C92" i="31" s="1"/>
  <c r="K49" i="31"/>
  <c r="E60" i="29"/>
  <c r="S102" i="29" s="1"/>
  <c r="R58" i="29"/>
  <c r="K58" i="29"/>
  <c r="L58" i="29"/>
  <c r="M58" i="29"/>
  <c r="R60" i="29"/>
  <c r="K60" i="29"/>
  <c r="R59" i="29"/>
  <c r="K59" i="29"/>
  <c r="L59" i="29"/>
  <c r="M59" i="29"/>
  <c r="E57" i="29"/>
  <c r="E87" i="6"/>
  <c r="U140"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189" i="23"/>
  <c r="T189" i="23"/>
  <c r="S189" i="23"/>
  <c r="B189" i="23"/>
  <c r="C189" i="23"/>
  <c r="D189" i="23"/>
  <c r="U187" i="24"/>
  <c r="T187" i="24"/>
  <c r="S187" i="24"/>
  <c r="R115" i="24"/>
  <c r="R114" i="24"/>
  <c r="D187" i="24"/>
  <c r="U187" i="25"/>
  <c r="T187" i="25"/>
  <c r="S187" i="25"/>
  <c r="R114" i="25"/>
  <c r="R115" i="25"/>
  <c r="K115" i="25"/>
  <c r="L115" i="25"/>
  <c r="M115" i="25"/>
  <c r="K114" i="25"/>
  <c r="L114" i="25"/>
  <c r="M114" i="25"/>
  <c r="U150" i="26"/>
  <c r="T150" i="26"/>
  <c r="S150" i="26"/>
  <c r="R79" i="26"/>
  <c r="R78" i="26"/>
  <c r="K79" i="26"/>
  <c r="L79" i="26"/>
  <c r="M79" i="26"/>
  <c r="K78" i="26"/>
  <c r="L78" i="26"/>
  <c r="M78" i="26"/>
  <c r="E85" i="16"/>
  <c r="R83" i="16"/>
  <c r="R84" i="16"/>
  <c r="R85" i="16"/>
  <c r="K83" i="16"/>
  <c r="L83" i="16"/>
  <c r="M83" i="16"/>
  <c r="K84" i="16"/>
  <c r="L84" i="16"/>
  <c r="M84" i="16"/>
  <c r="K85" i="16"/>
  <c r="L85" i="16"/>
  <c r="M85" i="16"/>
  <c r="E117" i="17"/>
  <c r="U188" i="17" s="1"/>
  <c r="R117" i="17"/>
  <c r="R116" i="17"/>
  <c r="S190" i="18"/>
  <c r="U192" i="18"/>
  <c r="T192" i="18"/>
  <c r="S192" i="18"/>
  <c r="R108" i="18"/>
  <c r="R118" i="18"/>
  <c r="R117" i="18"/>
  <c r="K118" i="18"/>
  <c r="L118" i="18"/>
  <c r="M118" i="18"/>
  <c r="K117" i="18"/>
  <c r="L117" i="18"/>
  <c r="C192" i="18" s="1"/>
  <c r="M117" i="18"/>
  <c r="U194" i="19"/>
  <c r="T194" i="19"/>
  <c r="S194" i="19"/>
  <c r="R120" i="19"/>
  <c r="R119" i="19"/>
  <c r="K120" i="19"/>
  <c r="L120" i="19"/>
  <c r="M120" i="19"/>
  <c r="K119" i="19"/>
  <c r="L119" i="19"/>
  <c r="M119" i="19"/>
  <c r="S193" i="19"/>
  <c r="E115" i="21"/>
  <c r="U186" i="21" s="1"/>
  <c r="R115" i="21"/>
  <c r="K115" i="21"/>
  <c r="L115" i="21"/>
  <c r="M115" i="21"/>
  <c r="R114" i="21"/>
  <c r="K114" i="21"/>
  <c r="L114" i="21"/>
  <c r="M114" i="21"/>
  <c r="U203" i="9"/>
  <c r="U199" i="9"/>
  <c r="T203" i="9"/>
  <c r="T199" i="9"/>
  <c r="S199" i="9"/>
  <c r="R130" i="9"/>
  <c r="R131" i="9"/>
  <c r="K131" i="9"/>
  <c r="L131" i="9"/>
  <c r="M131" i="9"/>
  <c r="K130" i="9"/>
  <c r="L130" i="9"/>
  <c r="M130" i="9"/>
  <c r="U193" i="11"/>
  <c r="T193" i="11"/>
  <c r="S193" i="11"/>
  <c r="R119" i="11"/>
  <c r="R118" i="11"/>
  <c r="K119" i="11"/>
  <c r="L119" i="11"/>
  <c r="M119" i="11"/>
  <c r="K118" i="11"/>
  <c r="L118" i="11"/>
  <c r="M118" i="11"/>
  <c r="R116" i="12"/>
  <c r="R115" i="12"/>
  <c r="L116" i="12"/>
  <c r="K116" i="12"/>
  <c r="M116" i="12"/>
  <c r="K115" i="12"/>
  <c r="L115" i="12"/>
  <c r="M115" i="12"/>
  <c r="E112" i="12"/>
  <c r="S187" i="12" s="1"/>
  <c r="E116" i="12"/>
  <c r="T189" i="12" s="1"/>
  <c r="M129" i="13"/>
  <c r="R129" i="13"/>
  <c r="K129" i="13"/>
  <c r="L129" i="13"/>
  <c r="R128" i="13"/>
  <c r="K128" i="13"/>
  <c r="L128" i="13"/>
  <c r="M128" i="13"/>
  <c r="E129" i="13"/>
  <c r="U203" i="13" s="1"/>
  <c r="M119" i="14"/>
  <c r="E119" i="14"/>
  <c r="R119" i="14"/>
  <c r="K119" i="14"/>
  <c r="L119" i="14"/>
  <c r="R118" i="14"/>
  <c r="K118" i="14"/>
  <c r="L118" i="14"/>
  <c r="M118" i="14"/>
  <c r="U203" i="15"/>
  <c r="T203" i="15"/>
  <c r="S203" i="15"/>
  <c r="C203" i="15"/>
  <c r="R125" i="15"/>
  <c r="R126" i="15"/>
  <c r="K126" i="15"/>
  <c r="M126" i="15"/>
  <c r="K125" i="15"/>
  <c r="M125" i="15"/>
  <c r="U198" i="8"/>
  <c r="T198" i="8"/>
  <c r="S198" i="8"/>
  <c r="W198" i="8" s="1"/>
  <c r="R123" i="8"/>
  <c r="R122" i="8"/>
  <c r="K123" i="8"/>
  <c r="L123" i="8"/>
  <c r="M123" i="8"/>
  <c r="K122" i="8"/>
  <c r="L122" i="8"/>
  <c r="M122" i="8"/>
  <c r="K116" i="7"/>
  <c r="L116" i="7"/>
  <c r="M116" i="7"/>
  <c r="R115" i="7"/>
  <c r="R116" i="7"/>
  <c r="K115" i="7"/>
  <c r="L115" i="7"/>
  <c r="M115" i="7"/>
  <c r="E116" i="7"/>
  <c r="S188" i="7" s="1"/>
  <c r="H179" i="2"/>
  <c r="L188" i="12"/>
  <c r="E121" i="1"/>
  <c r="U194" i="1" s="1"/>
  <c r="E115" i="1"/>
  <c r="S192" i="1" s="1"/>
  <c r="S196" i="3"/>
  <c r="U196" i="3"/>
  <c r="T196" i="3"/>
  <c r="E117" i="5"/>
  <c r="S189" i="5" s="1"/>
  <c r="R117" i="5"/>
  <c r="R116" i="5"/>
  <c r="K117" i="5"/>
  <c r="L117" i="5"/>
  <c r="M117" i="5"/>
  <c r="K116" i="5"/>
  <c r="L116" i="5"/>
  <c r="M116" i="5"/>
  <c r="S195" i="3"/>
  <c r="R121" i="3"/>
  <c r="R120" i="3"/>
  <c r="K121" i="3"/>
  <c r="L121" i="3"/>
  <c r="C196" i="3" s="1"/>
  <c r="M121" i="3"/>
  <c r="M120" i="3"/>
  <c r="L120" i="3"/>
  <c r="K120" i="3"/>
  <c r="S202" i="13"/>
  <c r="R58" i="28"/>
  <c r="R59" i="28"/>
  <c r="R60" i="28"/>
  <c r="M60" i="28"/>
  <c r="L60" i="28"/>
  <c r="K59" i="28"/>
  <c r="K60" i="28"/>
  <c r="L59" i="28"/>
  <c r="M59" i="28"/>
  <c r="R57" i="28"/>
  <c r="M57" i="28"/>
  <c r="M58" i="28"/>
  <c r="L57" i="28"/>
  <c r="L58" i="28"/>
  <c r="K57" i="28"/>
  <c r="K58" i="28"/>
  <c r="E115" i="2"/>
  <c r="L186" i="2" s="1"/>
  <c r="R115" i="2"/>
  <c r="K115" i="2"/>
  <c r="L115" i="2"/>
  <c r="M115" i="2"/>
  <c r="R114" i="2"/>
  <c r="K114" i="2"/>
  <c r="L114" i="2"/>
  <c r="M114" i="2"/>
  <c r="U193" i="1"/>
  <c r="T193" i="1"/>
  <c r="S193" i="1"/>
  <c r="U189" i="1"/>
  <c r="T189" i="1"/>
  <c r="S189" i="1"/>
  <c r="U185" i="1"/>
  <c r="T185" i="1"/>
  <c r="S185" i="1"/>
  <c r="U181" i="1"/>
  <c r="T181" i="1"/>
  <c r="S181" i="1"/>
  <c r="U177" i="1"/>
  <c r="T177" i="1"/>
  <c r="S177" i="1"/>
  <c r="U173" i="1"/>
  <c r="T173" i="1"/>
  <c r="S173" i="1"/>
  <c r="U169" i="1"/>
  <c r="T169" i="1"/>
  <c r="S169" i="1"/>
  <c r="U165" i="1"/>
  <c r="T165" i="1"/>
  <c r="S165" i="1"/>
  <c r="U161" i="1"/>
  <c r="T161" i="1"/>
  <c r="S161" i="1"/>
  <c r="U157" i="1"/>
  <c r="T157" i="1"/>
  <c r="S157" i="1"/>
  <c r="U153" i="1"/>
  <c r="T153" i="1"/>
  <c r="S153" i="1"/>
  <c r="U149" i="1"/>
  <c r="T149" i="1"/>
  <c r="S149" i="1"/>
  <c r="U145" i="1"/>
  <c r="T145" i="1"/>
  <c r="S145" i="1"/>
  <c r="U141" i="1"/>
  <c r="T141" i="1"/>
  <c r="S141" i="1"/>
  <c r="M121" i="1"/>
  <c r="K121" i="1"/>
  <c r="L121" i="1"/>
  <c r="R121" i="1"/>
  <c r="K120" i="1"/>
  <c r="L120" i="1"/>
  <c r="M120" i="1"/>
  <c r="R118" i="1"/>
  <c r="R119" i="1"/>
  <c r="M118" i="1"/>
  <c r="M119" i="1"/>
  <c r="L118" i="1"/>
  <c r="L119" i="1"/>
  <c r="K118" i="1"/>
  <c r="K119" i="1"/>
  <c r="T147" i="22"/>
  <c r="U147" i="22"/>
  <c r="S147" i="22"/>
  <c r="S136" i="23"/>
  <c r="T133" i="25"/>
  <c r="U133" i="25"/>
  <c r="S133" i="25"/>
  <c r="T134" i="17"/>
  <c r="U134" i="17"/>
  <c r="S134" i="17"/>
  <c r="S135" i="17"/>
  <c r="T138" i="18"/>
  <c r="U138" i="18"/>
  <c r="S138" i="18"/>
  <c r="T149" i="9"/>
  <c r="U149" i="9"/>
  <c r="S149" i="9"/>
  <c r="S140" i="11"/>
  <c r="S136" i="12"/>
  <c r="T149" i="13"/>
  <c r="U149" i="13"/>
  <c r="S149" i="13"/>
  <c r="S150" i="13"/>
  <c r="T137" i="14"/>
  <c r="U137" i="14"/>
  <c r="S138" i="14"/>
  <c r="S137" i="14"/>
  <c r="S150" i="15"/>
  <c r="S145" i="8"/>
  <c r="T134" i="7"/>
  <c r="U134" i="7"/>
  <c r="S134" i="7"/>
  <c r="S135" i="7"/>
  <c r="U135" i="5"/>
  <c r="T135" i="5"/>
  <c r="S135" i="5"/>
  <c r="S136" i="5"/>
  <c r="T142" i="3"/>
  <c r="U142" i="3"/>
  <c r="S142" i="3"/>
  <c r="S143" i="3"/>
  <c r="S133" i="2"/>
  <c r="T140" i="1"/>
  <c r="U140" i="1"/>
  <c r="S140" i="1"/>
  <c r="R6" i="22"/>
  <c r="M6" i="22"/>
  <c r="L6" i="22"/>
  <c r="K6" i="22"/>
  <c r="R7" i="22"/>
  <c r="M7" i="22"/>
  <c r="L7" i="22"/>
  <c r="K7" i="22"/>
  <c r="E7" i="23"/>
  <c r="R6" i="23"/>
  <c r="M6" i="23"/>
  <c r="L6" i="23"/>
  <c r="K6" i="23"/>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M6" i="18"/>
  <c r="L6" i="18"/>
  <c r="K6" i="18"/>
  <c r="R7" i="18"/>
  <c r="M7" i="18"/>
  <c r="L7" i="18"/>
  <c r="K7" i="18"/>
  <c r="K6" i="19"/>
  <c r="E7" i="19"/>
  <c r="R6" i="19"/>
  <c r="M6" i="19"/>
  <c r="R7" i="19"/>
  <c r="M7" i="19"/>
  <c r="L7" i="19"/>
  <c r="K7" i="19"/>
  <c r="E7" i="21"/>
  <c r="R6" i="21"/>
  <c r="M6" i="21"/>
  <c r="L6" i="21"/>
  <c r="K6" i="21"/>
  <c r="R7" i="21"/>
  <c r="M7" i="21"/>
  <c r="L7" i="21"/>
  <c r="K7" i="21"/>
  <c r="B132" i="21" s="1"/>
  <c r="R6" i="9"/>
  <c r="M6" i="9"/>
  <c r="L6" i="9"/>
  <c r="K6" i="9"/>
  <c r="R7" i="9"/>
  <c r="M7" i="9"/>
  <c r="L7" i="9"/>
  <c r="K7" i="9"/>
  <c r="R6" i="2"/>
  <c r="O6" i="8"/>
  <c r="E7" i="10"/>
  <c r="T154" i="10" s="1"/>
  <c r="R6" i="10"/>
  <c r="M6" i="10"/>
  <c r="L6" i="10"/>
  <c r="K6" i="10"/>
  <c r="R7" i="10"/>
  <c r="M7" i="10"/>
  <c r="L7" i="10"/>
  <c r="K7" i="10"/>
  <c r="E7" i="11"/>
  <c r="R6" i="11"/>
  <c r="M6" i="11"/>
  <c r="L6" i="11"/>
  <c r="K6" i="11"/>
  <c r="R7" i="11"/>
  <c r="M7" i="11"/>
  <c r="L7" i="11"/>
  <c r="K7" i="11"/>
  <c r="E7" i="12"/>
  <c r="R6" i="12"/>
  <c r="M6" i="12"/>
  <c r="L6" i="12"/>
  <c r="K6" i="12"/>
  <c r="R7" i="12"/>
  <c r="M7" i="12"/>
  <c r="L7" i="12"/>
  <c r="K7" i="12"/>
  <c r="R6" i="13"/>
  <c r="M6" i="13"/>
  <c r="L6" i="13"/>
  <c r="K6" i="13"/>
  <c r="R7" i="13"/>
  <c r="M7" i="13"/>
  <c r="L7" i="13"/>
  <c r="K7" i="13"/>
  <c r="R6" i="14"/>
  <c r="M6" i="14"/>
  <c r="L6" i="14"/>
  <c r="K6" i="14"/>
  <c r="R7" i="14"/>
  <c r="J137" i="14" s="1"/>
  <c r="M7" i="14"/>
  <c r="L7" i="14"/>
  <c r="K7" i="14"/>
  <c r="E7" i="15"/>
  <c r="T149" i="15" s="1"/>
  <c r="R6" i="15"/>
  <c r="M6" i="15"/>
  <c r="L6" i="15"/>
  <c r="K6" i="15"/>
  <c r="R7" i="15"/>
  <c r="M7" i="15"/>
  <c r="L7" i="15"/>
  <c r="K7" i="15"/>
  <c r="E7" i="8"/>
  <c r="U144" i="8" s="1"/>
  <c r="R6" i="8"/>
  <c r="M6" i="8"/>
  <c r="L6" i="8"/>
  <c r="K6" i="8"/>
  <c r="R6" i="7"/>
  <c r="M6" i="7"/>
  <c r="L6" i="7"/>
  <c r="K6" i="7"/>
  <c r="R6" i="5"/>
  <c r="M6" i="5"/>
  <c r="L6" i="5"/>
  <c r="K6" i="5"/>
  <c r="R6" i="3"/>
  <c r="M6" i="3"/>
  <c r="L6" i="3"/>
  <c r="K6" i="3"/>
  <c r="R6" i="1"/>
  <c r="M6" i="1"/>
  <c r="L6" i="1"/>
  <c r="K6" i="1"/>
  <c r="M6" i="2"/>
  <c r="L6" i="2"/>
  <c r="K6" i="2"/>
  <c r="K7" i="2"/>
  <c r="E7" i="2"/>
  <c r="T132" i="2" s="1"/>
  <c r="R7" i="8"/>
  <c r="M7" i="8"/>
  <c r="L7" i="8"/>
  <c r="K7" i="8"/>
  <c r="R7" i="7"/>
  <c r="M7" i="7"/>
  <c r="D134" i="7" s="1"/>
  <c r="L7" i="7"/>
  <c r="K7" i="7"/>
  <c r="R7" i="5"/>
  <c r="M7" i="5"/>
  <c r="L7" i="5"/>
  <c r="K7" i="5"/>
  <c r="R7" i="3"/>
  <c r="M7" i="3"/>
  <c r="L7" i="3"/>
  <c r="K7" i="3"/>
  <c r="R7" i="2"/>
  <c r="M7" i="2"/>
  <c r="L7" i="2"/>
  <c r="R7" i="1"/>
  <c r="M7" i="1"/>
  <c r="L7" i="1"/>
  <c r="K7" i="1"/>
  <c r="P65" i="7"/>
  <c r="R65" i="7" s="1"/>
  <c r="P64" i="7"/>
  <c r="T162" i="7" s="1"/>
  <c r="T157" i="13"/>
  <c r="U157" i="13"/>
  <c r="S157" i="13"/>
  <c r="K11" i="1"/>
  <c r="T164" i="13"/>
  <c r="U164" i="13"/>
  <c r="S164" i="13"/>
  <c r="N123" i="16"/>
  <c r="R25" i="38"/>
  <c r="M25" i="38"/>
  <c r="L25" i="38"/>
  <c r="K25" i="38"/>
  <c r="T81" i="37"/>
  <c r="U81" i="37"/>
  <c r="S81" i="37"/>
  <c r="T80" i="37"/>
  <c r="U80" i="37"/>
  <c r="S80" i="37"/>
  <c r="R44" i="37"/>
  <c r="M44" i="37"/>
  <c r="L44" i="37"/>
  <c r="K44" i="37"/>
  <c r="T88" i="37"/>
  <c r="U88" i="37"/>
  <c r="S88" i="37"/>
  <c r="R25" i="37"/>
  <c r="M25" i="37"/>
  <c r="L25" i="37"/>
  <c r="K25" i="37"/>
  <c r="R26" i="37"/>
  <c r="M26" i="37"/>
  <c r="L26" i="37"/>
  <c r="K26" i="37"/>
  <c r="M8" i="37"/>
  <c r="L8" i="37"/>
  <c r="K8" i="37"/>
  <c r="B81" i="37" s="1"/>
  <c r="M7" i="37"/>
  <c r="D80" i="37" s="1"/>
  <c r="L7" i="37"/>
  <c r="C80" i="37" s="1"/>
  <c r="K7" i="37"/>
  <c r="B80" i="37" s="1"/>
  <c r="M10" i="37"/>
  <c r="M9" i="37"/>
  <c r="L10" i="37"/>
  <c r="L9" i="37"/>
  <c r="L11" i="37"/>
  <c r="C82" i="37" s="1"/>
  <c r="R7" i="37"/>
  <c r="J80" i="37" s="1"/>
  <c r="R8" i="37"/>
  <c r="T96" i="36"/>
  <c r="U96" i="36"/>
  <c r="S96" i="36"/>
  <c r="T113" i="36"/>
  <c r="U113" i="36"/>
  <c r="S113" i="36"/>
  <c r="R47" i="36"/>
  <c r="M47" i="36"/>
  <c r="L47" i="36"/>
  <c r="K47" i="36"/>
  <c r="R46" i="36"/>
  <c r="M46" i="36"/>
  <c r="L46" i="36"/>
  <c r="K46" i="36"/>
  <c r="R45" i="36"/>
  <c r="M45" i="36"/>
  <c r="L45" i="36"/>
  <c r="K45" i="36"/>
  <c r="T124" i="35"/>
  <c r="U124" i="35"/>
  <c r="S124" i="35"/>
  <c r="T122" i="35"/>
  <c r="U122" i="35"/>
  <c r="S122" i="35"/>
  <c r="T121" i="35"/>
  <c r="U121" i="35"/>
  <c r="S121" i="35"/>
  <c r="T119" i="35"/>
  <c r="U119" i="35"/>
  <c r="S119" i="35"/>
  <c r="T118" i="35"/>
  <c r="U118" i="35"/>
  <c r="S118" i="35"/>
  <c r="T115" i="35"/>
  <c r="U115" i="35"/>
  <c r="S115" i="35"/>
  <c r="T112" i="35"/>
  <c r="U112" i="35"/>
  <c r="S112" i="35"/>
  <c r="T106" i="35"/>
  <c r="U106" i="35"/>
  <c r="S106" i="35"/>
  <c r="R60" i="35"/>
  <c r="M60" i="35"/>
  <c r="L60" i="35"/>
  <c r="K60" i="35"/>
  <c r="R42" i="35"/>
  <c r="M42" i="35"/>
  <c r="L42" i="35"/>
  <c r="K42" i="35"/>
  <c r="R30" i="35"/>
  <c r="M30" i="35"/>
  <c r="L30" i="35"/>
  <c r="K30" i="35"/>
  <c r="U114" i="35"/>
  <c r="T114" i="35"/>
  <c r="S114" i="35"/>
  <c r="U111" i="35"/>
  <c r="T111" i="35"/>
  <c r="S111" i="35"/>
  <c r="W111" i="35" s="1"/>
  <c r="R20" i="35"/>
  <c r="M20" i="35"/>
  <c r="L20" i="35"/>
  <c r="K20" i="35"/>
  <c r="L12" i="35"/>
  <c r="M12" i="35"/>
  <c r="T81" i="34"/>
  <c r="U81" i="34"/>
  <c r="S81" i="34"/>
  <c r="R45" i="34"/>
  <c r="R46" i="34"/>
  <c r="R47" i="34"/>
  <c r="R48" i="34"/>
  <c r="R49" i="34"/>
  <c r="H92" i="34" s="1"/>
  <c r="R50" i="34"/>
  <c r="K26" i="34"/>
  <c r="L26" i="34"/>
  <c r="M26" i="34"/>
  <c r="K25" i="34"/>
  <c r="L25" i="34"/>
  <c r="M25" i="34"/>
  <c r="K24" i="34"/>
  <c r="L24" i="34"/>
  <c r="M24" i="34"/>
  <c r="K23" i="34"/>
  <c r="L23" i="34"/>
  <c r="M23" i="34"/>
  <c r="L22" i="34"/>
  <c r="K22" i="34"/>
  <c r="M22" i="34"/>
  <c r="T76" i="33"/>
  <c r="U76" i="33"/>
  <c r="T77" i="33"/>
  <c r="U77" i="33"/>
  <c r="T78" i="33"/>
  <c r="U78" i="33"/>
  <c r="T79" i="33"/>
  <c r="U79" i="33"/>
  <c r="T80" i="33"/>
  <c r="U80" i="33"/>
  <c r="T81" i="33"/>
  <c r="U81" i="33"/>
  <c r="T82" i="33"/>
  <c r="U82" i="33"/>
  <c r="T83" i="33"/>
  <c r="T84" i="33"/>
  <c r="U84" i="33"/>
  <c r="T85" i="33"/>
  <c r="U85" i="33"/>
  <c r="T86" i="33"/>
  <c r="U86" i="33"/>
  <c r="T87" i="33"/>
  <c r="U87" i="33"/>
  <c r="T88" i="33"/>
  <c r="U88" i="33"/>
  <c r="T89" i="33"/>
  <c r="U89" i="33"/>
  <c r="T90" i="33"/>
  <c r="U90" i="33"/>
  <c r="U91" i="33"/>
  <c r="T95" i="33"/>
  <c r="U95" i="33"/>
  <c r="S95" i="33"/>
  <c r="S91" i="33"/>
  <c r="S90" i="33"/>
  <c r="S89" i="33"/>
  <c r="S88" i="33"/>
  <c r="S87" i="33"/>
  <c r="S86" i="33"/>
  <c r="S85" i="33"/>
  <c r="S84" i="33"/>
  <c r="S83" i="33"/>
  <c r="S82" i="33"/>
  <c r="S81" i="33"/>
  <c r="S80" i="33"/>
  <c r="S79" i="33"/>
  <c r="S78" i="33"/>
  <c r="S77" i="33"/>
  <c r="S76"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74" i="32"/>
  <c r="U74" i="32"/>
  <c r="S74" i="32"/>
  <c r="T75" i="32"/>
  <c r="U75" i="32"/>
  <c r="T76" i="32"/>
  <c r="U76" i="32"/>
  <c r="T77" i="32"/>
  <c r="U77" i="32"/>
  <c r="T78" i="32"/>
  <c r="U78" i="32"/>
  <c r="T79" i="32"/>
  <c r="U79" i="32"/>
  <c r="T80" i="32"/>
  <c r="U80" i="32"/>
  <c r="T81" i="32"/>
  <c r="U81" i="32"/>
  <c r="T82" i="32"/>
  <c r="U82" i="32"/>
  <c r="T83" i="32"/>
  <c r="U83" i="32"/>
  <c r="T84" i="32"/>
  <c r="U84" i="32"/>
  <c r="T85" i="32"/>
  <c r="U85" i="32"/>
  <c r="T86" i="32"/>
  <c r="U86" i="32"/>
  <c r="T87" i="32"/>
  <c r="U87" i="32"/>
  <c r="T88" i="32"/>
  <c r="U88" i="32"/>
  <c r="T89" i="32"/>
  <c r="U89" i="32"/>
  <c r="T90" i="32"/>
  <c r="U90" i="32"/>
  <c r="T91" i="32"/>
  <c r="U91" i="32"/>
  <c r="T92" i="32"/>
  <c r="U92" i="32"/>
  <c r="T93" i="32"/>
  <c r="U93" i="32"/>
  <c r="T94" i="32"/>
  <c r="U94" i="32"/>
  <c r="T95" i="32"/>
  <c r="U95" i="32"/>
  <c r="S94" i="32"/>
  <c r="S93" i="32"/>
  <c r="S92" i="32"/>
  <c r="S91" i="32"/>
  <c r="S90" i="32"/>
  <c r="W90" i="32" s="1"/>
  <c r="S89" i="32"/>
  <c r="S88" i="32"/>
  <c r="S87" i="32"/>
  <c r="S86" i="32"/>
  <c r="S85" i="32"/>
  <c r="S84" i="32"/>
  <c r="S83" i="32"/>
  <c r="S82" i="32"/>
  <c r="W82" i="32" s="1"/>
  <c r="S81" i="32"/>
  <c r="S80" i="32"/>
  <c r="S79" i="32"/>
  <c r="S78" i="32"/>
  <c r="S77" i="32"/>
  <c r="S76" i="32"/>
  <c r="S75" i="32"/>
  <c r="L42" i="32"/>
  <c r="R7" i="32"/>
  <c r="M7" i="32"/>
  <c r="L7" i="32"/>
  <c r="K7" i="32"/>
  <c r="T71" i="31"/>
  <c r="U71" i="31"/>
  <c r="T72" i="31"/>
  <c r="U72" i="31"/>
  <c r="T73" i="31"/>
  <c r="U73" i="31"/>
  <c r="T74" i="31"/>
  <c r="U74" i="31"/>
  <c r="T75" i="31"/>
  <c r="U75" i="31"/>
  <c r="T76" i="31"/>
  <c r="U76" i="31"/>
  <c r="T77" i="31"/>
  <c r="U77" i="31"/>
  <c r="T78" i="31"/>
  <c r="U78" i="31"/>
  <c r="T79" i="31"/>
  <c r="U79" i="31"/>
  <c r="T80" i="31"/>
  <c r="U80" i="31"/>
  <c r="T81" i="31"/>
  <c r="U81" i="31"/>
  <c r="T82" i="31"/>
  <c r="U82" i="31"/>
  <c r="T83" i="31"/>
  <c r="U83" i="31"/>
  <c r="T84" i="31"/>
  <c r="U84" i="31"/>
  <c r="T85" i="31"/>
  <c r="U85" i="31"/>
  <c r="T86" i="31"/>
  <c r="U86" i="31"/>
  <c r="T87" i="31"/>
  <c r="U87" i="31"/>
  <c r="T88" i="31"/>
  <c r="U88" i="31"/>
  <c r="T89" i="31"/>
  <c r="U89" i="31"/>
  <c r="T90" i="31"/>
  <c r="U90" i="31"/>
  <c r="T91" i="31"/>
  <c r="W91" i="31" s="1"/>
  <c r="U91" i="31"/>
  <c r="S91" i="31"/>
  <c r="S90" i="31"/>
  <c r="S89" i="31"/>
  <c r="S88" i="31"/>
  <c r="S87" i="31"/>
  <c r="S86" i="31"/>
  <c r="S85" i="31"/>
  <c r="S84" i="31"/>
  <c r="S83" i="31"/>
  <c r="S82" i="31"/>
  <c r="S81" i="31"/>
  <c r="S80" i="31"/>
  <c r="S79" i="31"/>
  <c r="S78" i="31"/>
  <c r="S77" i="31"/>
  <c r="S76" i="31"/>
  <c r="S75" i="31"/>
  <c r="S74" i="31"/>
  <c r="S73" i="31"/>
  <c r="S72" i="31"/>
  <c r="S71" i="31"/>
  <c r="R12" i="31"/>
  <c r="R13" i="31"/>
  <c r="R14" i="31"/>
  <c r="R15" i="31"/>
  <c r="R16" i="31"/>
  <c r="R17" i="31"/>
  <c r="L76" i="31" s="1"/>
  <c r="R18" i="31"/>
  <c r="R19" i="31"/>
  <c r="J77" i="31" s="1"/>
  <c r="R20" i="31"/>
  <c r="R21" i="31"/>
  <c r="R22" i="31"/>
  <c r="R23" i="31"/>
  <c r="L79" i="31" s="1"/>
  <c r="R24" i="31"/>
  <c r="R25" i="31"/>
  <c r="J80" i="31" s="1"/>
  <c r="R26" i="31"/>
  <c r="R27" i="31"/>
  <c r="R28" i="31"/>
  <c r="R29" i="31"/>
  <c r="R8" i="31"/>
  <c r="R9" i="31"/>
  <c r="R10" i="31"/>
  <c r="R11" i="31"/>
  <c r="R7" i="31"/>
  <c r="J71" i="31"/>
  <c r="T81" i="28"/>
  <c r="U81" i="28"/>
  <c r="S81" i="28"/>
  <c r="T79" i="29"/>
  <c r="U79" i="29"/>
  <c r="S79" i="29"/>
  <c r="T80" i="29"/>
  <c r="U80" i="29"/>
  <c r="T81" i="29"/>
  <c r="U81" i="29"/>
  <c r="T82" i="29"/>
  <c r="U82" i="29"/>
  <c r="T83" i="29"/>
  <c r="U83" i="29"/>
  <c r="T84" i="29"/>
  <c r="U84" i="29"/>
  <c r="T85" i="29"/>
  <c r="U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T99" i="29"/>
  <c r="U99" i="29"/>
  <c r="T100" i="29"/>
  <c r="U100" i="29"/>
  <c r="S101" i="29"/>
  <c r="S100" i="29"/>
  <c r="W100" i="29" s="1"/>
  <c r="S99" i="29"/>
  <c r="S98" i="29"/>
  <c r="S97" i="29"/>
  <c r="S96" i="29"/>
  <c r="S95" i="29"/>
  <c r="S94" i="29"/>
  <c r="S93" i="29"/>
  <c r="S92" i="29"/>
  <c r="W92" i="29" s="1"/>
  <c r="S91" i="29"/>
  <c r="S90" i="29"/>
  <c r="S89" i="29"/>
  <c r="S88" i="29"/>
  <c r="S87" i="29"/>
  <c r="S86" i="29"/>
  <c r="S85" i="29"/>
  <c r="W85" i="29"/>
  <c r="S84" i="29"/>
  <c r="W84" i="29" s="1"/>
  <c r="S83" i="29"/>
  <c r="S82" i="29"/>
  <c r="S81" i="29"/>
  <c r="S80" i="29"/>
  <c r="R54" i="29"/>
  <c r="M54" i="29"/>
  <c r="L54" i="29"/>
  <c r="K54" i="29"/>
  <c r="R41" i="29"/>
  <c r="M41" i="29"/>
  <c r="L41" i="29"/>
  <c r="K41" i="29"/>
  <c r="R40" i="29"/>
  <c r="M40" i="29"/>
  <c r="L40" i="29"/>
  <c r="K40" i="29"/>
  <c r="R35" i="29"/>
  <c r="M35" i="29"/>
  <c r="L35" i="29"/>
  <c r="K35" i="29"/>
  <c r="R26" i="29"/>
  <c r="M26" i="29"/>
  <c r="L26" i="29"/>
  <c r="K26" i="29"/>
  <c r="K7" i="29"/>
  <c r="B79" i="29" s="1"/>
  <c r="L7" i="29"/>
  <c r="C79" i="29" s="1"/>
  <c r="M7" i="29"/>
  <c r="D79" i="29" s="1"/>
  <c r="K8" i="29"/>
  <c r="L8" i="29"/>
  <c r="N8" i="29" s="1"/>
  <c r="M8" i="29"/>
  <c r="K9" i="29"/>
  <c r="L9" i="29"/>
  <c r="M9" i="29"/>
  <c r="K10" i="29"/>
  <c r="L10" i="29"/>
  <c r="M10" i="29"/>
  <c r="K11" i="29"/>
  <c r="L11" i="29"/>
  <c r="M11" i="29"/>
  <c r="K12" i="29"/>
  <c r="L12" i="29"/>
  <c r="N12" i="29" s="1"/>
  <c r="M12" i="29"/>
  <c r="K13" i="29"/>
  <c r="L13" i="29"/>
  <c r="M13" i="29"/>
  <c r="D82" i="29" s="1"/>
  <c r="K14" i="29"/>
  <c r="L14" i="29"/>
  <c r="M14" i="29"/>
  <c r="K15" i="29"/>
  <c r="L15" i="29"/>
  <c r="M15" i="29"/>
  <c r="K16" i="29"/>
  <c r="L16" i="29"/>
  <c r="M16" i="29"/>
  <c r="K17" i="29"/>
  <c r="B84" i="29" s="1"/>
  <c r="L17" i="29"/>
  <c r="M17" i="29"/>
  <c r="K18" i="29"/>
  <c r="L18" i="29"/>
  <c r="M18" i="29"/>
  <c r="K19" i="29"/>
  <c r="L19" i="29"/>
  <c r="M19" i="29"/>
  <c r="D85" i="29" s="1"/>
  <c r="K20" i="29"/>
  <c r="L20" i="29"/>
  <c r="M20" i="29"/>
  <c r="K21" i="29"/>
  <c r="L21" i="29"/>
  <c r="M21" i="29"/>
  <c r="K22" i="29"/>
  <c r="L22" i="29"/>
  <c r="M22" i="29"/>
  <c r="K23" i="29"/>
  <c r="L23" i="29"/>
  <c r="M23" i="29"/>
  <c r="K24" i="29"/>
  <c r="L24" i="29"/>
  <c r="M24" i="29"/>
  <c r="K25" i="29"/>
  <c r="L25" i="29"/>
  <c r="M25" i="29"/>
  <c r="K27" i="29"/>
  <c r="L27" i="29"/>
  <c r="M27" i="29"/>
  <c r="K28" i="29"/>
  <c r="L28" i="29"/>
  <c r="C89" i="29"/>
  <c r="M28" i="29"/>
  <c r="K29" i="29"/>
  <c r="L29" i="29"/>
  <c r="M29" i="29"/>
  <c r="K30" i="29"/>
  <c r="L30" i="29"/>
  <c r="M30" i="29"/>
  <c r="K31" i="29"/>
  <c r="L31" i="29"/>
  <c r="M31" i="29"/>
  <c r="K32" i="29"/>
  <c r="L32" i="29"/>
  <c r="M32" i="29"/>
  <c r="K33" i="29"/>
  <c r="L33" i="29"/>
  <c r="M33" i="29"/>
  <c r="D91" i="29" s="1"/>
  <c r="K34" i="29"/>
  <c r="L34" i="29"/>
  <c r="M34" i="29"/>
  <c r="K36" i="29"/>
  <c r="L36" i="29"/>
  <c r="M36" i="29"/>
  <c r="K37" i="29"/>
  <c r="L37" i="29"/>
  <c r="M37" i="29"/>
  <c r="R23" i="29"/>
  <c r="E12" i="35"/>
  <c r="M25" i="36"/>
  <c r="L20" i="36"/>
  <c r="L21" i="36"/>
  <c r="C103" i="36" s="1"/>
  <c r="L22" i="36"/>
  <c r="L23" i="36"/>
  <c r="L24" i="36"/>
  <c r="L25" i="36"/>
  <c r="L26" i="36"/>
  <c r="L27" i="36"/>
  <c r="L28" i="36"/>
  <c r="L29" i="36"/>
  <c r="L30" i="36"/>
  <c r="L31" i="36"/>
  <c r="L32" i="36"/>
  <c r="L33" i="36"/>
  <c r="L34" i="36"/>
  <c r="L35" i="36"/>
  <c r="C109" i="36" s="1"/>
  <c r="L36" i="36"/>
  <c r="K19" i="36"/>
  <c r="K20" i="36"/>
  <c r="K21" i="36"/>
  <c r="K22" i="36"/>
  <c r="K23" i="36"/>
  <c r="K24" i="36"/>
  <c r="K25" i="36"/>
  <c r="K26" i="36"/>
  <c r="K27" i="36"/>
  <c r="K28" i="36"/>
  <c r="K29" i="36"/>
  <c r="K30" i="36"/>
  <c r="K31" i="36"/>
  <c r="K32" i="36"/>
  <c r="K33" i="36"/>
  <c r="K34" i="36"/>
  <c r="K35" i="36"/>
  <c r="K36" i="36"/>
  <c r="M20" i="36"/>
  <c r="T82" i="37"/>
  <c r="U82" i="37"/>
  <c r="S82" i="37"/>
  <c r="K10" i="37"/>
  <c r="K9" i="37"/>
  <c r="R9" i="37"/>
  <c r="T78" i="38"/>
  <c r="U78" i="38"/>
  <c r="S78" i="38"/>
  <c r="R49" i="35"/>
  <c r="R50" i="35"/>
  <c r="R51" i="35"/>
  <c r="R52" i="35"/>
  <c r="R51" i="33"/>
  <c r="M51" i="33"/>
  <c r="L51" i="33"/>
  <c r="K51" i="33"/>
  <c r="R50" i="33"/>
  <c r="H95" i="33" s="1"/>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H89" i="33" s="1"/>
  <c r="M36" i="33"/>
  <c r="L36" i="33"/>
  <c r="K36" i="33"/>
  <c r="R35" i="33"/>
  <c r="M35" i="33"/>
  <c r="L35" i="33"/>
  <c r="K35" i="33"/>
  <c r="R34" i="33"/>
  <c r="L88" i="33" s="1"/>
  <c r="M34" i="33"/>
  <c r="L34" i="33"/>
  <c r="K34" i="33"/>
  <c r="R33" i="33"/>
  <c r="M33" i="33"/>
  <c r="L33" i="33"/>
  <c r="K33" i="33"/>
  <c r="R32" i="33"/>
  <c r="M32" i="33"/>
  <c r="L32" i="33"/>
  <c r="K32" i="33"/>
  <c r="R31" i="33"/>
  <c r="M31" i="33"/>
  <c r="L31" i="33"/>
  <c r="K31" i="33"/>
  <c r="R30" i="33"/>
  <c r="M30" i="33"/>
  <c r="L30" i="33"/>
  <c r="K30" i="33"/>
  <c r="R29" i="33"/>
  <c r="M29" i="33"/>
  <c r="D86" i="33" s="1"/>
  <c r="L29" i="33"/>
  <c r="K29" i="33"/>
  <c r="R28" i="33"/>
  <c r="M28" i="33"/>
  <c r="L28" i="33"/>
  <c r="K28" i="33"/>
  <c r="R27" i="33"/>
  <c r="R26" i="33"/>
  <c r="R25" i="33"/>
  <c r="R24" i="33"/>
  <c r="R23" i="33"/>
  <c r="R18" i="33"/>
  <c r="R17" i="33"/>
  <c r="R15" i="33"/>
  <c r="M15" i="33"/>
  <c r="L15" i="33"/>
  <c r="K15" i="33"/>
  <c r="R14" i="33"/>
  <c r="M14" i="33"/>
  <c r="L14" i="33"/>
  <c r="K14" i="33"/>
  <c r="R13" i="33"/>
  <c r="M13" i="33"/>
  <c r="L13" i="33"/>
  <c r="K13" i="33"/>
  <c r="R12" i="33"/>
  <c r="M12" i="33"/>
  <c r="L12" i="33"/>
  <c r="K12" i="33"/>
  <c r="R11" i="33"/>
  <c r="M11" i="33"/>
  <c r="L11" i="33"/>
  <c r="K11" i="33"/>
  <c r="R10" i="33"/>
  <c r="M10" i="33"/>
  <c r="L10" i="33"/>
  <c r="K10" i="33"/>
  <c r="R9" i="33"/>
  <c r="M9" i="33"/>
  <c r="L9" i="33"/>
  <c r="K9" i="33"/>
  <c r="R8" i="33"/>
  <c r="M8" i="33"/>
  <c r="L8" i="33"/>
  <c r="K8" i="33"/>
  <c r="R7" i="33"/>
  <c r="H76" i="33" s="1"/>
  <c r="M7" i="33"/>
  <c r="D76" i="33" s="1"/>
  <c r="L7" i="33"/>
  <c r="C76" i="33" s="1"/>
  <c r="K7" i="33"/>
  <c r="B76" i="33" s="1"/>
  <c r="T119" i="6"/>
  <c r="U119" i="6"/>
  <c r="T123" i="6"/>
  <c r="U123" i="6"/>
  <c r="T127" i="6"/>
  <c r="U127" i="6"/>
  <c r="T131" i="6"/>
  <c r="U131" i="6"/>
  <c r="T135" i="6"/>
  <c r="U135" i="6"/>
  <c r="T136" i="6"/>
  <c r="U136" i="6"/>
  <c r="T138" i="6"/>
  <c r="U138" i="6"/>
  <c r="T139" i="6"/>
  <c r="S139" i="6"/>
  <c r="S138" i="6"/>
  <c r="S136" i="6"/>
  <c r="S135" i="6"/>
  <c r="W132" i="6"/>
  <c r="S131" i="6"/>
  <c r="S127" i="6"/>
  <c r="S123" i="6"/>
  <c r="S119"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76" i="34"/>
  <c r="U76" i="34"/>
  <c r="T77" i="34"/>
  <c r="U77" i="34"/>
  <c r="T79" i="34"/>
  <c r="U79" i="34"/>
  <c r="T80" i="34"/>
  <c r="U80" i="34"/>
  <c r="T84" i="34"/>
  <c r="U84" i="34"/>
  <c r="T87" i="34"/>
  <c r="U87" i="34"/>
  <c r="T89" i="34"/>
  <c r="U89" i="34"/>
  <c r="T92" i="34"/>
  <c r="U92" i="34"/>
  <c r="S93" i="34"/>
  <c r="S92" i="34"/>
  <c r="S89" i="34"/>
  <c r="S87" i="34"/>
  <c r="S84" i="34"/>
  <c r="S80" i="34"/>
  <c r="S79" i="34"/>
  <c r="S77" i="34"/>
  <c r="S76" i="34"/>
  <c r="E53" i="34"/>
  <c r="T94" i="34" s="1"/>
  <c r="U93" i="34"/>
  <c r="E47" i="34"/>
  <c r="U91" i="34" s="1"/>
  <c r="E45" i="34"/>
  <c r="T90" i="34" s="1"/>
  <c r="E39" i="34"/>
  <c r="T88" i="34" s="1"/>
  <c r="E34" i="34"/>
  <c r="E31" i="34"/>
  <c r="S85" i="34" s="1"/>
  <c r="E27" i="34"/>
  <c r="U83" i="34" s="1"/>
  <c r="E25" i="34"/>
  <c r="T82" i="34" s="1"/>
  <c r="E16" i="34"/>
  <c r="E7" i="34"/>
  <c r="U74" i="34" s="1"/>
  <c r="E9" i="34"/>
  <c r="R16" i="34"/>
  <c r="R17" i="34"/>
  <c r="R18" i="34"/>
  <c r="R19" i="34"/>
  <c r="R20" i="34"/>
  <c r="R21" i="34"/>
  <c r="R22" i="34"/>
  <c r="R23" i="34"/>
  <c r="R24" i="34"/>
  <c r="L82" i="34" s="1"/>
  <c r="R25" i="34"/>
  <c r="K16" i="34"/>
  <c r="L16" i="34"/>
  <c r="M16" i="34"/>
  <c r="T71" i="30"/>
  <c r="U71" i="30"/>
  <c r="T73" i="30"/>
  <c r="U73" i="30"/>
  <c r="U74" i="30"/>
  <c r="T79" i="30"/>
  <c r="U79" i="30"/>
  <c r="S79" i="30"/>
  <c r="S74" i="30"/>
  <c r="S73" i="30"/>
  <c r="S71" i="30"/>
  <c r="E34" i="30"/>
  <c r="S78" i="30" s="1"/>
  <c r="E32" i="30"/>
  <c r="S77" i="30" s="1"/>
  <c r="E28" i="30"/>
  <c r="U76" i="30" s="1"/>
  <c r="E26" i="30"/>
  <c r="U75" i="30" s="1"/>
  <c r="E19" i="30"/>
  <c r="S72" i="30" s="1"/>
  <c r="E15" i="30"/>
  <c r="T70" i="30" s="1"/>
  <c r="E12" i="30"/>
  <c r="S69" i="30"/>
  <c r="U69" i="30"/>
  <c r="E10" i="30"/>
  <c r="T68" i="30" s="1"/>
  <c r="E7" i="30"/>
  <c r="T67" i="30" s="1"/>
  <c r="K8" i="35"/>
  <c r="K10" i="35"/>
  <c r="L10" i="35" s="1"/>
  <c r="M10" i="35" s="1"/>
  <c r="K11" i="35"/>
  <c r="L11" i="35" s="1"/>
  <c r="K12" i="35"/>
  <c r="K7" i="35"/>
  <c r="B106" i="35" s="1"/>
  <c r="T109" i="35"/>
  <c r="U109" i="35"/>
  <c r="T117" i="35"/>
  <c r="U117" i="35"/>
  <c r="T123" i="35"/>
  <c r="U123" i="35"/>
  <c r="T125" i="35"/>
  <c r="U125" i="35"/>
  <c r="T127" i="35"/>
  <c r="U127" i="35"/>
  <c r="S127" i="35"/>
  <c r="S125" i="35"/>
  <c r="S123" i="35"/>
  <c r="S117" i="35"/>
  <c r="S109" i="35"/>
  <c r="E10" i="35"/>
  <c r="S107" i="35" s="1"/>
  <c r="E78" i="35"/>
  <c r="T126" i="35"/>
  <c r="E53" i="35"/>
  <c r="T120" i="35" s="1"/>
  <c r="E35" i="35"/>
  <c r="S116" i="35" s="1"/>
  <c r="E25" i="35"/>
  <c r="S113" i="35" s="1"/>
  <c r="E16" i="35"/>
  <c r="T110" i="35" s="1"/>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L59" i="35"/>
  <c r="L61" i="35"/>
  <c r="L62" i="35"/>
  <c r="L63" i="35"/>
  <c r="L64" i="35"/>
  <c r="L65" i="35"/>
  <c r="L66" i="35"/>
  <c r="L67" i="35"/>
  <c r="L68" i="35"/>
  <c r="L69" i="35"/>
  <c r="L70" i="35"/>
  <c r="L71" i="35"/>
  <c r="L72" i="35"/>
  <c r="L73" i="35"/>
  <c r="L74" i="35"/>
  <c r="L75" i="35"/>
  <c r="L76" i="35"/>
  <c r="L77" i="35"/>
  <c r="L78" i="35"/>
  <c r="L79" i="35"/>
  <c r="L80" i="35"/>
  <c r="K47" i="35"/>
  <c r="K48" i="35"/>
  <c r="K49" i="35"/>
  <c r="K50" i="35"/>
  <c r="K51" i="35"/>
  <c r="N51" i="35" s="1"/>
  <c r="K52" i="35"/>
  <c r="K53" i="35"/>
  <c r="K54" i="35"/>
  <c r="K55" i="35"/>
  <c r="K56" i="35"/>
  <c r="K57" i="35"/>
  <c r="K58" i="35"/>
  <c r="K59" i="35"/>
  <c r="N59" i="35" s="1"/>
  <c r="K61" i="35"/>
  <c r="K62" i="35"/>
  <c r="K63" i="35"/>
  <c r="K64" i="35"/>
  <c r="K65" i="35"/>
  <c r="K66" i="35"/>
  <c r="K67" i="35"/>
  <c r="K68" i="35"/>
  <c r="K69" i="35"/>
  <c r="K70" i="35"/>
  <c r="K71" i="35"/>
  <c r="K72" i="35"/>
  <c r="K73" i="35"/>
  <c r="K74" i="35"/>
  <c r="K75" i="35"/>
  <c r="K76" i="35"/>
  <c r="B126" i="35" s="1"/>
  <c r="K77" i="35"/>
  <c r="K78" i="35"/>
  <c r="K79" i="35"/>
  <c r="N79" i="35" s="1"/>
  <c r="K80" i="35"/>
  <c r="R63" i="35"/>
  <c r="R64" i="35"/>
  <c r="R65" i="35"/>
  <c r="R66" i="35"/>
  <c r="R67" i="35"/>
  <c r="R68" i="35"/>
  <c r="R69" i="35"/>
  <c r="R70" i="35"/>
  <c r="R71" i="35"/>
  <c r="R72" i="35"/>
  <c r="R73" i="35"/>
  <c r="R74" i="35"/>
  <c r="J125" i="35" s="1"/>
  <c r="R75" i="35"/>
  <c r="R76" i="35"/>
  <c r="R77" i="35"/>
  <c r="R78" i="35"/>
  <c r="R79" i="35"/>
  <c r="R80" i="35"/>
  <c r="R47" i="35"/>
  <c r="R48" i="35"/>
  <c r="R53" i="35"/>
  <c r="R54" i="35"/>
  <c r="R55" i="35"/>
  <c r="R56" i="35"/>
  <c r="R57" i="35"/>
  <c r="R58" i="35"/>
  <c r="R59" i="35"/>
  <c r="R61" i="35"/>
  <c r="L122" i="35" s="1"/>
  <c r="R62" i="35"/>
  <c r="R12" i="35"/>
  <c r="R13" i="35"/>
  <c r="R14" i="35"/>
  <c r="R15" i="35"/>
  <c r="H110" i="35" s="1"/>
  <c r="R16" i="35"/>
  <c r="R17" i="35"/>
  <c r="R18" i="35"/>
  <c r="R19" i="35"/>
  <c r="R21" i="35"/>
  <c r="R22" i="35"/>
  <c r="R23" i="35"/>
  <c r="R24" i="35"/>
  <c r="R25" i="35"/>
  <c r="R26" i="35"/>
  <c r="R27" i="35"/>
  <c r="R28" i="35"/>
  <c r="R29" i="35"/>
  <c r="R31" i="35"/>
  <c r="R32" i="35"/>
  <c r="R33" i="35"/>
  <c r="R34" i="35"/>
  <c r="R35" i="35"/>
  <c r="R36" i="35"/>
  <c r="R37" i="35"/>
  <c r="R38" i="35"/>
  <c r="R39" i="35"/>
  <c r="R40" i="35"/>
  <c r="R41" i="35"/>
  <c r="R43" i="35"/>
  <c r="R44" i="35"/>
  <c r="R45" i="35"/>
  <c r="R46" i="35"/>
  <c r="R10" i="35"/>
  <c r="N85" i="28"/>
  <c r="N84" i="28"/>
  <c r="U99" i="28"/>
  <c r="T99" i="28"/>
  <c r="S99" i="28"/>
  <c r="U95" i="28"/>
  <c r="T95" i="28"/>
  <c r="S95" i="28"/>
  <c r="U91" i="28"/>
  <c r="T91" i="28"/>
  <c r="S91" i="28"/>
  <c r="U87" i="28"/>
  <c r="T87" i="28"/>
  <c r="S87" i="28"/>
  <c r="U83" i="28"/>
  <c r="T83" i="28"/>
  <c r="S83" i="28"/>
  <c r="T82" i="28"/>
  <c r="U82" i="28"/>
  <c r="T84" i="28"/>
  <c r="U84" i="28"/>
  <c r="T85" i="28"/>
  <c r="U85" i="28"/>
  <c r="T86" i="28"/>
  <c r="U86" i="28"/>
  <c r="T88" i="28"/>
  <c r="U88" i="28"/>
  <c r="T89" i="28"/>
  <c r="U89" i="28"/>
  <c r="T90" i="28"/>
  <c r="U90" i="28"/>
  <c r="T92" i="28"/>
  <c r="U92" i="28"/>
  <c r="T94" i="28"/>
  <c r="U94" i="28"/>
  <c r="T97" i="28"/>
  <c r="U97" i="28"/>
  <c r="T98" i="28"/>
  <c r="U98" i="28"/>
  <c r="T101" i="28"/>
  <c r="U101" i="28"/>
  <c r="T102" i="28"/>
  <c r="U102" i="28"/>
  <c r="T103" i="28"/>
  <c r="U103" i="28"/>
  <c r="S103" i="28"/>
  <c r="S102" i="28"/>
  <c r="S101" i="28"/>
  <c r="S98" i="28"/>
  <c r="S97" i="28"/>
  <c r="S94" i="28"/>
  <c r="S92" i="28"/>
  <c r="S90" i="28"/>
  <c r="S89" i="28"/>
  <c r="S88" i="28"/>
  <c r="S86" i="28"/>
  <c r="S85" i="28"/>
  <c r="S84" i="28"/>
  <c r="S82" i="28"/>
  <c r="R7" i="28"/>
  <c r="M7" i="28"/>
  <c r="L7" i="28"/>
  <c r="K7" i="28"/>
  <c r="R22" i="28"/>
  <c r="M22" i="28"/>
  <c r="L22" i="28"/>
  <c r="K22" i="28"/>
  <c r="M49" i="35"/>
  <c r="M48" i="35"/>
  <c r="N48" i="35" s="1"/>
  <c r="M46" i="35"/>
  <c r="L46" i="35"/>
  <c r="K46" i="35"/>
  <c r="M40" i="35"/>
  <c r="M41" i="35"/>
  <c r="M43" i="35"/>
  <c r="M44" i="35"/>
  <c r="M45" i="35"/>
  <c r="M47" i="35"/>
  <c r="L40" i="35"/>
  <c r="L41" i="35"/>
  <c r="L43" i="35"/>
  <c r="L44" i="35"/>
  <c r="L45" i="35"/>
  <c r="L47" i="35"/>
  <c r="K38" i="35"/>
  <c r="K39" i="35"/>
  <c r="K40" i="35"/>
  <c r="K41" i="35"/>
  <c r="K43" i="35"/>
  <c r="N43" i="35" s="1"/>
  <c r="K44" i="35"/>
  <c r="K45" i="35"/>
  <c r="K34" i="35"/>
  <c r="L34" i="35"/>
  <c r="M34" i="35"/>
  <c r="K33" i="35"/>
  <c r="L33" i="35"/>
  <c r="M33" i="35"/>
  <c r="K24" i="35"/>
  <c r="L24" i="35"/>
  <c r="M24" i="35"/>
  <c r="M25" i="35"/>
  <c r="M26" i="35"/>
  <c r="M27" i="35"/>
  <c r="M28" i="35"/>
  <c r="M29" i="35"/>
  <c r="M31" i="35"/>
  <c r="M32" i="35"/>
  <c r="M35" i="35"/>
  <c r="M36" i="35"/>
  <c r="M37" i="35"/>
  <c r="M38" i="35"/>
  <c r="M39" i="35"/>
  <c r="L22" i="35"/>
  <c r="L23" i="35"/>
  <c r="L25" i="35"/>
  <c r="L26" i="35"/>
  <c r="L27" i="35"/>
  <c r="C114" i="35" s="1"/>
  <c r="L28" i="35"/>
  <c r="L29" i="35"/>
  <c r="L31" i="35"/>
  <c r="L32" i="35"/>
  <c r="L35" i="35"/>
  <c r="L36" i="35"/>
  <c r="L37" i="35"/>
  <c r="L38" i="35"/>
  <c r="L39" i="35"/>
  <c r="K22" i="35"/>
  <c r="K23" i="35"/>
  <c r="K25" i="35"/>
  <c r="K26" i="35"/>
  <c r="K27" i="35"/>
  <c r="K28" i="35"/>
  <c r="K29" i="35"/>
  <c r="N29" i="35" s="1"/>
  <c r="K31" i="35"/>
  <c r="K32" i="35"/>
  <c r="K19" i="35"/>
  <c r="L19" i="35"/>
  <c r="M19" i="35"/>
  <c r="T99" i="36"/>
  <c r="U99" i="36"/>
  <c r="T103" i="36"/>
  <c r="U103" i="36"/>
  <c r="T107" i="36"/>
  <c r="U107" i="36"/>
  <c r="T108" i="36"/>
  <c r="U108" i="36"/>
  <c r="T109" i="36"/>
  <c r="U109" i="36"/>
  <c r="S109" i="36"/>
  <c r="S108" i="36"/>
  <c r="S107" i="36"/>
  <c r="S103" i="36"/>
  <c r="S99" i="36"/>
  <c r="E64" i="36"/>
  <c r="U118" i="36" s="1"/>
  <c r="E59" i="36"/>
  <c r="T117" i="36" s="1"/>
  <c r="E55" i="36"/>
  <c r="T116" i="36" s="1"/>
  <c r="E52" i="36"/>
  <c r="S115" i="36" s="1"/>
  <c r="E49" i="36"/>
  <c r="E43" i="36"/>
  <c r="S112" i="36" s="1"/>
  <c r="E39" i="36"/>
  <c r="T111" i="36" s="1"/>
  <c r="E37" i="36"/>
  <c r="T110" i="36" s="1"/>
  <c r="E29" i="36"/>
  <c r="T106" i="36" s="1"/>
  <c r="E27" i="36"/>
  <c r="T105" i="36" s="1"/>
  <c r="E25" i="36"/>
  <c r="U104" i="36" s="1"/>
  <c r="E20" i="36"/>
  <c r="T102" i="36" s="1"/>
  <c r="E17" i="36"/>
  <c r="T101" i="36" s="1"/>
  <c r="E15" i="36"/>
  <c r="U100" i="36" s="1"/>
  <c r="E11" i="36"/>
  <c r="T98" i="36" s="1"/>
  <c r="E9" i="36"/>
  <c r="U97" i="36" s="1"/>
  <c r="K64" i="36"/>
  <c r="R24" i="36"/>
  <c r="R25" i="36"/>
  <c r="R20" i="36"/>
  <c r="R21" i="36"/>
  <c r="R22" i="36"/>
  <c r="M14" i="37"/>
  <c r="M15" i="37"/>
  <c r="L14" i="37"/>
  <c r="L15" i="37"/>
  <c r="M18" i="37"/>
  <c r="L18" i="37"/>
  <c r="K18" i="37"/>
  <c r="N18" i="37" s="1"/>
  <c r="K15" i="37"/>
  <c r="K14" i="37"/>
  <c r="T85" i="37"/>
  <c r="U85" i="37"/>
  <c r="T86" i="37"/>
  <c r="U86" i="37"/>
  <c r="T87" i="37"/>
  <c r="U87" i="37"/>
  <c r="T89" i="37"/>
  <c r="U89" i="37"/>
  <c r="T90" i="37"/>
  <c r="U90" i="37"/>
  <c r="T91" i="37"/>
  <c r="U91" i="37"/>
  <c r="T93" i="37"/>
  <c r="U93" i="37"/>
  <c r="T94" i="37"/>
  <c r="U94" i="37"/>
  <c r="T95" i="37"/>
  <c r="U95" i="37"/>
  <c r="T97" i="37"/>
  <c r="U97" i="37"/>
  <c r="T98" i="37"/>
  <c r="U98" i="37"/>
  <c r="S98" i="37"/>
  <c r="S97" i="37"/>
  <c r="S95" i="37"/>
  <c r="S94" i="37"/>
  <c r="W94" i="37" s="1"/>
  <c r="S93" i="37"/>
  <c r="S91" i="37"/>
  <c r="S90" i="37"/>
  <c r="S89" i="37"/>
  <c r="W89" i="37" s="1"/>
  <c r="S87" i="37"/>
  <c r="S86" i="37"/>
  <c r="S85" i="37"/>
  <c r="E58" i="37"/>
  <c r="T102" i="37" s="1"/>
  <c r="E56" i="37"/>
  <c r="T101" i="37" s="1"/>
  <c r="E54" i="37"/>
  <c r="T100" i="37" s="1"/>
  <c r="E52" i="37"/>
  <c r="U99" i="37" s="1"/>
  <c r="E36" i="37"/>
  <c r="T92" i="37" s="1"/>
  <c r="E18" i="37"/>
  <c r="T84" i="37" s="1"/>
  <c r="E15" i="37"/>
  <c r="U83" i="37" s="1"/>
  <c r="R17" i="37"/>
  <c r="R18" i="37"/>
  <c r="J84" i="37" s="1"/>
  <c r="R19" i="37"/>
  <c r="R15" i="37"/>
  <c r="R14" i="37"/>
  <c r="M21" i="38"/>
  <c r="M22" i="38"/>
  <c r="L21" i="38"/>
  <c r="L22" i="38"/>
  <c r="K21" i="38"/>
  <c r="K22" i="38"/>
  <c r="E22" i="38"/>
  <c r="T85" i="38" s="1"/>
  <c r="E41" i="38"/>
  <c r="S93" i="38" s="1"/>
  <c r="T80" i="38"/>
  <c r="U80" i="38"/>
  <c r="T83" i="38"/>
  <c r="U83" i="38"/>
  <c r="T84" i="38"/>
  <c r="U84" i="38"/>
  <c r="T86" i="38"/>
  <c r="U86" i="38"/>
  <c r="T88" i="38"/>
  <c r="U88" i="38"/>
  <c r="T92" i="38"/>
  <c r="U92" i="38"/>
  <c r="T94" i="38"/>
  <c r="U94" i="38"/>
  <c r="T95" i="38"/>
  <c r="U95" i="38"/>
  <c r="S95" i="38"/>
  <c r="S94" i="38"/>
  <c r="S92" i="38"/>
  <c r="S88" i="38"/>
  <c r="S86" i="38"/>
  <c r="S84" i="38"/>
  <c r="S83" i="38"/>
  <c r="S80" i="38"/>
  <c r="E51" i="38"/>
  <c r="U97" i="38" s="1"/>
  <c r="E49" i="38"/>
  <c r="U96" i="38"/>
  <c r="E37" i="38"/>
  <c r="U91" i="38" s="1"/>
  <c r="E32" i="38"/>
  <c r="T89" i="38" s="1"/>
  <c r="E34" i="38"/>
  <c r="S90" i="38" s="1"/>
  <c r="E15" i="38"/>
  <c r="T82" i="38" s="1"/>
  <c r="E13" i="38"/>
  <c r="S81" i="38" s="1"/>
  <c r="E9" i="38"/>
  <c r="S79" i="38" s="1"/>
  <c r="R8" i="38"/>
  <c r="R9" i="38"/>
  <c r="R10" i="38"/>
  <c r="R11" i="38"/>
  <c r="R12" i="38"/>
  <c r="R13" i="38"/>
  <c r="H81" i="38" s="1"/>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J78" i="38" s="1"/>
  <c r="K32" i="38"/>
  <c r="L32" i="38"/>
  <c r="M32" i="38"/>
  <c r="T202" i="9"/>
  <c r="U202" i="9"/>
  <c r="S202" i="9"/>
  <c r="T194" i="22"/>
  <c r="U194" i="22"/>
  <c r="S194" i="22"/>
  <c r="T185" i="22"/>
  <c r="U185" i="22"/>
  <c r="S185" i="22"/>
  <c r="T162" i="22"/>
  <c r="U162" i="22"/>
  <c r="S162" i="22"/>
  <c r="T156" i="22"/>
  <c r="U156" i="22"/>
  <c r="S156" i="22"/>
  <c r="T154" i="22"/>
  <c r="U154" i="22"/>
  <c r="S154" i="22"/>
  <c r="R111" i="22"/>
  <c r="M111" i="22"/>
  <c r="L111" i="22"/>
  <c r="K111" i="22"/>
  <c r="R30" i="22"/>
  <c r="M30" i="22"/>
  <c r="L30" i="22"/>
  <c r="K30" i="22"/>
  <c r="R24" i="22"/>
  <c r="M24" i="22"/>
  <c r="L24" i="22"/>
  <c r="K24" i="22"/>
  <c r="R8" i="22"/>
  <c r="R10" i="22"/>
  <c r="R11" i="22"/>
  <c r="R12" i="22"/>
  <c r="R13" i="22"/>
  <c r="R14" i="22"/>
  <c r="R15" i="22"/>
  <c r="R16" i="22"/>
  <c r="R17" i="22"/>
  <c r="R18" i="22"/>
  <c r="R19" i="22"/>
  <c r="R20" i="22"/>
  <c r="R21" i="22"/>
  <c r="R22" i="22"/>
  <c r="R23" i="22"/>
  <c r="J154" i="22" s="1"/>
  <c r="R25" i="22"/>
  <c r="R26" i="22"/>
  <c r="R27" i="22"/>
  <c r="R28" i="22"/>
  <c r="R29" i="22"/>
  <c r="R31" i="22"/>
  <c r="R32" i="22"/>
  <c r="R33" i="22"/>
  <c r="R34" i="22"/>
  <c r="R35" i="22"/>
  <c r="H158" i="22" s="1"/>
  <c r="R36" i="22"/>
  <c r="R37" i="22"/>
  <c r="R38" i="22"/>
  <c r="R39" i="22"/>
  <c r="J160" i="22" s="1"/>
  <c r="R40" i="22"/>
  <c r="R41" i="22"/>
  <c r="R42" i="22"/>
  <c r="R43" i="22"/>
  <c r="L162" i="22" s="1"/>
  <c r="R44" i="22"/>
  <c r="R45" i="22"/>
  <c r="R46" i="22"/>
  <c r="R47" i="22"/>
  <c r="R48" i="22"/>
  <c r="R49" i="22"/>
  <c r="R50" i="22"/>
  <c r="R51" i="22"/>
  <c r="R52" i="22"/>
  <c r="R53" i="22"/>
  <c r="R54" i="22"/>
  <c r="R55" i="22"/>
  <c r="R56" i="22"/>
  <c r="R57" i="22"/>
  <c r="R58" i="22"/>
  <c r="R59" i="22"/>
  <c r="J168" i="22" s="1"/>
  <c r="R60" i="22"/>
  <c r="R61" i="22"/>
  <c r="R62" i="22"/>
  <c r="R63" i="22"/>
  <c r="R64" i="22"/>
  <c r="R65" i="22"/>
  <c r="R66" i="22"/>
  <c r="R67" i="22"/>
  <c r="H172" i="22" s="1"/>
  <c r="R68" i="22"/>
  <c r="R69" i="22"/>
  <c r="R70" i="22"/>
  <c r="R71" i="22"/>
  <c r="R72" i="22"/>
  <c r="R73" i="22"/>
  <c r="R74" i="22"/>
  <c r="R75" i="22"/>
  <c r="J176" i="22" s="1"/>
  <c r="R76" i="22"/>
  <c r="R77" i="22"/>
  <c r="R78" i="22"/>
  <c r="R79" i="22"/>
  <c r="R80" i="22"/>
  <c r="R81" i="22"/>
  <c r="R82" i="22"/>
  <c r="R83" i="22"/>
  <c r="L180" i="22" s="1"/>
  <c r="R84" i="22"/>
  <c r="R85" i="22"/>
  <c r="R86" i="22"/>
  <c r="R87" i="22"/>
  <c r="R88" i="22"/>
  <c r="R89" i="22"/>
  <c r="R90" i="22"/>
  <c r="R91" i="22"/>
  <c r="R92" i="22"/>
  <c r="R93" i="22"/>
  <c r="R94" i="22"/>
  <c r="R95" i="22"/>
  <c r="R96" i="22"/>
  <c r="R97" i="22"/>
  <c r="R98" i="22"/>
  <c r="R99" i="22"/>
  <c r="R100" i="22"/>
  <c r="R101" i="22"/>
  <c r="R102" i="22"/>
  <c r="R103" i="22"/>
  <c r="R104" i="22"/>
  <c r="R105" i="22"/>
  <c r="R106" i="22"/>
  <c r="R107" i="22"/>
  <c r="R108" i="22"/>
  <c r="R109" i="22"/>
  <c r="R110" i="22"/>
  <c r="R112" i="22"/>
  <c r="R113" i="22"/>
  <c r="R114" i="22"/>
  <c r="R115" i="22"/>
  <c r="R116" i="22"/>
  <c r="R117" i="22"/>
  <c r="R118" i="22"/>
  <c r="R119" i="22"/>
  <c r="R120" i="22"/>
  <c r="R121" i="22"/>
  <c r="R122" i="22"/>
  <c r="R123" i="22"/>
  <c r="R124" i="22"/>
  <c r="R9" i="22"/>
  <c r="M44" i="22"/>
  <c r="L44" i="22"/>
  <c r="K44" i="22"/>
  <c r="K101" i="5"/>
  <c r="L101" i="5"/>
  <c r="M101" i="5"/>
  <c r="N101" i="5" s="1"/>
  <c r="K102" i="5"/>
  <c r="L102" i="5"/>
  <c r="M102" i="5"/>
  <c r="T190" i="9"/>
  <c r="U190" i="9"/>
  <c r="S190" i="9"/>
  <c r="M95" i="9"/>
  <c r="L95" i="9"/>
  <c r="K95" i="9"/>
  <c r="E122" i="10"/>
  <c r="S204" i="10" s="1"/>
  <c r="R58" i="10"/>
  <c r="R78" i="11"/>
  <c r="R97" i="19"/>
  <c r="K97" i="19"/>
  <c r="L97" i="19"/>
  <c r="M97" i="19"/>
  <c r="E97" i="19"/>
  <c r="T156" i="10"/>
  <c r="U156" i="10"/>
  <c r="T160" i="10"/>
  <c r="U160" i="10"/>
  <c r="T162" i="10"/>
  <c r="U162" i="10"/>
  <c r="T166" i="10"/>
  <c r="U166" i="10"/>
  <c r="T168" i="10"/>
  <c r="U168" i="10"/>
  <c r="T170" i="10"/>
  <c r="U170" i="10"/>
  <c r="T172" i="10"/>
  <c r="U172" i="10"/>
  <c r="T179" i="10"/>
  <c r="U179" i="10"/>
  <c r="T180" i="10"/>
  <c r="U180" i="10"/>
  <c r="S180" i="10"/>
  <c r="S179" i="10"/>
  <c r="S172" i="10"/>
  <c r="S170" i="10"/>
  <c r="S168" i="10"/>
  <c r="S166" i="10"/>
  <c r="S162" i="10"/>
  <c r="S160" i="10"/>
  <c r="S156" i="10"/>
  <c r="R29" i="13"/>
  <c r="M29" i="13"/>
  <c r="L29" i="13"/>
  <c r="K29" i="13"/>
  <c r="T150" i="13"/>
  <c r="U150" i="13"/>
  <c r="T151" i="13"/>
  <c r="U151" i="13"/>
  <c r="T152" i="13"/>
  <c r="U152" i="13"/>
  <c r="T153" i="13"/>
  <c r="U153" i="13"/>
  <c r="T154" i="13"/>
  <c r="U154" i="13"/>
  <c r="W154" i="13" s="1"/>
  <c r="T155" i="13"/>
  <c r="U155" i="13"/>
  <c r="T156" i="13"/>
  <c r="U156" i="13"/>
  <c r="S156" i="13"/>
  <c r="S155" i="13"/>
  <c r="W155" i="13" s="1"/>
  <c r="S154" i="13"/>
  <c r="S153" i="13"/>
  <c r="S152" i="13"/>
  <c r="S151" i="13"/>
  <c r="R28" i="13"/>
  <c r="K28" i="13"/>
  <c r="L28" i="13"/>
  <c r="M28" i="13"/>
  <c r="R11" i="13"/>
  <c r="R12" i="13"/>
  <c r="R13" i="13"/>
  <c r="R14" i="13"/>
  <c r="H152" i="13" s="1"/>
  <c r="R15" i="13"/>
  <c r="R16" i="13"/>
  <c r="R17" i="13"/>
  <c r="R18" i="13"/>
  <c r="R19" i="13"/>
  <c r="R20" i="13"/>
  <c r="R21" i="13"/>
  <c r="L154" i="13"/>
  <c r="R22" i="13"/>
  <c r="R23" i="13"/>
  <c r="R24" i="13"/>
  <c r="R25" i="13"/>
  <c r="R26" i="13"/>
  <c r="L156" i="13" s="1"/>
  <c r="R27" i="13"/>
  <c r="R9" i="13"/>
  <c r="R10" i="13"/>
  <c r="R8" i="13"/>
  <c r="K11" i="13"/>
  <c r="L11" i="13"/>
  <c r="M11" i="13"/>
  <c r="K12" i="13"/>
  <c r="L12" i="13"/>
  <c r="M12" i="13"/>
  <c r="K13" i="13"/>
  <c r="L13" i="13"/>
  <c r="M13" i="13"/>
  <c r="K14" i="13"/>
  <c r="L14" i="13"/>
  <c r="M14" i="13"/>
  <c r="K15" i="13"/>
  <c r="L15" i="13"/>
  <c r="M15" i="13"/>
  <c r="K16" i="13"/>
  <c r="L16" i="13"/>
  <c r="M16" i="13"/>
  <c r="K17" i="13"/>
  <c r="L17" i="13"/>
  <c r="M17" i="13"/>
  <c r="K18" i="13"/>
  <c r="L18" i="13"/>
  <c r="M18" i="13"/>
  <c r="K19" i="13"/>
  <c r="L19" i="13"/>
  <c r="M19" i="13"/>
  <c r="K20" i="13"/>
  <c r="L20" i="13"/>
  <c r="M20" i="13"/>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65" i="13"/>
  <c r="R44" i="13"/>
  <c r="R114" i="10"/>
  <c r="R112" i="10"/>
  <c r="K114" i="10"/>
  <c r="L114" i="10"/>
  <c r="M114" i="10"/>
  <c r="K112" i="10"/>
  <c r="L112" i="10"/>
  <c r="M112" i="10"/>
  <c r="E115" i="10"/>
  <c r="U201" i="10" s="1"/>
  <c r="E99" i="18"/>
  <c r="S183" i="18" s="1"/>
  <c r="E83" i="18"/>
  <c r="K44" i="13"/>
  <c r="L44" i="13"/>
  <c r="M44" i="13"/>
  <c r="K45" i="13"/>
  <c r="B164" i="13" s="1"/>
  <c r="L45" i="13"/>
  <c r="M45" i="13"/>
  <c r="K46" i="13"/>
  <c r="L46" i="13"/>
  <c r="M46" i="13"/>
  <c r="K47" i="13"/>
  <c r="L47" i="13"/>
  <c r="M47" i="13"/>
  <c r="D165" i="13" s="1"/>
  <c r="K48" i="13"/>
  <c r="L48" i="13"/>
  <c r="M48" i="13"/>
  <c r="K49" i="13"/>
  <c r="L49" i="13"/>
  <c r="M49" i="13"/>
  <c r="D166" i="13" s="1"/>
  <c r="K50" i="13"/>
  <c r="L50" i="13"/>
  <c r="M50" i="13"/>
  <c r="K51" i="13"/>
  <c r="L51" i="13"/>
  <c r="M51" i="13"/>
  <c r="N51" i="13" s="1"/>
  <c r="K52" i="13"/>
  <c r="L52" i="13"/>
  <c r="M52" i="13"/>
  <c r="K53" i="13"/>
  <c r="B168" i="13" s="1"/>
  <c r="L53" i="13"/>
  <c r="M53" i="13"/>
  <c r="K54" i="13"/>
  <c r="L54" i="13"/>
  <c r="M54" i="13"/>
  <c r="K55" i="13"/>
  <c r="B169" i="13" s="1"/>
  <c r="L55" i="13"/>
  <c r="M55" i="13"/>
  <c r="K56" i="13"/>
  <c r="L56" i="13"/>
  <c r="M56" i="13"/>
  <c r="K57" i="13"/>
  <c r="L57" i="13"/>
  <c r="M57" i="13"/>
  <c r="K58" i="13"/>
  <c r="L58" i="13"/>
  <c r="M58" i="13"/>
  <c r="K59" i="13"/>
  <c r="L59" i="13"/>
  <c r="M59" i="13"/>
  <c r="K60" i="13"/>
  <c r="L60" i="13"/>
  <c r="M60" i="13"/>
  <c r="K61" i="13"/>
  <c r="B172" i="13" s="1"/>
  <c r="L61" i="13"/>
  <c r="M61" i="13"/>
  <c r="K62" i="13"/>
  <c r="L62" i="13"/>
  <c r="M62" i="13"/>
  <c r="M124" i="13"/>
  <c r="M125" i="13"/>
  <c r="K124" i="13"/>
  <c r="L124" i="13"/>
  <c r="K125" i="13"/>
  <c r="L125" i="13"/>
  <c r="T165" i="13"/>
  <c r="U165" i="13"/>
  <c r="T166" i="13"/>
  <c r="U166" i="13"/>
  <c r="T167" i="13"/>
  <c r="U167" i="13"/>
  <c r="T168" i="13"/>
  <c r="U168" i="13"/>
  <c r="T169" i="13"/>
  <c r="U169" i="13"/>
  <c r="T170" i="13"/>
  <c r="U170" i="13"/>
  <c r="T171" i="13"/>
  <c r="U171" i="13"/>
  <c r="T172" i="13"/>
  <c r="U172" i="13"/>
  <c r="T173" i="13"/>
  <c r="U173" i="13"/>
  <c r="T174" i="13"/>
  <c r="U174" i="13"/>
  <c r="T175" i="13"/>
  <c r="U175" i="13"/>
  <c r="T176" i="13"/>
  <c r="U176" i="13"/>
  <c r="T177" i="13"/>
  <c r="U177" i="13"/>
  <c r="T178" i="13"/>
  <c r="U178" i="13"/>
  <c r="T179" i="13"/>
  <c r="U179" i="13"/>
  <c r="T180" i="13"/>
  <c r="U180" i="13"/>
  <c r="T182" i="13"/>
  <c r="U182" i="13"/>
  <c r="T186" i="13"/>
  <c r="U186" i="13"/>
  <c r="T190" i="13"/>
  <c r="U190" i="13"/>
  <c r="T194" i="13"/>
  <c r="U194" i="13"/>
  <c r="T195" i="13"/>
  <c r="U195" i="13"/>
  <c r="T196" i="13"/>
  <c r="U196" i="13"/>
  <c r="T198" i="13"/>
  <c r="U198" i="13"/>
  <c r="T199" i="13"/>
  <c r="U199" i="13"/>
  <c r="T201" i="13"/>
  <c r="U201" i="13"/>
  <c r="T202" i="13"/>
  <c r="U202" i="13"/>
  <c r="S201" i="13"/>
  <c r="S199" i="13"/>
  <c r="S198" i="13"/>
  <c r="S196" i="13"/>
  <c r="S195" i="13"/>
  <c r="S194" i="13"/>
  <c r="S190" i="13"/>
  <c r="S186" i="13"/>
  <c r="S182" i="13"/>
  <c r="S180" i="13"/>
  <c r="S179" i="13"/>
  <c r="S178" i="13"/>
  <c r="S177" i="13"/>
  <c r="S176" i="13"/>
  <c r="S175" i="13"/>
  <c r="S174" i="13"/>
  <c r="S173" i="13"/>
  <c r="S172" i="13"/>
  <c r="S171" i="13"/>
  <c r="S170" i="13"/>
  <c r="S169" i="13"/>
  <c r="S168" i="13"/>
  <c r="S167" i="13"/>
  <c r="S166" i="13"/>
  <c r="T138" i="14"/>
  <c r="U138" i="14"/>
  <c r="T139" i="14"/>
  <c r="U139" i="14"/>
  <c r="T140" i="14"/>
  <c r="U140" i="14"/>
  <c r="T141" i="14"/>
  <c r="U141" i="14"/>
  <c r="T142" i="14"/>
  <c r="U142" i="14"/>
  <c r="T143" i="14"/>
  <c r="U143" i="14"/>
  <c r="T144" i="14"/>
  <c r="U144" i="14"/>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5" i="14"/>
  <c r="U165" i="14"/>
  <c r="T166" i="14"/>
  <c r="U166" i="14"/>
  <c r="T170" i="14"/>
  <c r="U170" i="14"/>
  <c r="T174" i="14"/>
  <c r="U174" i="14"/>
  <c r="T178" i="14"/>
  <c r="U178" i="14"/>
  <c r="T182" i="14"/>
  <c r="U182" i="14"/>
  <c r="T183" i="14"/>
  <c r="U183" i="14"/>
  <c r="T184" i="14"/>
  <c r="U184" i="14"/>
  <c r="T185" i="14"/>
  <c r="U185" i="14"/>
  <c r="T186" i="14"/>
  <c r="U186" i="14"/>
  <c r="T187" i="14"/>
  <c r="U187" i="14"/>
  <c r="T188" i="14"/>
  <c r="U188" i="14"/>
  <c r="T189" i="14"/>
  <c r="U189" i="14"/>
  <c r="T190" i="14"/>
  <c r="U190" i="14"/>
  <c r="S190" i="14"/>
  <c r="W190" i="14" s="1"/>
  <c r="S189" i="14"/>
  <c r="S188" i="14"/>
  <c r="S187" i="14"/>
  <c r="W187" i="14" s="1"/>
  <c r="S186" i="14"/>
  <c r="S185" i="14"/>
  <c r="S184" i="14"/>
  <c r="S183" i="14"/>
  <c r="W183" i="14" s="1"/>
  <c r="S182" i="14"/>
  <c r="W182" i="14" s="1"/>
  <c r="S178" i="14"/>
  <c r="W178" i="14" s="1"/>
  <c r="S174" i="14"/>
  <c r="S170" i="14"/>
  <c r="W170" i="14" s="1"/>
  <c r="S166" i="14"/>
  <c r="S165" i="14"/>
  <c r="S164" i="14"/>
  <c r="S163" i="14"/>
  <c r="S162" i="14"/>
  <c r="S161" i="14"/>
  <c r="S160" i="14"/>
  <c r="S159" i="14"/>
  <c r="S158" i="14"/>
  <c r="S157" i="14"/>
  <c r="S156" i="14"/>
  <c r="S155" i="14"/>
  <c r="S154" i="14"/>
  <c r="S153" i="14"/>
  <c r="S152" i="14"/>
  <c r="S151" i="14"/>
  <c r="S150" i="14"/>
  <c r="S149" i="14"/>
  <c r="S148" i="14"/>
  <c r="S147" i="14"/>
  <c r="S146" i="14"/>
  <c r="S145" i="14"/>
  <c r="S144" i="14"/>
  <c r="S143" i="14"/>
  <c r="S142" i="14"/>
  <c r="S141" i="14"/>
  <c r="S140" i="14"/>
  <c r="W140" i="14" s="1"/>
  <c r="S139" i="14"/>
  <c r="T150" i="15"/>
  <c r="U150" i="15"/>
  <c r="W150" i="15" s="1"/>
  <c r="T151" i="15"/>
  <c r="U151" i="15"/>
  <c r="T152" i="15"/>
  <c r="U152" i="15"/>
  <c r="T153" i="15"/>
  <c r="U153" i="15"/>
  <c r="T154" i="15"/>
  <c r="U154" i="15"/>
  <c r="T155" i="15"/>
  <c r="U155" i="15"/>
  <c r="T156" i="15"/>
  <c r="U156" i="15"/>
  <c r="T157" i="15"/>
  <c r="U157" i="15"/>
  <c r="T158" i="15"/>
  <c r="U158" i="15"/>
  <c r="T159" i="15"/>
  <c r="U159" i="15"/>
  <c r="T160" i="15"/>
  <c r="U160" i="15"/>
  <c r="T161" i="15"/>
  <c r="U161" i="15"/>
  <c r="T162" i="15"/>
  <c r="U162" i="15"/>
  <c r="T163" i="15"/>
  <c r="U163" i="15"/>
  <c r="T164" i="15"/>
  <c r="U164" i="15"/>
  <c r="T165" i="15"/>
  <c r="U165" i="15"/>
  <c r="T166" i="15"/>
  <c r="U166" i="15"/>
  <c r="T167" i="15"/>
  <c r="U167" i="15"/>
  <c r="T168" i="15"/>
  <c r="U168" i="15"/>
  <c r="T169" i="15"/>
  <c r="U169" i="15"/>
  <c r="T170" i="15"/>
  <c r="U170" i="15"/>
  <c r="T171" i="15"/>
  <c r="U171" i="15"/>
  <c r="T172" i="15"/>
  <c r="U172" i="15"/>
  <c r="T173" i="15"/>
  <c r="U173" i="15"/>
  <c r="T174" i="15"/>
  <c r="U174" i="15"/>
  <c r="T175" i="15"/>
  <c r="U175" i="15"/>
  <c r="T176" i="15"/>
  <c r="U176" i="15"/>
  <c r="T177" i="15"/>
  <c r="U177" i="15"/>
  <c r="T178" i="15"/>
  <c r="U178" i="15"/>
  <c r="T182" i="15"/>
  <c r="U182" i="15"/>
  <c r="T185" i="15"/>
  <c r="U185" i="15"/>
  <c r="T186" i="15"/>
  <c r="U186" i="15"/>
  <c r="T190" i="15"/>
  <c r="U190" i="15"/>
  <c r="T192" i="15"/>
  <c r="U192" i="15"/>
  <c r="T194" i="15"/>
  <c r="U194" i="15"/>
  <c r="T196" i="15"/>
  <c r="U196" i="15"/>
  <c r="T197" i="15"/>
  <c r="U197" i="15"/>
  <c r="T198" i="15"/>
  <c r="U198" i="15"/>
  <c r="T199" i="15"/>
  <c r="U199" i="15"/>
  <c r="T201" i="15"/>
  <c r="U201" i="15"/>
  <c r="T202" i="15"/>
  <c r="U202" i="15"/>
  <c r="S202" i="15"/>
  <c r="S201" i="15"/>
  <c r="S199" i="15"/>
  <c r="S198" i="15"/>
  <c r="S197" i="15"/>
  <c r="S196" i="15"/>
  <c r="S194" i="15"/>
  <c r="S192" i="15"/>
  <c r="S190" i="15"/>
  <c r="S186" i="15"/>
  <c r="S185" i="15"/>
  <c r="S182" i="15"/>
  <c r="S178" i="15"/>
  <c r="S177" i="15"/>
  <c r="W177" i="15" s="1"/>
  <c r="S176" i="15"/>
  <c r="W176" i="15" s="1"/>
  <c r="S175" i="15"/>
  <c r="S174" i="15"/>
  <c r="S173" i="15"/>
  <c r="S172" i="15"/>
  <c r="S171" i="15"/>
  <c r="S170" i="15"/>
  <c r="S169" i="15"/>
  <c r="S168" i="15"/>
  <c r="S167" i="15"/>
  <c r="S166" i="15"/>
  <c r="S165" i="15"/>
  <c r="S164" i="15"/>
  <c r="S163" i="15"/>
  <c r="S162" i="15"/>
  <c r="S161" i="15"/>
  <c r="S160" i="15"/>
  <c r="W160" i="15" s="1"/>
  <c r="S159" i="15"/>
  <c r="S158" i="15"/>
  <c r="S157" i="15"/>
  <c r="S156" i="15"/>
  <c r="S155" i="15"/>
  <c r="S154" i="15"/>
  <c r="S153" i="15"/>
  <c r="S152" i="15"/>
  <c r="S151" i="15"/>
  <c r="R111" i="15"/>
  <c r="M111" i="15"/>
  <c r="L111" i="15"/>
  <c r="K111" i="15"/>
  <c r="R85" i="15"/>
  <c r="M85" i="15"/>
  <c r="L85" i="15"/>
  <c r="K85" i="15"/>
  <c r="R123" i="15"/>
  <c r="M123" i="15"/>
  <c r="L123" i="15"/>
  <c r="R100" i="15"/>
  <c r="M100" i="15"/>
  <c r="L100" i="15"/>
  <c r="K100" i="15"/>
  <c r="N74" i="15"/>
  <c r="M104" i="24"/>
  <c r="R82" i="18"/>
  <c r="K82" i="18"/>
  <c r="L82" i="18"/>
  <c r="M82" i="18"/>
  <c r="T145" i="8"/>
  <c r="U145" i="8"/>
  <c r="T146" i="8"/>
  <c r="U146" i="8"/>
  <c r="T147" i="8"/>
  <c r="U147" i="8"/>
  <c r="T148" i="8"/>
  <c r="U148" i="8"/>
  <c r="T149" i="8"/>
  <c r="U149" i="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T170" i="8"/>
  <c r="U170" i="8"/>
  <c r="T171" i="8"/>
  <c r="U171" i="8"/>
  <c r="T172" i="8"/>
  <c r="U172" i="8"/>
  <c r="T173" i="8"/>
  <c r="U173" i="8"/>
  <c r="T177" i="8"/>
  <c r="U177" i="8"/>
  <c r="T181" i="8"/>
  <c r="U181" i="8"/>
  <c r="T185" i="8"/>
  <c r="U185" i="8"/>
  <c r="T187" i="8"/>
  <c r="U187" i="8"/>
  <c r="T188" i="8"/>
  <c r="U188" i="8"/>
  <c r="T189" i="8"/>
  <c r="U189" i="8"/>
  <c r="T191" i="8"/>
  <c r="U191" i="8"/>
  <c r="T193" i="8"/>
  <c r="U193" i="8"/>
  <c r="T194" i="8"/>
  <c r="U194" i="8"/>
  <c r="T196" i="8"/>
  <c r="U196" i="8"/>
  <c r="T197" i="8"/>
  <c r="U197" i="8"/>
  <c r="S197" i="8"/>
  <c r="S196" i="8"/>
  <c r="S194" i="8"/>
  <c r="W194" i="8" s="1"/>
  <c r="S193" i="8"/>
  <c r="W193" i="8" s="1"/>
  <c r="S191" i="8"/>
  <c r="S189" i="8"/>
  <c r="S188" i="8"/>
  <c r="S187" i="8"/>
  <c r="S185" i="8"/>
  <c r="S181" i="8"/>
  <c r="S177" i="8"/>
  <c r="S173" i="8"/>
  <c r="W173" i="8" s="1"/>
  <c r="S172" i="8"/>
  <c r="W172" i="8" s="1"/>
  <c r="S171" i="8"/>
  <c r="S170" i="8"/>
  <c r="S169" i="8"/>
  <c r="W169" i="8" s="1"/>
  <c r="S168" i="8"/>
  <c r="S167" i="8"/>
  <c r="S166" i="8"/>
  <c r="S165" i="8"/>
  <c r="W165" i="8" s="1"/>
  <c r="S164" i="8"/>
  <c r="W164" i="8" s="1"/>
  <c r="S163" i="8"/>
  <c r="S162" i="8"/>
  <c r="W162" i="8" s="1"/>
  <c r="S161" i="8"/>
  <c r="W161" i="8" s="1"/>
  <c r="S160" i="8"/>
  <c r="S159" i="8"/>
  <c r="S158" i="8"/>
  <c r="S157" i="8"/>
  <c r="W157" i="8" s="1"/>
  <c r="S156" i="8"/>
  <c r="W156" i="8" s="1"/>
  <c r="S155" i="8"/>
  <c r="S154" i="8"/>
  <c r="W154" i="8" s="1"/>
  <c r="S153" i="8"/>
  <c r="W153" i="8" s="1"/>
  <c r="S152" i="8"/>
  <c r="S151" i="8"/>
  <c r="S150" i="8"/>
  <c r="S149" i="8"/>
  <c r="W149" i="8" s="1"/>
  <c r="S148" i="8"/>
  <c r="W148" i="8" s="1"/>
  <c r="S147" i="8"/>
  <c r="S146" i="8"/>
  <c r="R102" i="8"/>
  <c r="M102" i="8"/>
  <c r="L102" i="8"/>
  <c r="K102" i="8"/>
  <c r="R99" i="8"/>
  <c r="M99" i="8"/>
  <c r="N99" i="8" s="1"/>
  <c r="L99" i="8"/>
  <c r="K99" i="8"/>
  <c r="N74" i="8"/>
  <c r="U200" i="22"/>
  <c r="T200" i="22"/>
  <c r="S200" i="22"/>
  <c r="U199" i="22"/>
  <c r="T199" i="22"/>
  <c r="S199" i="22"/>
  <c r="U198" i="22"/>
  <c r="T198" i="22"/>
  <c r="S198" i="22"/>
  <c r="U196" i="22"/>
  <c r="T196" i="22"/>
  <c r="S196" i="22"/>
  <c r="U195" i="22"/>
  <c r="T195" i="22"/>
  <c r="S195" i="22"/>
  <c r="U192" i="22"/>
  <c r="T192" i="22"/>
  <c r="S192" i="22"/>
  <c r="U188" i="22"/>
  <c r="T188" i="22"/>
  <c r="S188" i="22"/>
  <c r="U184" i="22"/>
  <c r="T184" i="22"/>
  <c r="S184" i="22"/>
  <c r="W184" i="22" s="1"/>
  <c r="U180" i="22"/>
  <c r="T180" i="22"/>
  <c r="S180" i="22"/>
  <c r="U176" i="22"/>
  <c r="T176" i="22"/>
  <c r="W176" i="22" s="1"/>
  <c r="S176" i="22"/>
  <c r="U174" i="22"/>
  <c r="T174" i="22"/>
  <c r="S174" i="22"/>
  <c r="U172" i="22"/>
  <c r="T172" i="22"/>
  <c r="S172" i="22"/>
  <c r="U171" i="22"/>
  <c r="T171" i="22"/>
  <c r="S171" i="22"/>
  <c r="U170" i="22"/>
  <c r="T170" i="22"/>
  <c r="S170" i="22"/>
  <c r="U168" i="22"/>
  <c r="T168" i="22"/>
  <c r="S168" i="22"/>
  <c r="W168" i="22" s="1"/>
  <c r="U166" i="22"/>
  <c r="T166" i="22"/>
  <c r="S166" i="22"/>
  <c r="W166" i="22" s="1"/>
  <c r="U164" i="22"/>
  <c r="T164" i="22"/>
  <c r="S164" i="22"/>
  <c r="U160" i="22"/>
  <c r="T160" i="22"/>
  <c r="S160" i="22"/>
  <c r="U159" i="22"/>
  <c r="T159" i="22"/>
  <c r="S159" i="22"/>
  <c r="U158" i="22"/>
  <c r="T158" i="22"/>
  <c r="S158" i="22"/>
  <c r="U155" i="22"/>
  <c r="W155" i="22" s="1"/>
  <c r="T155" i="22"/>
  <c r="S155" i="22"/>
  <c r="U152" i="22"/>
  <c r="T152" i="22"/>
  <c r="S152" i="22"/>
  <c r="U150" i="22"/>
  <c r="T150" i="22"/>
  <c r="S150" i="22"/>
  <c r="U148" i="22"/>
  <c r="T148" i="22"/>
  <c r="S148" i="22"/>
  <c r="W148" i="22" s="1"/>
  <c r="M124" i="22"/>
  <c r="L124" i="22"/>
  <c r="N124" i="22" s="1"/>
  <c r="K124" i="22"/>
  <c r="M123" i="22"/>
  <c r="L123" i="22"/>
  <c r="K123" i="22"/>
  <c r="B200" i="22" s="1"/>
  <c r="M122" i="22"/>
  <c r="L122" i="22"/>
  <c r="K122" i="22"/>
  <c r="M121" i="22"/>
  <c r="D199" i="22" s="1"/>
  <c r="L121" i="22"/>
  <c r="K121" i="22"/>
  <c r="M120" i="22"/>
  <c r="L120" i="22"/>
  <c r="K120" i="22"/>
  <c r="M119" i="22"/>
  <c r="L119" i="22"/>
  <c r="K119" i="22"/>
  <c r="B198" i="22" s="1"/>
  <c r="M118" i="22"/>
  <c r="L118" i="22"/>
  <c r="K118" i="22"/>
  <c r="N118" i="22" s="1"/>
  <c r="E118" i="22"/>
  <c r="T197" i="22" s="1"/>
  <c r="M117" i="22"/>
  <c r="L117" i="22"/>
  <c r="K117" i="22"/>
  <c r="M116" i="22"/>
  <c r="L116" i="22"/>
  <c r="K116" i="22"/>
  <c r="M115" i="22"/>
  <c r="L115" i="22"/>
  <c r="K115" i="22"/>
  <c r="M114" i="22"/>
  <c r="L114" i="22"/>
  <c r="K114" i="22"/>
  <c r="M113" i="22"/>
  <c r="L113" i="22"/>
  <c r="K113" i="22"/>
  <c r="M112" i="22"/>
  <c r="L112" i="22"/>
  <c r="K112" i="22"/>
  <c r="M110" i="22"/>
  <c r="L110" i="22"/>
  <c r="N110" i="22" s="1"/>
  <c r="K110" i="22"/>
  <c r="M109" i="22"/>
  <c r="L109" i="22"/>
  <c r="K109" i="22"/>
  <c r="E109" i="22"/>
  <c r="T193" i="22" s="1"/>
  <c r="M108" i="22"/>
  <c r="L108" i="22"/>
  <c r="K108" i="22"/>
  <c r="B193" i="22" s="1"/>
  <c r="M107" i="22"/>
  <c r="L107" i="22"/>
  <c r="K107" i="22"/>
  <c r="M106" i="22"/>
  <c r="L106" i="22"/>
  <c r="K106" i="22"/>
  <c r="M105" i="22"/>
  <c r="L105" i="22"/>
  <c r="K105" i="22"/>
  <c r="E105" i="22"/>
  <c r="U191" i="22" s="1"/>
  <c r="M104" i="22"/>
  <c r="L104" i="22"/>
  <c r="K104" i="22"/>
  <c r="M103" i="22"/>
  <c r="L103" i="22"/>
  <c r="K103" i="22"/>
  <c r="E103" i="22"/>
  <c r="U190" i="22" s="1"/>
  <c r="M102" i="22"/>
  <c r="L102" i="22"/>
  <c r="K102" i="22"/>
  <c r="M101" i="22"/>
  <c r="L101" i="22"/>
  <c r="K101" i="22"/>
  <c r="E101" i="22"/>
  <c r="M100" i="22"/>
  <c r="L100" i="22"/>
  <c r="K100" i="22"/>
  <c r="M99" i="22"/>
  <c r="L99" i="22"/>
  <c r="K99" i="22"/>
  <c r="M98" i="22"/>
  <c r="L98" i="22"/>
  <c r="C188" i="22" s="1"/>
  <c r="K98" i="22"/>
  <c r="M97" i="22"/>
  <c r="L97" i="22"/>
  <c r="K97" i="22"/>
  <c r="E97" i="22"/>
  <c r="L187" i="22" s="1"/>
  <c r="H187" i="22"/>
  <c r="M96" i="22"/>
  <c r="L96" i="22"/>
  <c r="K96" i="22"/>
  <c r="M95" i="22"/>
  <c r="L95" i="22"/>
  <c r="K95" i="22"/>
  <c r="T186" i="22"/>
  <c r="M94" i="22"/>
  <c r="D186" i="22" s="1"/>
  <c r="L94" i="22"/>
  <c r="K94" i="22"/>
  <c r="M93" i="22"/>
  <c r="L93" i="22"/>
  <c r="K93" i="22"/>
  <c r="M92" i="22"/>
  <c r="L92" i="22"/>
  <c r="K92" i="22"/>
  <c r="M91" i="22"/>
  <c r="L91" i="22"/>
  <c r="K91" i="22"/>
  <c r="M90" i="22"/>
  <c r="L90" i="22"/>
  <c r="K90" i="22"/>
  <c r="M89" i="22"/>
  <c r="L89" i="22"/>
  <c r="N89" i="22" s="1"/>
  <c r="K89" i="22"/>
  <c r="E89" i="22"/>
  <c r="M88" i="22"/>
  <c r="L88" i="22"/>
  <c r="K88" i="22"/>
  <c r="M87" i="22"/>
  <c r="L87" i="22"/>
  <c r="K87" i="22"/>
  <c r="E87" i="22"/>
  <c r="T182" i="22" s="1"/>
  <c r="M86" i="22"/>
  <c r="D182" i="22" s="1"/>
  <c r="L86" i="22"/>
  <c r="K86" i="22"/>
  <c r="M85" i="22"/>
  <c r="L85" i="22"/>
  <c r="K85" i="22"/>
  <c r="E85" i="22"/>
  <c r="M84" i="22"/>
  <c r="L84" i="22"/>
  <c r="K84" i="22"/>
  <c r="M83" i="22"/>
  <c r="L83" i="22"/>
  <c r="K83" i="22"/>
  <c r="B180" i="22" s="1"/>
  <c r="M82" i="22"/>
  <c r="L82" i="22"/>
  <c r="C180" i="22" s="1"/>
  <c r="K82" i="22"/>
  <c r="M81" i="22"/>
  <c r="L81" i="22"/>
  <c r="K81" i="22"/>
  <c r="E81" i="22"/>
  <c r="T179" i="22" s="1"/>
  <c r="M80" i="22"/>
  <c r="L80" i="22"/>
  <c r="K80" i="22"/>
  <c r="M79" i="22"/>
  <c r="L79" i="22"/>
  <c r="K79" i="22"/>
  <c r="E79" i="22"/>
  <c r="M78" i="22"/>
  <c r="D178" i="22" s="1"/>
  <c r="L78" i="22"/>
  <c r="C178" i="22" s="1"/>
  <c r="K78" i="22"/>
  <c r="M77" i="22"/>
  <c r="L77" i="22"/>
  <c r="K77" i="22"/>
  <c r="N77" i="22" s="1"/>
  <c r="E77" i="22"/>
  <c r="U177" i="22" s="1"/>
  <c r="M76" i="22"/>
  <c r="L76" i="22"/>
  <c r="K76" i="22"/>
  <c r="M75" i="22"/>
  <c r="L75" i="22"/>
  <c r="K75" i="22"/>
  <c r="M74" i="22"/>
  <c r="L74" i="22"/>
  <c r="K74" i="22"/>
  <c r="M73" i="22"/>
  <c r="L73" i="22"/>
  <c r="K73" i="22"/>
  <c r="E73" i="22"/>
  <c r="M72" i="22"/>
  <c r="L72" i="22"/>
  <c r="K72" i="22"/>
  <c r="M71" i="22"/>
  <c r="L71" i="22"/>
  <c r="K71" i="22"/>
  <c r="N71" i="22" s="1"/>
  <c r="M70" i="22"/>
  <c r="L70" i="22"/>
  <c r="K70" i="22"/>
  <c r="M69" i="22"/>
  <c r="L69" i="22"/>
  <c r="K69" i="22"/>
  <c r="E69" i="22"/>
  <c r="S173" i="22"/>
  <c r="M68" i="22"/>
  <c r="L68" i="22"/>
  <c r="K68" i="22"/>
  <c r="M67" i="22"/>
  <c r="L67" i="22"/>
  <c r="K67" i="22"/>
  <c r="M66" i="22"/>
  <c r="L66" i="22"/>
  <c r="K66" i="22"/>
  <c r="M65" i="22"/>
  <c r="L65" i="22"/>
  <c r="K65" i="22"/>
  <c r="M64" i="22"/>
  <c r="L64" i="22"/>
  <c r="K64" i="22"/>
  <c r="M63" i="22"/>
  <c r="L63" i="22"/>
  <c r="K63" i="22"/>
  <c r="M62" i="22"/>
  <c r="L62" i="22"/>
  <c r="K62" i="22"/>
  <c r="M61" i="22"/>
  <c r="L61" i="22"/>
  <c r="K61" i="22"/>
  <c r="E61" i="22"/>
  <c r="T169" i="22" s="1"/>
  <c r="M60" i="22"/>
  <c r="L60" i="22"/>
  <c r="K60" i="22"/>
  <c r="M59" i="22"/>
  <c r="L59" i="22"/>
  <c r="K59" i="22"/>
  <c r="M58" i="22"/>
  <c r="L58" i="22"/>
  <c r="K58" i="22"/>
  <c r="M57" i="22"/>
  <c r="L57" i="22"/>
  <c r="K57" i="22"/>
  <c r="E57" i="22"/>
  <c r="T167" i="22" s="1"/>
  <c r="M56" i="22"/>
  <c r="L56" i="22"/>
  <c r="K56" i="22"/>
  <c r="M55" i="22"/>
  <c r="L55" i="22"/>
  <c r="K55" i="22"/>
  <c r="N55" i="22" s="1"/>
  <c r="M54" i="22"/>
  <c r="L54" i="22"/>
  <c r="K54" i="22"/>
  <c r="M53" i="22"/>
  <c r="N53" i="22" s="1"/>
  <c r="L53" i="22"/>
  <c r="K53" i="22"/>
  <c r="M52" i="22"/>
  <c r="L52" i="22"/>
  <c r="K52" i="22"/>
  <c r="E52" i="22"/>
  <c r="M51" i="22"/>
  <c r="L51" i="22"/>
  <c r="K51" i="22"/>
  <c r="M50" i="22"/>
  <c r="L50" i="22"/>
  <c r="K50" i="22"/>
  <c r="M49" i="22"/>
  <c r="L49" i="22"/>
  <c r="K49" i="22"/>
  <c r="M48" i="22"/>
  <c r="L48" i="22"/>
  <c r="K48" i="22"/>
  <c r="E48" i="22"/>
  <c r="M47" i="22"/>
  <c r="L47" i="22"/>
  <c r="K47" i="22"/>
  <c r="M46" i="22"/>
  <c r="L46" i="22"/>
  <c r="N46" i="22" s="1"/>
  <c r="K46" i="22"/>
  <c r="M45" i="22"/>
  <c r="L45" i="22"/>
  <c r="K45" i="22"/>
  <c r="B162" i="22" s="1"/>
  <c r="M43" i="22"/>
  <c r="L43" i="22"/>
  <c r="K43" i="22"/>
  <c r="M42" i="22"/>
  <c r="L42" i="22"/>
  <c r="K42" i="22"/>
  <c r="E42" i="22"/>
  <c r="T161" i="22" s="1"/>
  <c r="M41" i="22"/>
  <c r="L41" i="22"/>
  <c r="K41" i="22"/>
  <c r="M40" i="22"/>
  <c r="L40" i="22"/>
  <c r="K40" i="22"/>
  <c r="M39" i="22"/>
  <c r="L39" i="22"/>
  <c r="K39" i="22"/>
  <c r="B160" i="22" s="1"/>
  <c r="M38" i="22"/>
  <c r="L38" i="22"/>
  <c r="K38" i="22"/>
  <c r="M37" i="22"/>
  <c r="L37" i="22"/>
  <c r="K37" i="22"/>
  <c r="M36" i="22"/>
  <c r="L36" i="22"/>
  <c r="K36" i="22"/>
  <c r="M35" i="22"/>
  <c r="L35" i="22"/>
  <c r="K35" i="22"/>
  <c r="M34" i="22"/>
  <c r="L34" i="22"/>
  <c r="K34" i="22"/>
  <c r="M33" i="22"/>
  <c r="L33" i="22"/>
  <c r="K33" i="22"/>
  <c r="E33" i="22"/>
  <c r="M32" i="22"/>
  <c r="L32" i="22"/>
  <c r="K32" i="22"/>
  <c r="M31" i="22"/>
  <c r="L31" i="22"/>
  <c r="K31" i="22"/>
  <c r="M29" i="22"/>
  <c r="L29" i="22"/>
  <c r="K29" i="22"/>
  <c r="M28" i="22"/>
  <c r="L28" i="22"/>
  <c r="K28" i="22"/>
  <c r="M27" i="22"/>
  <c r="D155" i="22" s="1"/>
  <c r="L27" i="22"/>
  <c r="K27" i="22"/>
  <c r="M26" i="22"/>
  <c r="L26" i="22"/>
  <c r="K26" i="22"/>
  <c r="M25" i="22"/>
  <c r="L25" i="22"/>
  <c r="K25" i="22"/>
  <c r="M23" i="22"/>
  <c r="L23" i="22"/>
  <c r="K23" i="22"/>
  <c r="M22" i="22"/>
  <c r="L22" i="22"/>
  <c r="K22" i="22"/>
  <c r="E22" i="22"/>
  <c r="M21" i="22"/>
  <c r="L21" i="22"/>
  <c r="K21" i="22"/>
  <c r="M20" i="22"/>
  <c r="L20" i="22"/>
  <c r="K20" i="22"/>
  <c r="M19" i="22"/>
  <c r="L19" i="22"/>
  <c r="K19" i="22"/>
  <c r="M18" i="22"/>
  <c r="L18" i="22"/>
  <c r="K18" i="22"/>
  <c r="M17" i="22"/>
  <c r="L17" i="22"/>
  <c r="K17" i="22"/>
  <c r="M16" i="22"/>
  <c r="L16" i="22"/>
  <c r="K16" i="22"/>
  <c r="E16" i="22"/>
  <c r="M15" i="22"/>
  <c r="L15" i="22"/>
  <c r="K15" i="22"/>
  <c r="M14" i="22"/>
  <c r="L14" i="22"/>
  <c r="K14" i="22"/>
  <c r="N14" i="22" s="1"/>
  <c r="M13" i="22"/>
  <c r="L13" i="22"/>
  <c r="K13" i="22"/>
  <c r="M12" i="22"/>
  <c r="D150" i="22" s="1"/>
  <c r="L12" i="22"/>
  <c r="K12" i="22"/>
  <c r="M11" i="22"/>
  <c r="L11" i="22"/>
  <c r="K11" i="22"/>
  <c r="E11" i="22"/>
  <c r="M10" i="22"/>
  <c r="L10" i="22"/>
  <c r="K10" i="22"/>
  <c r="M9" i="22"/>
  <c r="L9" i="22"/>
  <c r="K9" i="22"/>
  <c r="M8" i="22"/>
  <c r="L8" i="22"/>
  <c r="K8" i="22"/>
  <c r="U188" i="23"/>
  <c r="T188" i="23"/>
  <c r="S188" i="23"/>
  <c r="U187" i="23"/>
  <c r="T187" i="23"/>
  <c r="S187" i="23"/>
  <c r="U185" i="23"/>
  <c r="T185" i="23"/>
  <c r="S185" i="23"/>
  <c r="U184" i="23"/>
  <c r="T184" i="23"/>
  <c r="S184" i="23"/>
  <c r="U182" i="23"/>
  <c r="T182" i="23"/>
  <c r="S182" i="23"/>
  <c r="U164" i="23"/>
  <c r="T164" i="23"/>
  <c r="S164" i="23"/>
  <c r="U162" i="23"/>
  <c r="T162" i="23"/>
  <c r="S162" i="23"/>
  <c r="U161" i="23"/>
  <c r="T161" i="23"/>
  <c r="S161" i="23"/>
  <c r="U160" i="23"/>
  <c r="T160" i="23"/>
  <c r="S160" i="23"/>
  <c r="U158" i="23"/>
  <c r="T158" i="23"/>
  <c r="S158" i="23"/>
  <c r="U157" i="23"/>
  <c r="T157" i="23"/>
  <c r="S157" i="23"/>
  <c r="U156" i="23"/>
  <c r="T156" i="23"/>
  <c r="S156" i="23"/>
  <c r="U154" i="23"/>
  <c r="T154" i="23"/>
  <c r="S154" i="23"/>
  <c r="U153" i="23"/>
  <c r="T153" i="23"/>
  <c r="S153" i="23"/>
  <c r="U151" i="23"/>
  <c r="T151" i="23"/>
  <c r="S151" i="23"/>
  <c r="U149" i="23"/>
  <c r="T149" i="23"/>
  <c r="S149" i="23"/>
  <c r="U148" i="23"/>
  <c r="T148" i="23"/>
  <c r="S148" i="23"/>
  <c r="U147" i="23"/>
  <c r="T147" i="23"/>
  <c r="S147" i="23"/>
  <c r="U145" i="23"/>
  <c r="T145" i="23"/>
  <c r="S145" i="23"/>
  <c r="U144" i="23"/>
  <c r="T144" i="23"/>
  <c r="S144" i="23"/>
  <c r="U143" i="23"/>
  <c r="T143" i="23"/>
  <c r="S143" i="23"/>
  <c r="U141" i="23"/>
  <c r="T141" i="23"/>
  <c r="S141" i="23"/>
  <c r="U138" i="23"/>
  <c r="T138" i="23"/>
  <c r="S138" i="23"/>
  <c r="U137" i="23"/>
  <c r="T137" i="23"/>
  <c r="S137" i="23"/>
  <c r="U136" i="23"/>
  <c r="T136" i="23"/>
  <c r="L188" i="23"/>
  <c r="M114" i="23"/>
  <c r="L114" i="23"/>
  <c r="K114" i="23"/>
  <c r="M113" i="23"/>
  <c r="L113" i="23"/>
  <c r="K113" i="23"/>
  <c r="L187" i="23"/>
  <c r="M112" i="23"/>
  <c r="L112" i="23"/>
  <c r="K112" i="23"/>
  <c r="M111" i="23"/>
  <c r="L111" i="23"/>
  <c r="K111" i="23"/>
  <c r="B187" i="23" s="1"/>
  <c r="M110" i="23"/>
  <c r="L110" i="23"/>
  <c r="K110" i="23"/>
  <c r="E110" i="23"/>
  <c r="M109" i="23"/>
  <c r="L109" i="23"/>
  <c r="K109" i="23"/>
  <c r="R108" i="23"/>
  <c r="M108" i="23"/>
  <c r="L108" i="23"/>
  <c r="K108" i="23"/>
  <c r="R107" i="23"/>
  <c r="M107" i="23"/>
  <c r="L107" i="23"/>
  <c r="K107" i="23"/>
  <c r="R106" i="23"/>
  <c r="M106" i="23"/>
  <c r="L106" i="23"/>
  <c r="K106" i="23"/>
  <c r="R105" i="23"/>
  <c r="M105" i="23"/>
  <c r="L105" i="23"/>
  <c r="C184" i="23" s="1"/>
  <c r="K105" i="23"/>
  <c r="B184" i="23" s="1"/>
  <c r="R104" i="23"/>
  <c r="M104" i="23"/>
  <c r="L104" i="23"/>
  <c r="K104" i="23"/>
  <c r="E104" i="23"/>
  <c r="R103" i="23"/>
  <c r="M103" i="23"/>
  <c r="L103" i="23"/>
  <c r="K103" i="23"/>
  <c r="R102" i="23"/>
  <c r="M102" i="23"/>
  <c r="L102" i="23"/>
  <c r="K102" i="23"/>
  <c r="R101" i="23"/>
  <c r="M101" i="23"/>
  <c r="D182" i="23" s="1"/>
  <c r="L101" i="23"/>
  <c r="C182" i="23" s="1"/>
  <c r="K101" i="23"/>
  <c r="B182" i="23" s="1"/>
  <c r="R100" i="23"/>
  <c r="M100" i="23"/>
  <c r="L100" i="23"/>
  <c r="K100" i="23"/>
  <c r="B181" i="23" s="1"/>
  <c r="E100" i="23"/>
  <c r="U181" i="23" s="1"/>
  <c r="R99" i="23"/>
  <c r="M99" i="23"/>
  <c r="D181" i="23" s="1"/>
  <c r="L99" i="23"/>
  <c r="K99" i="23"/>
  <c r="R98" i="23"/>
  <c r="M98" i="23"/>
  <c r="N98" i="23" s="1"/>
  <c r="L98" i="23"/>
  <c r="K98" i="23"/>
  <c r="E98" i="23"/>
  <c r="R97" i="23"/>
  <c r="M97" i="23"/>
  <c r="L97" i="23"/>
  <c r="K97" i="23"/>
  <c r="R96" i="23"/>
  <c r="M96" i="23"/>
  <c r="L96" i="23"/>
  <c r="K96" i="23"/>
  <c r="E96" i="23"/>
  <c r="S179" i="23" s="1"/>
  <c r="R95" i="23"/>
  <c r="M95" i="23"/>
  <c r="L95" i="23"/>
  <c r="K95" i="23"/>
  <c r="N95" i="23" s="1"/>
  <c r="R94" i="23"/>
  <c r="M94" i="23"/>
  <c r="L94" i="23"/>
  <c r="K94" i="23"/>
  <c r="E94" i="23"/>
  <c r="S178" i="23" s="1"/>
  <c r="R93" i="23"/>
  <c r="M93" i="23"/>
  <c r="L93" i="23"/>
  <c r="K93" i="23"/>
  <c r="R92" i="23"/>
  <c r="M92" i="23"/>
  <c r="L92" i="23"/>
  <c r="K92" i="23"/>
  <c r="E92" i="23"/>
  <c r="U177" i="23" s="1"/>
  <c r="R91" i="23"/>
  <c r="M91" i="23"/>
  <c r="L91" i="23"/>
  <c r="K91" i="23"/>
  <c r="R90" i="23"/>
  <c r="M90" i="23"/>
  <c r="L90" i="23"/>
  <c r="K90" i="23"/>
  <c r="E90" i="23"/>
  <c r="T176" i="23" s="1"/>
  <c r="R89" i="23"/>
  <c r="M89" i="23"/>
  <c r="L89" i="23"/>
  <c r="K89" i="23"/>
  <c r="R88" i="23"/>
  <c r="M88" i="23"/>
  <c r="L88" i="23"/>
  <c r="K88" i="23"/>
  <c r="E88" i="23"/>
  <c r="R87" i="23"/>
  <c r="M87" i="23"/>
  <c r="L87" i="23"/>
  <c r="K87" i="23"/>
  <c r="R86" i="23"/>
  <c r="M86" i="23"/>
  <c r="L86" i="23"/>
  <c r="K86" i="23"/>
  <c r="B174" i="23" s="1"/>
  <c r="E86" i="23"/>
  <c r="S174" i="23" s="1"/>
  <c r="R85" i="23"/>
  <c r="M85" i="23"/>
  <c r="L85" i="23"/>
  <c r="K85" i="23"/>
  <c r="R84" i="23"/>
  <c r="M84" i="23"/>
  <c r="L84" i="23"/>
  <c r="K84" i="23"/>
  <c r="E84" i="23"/>
  <c r="T173" i="23" s="1"/>
  <c r="R83" i="23"/>
  <c r="H173" i="23" s="1"/>
  <c r="M83" i="23"/>
  <c r="L83" i="23"/>
  <c r="K83" i="23"/>
  <c r="R82" i="23"/>
  <c r="M82" i="23"/>
  <c r="L82" i="23"/>
  <c r="K82" i="23"/>
  <c r="E82" i="23"/>
  <c r="R81" i="23"/>
  <c r="M81" i="23"/>
  <c r="L81" i="23"/>
  <c r="K81" i="23"/>
  <c r="R80" i="23"/>
  <c r="M80" i="23"/>
  <c r="L80" i="23"/>
  <c r="K80" i="23"/>
  <c r="E80" i="23"/>
  <c r="R79" i="23"/>
  <c r="M79" i="23"/>
  <c r="L79" i="23"/>
  <c r="K79" i="23"/>
  <c r="R78" i="23"/>
  <c r="M78" i="23"/>
  <c r="L78" i="23"/>
  <c r="K78" i="23"/>
  <c r="E78" i="23"/>
  <c r="R77" i="23"/>
  <c r="M77" i="23"/>
  <c r="D170" i="23" s="1"/>
  <c r="L77" i="23"/>
  <c r="K77" i="23"/>
  <c r="R76" i="23"/>
  <c r="M76" i="23"/>
  <c r="L76" i="23"/>
  <c r="K76" i="23"/>
  <c r="E76" i="23"/>
  <c r="T169" i="23" s="1"/>
  <c r="R75" i="23"/>
  <c r="M75" i="23"/>
  <c r="L75" i="23"/>
  <c r="K75" i="23"/>
  <c r="B169" i="23" s="1"/>
  <c r="R74" i="23"/>
  <c r="M74" i="23"/>
  <c r="L74" i="23"/>
  <c r="K74" i="23"/>
  <c r="E74" i="23"/>
  <c r="S168" i="23" s="1"/>
  <c r="R73" i="23"/>
  <c r="M73" i="23"/>
  <c r="L73" i="23"/>
  <c r="K73" i="23"/>
  <c r="R72" i="23"/>
  <c r="M72" i="23"/>
  <c r="L72" i="23"/>
  <c r="K72" i="23"/>
  <c r="E72" i="23"/>
  <c r="S167" i="23" s="1"/>
  <c r="R71" i="23"/>
  <c r="M71" i="23"/>
  <c r="L71" i="23"/>
  <c r="K71" i="23"/>
  <c r="R70" i="23"/>
  <c r="M70" i="23"/>
  <c r="L70" i="23"/>
  <c r="K70" i="23"/>
  <c r="E70" i="23"/>
  <c r="S166" i="23"/>
  <c r="R69" i="23"/>
  <c r="M69" i="23"/>
  <c r="L69" i="23"/>
  <c r="K69" i="23"/>
  <c r="R68" i="23"/>
  <c r="M68" i="23"/>
  <c r="L68" i="23"/>
  <c r="K68" i="23"/>
  <c r="E68" i="23"/>
  <c r="T165" i="23" s="1"/>
  <c r="R67" i="23"/>
  <c r="M67" i="23"/>
  <c r="L67" i="23"/>
  <c r="K67" i="23"/>
  <c r="R66" i="23"/>
  <c r="M66" i="23"/>
  <c r="L66" i="23"/>
  <c r="K66" i="23"/>
  <c r="R65" i="23"/>
  <c r="M65" i="23"/>
  <c r="L65" i="23"/>
  <c r="K65" i="23"/>
  <c r="R64" i="23"/>
  <c r="M64" i="23"/>
  <c r="L64" i="23"/>
  <c r="K64" i="23"/>
  <c r="E64" i="23"/>
  <c r="U163" i="23" s="1"/>
  <c r="R63" i="23"/>
  <c r="M63" i="23"/>
  <c r="L63" i="23"/>
  <c r="K63" i="23"/>
  <c r="R62" i="23"/>
  <c r="M62" i="23"/>
  <c r="L62" i="23"/>
  <c r="K62" i="23"/>
  <c r="R61" i="23"/>
  <c r="H162" i="23" s="1"/>
  <c r="M61" i="23"/>
  <c r="D162" i="23" s="1"/>
  <c r="L61" i="23"/>
  <c r="C162" i="23" s="1"/>
  <c r="K61" i="23"/>
  <c r="R60" i="23"/>
  <c r="M60" i="23"/>
  <c r="L60" i="23"/>
  <c r="K60" i="23"/>
  <c r="R59" i="23"/>
  <c r="H161" i="23" s="1"/>
  <c r="M59" i="23"/>
  <c r="L59" i="23"/>
  <c r="K59" i="23"/>
  <c r="R58" i="23"/>
  <c r="M58" i="23"/>
  <c r="L58" i="23"/>
  <c r="K58" i="23"/>
  <c r="R57" i="23"/>
  <c r="J160" i="23" s="1"/>
  <c r="M57" i="23"/>
  <c r="D160" i="23" s="1"/>
  <c r="L57" i="23"/>
  <c r="K57" i="23"/>
  <c r="R56" i="23"/>
  <c r="M56" i="23"/>
  <c r="L56" i="23"/>
  <c r="K56" i="23"/>
  <c r="E56" i="23"/>
  <c r="U159" i="23" s="1"/>
  <c r="R55" i="23"/>
  <c r="M55" i="23"/>
  <c r="L55" i="23"/>
  <c r="K55" i="23"/>
  <c r="R54" i="23"/>
  <c r="M54" i="23"/>
  <c r="L54" i="23"/>
  <c r="K54" i="23"/>
  <c r="R53" i="23"/>
  <c r="M53" i="23"/>
  <c r="L53" i="23"/>
  <c r="K53" i="23"/>
  <c r="B158" i="23" s="1"/>
  <c r="R52" i="23"/>
  <c r="M52" i="23"/>
  <c r="L52" i="23"/>
  <c r="K52" i="23"/>
  <c r="R51" i="23"/>
  <c r="M51" i="23"/>
  <c r="L51" i="23"/>
  <c r="K51" i="23"/>
  <c r="B157" i="23" s="1"/>
  <c r="R50" i="23"/>
  <c r="M50" i="23"/>
  <c r="L50" i="23"/>
  <c r="K50" i="23"/>
  <c r="R49" i="23"/>
  <c r="M49" i="23"/>
  <c r="L49" i="23"/>
  <c r="K49" i="23"/>
  <c r="B156" i="23" s="1"/>
  <c r="R48" i="23"/>
  <c r="M48" i="23"/>
  <c r="L48" i="23"/>
  <c r="K48" i="23"/>
  <c r="B155" i="23" s="1"/>
  <c r="E48" i="23"/>
  <c r="R47" i="23"/>
  <c r="M47" i="23"/>
  <c r="L47" i="23"/>
  <c r="K47" i="23"/>
  <c r="R46" i="23"/>
  <c r="M46" i="23"/>
  <c r="L46" i="23"/>
  <c r="K46" i="23"/>
  <c r="R45" i="23"/>
  <c r="M45" i="23"/>
  <c r="L45" i="23"/>
  <c r="C154" i="23" s="1"/>
  <c r="K45" i="23"/>
  <c r="R44" i="23"/>
  <c r="M44" i="23"/>
  <c r="L44" i="23"/>
  <c r="K44" i="23"/>
  <c r="R43" i="23"/>
  <c r="M43" i="23"/>
  <c r="L43" i="23"/>
  <c r="K43" i="23"/>
  <c r="R42" i="23"/>
  <c r="M42" i="23"/>
  <c r="L42" i="23"/>
  <c r="K42" i="23"/>
  <c r="E42" i="23"/>
  <c r="S152" i="23" s="1"/>
  <c r="R41" i="23"/>
  <c r="M41" i="23"/>
  <c r="L41" i="23"/>
  <c r="K41" i="23"/>
  <c r="R40" i="23"/>
  <c r="M40" i="23"/>
  <c r="L40" i="23"/>
  <c r="K40" i="23"/>
  <c r="R39" i="23"/>
  <c r="M39" i="23"/>
  <c r="L39" i="23"/>
  <c r="K39" i="23"/>
  <c r="R38" i="23"/>
  <c r="M38" i="23"/>
  <c r="L38" i="23"/>
  <c r="K38" i="23"/>
  <c r="E38" i="23"/>
  <c r="S150" i="23" s="1"/>
  <c r="R37" i="23"/>
  <c r="M37" i="23"/>
  <c r="L37" i="23"/>
  <c r="K37" i="23"/>
  <c r="R36" i="23"/>
  <c r="M36" i="23"/>
  <c r="L36" i="23"/>
  <c r="K36" i="23"/>
  <c r="R35" i="23"/>
  <c r="M35" i="23"/>
  <c r="L35" i="23"/>
  <c r="K35" i="23"/>
  <c r="R34" i="23"/>
  <c r="M34" i="23"/>
  <c r="L34" i="23"/>
  <c r="K34" i="23"/>
  <c r="R33" i="23"/>
  <c r="M33" i="23"/>
  <c r="L33" i="23"/>
  <c r="K33" i="23"/>
  <c r="R32" i="23"/>
  <c r="M32" i="23"/>
  <c r="L32" i="23"/>
  <c r="K32" i="23"/>
  <c r="R31" i="23"/>
  <c r="M31" i="23"/>
  <c r="L31" i="23"/>
  <c r="K31" i="23"/>
  <c r="R30" i="23"/>
  <c r="M30" i="23"/>
  <c r="L30" i="23"/>
  <c r="K30" i="23"/>
  <c r="R29" i="23"/>
  <c r="M29" i="23"/>
  <c r="L29" i="23"/>
  <c r="K29" i="23"/>
  <c r="E29" i="23"/>
  <c r="R28" i="23"/>
  <c r="M28" i="23"/>
  <c r="L28" i="23"/>
  <c r="K28" i="23"/>
  <c r="R27" i="23"/>
  <c r="M27" i="23"/>
  <c r="L27" i="23"/>
  <c r="K27" i="23"/>
  <c r="R26" i="23"/>
  <c r="M26" i="23"/>
  <c r="L26" i="23"/>
  <c r="K26" i="23"/>
  <c r="R25" i="23"/>
  <c r="M25" i="23"/>
  <c r="L25" i="23"/>
  <c r="K25" i="23"/>
  <c r="R24" i="23"/>
  <c r="M24" i="23"/>
  <c r="L24" i="23"/>
  <c r="K24" i="23"/>
  <c r="R23" i="23"/>
  <c r="M23" i="23"/>
  <c r="L23" i="23"/>
  <c r="K23" i="23"/>
  <c r="R22" i="23"/>
  <c r="M22" i="23"/>
  <c r="L22" i="23"/>
  <c r="K22" i="23"/>
  <c r="B143" i="23" s="1"/>
  <c r="R21" i="23"/>
  <c r="M21" i="23"/>
  <c r="L21" i="23"/>
  <c r="K21" i="23"/>
  <c r="E21" i="23"/>
  <c r="R20" i="23"/>
  <c r="M20" i="23"/>
  <c r="L20" i="23"/>
  <c r="K20" i="23"/>
  <c r="R19" i="23"/>
  <c r="M19" i="23"/>
  <c r="L19" i="23"/>
  <c r="K19" i="23"/>
  <c r="R18" i="23"/>
  <c r="M18" i="23"/>
  <c r="L18" i="23"/>
  <c r="K18" i="23"/>
  <c r="R17" i="23"/>
  <c r="M17" i="23"/>
  <c r="L17" i="23"/>
  <c r="K17" i="23"/>
  <c r="E17" i="23"/>
  <c r="T140" i="23" s="1"/>
  <c r="R16" i="23"/>
  <c r="M16" i="23"/>
  <c r="L16" i="23"/>
  <c r="K16" i="23"/>
  <c r="R15" i="23"/>
  <c r="M15" i="23"/>
  <c r="L15" i="23"/>
  <c r="K15" i="23"/>
  <c r="E15" i="23"/>
  <c r="S139" i="23" s="1"/>
  <c r="R14" i="23"/>
  <c r="M14" i="23"/>
  <c r="L14" i="23"/>
  <c r="K14" i="23"/>
  <c r="R13" i="23"/>
  <c r="M13" i="23"/>
  <c r="L13" i="23"/>
  <c r="K13" i="23"/>
  <c r="R12" i="23"/>
  <c r="M12" i="23"/>
  <c r="L12" i="23"/>
  <c r="K12" i="23"/>
  <c r="R11" i="23"/>
  <c r="M11" i="23"/>
  <c r="L11" i="23"/>
  <c r="K11" i="23"/>
  <c r="R10" i="23"/>
  <c r="M10" i="23"/>
  <c r="L10" i="23"/>
  <c r="K10" i="23"/>
  <c r="R9" i="23"/>
  <c r="M9" i="23"/>
  <c r="L9" i="23"/>
  <c r="K9" i="23"/>
  <c r="R8" i="23"/>
  <c r="M8" i="23"/>
  <c r="L8" i="23"/>
  <c r="K8" i="23"/>
  <c r="U186" i="24"/>
  <c r="T186" i="24"/>
  <c r="S186" i="24"/>
  <c r="U184" i="24"/>
  <c r="T184" i="24"/>
  <c r="S184" i="24"/>
  <c r="U183" i="24"/>
  <c r="T183" i="24"/>
  <c r="S183" i="24"/>
  <c r="U182" i="24"/>
  <c r="T182" i="24"/>
  <c r="S182" i="24"/>
  <c r="U178" i="24"/>
  <c r="T178" i="24"/>
  <c r="S178" i="24"/>
  <c r="U174" i="24"/>
  <c r="T174" i="24"/>
  <c r="S174" i="24"/>
  <c r="U170" i="24"/>
  <c r="T170" i="24"/>
  <c r="S170" i="24"/>
  <c r="U166" i="24"/>
  <c r="T166" i="24"/>
  <c r="S166" i="24"/>
  <c r="U162" i="24"/>
  <c r="T162" i="24"/>
  <c r="S162" i="24"/>
  <c r="U160" i="24"/>
  <c r="T160" i="24"/>
  <c r="S160" i="24"/>
  <c r="U159" i="24"/>
  <c r="T159" i="24"/>
  <c r="S159" i="24"/>
  <c r="U158" i="24"/>
  <c r="T158" i="24"/>
  <c r="S158" i="24"/>
  <c r="W158" i="24" s="1"/>
  <c r="U156" i="24"/>
  <c r="T156" i="24"/>
  <c r="S156" i="24"/>
  <c r="U155" i="24"/>
  <c r="T155" i="24"/>
  <c r="S155" i="24"/>
  <c r="U154" i="24"/>
  <c r="T154" i="24"/>
  <c r="S154" i="24"/>
  <c r="U152" i="24"/>
  <c r="T152" i="24"/>
  <c r="S152" i="24"/>
  <c r="U151" i="24"/>
  <c r="T151" i="24"/>
  <c r="S151" i="24"/>
  <c r="U150" i="24"/>
  <c r="T150" i="24"/>
  <c r="S150" i="24"/>
  <c r="U148" i="24"/>
  <c r="T148" i="24"/>
  <c r="S148" i="24"/>
  <c r="U147" i="24"/>
  <c r="T147" i="24"/>
  <c r="S147" i="24"/>
  <c r="U146" i="24"/>
  <c r="T146" i="24"/>
  <c r="S146" i="24"/>
  <c r="U144" i="24"/>
  <c r="T144" i="24"/>
  <c r="S144" i="24"/>
  <c r="U143" i="24"/>
  <c r="T143" i="24"/>
  <c r="S143" i="24"/>
  <c r="U142" i="24"/>
  <c r="T142" i="24"/>
  <c r="S142" i="24"/>
  <c r="U140" i="24"/>
  <c r="T140" i="24"/>
  <c r="S140" i="24"/>
  <c r="U139" i="24"/>
  <c r="T139" i="24"/>
  <c r="S139" i="24"/>
  <c r="U138" i="24"/>
  <c r="T138" i="24"/>
  <c r="S138" i="24"/>
  <c r="W138" i="24" s="1"/>
  <c r="U136" i="24"/>
  <c r="T136" i="24"/>
  <c r="S136" i="24"/>
  <c r="U135" i="24"/>
  <c r="T135" i="24"/>
  <c r="S135" i="24"/>
  <c r="U134" i="24"/>
  <c r="T134" i="24"/>
  <c r="S134" i="24"/>
  <c r="R113" i="24"/>
  <c r="R112" i="24"/>
  <c r="M112" i="24"/>
  <c r="L112" i="24"/>
  <c r="K112" i="24"/>
  <c r="B186" i="24" s="1"/>
  <c r="R111" i="24"/>
  <c r="M111" i="24"/>
  <c r="L111" i="24"/>
  <c r="K111" i="24"/>
  <c r="E111" i="24"/>
  <c r="U185" i="24" s="1"/>
  <c r="R110" i="24"/>
  <c r="M110" i="24"/>
  <c r="L110" i="24"/>
  <c r="K110" i="24"/>
  <c r="R109" i="24"/>
  <c r="M109" i="24"/>
  <c r="L109" i="24"/>
  <c r="K109" i="24"/>
  <c r="R108" i="24"/>
  <c r="H184" i="24" s="1"/>
  <c r="M108" i="24"/>
  <c r="L108" i="24"/>
  <c r="K108" i="24"/>
  <c r="R107" i="24"/>
  <c r="M107" i="24"/>
  <c r="L107" i="24"/>
  <c r="K107" i="24"/>
  <c r="R106" i="24"/>
  <c r="M106" i="24"/>
  <c r="D183" i="24" s="1"/>
  <c r="L106" i="24"/>
  <c r="C183" i="24" s="1"/>
  <c r="K106" i="24"/>
  <c r="R105" i="24"/>
  <c r="M105" i="24"/>
  <c r="L105" i="24"/>
  <c r="K105" i="24"/>
  <c r="R104" i="24"/>
  <c r="L104" i="24"/>
  <c r="K104" i="24"/>
  <c r="R103" i="24"/>
  <c r="M103" i="24"/>
  <c r="L103" i="24"/>
  <c r="K103" i="24"/>
  <c r="E103" i="24"/>
  <c r="R102" i="24"/>
  <c r="M102" i="24"/>
  <c r="L102" i="24"/>
  <c r="K102" i="24"/>
  <c r="R101" i="24"/>
  <c r="M101" i="24"/>
  <c r="L101" i="24"/>
  <c r="K101" i="24"/>
  <c r="E101" i="24"/>
  <c r="R100" i="24"/>
  <c r="M100" i="24"/>
  <c r="L100" i="24"/>
  <c r="K100" i="24"/>
  <c r="R99" i="24"/>
  <c r="M99" i="24"/>
  <c r="L99" i="24"/>
  <c r="K99" i="24"/>
  <c r="E99" i="24"/>
  <c r="R98" i="24"/>
  <c r="M98" i="24"/>
  <c r="L98" i="24"/>
  <c r="K98" i="24"/>
  <c r="R97" i="24"/>
  <c r="M97" i="24"/>
  <c r="L97" i="24"/>
  <c r="K97" i="24"/>
  <c r="R96" i="24"/>
  <c r="M96" i="24"/>
  <c r="L96" i="24"/>
  <c r="K96" i="24"/>
  <c r="B178" i="24" s="1"/>
  <c r="R95" i="24"/>
  <c r="M95" i="24"/>
  <c r="L95" i="24"/>
  <c r="K95" i="24"/>
  <c r="E95" i="24"/>
  <c r="S177" i="24" s="1"/>
  <c r="R94" i="24"/>
  <c r="M94" i="24"/>
  <c r="L94" i="24"/>
  <c r="K94" i="24"/>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R86" i="24"/>
  <c r="M86" i="24"/>
  <c r="L86" i="24"/>
  <c r="K86" i="24"/>
  <c r="R85" i="24"/>
  <c r="M85" i="24"/>
  <c r="L85" i="24"/>
  <c r="K85" i="24"/>
  <c r="E85" i="24"/>
  <c r="R84" i="24"/>
  <c r="M84" i="24"/>
  <c r="L84" i="24"/>
  <c r="K84" i="24"/>
  <c r="R83" i="24"/>
  <c r="M83" i="24"/>
  <c r="L83" i="24"/>
  <c r="K83" i="24"/>
  <c r="E83" i="24"/>
  <c r="R82" i="24"/>
  <c r="M82" i="24"/>
  <c r="L82" i="24"/>
  <c r="K82" i="24"/>
  <c r="R81" i="24"/>
  <c r="M81" i="24"/>
  <c r="L81" i="24"/>
  <c r="K81" i="24"/>
  <c r="R80" i="24"/>
  <c r="M80" i="24"/>
  <c r="L80" i="24"/>
  <c r="K80" i="24"/>
  <c r="B170" i="24" s="1"/>
  <c r="R79" i="24"/>
  <c r="M79" i="24"/>
  <c r="L79" i="24"/>
  <c r="K79" i="24"/>
  <c r="E79" i="24"/>
  <c r="U169" i="24" s="1"/>
  <c r="R78" i="24"/>
  <c r="M78" i="24"/>
  <c r="L78" i="24"/>
  <c r="K78" i="24"/>
  <c r="R77" i="24"/>
  <c r="M77" i="24"/>
  <c r="L77" i="24"/>
  <c r="K77" i="24"/>
  <c r="E77" i="24"/>
  <c r="T168" i="24" s="1"/>
  <c r="R76" i="24"/>
  <c r="M76" i="24"/>
  <c r="L76" i="24"/>
  <c r="K76" i="24"/>
  <c r="R75" i="24"/>
  <c r="M75" i="24"/>
  <c r="L75" i="24"/>
  <c r="K75" i="24"/>
  <c r="E75" i="24"/>
  <c r="U167" i="24" s="1"/>
  <c r="R74" i="24"/>
  <c r="M74" i="24"/>
  <c r="L74" i="24"/>
  <c r="K74" i="24"/>
  <c r="R73" i="24"/>
  <c r="M73" i="24"/>
  <c r="L73" i="24"/>
  <c r="K73" i="24"/>
  <c r="R72" i="24"/>
  <c r="M72" i="24"/>
  <c r="L72" i="24"/>
  <c r="K72" i="24"/>
  <c r="R71" i="24"/>
  <c r="M71" i="24"/>
  <c r="L71" i="24"/>
  <c r="K71" i="24"/>
  <c r="E71" i="24"/>
  <c r="R70" i="24"/>
  <c r="M70" i="24"/>
  <c r="L70" i="24"/>
  <c r="K70" i="24"/>
  <c r="R69" i="24"/>
  <c r="M69" i="24"/>
  <c r="L69" i="24"/>
  <c r="K69" i="24"/>
  <c r="E69" i="24"/>
  <c r="U164" i="24" s="1"/>
  <c r="R68" i="24"/>
  <c r="M68" i="24"/>
  <c r="L68" i="24"/>
  <c r="K68" i="24"/>
  <c r="R67" i="24"/>
  <c r="M67" i="24"/>
  <c r="L67" i="24"/>
  <c r="K67" i="24"/>
  <c r="E67" i="24"/>
  <c r="U163" i="24" s="1"/>
  <c r="R66" i="24"/>
  <c r="M66" i="24"/>
  <c r="L66" i="24"/>
  <c r="C163" i="24" s="1"/>
  <c r="K66" i="24"/>
  <c r="R65" i="24"/>
  <c r="M65" i="24"/>
  <c r="L65" i="24"/>
  <c r="K65" i="24"/>
  <c r="R64" i="24"/>
  <c r="M64" i="24"/>
  <c r="D162" i="24" s="1"/>
  <c r="L64" i="24"/>
  <c r="K64" i="24"/>
  <c r="B162" i="24" s="1"/>
  <c r="R63" i="24"/>
  <c r="M63" i="24"/>
  <c r="L63" i="24"/>
  <c r="K63" i="24"/>
  <c r="E63" i="24"/>
  <c r="U161" i="24" s="1"/>
  <c r="R62" i="24"/>
  <c r="M62" i="24"/>
  <c r="L62" i="24"/>
  <c r="K62" i="24"/>
  <c r="R61" i="24"/>
  <c r="M61" i="24"/>
  <c r="L61" i="24"/>
  <c r="K61" i="24"/>
  <c r="R60" i="24"/>
  <c r="H160" i="24" s="1"/>
  <c r="M60" i="24"/>
  <c r="D160" i="24" s="1"/>
  <c r="L60" i="24"/>
  <c r="K60" i="24"/>
  <c r="R59" i="24"/>
  <c r="M59" i="24"/>
  <c r="L59" i="24"/>
  <c r="K59" i="24"/>
  <c r="R58" i="24"/>
  <c r="H159" i="24" s="1"/>
  <c r="M58" i="24"/>
  <c r="D159" i="24" s="1"/>
  <c r="L58" i="24"/>
  <c r="C159" i="24" s="1"/>
  <c r="K58" i="24"/>
  <c r="R57" i="24"/>
  <c r="M57" i="24"/>
  <c r="L57" i="24"/>
  <c r="K57" i="24"/>
  <c r="R56" i="24"/>
  <c r="H158" i="24" s="1"/>
  <c r="M56" i="24"/>
  <c r="L56" i="24"/>
  <c r="K56" i="24"/>
  <c r="R55" i="24"/>
  <c r="M55" i="24"/>
  <c r="L55" i="24"/>
  <c r="K55" i="24"/>
  <c r="E55" i="24"/>
  <c r="S157" i="24" s="1"/>
  <c r="R54" i="24"/>
  <c r="M54" i="24"/>
  <c r="L54" i="24"/>
  <c r="K54" i="24"/>
  <c r="R53" i="24"/>
  <c r="M53" i="24"/>
  <c r="L53" i="24"/>
  <c r="K53" i="24"/>
  <c r="R52" i="24"/>
  <c r="M52" i="24"/>
  <c r="L52" i="24"/>
  <c r="K52" i="24"/>
  <c r="R51" i="24"/>
  <c r="M51" i="24"/>
  <c r="L51" i="24"/>
  <c r="K51" i="24"/>
  <c r="R50" i="24"/>
  <c r="H155" i="24" s="1"/>
  <c r="M50" i="24"/>
  <c r="L50" i="24"/>
  <c r="K50" i="24"/>
  <c r="R49" i="24"/>
  <c r="M49" i="24"/>
  <c r="L49" i="24"/>
  <c r="K49" i="24"/>
  <c r="R48" i="24"/>
  <c r="M48" i="24"/>
  <c r="L48" i="24"/>
  <c r="K48" i="24"/>
  <c r="R47" i="24"/>
  <c r="M47" i="24"/>
  <c r="L47" i="24"/>
  <c r="K47" i="24"/>
  <c r="E47" i="24"/>
  <c r="T153" i="24" s="1"/>
  <c r="R46" i="24"/>
  <c r="M46" i="24"/>
  <c r="L46" i="24"/>
  <c r="K46" i="24"/>
  <c r="R45" i="24"/>
  <c r="M45" i="24"/>
  <c r="L45" i="24"/>
  <c r="K45" i="24"/>
  <c r="R44" i="24"/>
  <c r="M44" i="24"/>
  <c r="L44" i="24"/>
  <c r="K44" i="24"/>
  <c r="R43" i="24"/>
  <c r="M43" i="24"/>
  <c r="L43" i="24"/>
  <c r="K43" i="24"/>
  <c r="R42" i="24"/>
  <c r="M42" i="24"/>
  <c r="L42" i="24"/>
  <c r="K42" i="24"/>
  <c r="R41" i="24"/>
  <c r="M41" i="24"/>
  <c r="L41" i="24"/>
  <c r="K41" i="24"/>
  <c r="R40" i="24"/>
  <c r="M40" i="24"/>
  <c r="L40" i="24"/>
  <c r="K40" i="24"/>
  <c r="R39" i="24"/>
  <c r="M39" i="24"/>
  <c r="L39" i="24"/>
  <c r="K39" i="24"/>
  <c r="E39" i="24"/>
  <c r="R38" i="24"/>
  <c r="M38" i="24"/>
  <c r="L38" i="24"/>
  <c r="K38" i="24"/>
  <c r="R37" i="24"/>
  <c r="M37" i="24"/>
  <c r="L37" i="24"/>
  <c r="K37" i="24"/>
  <c r="R36" i="24"/>
  <c r="M36" i="24"/>
  <c r="L36" i="24"/>
  <c r="K36" i="24"/>
  <c r="R35" i="24"/>
  <c r="M35" i="24"/>
  <c r="L35" i="24"/>
  <c r="K35" i="24"/>
  <c r="R34" i="24"/>
  <c r="M34" i="24"/>
  <c r="L34" i="24"/>
  <c r="K34" i="24"/>
  <c r="R33" i="24"/>
  <c r="M33" i="24"/>
  <c r="L33" i="24"/>
  <c r="K33" i="24"/>
  <c r="R32" i="24"/>
  <c r="M32" i="24"/>
  <c r="L32" i="24"/>
  <c r="K32" i="24"/>
  <c r="B146" i="24" s="1"/>
  <c r="R31" i="24"/>
  <c r="M31" i="24"/>
  <c r="L31" i="24"/>
  <c r="K31" i="24"/>
  <c r="E31" i="24"/>
  <c r="S145" i="24" s="1"/>
  <c r="R30" i="24"/>
  <c r="M30" i="24"/>
  <c r="L30" i="24"/>
  <c r="K30" i="24"/>
  <c r="R29" i="24"/>
  <c r="M29" i="24"/>
  <c r="L29" i="24"/>
  <c r="K29" i="24"/>
  <c r="R28" i="24"/>
  <c r="M28" i="24"/>
  <c r="L28" i="24"/>
  <c r="C144" i="24" s="1"/>
  <c r="K28" i="24"/>
  <c r="R27" i="24"/>
  <c r="M27" i="24"/>
  <c r="L27" i="24"/>
  <c r="K27" i="24"/>
  <c r="R26" i="24"/>
  <c r="M26" i="24"/>
  <c r="L26" i="24"/>
  <c r="K26" i="24"/>
  <c r="R25" i="24"/>
  <c r="M25" i="24"/>
  <c r="L25" i="24"/>
  <c r="K25" i="24"/>
  <c r="R24" i="24"/>
  <c r="M24" i="24"/>
  <c r="L24" i="24"/>
  <c r="C142" i="24" s="1"/>
  <c r="K24" i="24"/>
  <c r="B142" i="24" s="1"/>
  <c r="R23" i="24"/>
  <c r="M23" i="24"/>
  <c r="L23" i="24"/>
  <c r="K23" i="24"/>
  <c r="E23" i="24"/>
  <c r="U141" i="24" s="1"/>
  <c r="R22" i="24"/>
  <c r="M22" i="24"/>
  <c r="L22" i="24"/>
  <c r="K22" i="24"/>
  <c r="R21" i="24"/>
  <c r="M21" i="24"/>
  <c r="L21" i="24"/>
  <c r="K21" i="24"/>
  <c r="R20" i="24"/>
  <c r="M20" i="24"/>
  <c r="D140" i="24" s="1"/>
  <c r="L20" i="24"/>
  <c r="C140" i="24" s="1"/>
  <c r="K20" i="24"/>
  <c r="B140" i="24" s="1"/>
  <c r="R19" i="24"/>
  <c r="M19" i="24"/>
  <c r="L19" i="24"/>
  <c r="K19" i="24"/>
  <c r="R18" i="24"/>
  <c r="M18" i="24"/>
  <c r="D139" i="24" s="1"/>
  <c r="L18" i="24"/>
  <c r="C139" i="24" s="1"/>
  <c r="K18" i="24"/>
  <c r="B139" i="24" s="1"/>
  <c r="R17" i="24"/>
  <c r="M17" i="24"/>
  <c r="L17" i="24"/>
  <c r="K17" i="24"/>
  <c r="R16" i="24"/>
  <c r="M16" i="24"/>
  <c r="D138" i="24" s="1"/>
  <c r="L16" i="24"/>
  <c r="K16" i="24"/>
  <c r="R15" i="24"/>
  <c r="M15" i="24"/>
  <c r="L15" i="24"/>
  <c r="K15" i="24"/>
  <c r="E15" i="24"/>
  <c r="R14" i="24"/>
  <c r="M14" i="24"/>
  <c r="L14" i="24"/>
  <c r="K14" i="24"/>
  <c r="R13" i="24"/>
  <c r="M13" i="24"/>
  <c r="L13" i="24"/>
  <c r="K13" i="24"/>
  <c r="R12" i="24"/>
  <c r="L136" i="24" s="1"/>
  <c r="M12" i="24"/>
  <c r="D136" i="24" s="1"/>
  <c r="L12" i="24"/>
  <c r="K12" i="24"/>
  <c r="R11" i="24"/>
  <c r="M11" i="24"/>
  <c r="L11" i="24"/>
  <c r="K11" i="24"/>
  <c r="R10" i="24"/>
  <c r="M10" i="24"/>
  <c r="L10" i="24"/>
  <c r="K10" i="24"/>
  <c r="R9" i="24"/>
  <c r="M9" i="24"/>
  <c r="L9" i="24"/>
  <c r="K9" i="24"/>
  <c r="R8" i="24"/>
  <c r="M8" i="24"/>
  <c r="L8" i="24"/>
  <c r="K8" i="24"/>
  <c r="U186" i="25"/>
  <c r="T186" i="25"/>
  <c r="S186" i="25"/>
  <c r="U185" i="25"/>
  <c r="T185" i="25"/>
  <c r="S185" i="25"/>
  <c r="U183" i="25"/>
  <c r="T183" i="25"/>
  <c r="S183" i="25"/>
  <c r="U182" i="25"/>
  <c r="T182" i="25"/>
  <c r="S182" i="25"/>
  <c r="U181" i="25"/>
  <c r="T181" i="25"/>
  <c r="S181" i="25"/>
  <c r="U178" i="25"/>
  <c r="T178" i="25"/>
  <c r="S178" i="25"/>
  <c r="W178" i="25" s="1"/>
  <c r="U174" i="25"/>
  <c r="T174" i="25"/>
  <c r="S174" i="25"/>
  <c r="U166" i="25"/>
  <c r="T166" i="25"/>
  <c r="S166" i="25"/>
  <c r="U161" i="25"/>
  <c r="T161" i="25"/>
  <c r="S161" i="25"/>
  <c r="U158" i="25"/>
  <c r="T158" i="25"/>
  <c r="S158" i="25"/>
  <c r="U157" i="25"/>
  <c r="T157" i="25"/>
  <c r="S157" i="25"/>
  <c r="W157" i="25" s="1"/>
  <c r="U154" i="25"/>
  <c r="T154" i="25"/>
  <c r="U151" i="25"/>
  <c r="T151" i="25"/>
  <c r="U149" i="25"/>
  <c r="T149" i="25"/>
  <c r="S149" i="25"/>
  <c r="U148" i="25"/>
  <c r="T148" i="25"/>
  <c r="S148" i="25"/>
  <c r="U146" i="25"/>
  <c r="T146" i="25"/>
  <c r="S146" i="25"/>
  <c r="U145" i="25"/>
  <c r="T145" i="25"/>
  <c r="S145" i="25"/>
  <c r="U141" i="25"/>
  <c r="T141" i="25"/>
  <c r="S141" i="25"/>
  <c r="U140" i="25"/>
  <c r="T140" i="25"/>
  <c r="S140" i="25"/>
  <c r="U139" i="25"/>
  <c r="T139" i="25"/>
  <c r="S139" i="25"/>
  <c r="U137" i="25"/>
  <c r="T137" i="25"/>
  <c r="S137" i="25"/>
  <c r="U136" i="25"/>
  <c r="T136" i="25"/>
  <c r="S136" i="25"/>
  <c r="U135" i="25"/>
  <c r="T135" i="25"/>
  <c r="S135" i="25"/>
  <c r="R113" i="25"/>
  <c r="M113" i="25"/>
  <c r="L113" i="25"/>
  <c r="K113" i="25"/>
  <c r="R112" i="25"/>
  <c r="H186" i="25" s="1"/>
  <c r="M112" i="25"/>
  <c r="D186" i="25" s="1"/>
  <c r="L112" i="25"/>
  <c r="C186" i="25" s="1"/>
  <c r="K112" i="25"/>
  <c r="R111" i="25"/>
  <c r="M111" i="25"/>
  <c r="L111" i="25"/>
  <c r="K111" i="25"/>
  <c r="R110" i="25"/>
  <c r="M110" i="25"/>
  <c r="L110" i="25"/>
  <c r="K110" i="25"/>
  <c r="R109" i="25"/>
  <c r="M109" i="25"/>
  <c r="L109" i="25"/>
  <c r="K109" i="25"/>
  <c r="E109" i="25"/>
  <c r="R108" i="25"/>
  <c r="M108" i="25"/>
  <c r="L108" i="25"/>
  <c r="K108" i="25"/>
  <c r="R107" i="25"/>
  <c r="M107" i="25"/>
  <c r="L107" i="25"/>
  <c r="K107" i="25"/>
  <c r="R106" i="25"/>
  <c r="L183" i="25" s="1"/>
  <c r="M106" i="25"/>
  <c r="L106" i="25"/>
  <c r="C183" i="25" s="1"/>
  <c r="K106" i="25"/>
  <c r="B183" i="25" s="1"/>
  <c r="R105" i="25"/>
  <c r="M105" i="25"/>
  <c r="L105" i="25"/>
  <c r="K105" i="25"/>
  <c r="R104" i="25"/>
  <c r="M104" i="25"/>
  <c r="D182" i="25" s="1"/>
  <c r="L104" i="25"/>
  <c r="C182" i="25" s="1"/>
  <c r="K104" i="25"/>
  <c r="B182" i="25" s="1"/>
  <c r="R103" i="25"/>
  <c r="M103" i="25"/>
  <c r="L103" i="25"/>
  <c r="K103" i="25"/>
  <c r="R102" i="25"/>
  <c r="L181" i="25" s="1"/>
  <c r="M102" i="25"/>
  <c r="D181" i="25" s="1"/>
  <c r="L102" i="25"/>
  <c r="C181" i="25" s="1"/>
  <c r="K102" i="25"/>
  <c r="R101" i="25"/>
  <c r="M101" i="25"/>
  <c r="L101" i="25"/>
  <c r="K101" i="25"/>
  <c r="E101" i="25"/>
  <c r="R100" i="25"/>
  <c r="L180" i="25" s="1"/>
  <c r="M100" i="25"/>
  <c r="L100" i="25"/>
  <c r="K100" i="25"/>
  <c r="R99" i="25"/>
  <c r="M99" i="25"/>
  <c r="L99" i="25"/>
  <c r="K99" i="25"/>
  <c r="N99" i="25" s="1"/>
  <c r="E99" i="25"/>
  <c r="U179" i="25" s="1"/>
  <c r="R98" i="25"/>
  <c r="M98" i="25"/>
  <c r="L98" i="25"/>
  <c r="K98" i="25"/>
  <c r="R97" i="25"/>
  <c r="M97" i="25"/>
  <c r="L97" i="25"/>
  <c r="K97" i="25"/>
  <c r="R96" i="25"/>
  <c r="L178" i="25" s="1"/>
  <c r="M96" i="25"/>
  <c r="L96" i="25"/>
  <c r="C178" i="25" s="1"/>
  <c r="K96" i="25"/>
  <c r="R95" i="25"/>
  <c r="M95" i="25"/>
  <c r="L95" i="25"/>
  <c r="K95" i="25"/>
  <c r="E95" i="25"/>
  <c r="S177" i="25" s="1"/>
  <c r="R94" i="25"/>
  <c r="M94" i="25"/>
  <c r="L94" i="25"/>
  <c r="K94" i="25"/>
  <c r="R93" i="25"/>
  <c r="M93" i="25"/>
  <c r="L93" i="25"/>
  <c r="K93" i="25"/>
  <c r="E93" i="25"/>
  <c r="T176" i="25" s="1"/>
  <c r="R92" i="25"/>
  <c r="L176" i="25" s="1"/>
  <c r="M92" i="25"/>
  <c r="L92" i="25"/>
  <c r="C176" i="25" s="1"/>
  <c r="K92" i="25"/>
  <c r="R91" i="25"/>
  <c r="M91" i="25"/>
  <c r="L91" i="25"/>
  <c r="K91" i="25"/>
  <c r="E91" i="25"/>
  <c r="T175" i="25" s="1"/>
  <c r="R90" i="25"/>
  <c r="M90" i="25"/>
  <c r="L90" i="25"/>
  <c r="K90" i="25"/>
  <c r="R89" i="25"/>
  <c r="M89" i="25"/>
  <c r="L89" i="25"/>
  <c r="K89" i="25"/>
  <c r="R88" i="25"/>
  <c r="M88" i="25"/>
  <c r="D174" i="25" s="1"/>
  <c r="L88" i="25"/>
  <c r="C174" i="25" s="1"/>
  <c r="K88" i="25"/>
  <c r="R87" i="25"/>
  <c r="M87" i="25"/>
  <c r="L87" i="25"/>
  <c r="K87" i="25"/>
  <c r="E87" i="25"/>
  <c r="U173" i="25"/>
  <c r="R86" i="25"/>
  <c r="M86" i="25"/>
  <c r="L86" i="25"/>
  <c r="K86" i="25"/>
  <c r="R85" i="25"/>
  <c r="M85" i="25"/>
  <c r="L85" i="25"/>
  <c r="K85" i="25"/>
  <c r="E85" i="25"/>
  <c r="R84" i="25"/>
  <c r="L172" i="25" s="1"/>
  <c r="M84" i="25"/>
  <c r="L84" i="25"/>
  <c r="K84" i="25"/>
  <c r="R83" i="25"/>
  <c r="M83" i="25"/>
  <c r="L83" i="25"/>
  <c r="K83" i="25"/>
  <c r="E83" i="25"/>
  <c r="T171" i="25" s="1"/>
  <c r="R82" i="25"/>
  <c r="M82" i="25"/>
  <c r="L82" i="25"/>
  <c r="K82" i="25"/>
  <c r="R81" i="25"/>
  <c r="M81" i="25"/>
  <c r="L81" i="25"/>
  <c r="K81" i="25"/>
  <c r="E81" i="25"/>
  <c r="S170" i="25" s="1"/>
  <c r="R80" i="25"/>
  <c r="M80" i="25"/>
  <c r="L80" i="25"/>
  <c r="K80" i="25"/>
  <c r="R79" i="25"/>
  <c r="M79" i="25"/>
  <c r="L79" i="25"/>
  <c r="K79" i="25"/>
  <c r="E79" i="25"/>
  <c r="U169" i="25" s="1"/>
  <c r="R78" i="25"/>
  <c r="M78" i="25"/>
  <c r="N78" i="25" s="1"/>
  <c r="L78" i="25"/>
  <c r="K78" i="25"/>
  <c r="R77" i="25"/>
  <c r="M77" i="25"/>
  <c r="L77" i="25"/>
  <c r="K77" i="25"/>
  <c r="E77" i="25"/>
  <c r="R76" i="25"/>
  <c r="H168" i="25" s="1"/>
  <c r="M76" i="25"/>
  <c r="L76" i="25"/>
  <c r="K76" i="25"/>
  <c r="R75" i="25"/>
  <c r="M75" i="25"/>
  <c r="L75" i="25"/>
  <c r="K75" i="25"/>
  <c r="E75" i="25"/>
  <c r="U167" i="25" s="1"/>
  <c r="R74" i="25"/>
  <c r="M74" i="25"/>
  <c r="L74" i="25"/>
  <c r="K74" i="25"/>
  <c r="R73" i="25"/>
  <c r="M73" i="25"/>
  <c r="L73" i="25"/>
  <c r="K73" i="25"/>
  <c r="R72" i="25"/>
  <c r="M72" i="25"/>
  <c r="L72" i="25"/>
  <c r="K72" i="25"/>
  <c r="R71" i="25"/>
  <c r="M71" i="25"/>
  <c r="L71" i="25"/>
  <c r="K71" i="25"/>
  <c r="N71" i="25" s="1"/>
  <c r="E71" i="25"/>
  <c r="U165" i="25" s="1"/>
  <c r="R70" i="25"/>
  <c r="M70" i="25"/>
  <c r="L70" i="25"/>
  <c r="C165" i="25" s="1"/>
  <c r="K70" i="25"/>
  <c r="R69" i="25"/>
  <c r="M69" i="25"/>
  <c r="L69" i="25"/>
  <c r="K69" i="25"/>
  <c r="E69" i="25"/>
  <c r="R68" i="25"/>
  <c r="N68" i="25"/>
  <c r="R67" i="25"/>
  <c r="M67" i="25"/>
  <c r="L67" i="25"/>
  <c r="K67" i="25"/>
  <c r="E67" i="25"/>
  <c r="R66" i="25"/>
  <c r="M66" i="25"/>
  <c r="L66" i="25"/>
  <c r="K66" i="25"/>
  <c r="R65" i="25"/>
  <c r="M65" i="25"/>
  <c r="L65" i="25"/>
  <c r="K65" i="25"/>
  <c r="E65" i="25"/>
  <c r="R64" i="25"/>
  <c r="L162" i="25" s="1"/>
  <c r="M64" i="25"/>
  <c r="D162" i="25" s="1"/>
  <c r="L64" i="25"/>
  <c r="K64" i="25"/>
  <c r="R63" i="25"/>
  <c r="M63" i="25"/>
  <c r="L63" i="25"/>
  <c r="K63" i="25"/>
  <c r="R62" i="25"/>
  <c r="L161" i="25" s="1"/>
  <c r="M62" i="25"/>
  <c r="L62" i="25"/>
  <c r="K62" i="25"/>
  <c r="B161" i="25" s="1"/>
  <c r="R61" i="25"/>
  <c r="M61" i="25"/>
  <c r="L61" i="25"/>
  <c r="K61" i="25"/>
  <c r="E61" i="25"/>
  <c r="U160" i="25" s="1"/>
  <c r="R60" i="25"/>
  <c r="M60" i="25"/>
  <c r="L60" i="25"/>
  <c r="K60" i="25"/>
  <c r="R59" i="25"/>
  <c r="M59" i="25"/>
  <c r="L59" i="25"/>
  <c r="K59" i="25"/>
  <c r="E59" i="25"/>
  <c r="R58" i="25"/>
  <c r="M58" i="25"/>
  <c r="L58" i="25"/>
  <c r="K58" i="25"/>
  <c r="R57" i="25"/>
  <c r="M57" i="25"/>
  <c r="L57" i="25"/>
  <c r="K57" i="25"/>
  <c r="R56" i="25"/>
  <c r="M56" i="25"/>
  <c r="L56" i="25"/>
  <c r="K56" i="25"/>
  <c r="B158" i="25" s="1"/>
  <c r="R55" i="25"/>
  <c r="M55" i="25"/>
  <c r="L55" i="25"/>
  <c r="K55" i="25"/>
  <c r="R54" i="25"/>
  <c r="M54" i="25"/>
  <c r="L54" i="25"/>
  <c r="K54" i="25"/>
  <c r="R53" i="25"/>
  <c r="M53" i="25"/>
  <c r="L53" i="25"/>
  <c r="K53" i="25"/>
  <c r="E53" i="25"/>
  <c r="R52" i="25"/>
  <c r="M52" i="25"/>
  <c r="L52" i="25"/>
  <c r="K52" i="25"/>
  <c r="R51" i="25"/>
  <c r="M51" i="25"/>
  <c r="L51" i="25"/>
  <c r="K51" i="25"/>
  <c r="E51" i="25"/>
  <c r="O50" i="25"/>
  <c r="R50" i="25" s="1"/>
  <c r="M50" i="25"/>
  <c r="L50" i="25"/>
  <c r="K50" i="25"/>
  <c r="O49" i="25"/>
  <c r="R49" i="25" s="1"/>
  <c r="M49" i="25"/>
  <c r="L49" i="25"/>
  <c r="K49" i="25"/>
  <c r="O48" i="25"/>
  <c r="M48" i="25"/>
  <c r="N48" i="25" s="1"/>
  <c r="L48" i="25"/>
  <c r="K48" i="25"/>
  <c r="O47" i="25"/>
  <c r="M47" i="25"/>
  <c r="L47" i="25"/>
  <c r="K47" i="25"/>
  <c r="E47" i="25"/>
  <c r="T153" i="25" s="1"/>
  <c r="R46" i="25"/>
  <c r="M46" i="25"/>
  <c r="L46" i="25"/>
  <c r="K46" i="25"/>
  <c r="R45" i="25"/>
  <c r="M45" i="25"/>
  <c r="L45" i="25"/>
  <c r="K45" i="25"/>
  <c r="E45" i="25"/>
  <c r="O44" i="25"/>
  <c r="R44" i="25" s="1"/>
  <c r="M44" i="25"/>
  <c r="L44" i="25"/>
  <c r="K44" i="25"/>
  <c r="O43" i="25"/>
  <c r="R43" i="25" s="1"/>
  <c r="M43" i="25"/>
  <c r="L43" i="25"/>
  <c r="K43" i="25"/>
  <c r="O42" i="25"/>
  <c r="R42" i="25" s="1"/>
  <c r="M42" i="25"/>
  <c r="L42" i="25"/>
  <c r="K42" i="25"/>
  <c r="B151" i="25" s="1"/>
  <c r="O41" i="25"/>
  <c r="M41" i="25"/>
  <c r="L41" i="25"/>
  <c r="K41" i="25"/>
  <c r="E41" i="25"/>
  <c r="T150" i="25" s="1"/>
  <c r="R40" i="25"/>
  <c r="M40" i="25"/>
  <c r="L40" i="25"/>
  <c r="N40" i="25" s="1"/>
  <c r="K40" i="25"/>
  <c r="R39" i="25"/>
  <c r="M39" i="25"/>
  <c r="L39" i="25"/>
  <c r="N39" i="25" s="1"/>
  <c r="K39" i="25"/>
  <c r="R38" i="25"/>
  <c r="H149" i="25" s="1"/>
  <c r="M38" i="25"/>
  <c r="L38" i="25"/>
  <c r="C149" i="25" s="1"/>
  <c r="K38" i="25"/>
  <c r="R37" i="25"/>
  <c r="M37" i="25"/>
  <c r="L37" i="25"/>
  <c r="K37" i="25"/>
  <c r="R36" i="25"/>
  <c r="J148" i="25" s="1"/>
  <c r="M36" i="25"/>
  <c r="L36" i="25"/>
  <c r="C148" i="25" s="1"/>
  <c r="K36" i="25"/>
  <c r="R35" i="25"/>
  <c r="M35" i="25"/>
  <c r="L35" i="25"/>
  <c r="K35" i="25"/>
  <c r="E35" i="25"/>
  <c r="U147" i="25" s="1"/>
  <c r="R34" i="25"/>
  <c r="M34" i="25"/>
  <c r="L34" i="25"/>
  <c r="K34" i="25"/>
  <c r="R33" i="25"/>
  <c r="M33" i="25"/>
  <c r="L33" i="25"/>
  <c r="K33" i="25"/>
  <c r="R32" i="25"/>
  <c r="M32" i="25"/>
  <c r="L32" i="25"/>
  <c r="K32" i="25"/>
  <c r="R31" i="25"/>
  <c r="M31" i="25"/>
  <c r="L31" i="25"/>
  <c r="K31" i="25"/>
  <c r="R30" i="25"/>
  <c r="M30" i="25"/>
  <c r="D145" i="25" s="1"/>
  <c r="L30" i="25"/>
  <c r="K30" i="25"/>
  <c r="R29" i="25"/>
  <c r="M29" i="25"/>
  <c r="L29" i="25"/>
  <c r="K29" i="25"/>
  <c r="E29" i="25"/>
  <c r="R28" i="25"/>
  <c r="J144" i="25" s="1"/>
  <c r="M28" i="25"/>
  <c r="L28" i="25"/>
  <c r="K28" i="25"/>
  <c r="R27" i="25"/>
  <c r="M27" i="25"/>
  <c r="L27" i="25"/>
  <c r="K27" i="25"/>
  <c r="E27" i="25"/>
  <c r="R26" i="25"/>
  <c r="M26" i="25"/>
  <c r="L26" i="25"/>
  <c r="K26" i="25"/>
  <c r="B143" i="25" s="1"/>
  <c r="R25" i="25"/>
  <c r="M25" i="25"/>
  <c r="L25" i="25"/>
  <c r="K25" i="25"/>
  <c r="E25" i="25"/>
  <c r="R24" i="25"/>
  <c r="M24" i="25"/>
  <c r="L24" i="25"/>
  <c r="K24" i="25"/>
  <c r="R23" i="25"/>
  <c r="M23" i="25"/>
  <c r="L23" i="25"/>
  <c r="K23" i="25"/>
  <c r="R22" i="25"/>
  <c r="M22" i="25"/>
  <c r="L22" i="25"/>
  <c r="K22" i="25"/>
  <c r="R21" i="25"/>
  <c r="M21" i="25"/>
  <c r="L21" i="25"/>
  <c r="K21" i="25"/>
  <c r="R20" i="25"/>
  <c r="M20" i="25"/>
  <c r="L20" i="25"/>
  <c r="N20" i="25" s="1"/>
  <c r="K20" i="25"/>
  <c r="R19" i="25"/>
  <c r="M19" i="25"/>
  <c r="L19" i="25"/>
  <c r="K19" i="25"/>
  <c r="R18" i="25"/>
  <c r="M18" i="25"/>
  <c r="L18" i="25"/>
  <c r="C139" i="25" s="1"/>
  <c r="K18" i="25"/>
  <c r="R17" i="25"/>
  <c r="M17" i="25"/>
  <c r="L17" i="25"/>
  <c r="K17" i="25"/>
  <c r="E17" i="25"/>
  <c r="R16" i="25"/>
  <c r="M16" i="25"/>
  <c r="L16" i="25"/>
  <c r="K16" i="25"/>
  <c r="R15" i="25"/>
  <c r="M15" i="25"/>
  <c r="L15" i="25"/>
  <c r="K15" i="25"/>
  <c r="R14" i="25"/>
  <c r="M14" i="25"/>
  <c r="L14" i="25"/>
  <c r="C137" i="25" s="1"/>
  <c r="K14" i="25"/>
  <c r="R13" i="25"/>
  <c r="M13" i="25"/>
  <c r="L13" i="25"/>
  <c r="K13" i="25"/>
  <c r="R12" i="25"/>
  <c r="M12" i="25"/>
  <c r="L12" i="25"/>
  <c r="K12" i="25"/>
  <c r="B136" i="25" s="1"/>
  <c r="R11" i="25"/>
  <c r="M11" i="25"/>
  <c r="L11" i="25"/>
  <c r="K11" i="25"/>
  <c r="R10" i="25"/>
  <c r="M10" i="25"/>
  <c r="L10" i="25"/>
  <c r="C135" i="25" s="1"/>
  <c r="K10" i="25"/>
  <c r="R9" i="25"/>
  <c r="M9" i="25"/>
  <c r="L9" i="25"/>
  <c r="K9" i="25"/>
  <c r="E9" i="25"/>
  <c r="U134" i="25" s="1"/>
  <c r="R8" i="25"/>
  <c r="M8" i="25"/>
  <c r="L8" i="25"/>
  <c r="K8" i="25"/>
  <c r="U149" i="26"/>
  <c r="T149" i="26"/>
  <c r="S149" i="26"/>
  <c r="W149" i="26" s="1"/>
  <c r="U148" i="26"/>
  <c r="T148" i="26"/>
  <c r="S148" i="26"/>
  <c r="U144" i="26"/>
  <c r="T144" i="26"/>
  <c r="S144" i="26"/>
  <c r="U129" i="26"/>
  <c r="T129" i="26"/>
  <c r="S129" i="26"/>
  <c r="W129" i="26" s="1"/>
  <c r="U125" i="26"/>
  <c r="T125" i="26"/>
  <c r="S125" i="26"/>
  <c r="U124" i="26"/>
  <c r="T124" i="26"/>
  <c r="S124" i="26"/>
  <c r="U122" i="26"/>
  <c r="T122" i="26"/>
  <c r="S122" i="26"/>
  <c r="U121" i="26"/>
  <c r="T121" i="26"/>
  <c r="W121" i="26" s="1"/>
  <c r="S121" i="26"/>
  <c r="U120" i="26"/>
  <c r="T120" i="26"/>
  <c r="S120" i="26"/>
  <c r="U118" i="26"/>
  <c r="T118" i="26"/>
  <c r="S118" i="26"/>
  <c r="U117" i="26"/>
  <c r="W117" i="26" s="1"/>
  <c r="T117" i="26"/>
  <c r="S117" i="26"/>
  <c r="U115" i="26"/>
  <c r="T115" i="26"/>
  <c r="S115" i="26"/>
  <c r="R77" i="26"/>
  <c r="M77" i="26"/>
  <c r="L77" i="26"/>
  <c r="K77" i="26"/>
  <c r="R76" i="26"/>
  <c r="M76" i="26"/>
  <c r="D149" i="26" s="1"/>
  <c r="L76" i="26"/>
  <c r="K76" i="26"/>
  <c r="R75" i="26"/>
  <c r="M75" i="26"/>
  <c r="L75" i="26"/>
  <c r="K75" i="26"/>
  <c r="R74" i="26"/>
  <c r="M74" i="26"/>
  <c r="D148" i="26" s="1"/>
  <c r="L74" i="26"/>
  <c r="K74" i="26"/>
  <c r="B148" i="26" s="1"/>
  <c r="R73" i="26"/>
  <c r="M73" i="26"/>
  <c r="L73" i="26"/>
  <c r="K73" i="26"/>
  <c r="E73" i="26"/>
  <c r="U147" i="26" s="1"/>
  <c r="R72" i="26"/>
  <c r="M72" i="26"/>
  <c r="L72" i="26"/>
  <c r="K72" i="26"/>
  <c r="B147" i="26" s="1"/>
  <c r="R71" i="26"/>
  <c r="M71" i="26"/>
  <c r="L71" i="26"/>
  <c r="K71" i="26"/>
  <c r="E71" i="26"/>
  <c r="R70" i="26"/>
  <c r="M70" i="26"/>
  <c r="L70" i="26"/>
  <c r="C146" i="26" s="1"/>
  <c r="K70" i="26"/>
  <c r="R69" i="26"/>
  <c r="M69" i="26"/>
  <c r="L69" i="26"/>
  <c r="K69" i="26"/>
  <c r="E69" i="26"/>
  <c r="S145" i="26" s="1"/>
  <c r="R68" i="26"/>
  <c r="M68" i="26"/>
  <c r="D145" i="26" s="1"/>
  <c r="L68" i="26"/>
  <c r="K68" i="26"/>
  <c r="B145" i="26" s="1"/>
  <c r="R67" i="26"/>
  <c r="M67" i="26"/>
  <c r="L67" i="26"/>
  <c r="K67" i="26"/>
  <c r="R66" i="26"/>
  <c r="L144" i="26" s="1"/>
  <c r="M66" i="26"/>
  <c r="L66" i="26"/>
  <c r="K66" i="26"/>
  <c r="R65" i="26"/>
  <c r="M65" i="26"/>
  <c r="L65" i="26"/>
  <c r="K65" i="26"/>
  <c r="E65" i="26"/>
  <c r="S143" i="26" s="1"/>
  <c r="R64" i="26"/>
  <c r="M64" i="26"/>
  <c r="L64" i="26"/>
  <c r="K64" i="26"/>
  <c r="R63" i="26"/>
  <c r="M63" i="26"/>
  <c r="L63" i="26"/>
  <c r="K63" i="26"/>
  <c r="E63" i="26"/>
  <c r="R62" i="26"/>
  <c r="M62" i="26"/>
  <c r="L62" i="26"/>
  <c r="K62" i="26"/>
  <c r="R61" i="26"/>
  <c r="M61" i="26"/>
  <c r="L61" i="26"/>
  <c r="K61" i="26"/>
  <c r="E61" i="26"/>
  <c r="S141" i="26"/>
  <c r="R60" i="26"/>
  <c r="M60" i="26"/>
  <c r="L60" i="26"/>
  <c r="K60" i="26"/>
  <c r="R59" i="26"/>
  <c r="M59" i="26"/>
  <c r="D140" i="26" s="1"/>
  <c r="L59" i="26"/>
  <c r="K59" i="26"/>
  <c r="E59" i="26"/>
  <c r="T140" i="26" s="1"/>
  <c r="R58" i="26"/>
  <c r="M58" i="26"/>
  <c r="L58" i="26"/>
  <c r="K58" i="26"/>
  <c r="R57" i="26"/>
  <c r="M57" i="26"/>
  <c r="L57" i="26"/>
  <c r="K57" i="26"/>
  <c r="E57" i="26"/>
  <c r="C139" i="26" s="1"/>
  <c r="R56" i="26"/>
  <c r="M56" i="26"/>
  <c r="L56" i="26"/>
  <c r="K56" i="26"/>
  <c r="R55" i="26"/>
  <c r="M55" i="26"/>
  <c r="L55" i="26"/>
  <c r="K55" i="26"/>
  <c r="E55" i="26"/>
  <c r="S138" i="26" s="1"/>
  <c r="R54" i="26"/>
  <c r="J138" i="26" s="1"/>
  <c r="M54" i="26"/>
  <c r="L54" i="26"/>
  <c r="N54" i="26" s="1"/>
  <c r="K54" i="26"/>
  <c r="R53" i="26"/>
  <c r="M53" i="26"/>
  <c r="L53" i="26"/>
  <c r="N53" i="26" s="1"/>
  <c r="K53" i="26"/>
  <c r="E53" i="26"/>
  <c r="S137" i="26" s="1"/>
  <c r="R52" i="26"/>
  <c r="M52" i="26"/>
  <c r="L52" i="26"/>
  <c r="K52" i="26"/>
  <c r="R51" i="26"/>
  <c r="M51" i="26"/>
  <c r="L51" i="26"/>
  <c r="K51" i="26"/>
  <c r="E51" i="26"/>
  <c r="T136" i="26" s="1"/>
  <c r="U136" i="26"/>
  <c r="R50" i="26"/>
  <c r="M50" i="26"/>
  <c r="L50" i="26"/>
  <c r="C136" i="26" s="1"/>
  <c r="K50" i="26"/>
  <c r="R49" i="26"/>
  <c r="M49" i="26"/>
  <c r="L49" i="26"/>
  <c r="K49" i="26"/>
  <c r="E49" i="26"/>
  <c r="S135" i="26"/>
  <c r="R48" i="26"/>
  <c r="J135" i="26" s="1"/>
  <c r="M48" i="26"/>
  <c r="L48" i="26"/>
  <c r="K48" i="26"/>
  <c r="R47" i="26"/>
  <c r="M47" i="26"/>
  <c r="N47" i="26" s="1"/>
  <c r="L47" i="26"/>
  <c r="K47" i="26"/>
  <c r="E47" i="26"/>
  <c r="S134" i="26" s="1"/>
  <c r="R46" i="26"/>
  <c r="M46" i="26"/>
  <c r="L46" i="26"/>
  <c r="K46" i="26"/>
  <c r="R45" i="26"/>
  <c r="M45" i="26"/>
  <c r="L45" i="26"/>
  <c r="K45" i="26"/>
  <c r="E45" i="26"/>
  <c r="T133" i="26" s="1"/>
  <c r="R44" i="26"/>
  <c r="M44" i="26"/>
  <c r="L44" i="26"/>
  <c r="K44" i="26"/>
  <c r="R43" i="26"/>
  <c r="M43" i="26"/>
  <c r="L43" i="26"/>
  <c r="K43" i="26"/>
  <c r="E43" i="26"/>
  <c r="T132" i="26" s="1"/>
  <c r="R42" i="26"/>
  <c r="M42" i="26"/>
  <c r="L42" i="26"/>
  <c r="K42" i="26"/>
  <c r="R41" i="26"/>
  <c r="M41" i="26"/>
  <c r="L41" i="26"/>
  <c r="K41" i="26"/>
  <c r="E41" i="26"/>
  <c r="S131" i="26" s="1"/>
  <c r="R40" i="26"/>
  <c r="M40" i="26"/>
  <c r="L40" i="26"/>
  <c r="K40" i="26"/>
  <c r="R39" i="26"/>
  <c r="M39" i="26"/>
  <c r="L39" i="26"/>
  <c r="K39" i="26"/>
  <c r="E39" i="26"/>
  <c r="T130" i="26" s="1"/>
  <c r="R38" i="26"/>
  <c r="M38" i="26"/>
  <c r="L38" i="26"/>
  <c r="K38" i="26"/>
  <c r="R37" i="26"/>
  <c r="M37" i="26"/>
  <c r="L37" i="26"/>
  <c r="K37" i="26"/>
  <c r="R36" i="26"/>
  <c r="M36" i="26"/>
  <c r="L36" i="26"/>
  <c r="K36" i="26"/>
  <c r="B129" i="26" s="1"/>
  <c r="R35" i="26"/>
  <c r="M35" i="26"/>
  <c r="L35" i="26"/>
  <c r="K35" i="26"/>
  <c r="E35" i="26"/>
  <c r="S128" i="26" s="1"/>
  <c r="R34" i="26"/>
  <c r="M34" i="26"/>
  <c r="L34" i="26"/>
  <c r="K34" i="26"/>
  <c r="R33" i="26"/>
  <c r="M33" i="26"/>
  <c r="L33" i="26"/>
  <c r="K33" i="26"/>
  <c r="E33" i="26"/>
  <c r="T127" i="26" s="1"/>
  <c r="R32" i="26"/>
  <c r="M32" i="26"/>
  <c r="L32" i="26"/>
  <c r="K32" i="26"/>
  <c r="R31" i="26"/>
  <c r="M31" i="26"/>
  <c r="L31" i="26"/>
  <c r="K31" i="26"/>
  <c r="E31" i="26"/>
  <c r="U126" i="26" s="1"/>
  <c r="R30" i="26"/>
  <c r="M30" i="26"/>
  <c r="D126" i="26" s="1"/>
  <c r="L30" i="26"/>
  <c r="K30" i="26"/>
  <c r="R29" i="26"/>
  <c r="M29" i="26"/>
  <c r="L29" i="26"/>
  <c r="K29" i="26"/>
  <c r="R28" i="26"/>
  <c r="M28" i="26"/>
  <c r="D125" i="26" s="1"/>
  <c r="L28" i="26"/>
  <c r="K28" i="26"/>
  <c r="R27" i="26"/>
  <c r="M27" i="26"/>
  <c r="N27" i="26" s="1"/>
  <c r="L27" i="26"/>
  <c r="K27" i="26"/>
  <c r="R26" i="26"/>
  <c r="M26" i="26"/>
  <c r="D124" i="26" s="1"/>
  <c r="L26" i="26"/>
  <c r="K26" i="26"/>
  <c r="B124" i="26" s="1"/>
  <c r="R25" i="26"/>
  <c r="M25" i="26"/>
  <c r="L25" i="26"/>
  <c r="K25" i="26"/>
  <c r="E25" i="26"/>
  <c r="U123" i="26" s="1"/>
  <c r="R24" i="26"/>
  <c r="M24" i="26"/>
  <c r="L24" i="26"/>
  <c r="K24" i="26"/>
  <c r="R23" i="26"/>
  <c r="M23" i="26"/>
  <c r="L23" i="26"/>
  <c r="K23" i="26"/>
  <c r="R22" i="26"/>
  <c r="M22" i="26"/>
  <c r="L22" i="26"/>
  <c r="K22" i="26"/>
  <c r="R21" i="26"/>
  <c r="M21" i="26"/>
  <c r="L21" i="26"/>
  <c r="K21" i="26"/>
  <c r="R20" i="26"/>
  <c r="J121" i="26" s="1"/>
  <c r="M20" i="26"/>
  <c r="D121" i="26" s="1"/>
  <c r="L20" i="26"/>
  <c r="K20" i="26"/>
  <c r="R19" i="26"/>
  <c r="M19" i="26"/>
  <c r="L19" i="26"/>
  <c r="K19" i="26"/>
  <c r="R18" i="26"/>
  <c r="L120" i="26" s="1"/>
  <c r="M18" i="26"/>
  <c r="L18" i="26"/>
  <c r="K18" i="26"/>
  <c r="R17" i="26"/>
  <c r="M17" i="26"/>
  <c r="L17" i="26"/>
  <c r="K17" i="26"/>
  <c r="E17" i="26"/>
  <c r="R16" i="26"/>
  <c r="M16" i="26"/>
  <c r="L16" i="26"/>
  <c r="K16" i="26"/>
  <c r="N16" i="26" s="1"/>
  <c r="R15" i="26"/>
  <c r="M15" i="26"/>
  <c r="L15" i="26"/>
  <c r="K15" i="26"/>
  <c r="R14" i="26"/>
  <c r="H118" i="26" s="1"/>
  <c r="M14" i="26"/>
  <c r="L14" i="26"/>
  <c r="C118" i="26" s="1"/>
  <c r="K14" i="26"/>
  <c r="R13" i="26"/>
  <c r="M13" i="26"/>
  <c r="L13" i="26"/>
  <c r="K13" i="26"/>
  <c r="R12" i="26"/>
  <c r="M12" i="26"/>
  <c r="L12" i="26"/>
  <c r="C117" i="26" s="1"/>
  <c r="K12" i="26"/>
  <c r="R11" i="26"/>
  <c r="M11" i="26"/>
  <c r="L11" i="26"/>
  <c r="K11" i="26"/>
  <c r="E11" i="26"/>
  <c r="R10" i="26"/>
  <c r="M10" i="26"/>
  <c r="L10" i="26"/>
  <c r="K10" i="26"/>
  <c r="R9" i="26"/>
  <c r="M9" i="26"/>
  <c r="L9" i="26"/>
  <c r="K9" i="26"/>
  <c r="R8" i="26"/>
  <c r="M8" i="26"/>
  <c r="D115" i="26" s="1"/>
  <c r="L8" i="26"/>
  <c r="K8" i="26"/>
  <c r="R7" i="26"/>
  <c r="M7" i="26"/>
  <c r="L7" i="26"/>
  <c r="K7" i="26"/>
  <c r="E7" i="26"/>
  <c r="U156" i="16"/>
  <c r="T156" i="16"/>
  <c r="S156" i="16"/>
  <c r="U155" i="16"/>
  <c r="T155" i="16"/>
  <c r="S155" i="16"/>
  <c r="U154" i="16"/>
  <c r="T154" i="16"/>
  <c r="S154" i="16"/>
  <c r="U153" i="16"/>
  <c r="T153" i="16"/>
  <c r="S153" i="16"/>
  <c r="U140" i="16"/>
  <c r="T140" i="16"/>
  <c r="S140" i="16"/>
  <c r="U136" i="16"/>
  <c r="T136" i="16"/>
  <c r="S136" i="16"/>
  <c r="U132" i="16"/>
  <c r="T132" i="16"/>
  <c r="S132" i="16"/>
  <c r="U130" i="16"/>
  <c r="T130" i="16"/>
  <c r="S130" i="16"/>
  <c r="U128" i="16"/>
  <c r="T128" i="16"/>
  <c r="S128" i="16"/>
  <c r="U126" i="16"/>
  <c r="T126" i="16"/>
  <c r="W126" i="16" s="1"/>
  <c r="S126" i="16"/>
  <c r="U121" i="16"/>
  <c r="T121" i="16"/>
  <c r="S121" i="16"/>
  <c r="R82" i="16"/>
  <c r="M82" i="16"/>
  <c r="L82" i="16"/>
  <c r="K82" i="16"/>
  <c r="R81" i="16"/>
  <c r="M81" i="16"/>
  <c r="D156" i="16" s="1"/>
  <c r="L81" i="16"/>
  <c r="K81" i="16"/>
  <c r="R80" i="16"/>
  <c r="M80" i="16"/>
  <c r="L80" i="16"/>
  <c r="K80" i="16"/>
  <c r="R79" i="16"/>
  <c r="M79" i="16"/>
  <c r="L79" i="16"/>
  <c r="K79" i="16"/>
  <c r="B155" i="16" s="1"/>
  <c r="R78" i="16"/>
  <c r="M78" i="16"/>
  <c r="L78" i="16"/>
  <c r="K78" i="16"/>
  <c r="R77" i="16"/>
  <c r="J154" i="16" s="1"/>
  <c r="M77" i="16"/>
  <c r="L77" i="16"/>
  <c r="C154" i="16" s="1"/>
  <c r="K77" i="16"/>
  <c r="B154" i="16" s="1"/>
  <c r="R76" i="16"/>
  <c r="M76" i="16"/>
  <c r="L76" i="16"/>
  <c r="K76" i="16"/>
  <c r="R75" i="16"/>
  <c r="M75" i="16"/>
  <c r="L75" i="16"/>
  <c r="C153" i="16" s="1"/>
  <c r="K75" i="16"/>
  <c r="B153" i="16" s="1"/>
  <c r="R74" i="16"/>
  <c r="M74" i="16"/>
  <c r="L74" i="16"/>
  <c r="K74" i="16"/>
  <c r="E74" i="16"/>
  <c r="R73" i="16"/>
  <c r="M73" i="16"/>
  <c r="L73" i="16"/>
  <c r="K73" i="16"/>
  <c r="R72" i="16"/>
  <c r="M72" i="16"/>
  <c r="L72" i="16"/>
  <c r="K72" i="16"/>
  <c r="E72" i="16"/>
  <c r="U151" i="16" s="1"/>
  <c r="R71" i="16"/>
  <c r="M71" i="16"/>
  <c r="L71" i="16"/>
  <c r="K71" i="16"/>
  <c r="R70" i="16"/>
  <c r="M70" i="16"/>
  <c r="L70" i="16"/>
  <c r="K70" i="16"/>
  <c r="E70" i="16"/>
  <c r="T150" i="16" s="1"/>
  <c r="R69" i="16"/>
  <c r="M69" i="16"/>
  <c r="L69" i="16"/>
  <c r="K69" i="16"/>
  <c r="R68" i="16"/>
  <c r="M68" i="16"/>
  <c r="L68" i="16"/>
  <c r="K68" i="16"/>
  <c r="E68" i="16"/>
  <c r="R67" i="16"/>
  <c r="M67" i="16"/>
  <c r="L67" i="16"/>
  <c r="K67" i="16"/>
  <c r="R66" i="16"/>
  <c r="M66" i="16"/>
  <c r="L66" i="16"/>
  <c r="K66" i="16"/>
  <c r="E66" i="16"/>
  <c r="S148" i="16" s="1"/>
  <c r="R65" i="16"/>
  <c r="M65" i="16"/>
  <c r="L65" i="16"/>
  <c r="K65" i="16"/>
  <c r="R64" i="16"/>
  <c r="M64" i="16"/>
  <c r="L64" i="16"/>
  <c r="K64" i="16"/>
  <c r="E64" i="16"/>
  <c r="U147" i="16" s="1"/>
  <c r="R63" i="16"/>
  <c r="M63" i="16"/>
  <c r="L63" i="16"/>
  <c r="K63" i="16"/>
  <c r="R62" i="16"/>
  <c r="M62" i="16"/>
  <c r="L62" i="16"/>
  <c r="K62" i="16"/>
  <c r="E62" i="16"/>
  <c r="R61" i="16"/>
  <c r="M61" i="16"/>
  <c r="L61" i="16"/>
  <c r="K61" i="16"/>
  <c r="R60" i="16"/>
  <c r="M60" i="16"/>
  <c r="L60" i="16"/>
  <c r="K60" i="16"/>
  <c r="E60" i="16"/>
  <c r="S145" i="16" s="1"/>
  <c r="R59" i="16"/>
  <c r="M59" i="16"/>
  <c r="L59" i="16"/>
  <c r="K59" i="16"/>
  <c r="R58" i="16"/>
  <c r="M58" i="16"/>
  <c r="L58" i="16"/>
  <c r="K58" i="16"/>
  <c r="E58" i="16"/>
  <c r="R57" i="16"/>
  <c r="M57" i="16"/>
  <c r="L57" i="16"/>
  <c r="K57" i="16"/>
  <c r="R56" i="16"/>
  <c r="M56" i="16"/>
  <c r="L56" i="16"/>
  <c r="K56" i="16"/>
  <c r="E56" i="16"/>
  <c r="R55" i="16"/>
  <c r="M55" i="16"/>
  <c r="L55" i="16"/>
  <c r="K55" i="16"/>
  <c r="B143" i="16" s="1"/>
  <c r="R54" i="16"/>
  <c r="M54" i="16"/>
  <c r="L54" i="16"/>
  <c r="K54" i="16"/>
  <c r="E54" i="16"/>
  <c r="R53" i="16"/>
  <c r="M53" i="16"/>
  <c r="L53" i="16"/>
  <c r="C142" i="16" s="1"/>
  <c r="K53" i="16"/>
  <c r="R52" i="16"/>
  <c r="M52" i="16"/>
  <c r="L52" i="16"/>
  <c r="K52" i="16"/>
  <c r="E52" i="16"/>
  <c r="R51" i="16"/>
  <c r="M51" i="16"/>
  <c r="L51" i="16"/>
  <c r="K51" i="16"/>
  <c r="R50" i="16"/>
  <c r="M50" i="16"/>
  <c r="L50" i="16"/>
  <c r="K50" i="16"/>
  <c r="R49" i="16"/>
  <c r="M49" i="16"/>
  <c r="L49" i="16"/>
  <c r="C140" i="16" s="1"/>
  <c r="K49" i="16"/>
  <c r="R48" i="16"/>
  <c r="M48" i="16"/>
  <c r="L48" i="16"/>
  <c r="K48" i="16"/>
  <c r="E48" i="16"/>
  <c r="R47" i="16"/>
  <c r="L139" i="16" s="1"/>
  <c r="M47" i="16"/>
  <c r="L47" i="16"/>
  <c r="K47" i="16"/>
  <c r="R46" i="16"/>
  <c r="M46" i="16"/>
  <c r="L46" i="16"/>
  <c r="K46" i="16"/>
  <c r="E46" i="16"/>
  <c r="S138" i="16" s="1"/>
  <c r="R45" i="16"/>
  <c r="M45" i="16"/>
  <c r="L45" i="16"/>
  <c r="K45" i="16"/>
  <c r="R44" i="16"/>
  <c r="M44" i="16"/>
  <c r="L44" i="16"/>
  <c r="K44" i="16"/>
  <c r="E44" i="16"/>
  <c r="S137" i="16" s="1"/>
  <c r="R43" i="16"/>
  <c r="M43" i="16"/>
  <c r="L43" i="16"/>
  <c r="K43" i="16"/>
  <c r="R42" i="16"/>
  <c r="M42" i="16"/>
  <c r="L42" i="16"/>
  <c r="K42" i="16"/>
  <c r="R41" i="16"/>
  <c r="J136" i="16" s="1"/>
  <c r="M41" i="16"/>
  <c r="L41" i="16"/>
  <c r="K41" i="16"/>
  <c r="R40" i="16"/>
  <c r="M40" i="16"/>
  <c r="L40" i="16"/>
  <c r="K40" i="16"/>
  <c r="E40" i="16"/>
  <c r="T135" i="16" s="1"/>
  <c r="R39" i="16"/>
  <c r="M39" i="16"/>
  <c r="L39" i="16"/>
  <c r="K39" i="16"/>
  <c r="R38" i="16"/>
  <c r="M38" i="16"/>
  <c r="L38" i="16"/>
  <c r="K38" i="16"/>
  <c r="E38" i="16"/>
  <c r="R37" i="16"/>
  <c r="M37" i="16"/>
  <c r="L37" i="16"/>
  <c r="K37" i="16"/>
  <c r="R36" i="16"/>
  <c r="M36" i="16"/>
  <c r="L36" i="16"/>
  <c r="K36" i="16"/>
  <c r="E36" i="16"/>
  <c r="R35" i="16"/>
  <c r="M35" i="16"/>
  <c r="L35" i="16"/>
  <c r="K35" i="16"/>
  <c r="B133" i="16" s="1"/>
  <c r="R34" i="16"/>
  <c r="M34" i="16"/>
  <c r="L34" i="16"/>
  <c r="K34" i="16"/>
  <c r="R33" i="16"/>
  <c r="L132" i="16" s="1"/>
  <c r="M33" i="16"/>
  <c r="L33" i="16"/>
  <c r="C132" i="16" s="1"/>
  <c r="K33" i="16"/>
  <c r="B132" i="16" s="1"/>
  <c r="R32" i="16"/>
  <c r="M32" i="16"/>
  <c r="L32" i="16"/>
  <c r="K32" i="16"/>
  <c r="E32" i="16"/>
  <c r="U131" i="16" s="1"/>
  <c r="R31" i="16"/>
  <c r="M31" i="16"/>
  <c r="L31" i="16"/>
  <c r="C131" i="16" s="1"/>
  <c r="K31" i="16"/>
  <c r="R30" i="16"/>
  <c r="M30" i="16"/>
  <c r="L30" i="16"/>
  <c r="K30" i="16"/>
  <c r="R29" i="16"/>
  <c r="H130" i="16" s="1"/>
  <c r="M29" i="16"/>
  <c r="D130" i="16" s="1"/>
  <c r="L29" i="16"/>
  <c r="C130" i="16" s="1"/>
  <c r="K29" i="16"/>
  <c r="R28" i="16"/>
  <c r="M28" i="16"/>
  <c r="L28" i="16"/>
  <c r="K28" i="16"/>
  <c r="E28" i="16"/>
  <c r="R27" i="16"/>
  <c r="M27" i="16"/>
  <c r="L27" i="16"/>
  <c r="K27" i="16"/>
  <c r="R26" i="16"/>
  <c r="M26" i="16"/>
  <c r="L26" i="16"/>
  <c r="K26" i="16"/>
  <c r="R25" i="16"/>
  <c r="L128" i="16" s="1"/>
  <c r="M25" i="16"/>
  <c r="L25" i="16"/>
  <c r="K25" i="16"/>
  <c r="R24" i="16"/>
  <c r="M24" i="16"/>
  <c r="L24" i="16"/>
  <c r="K24" i="16"/>
  <c r="E24" i="16"/>
  <c r="R23" i="16"/>
  <c r="J127" i="16" s="1"/>
  <c r="M23" i="16"/>
  <c r="L23" i="16"/>
  <c r="K23" i="16"/>
  <c r="R22" i="16"/>
  <c r="M22" i="16"/>
  <c r="L22" i="16"/>
  <c r="K22" i="16"/>
  <c r="R21" i="16"/>
  <c r="H126" i="16" s="1"/>
  <c r="M21" i="16"/>
  <c r="D126" i="16" s="1"/>
  <c r="L21" i="16"/>
  <c r="K21" i="16"/>
  <c r="R20" i="16"/>
  <c r="M20" i="16"/>
  <c r="L20" i="16"/>
  <c r="K20" i="16"/>
  <c r="E20" i="16"/>
  <c r="S125" i="16" s="1"/>
  <c r="R19" i="16"/>
  <c r="M19" i="16"/>
  <c r="L19" i="16"/>
  <c r="K19" i="16"/>
  <c r="R18" i="16"/>
  <c r="M18" i="16"/>
  <c r="L18" i="16"/>
  <c r="K18" i="16"/>
  <c r="R17" i="16"/>
  <c r="M17" i="16"/>
  <c r="L17" i="16"/>
  <c r="K17" i="16"/>
  <c r="E17" i="16"/>
  <c r="R16" i="16"/>
  <c r="M16" i="16"/>
  <c r="L16" i="16"/>
  <c r="K16" i="16"/>
  <c r="R15" i="16"/>
  <c r="M15" i="16"/>
  <c r="L15" i="16"/>
  <c r="K15" i="16"/>
  <c r="E15" i="16"/>
  <c r="S123" i="16" s="1"/>
  <c r="R14" i="16"/>
  <c r="M14" i="16"/>
  <c r="L14" i="16"/>
  <c r="K14" i="16"/>
  <c r="R13" i="16"/>
  <c r="M13" i="16"/>
  <c r="L13" i="16"/>
  <c r="K13" i="16"/>
  <c r="E13" i="16"/>
  <c r="U122" i="16" s="1"/>
  <c r="R12" i="16"/>
  <c r="M12" i="16"/>
  <c r="L12" i="16"/>
  <c r="K12" i="16"/>
  <c r="R11" i="16"/>
  <c r="M11" i="16"/>
  <c r="L11" i="16"/>
  <c r="K11" i="16"/>
  <c r="R10" i="16"/>
  <c r="M10" i="16"/>
  <c r="L10" i="16"/>
  <c r="K10" i="16"/>
  <c r="R9" i="16"/>
  <c r="M9" i="16"/>
  <c r="L9" i="16"/>
  <c r="K9" i="16"/>
  <c r="R8" i="16"/>
  <c r="M8" i="16"/>
  <c r="L8" i="16"/>
  <c r="K8" i="16"/>
  <c r="R7" i="16"/>
  <c r="M7" i="16"/>
  <c r="L7" i="16"/>
  <c r="C120" i="16" s="1"/>
  <c r="K7" i="16"/>
  <c r="E7" i="16"/>
  <c r="U187" i="17"/>
  <c r="T187" i="17"/>
  <c r="S187" i="17"/>
  <c r="U186" i="17"/>
  <c r="T186" i="17"/>
  <c r="S186" i="17"/>
  <c r="U185" i="17"/>
  <c r="T185" i="17"/>
  <c r="S185" i="17"/>
  <c r="U184" i="17"/>
  <c r="T184" i="17"/>
  <c r="S184" i="17"/>
  <c r="U183" i="17"/>
  <c r="T183" i="17"/>
  <c r="S183" i="17"/>
  <c r="U182" i="17"/>
  <c r="T182" i="17"/>
  <c r="S182" i="17"/>
  <c r="U181" i="17"/>
  <c r="T181" i="17"/>
  <c r="S181" i="17"/>
  <c r="U179" i="17"/>
  <c r="T179" i="17"/>
  <c r="S179" i="17"/>
  <c r="U167" i="17"/>
  <c r="T167" i="17"/>
  <c r="S167" i="17"/>
  <c r="U163" i="17"/>
  <c r="T163" i="17"/>
  <c r="S163" i="17"/>
  <c r="U162" i="17"/>
  <c r="T162" i="17"/>
  <c r="S162" i="17"/>
  <c r="U159" i="17"/>
  <c r="S159" i="17"/>
  <c r="U157" i="17"/>
  <c r="T157" i="17"/>
  <c r="S157" i="17"/>
  <c r="U155" i="17"/>
  <c r="T155" i="17"/>
  <c r="S155" i="17"/>
  <c r="U154" i="17"/>
  <c r="T154" i="17"/>
  <c r="S154" i="17"/>
  <c r="U153" i="17"/>
  <c r="T153" i="17"/>
  <c r="S153" i="17"/>
  <c r="U150" i="17"/>
  <c r="T150" i="17"/>
  <c r="S150" i="17"/>
  <c r="U149" i="17"/>
  <c r="T149" i="17"/>
  <c r="S149" i="17"/>
  <c r="U145" i="17"/>
  <c r="U143" i="17"/>
  <c r="U142" i="17"/>
  <c r="U141" i="17"/>
  <c r="U139" i="17"/>
  <c r="T139" i="17"/>
  <c r="S139" i="17"/>
  <c r="U137" i="17"/>
  <c r="T137" i="17"/>
  <c r="S137" i="17"/>
  <c r="U135" i="17"/>
  <c r="T135" i="17"/>
  <c r="R115" i="17"/>
  <c r="M115" i="17"/>
  <c r="L115" i="17"/>
  <c r="K115" i="17"/>
  <c r="R114" i="17"/>
  <c r="M114" i="17"/>
  <c r="L114" i="17"/>
  <c r="K114" i="17"/>
  <c r="R113" i="17"/>
  <c r="M113" i="17"/>
  <c r="L113" i="17"/>
  <c r="K113" i="17"/>
  <c r="R112" i="17"/>
  <c r="M112" i="17"/>
  <c r="D186" i="17" s="1"/>
  <c r="L112" i="17"/>
  <c r="K112" i="17"/>
  <c r="R111" i="17"/>
  <c r="M111" i="17"/>
  <c r="L111" i="17"/>
  <c r="K111" i="17"/>
  <c r="R110" i="17"/>
  <c r="M110" i="17"/>
  <c r="L110" i="17"/>
  <c r="K110" i="17"/>
  <c r="R109" i="17"/>
  <c r="M109" i="17"/>
  <c r="L109" i="17"/>
  <c r="K109" i="17"/>
  <c r="R108" i="17"/>
  <c r="L184" i="17" s="1"/>
  <c r="M108" i="17"/>
  <c r="L108" i="17"/>
  <c r="K108" i="17"/>
  <c r="R107" i="17"/>
  <c r="M107" i="17"/>
  <c r="L107" i="17"/>
  <c r="K107" i="17"/>
  <c r="R106" i="17"/>
  <c r="L183" i="17" s="1"/>
  <c r="M106" i="17"/>
  <c r="L106" i="17"/>
  <c r="K106" i="17"/>
  <c r="R105" i="17"/>
  <c r="M105" i="17"/>
  <c r="L105" i="17"/>
  <c r="K105" i="17"/>
  <c r="R104" i="17"/>
  <c r="M104" i="17"/>
  <c r="L104" i="17"/>
  <c r="K104" i="17"/>
  <c r="R103" i="17"/>
  <c r="M103" i="17"/>
  <c r="L103" i="17"/>
  <c r="K103" i="17"/>
  <c r="R102" i="17"/>
  <c r="M102" i="17"/>
  <c r="D181" i="17" s="1"/>
  <c r="L102" i="17"/>
  <c r="K102" i="17"/>
  <c r="B181" i="17" s="1"/>
  <c r="R101" i="17"/>
  <c r="M101" i="17"/>
  <c r="L101" i="17"/>
  <c r="K101" i="17"/>
  <c r="R100" i="17"/>
  <c r="M100" i="17"/>
  <c r="L100" i="17"/>
  <c r="K100" i="17"/>
  <c r="E100" i="17"/>
  <c r="R99" i="17"/>
  <c r="M99" i="17"/>
  <c r="L99" i="17"/>
  <c r="K99" i="17"/>
  <c r="R98" i="17"/>
  <c r="M98" i="17"/>
  <c r="L98" i="17"/>
  <c r="K98" i="17"/>
  <c r="R97" i="17"/>
  <c r="M97" i="17"/>
  <c r="L97" i="17"/>
  <c r="K97" i="17"/>
  <c r="E97" i="17"/>
  <c r="S178" i="17" s="1"/>
  <c r="R96" i="17"/>
  <c r="M96" i="17"/>
  <c r="L96" i="17"/>
  <c r="K96" i="17"/>
  <c r="R95" i="17"/>
  <c r="M95" i="17"/>
  <c r="L95" i="17"/>
  <c r="K95" i="17"/>
  <c r="E95" i="17"/>
  <c r="R94" i="17"/>
  <c r="M94" i="17"/>
  <c r="L94" i="17"/>
  <c r="K94" i="17"/>
  <c r="R93" i="17"/>
  <c r="M93" i="17"/>
  <c r="L93" i="17"/>
  <c r="K93" i="17"/>
  <c r="E93" i="17"/>
  <c r="R92" i="17"/>
  <c r="M92" i="17"/>
  <c r="L92" i="17"/>
  <c r="K92" i="17"/>
  <c r="B176" i="17" s="1"/>
  <c r="R91" i="17"/>
  <c r="M91" i="17"/>
  <c r="L91" i="17"/>
  <c r="K91" i="17"/>
  <c r="E91" i="17"/>
  <c r="T175" i="17" s="1"/>
  <c r="R90" i="17"/>
  <c r="M90" i="17"/>
  <c r="L90" i="17"/>
  <c r="K90" i="17"/>
  <c r="R89" i="17"/>
  <c r="M89" i="17"/>
  <c r="L89" i="17"/>
  <c r="K89" i="17"/>
  <c r="E89" i="17"/>
  <c r="S174" i="17" s="1"/>
  <c r="R88" i="17"/>
  <c r="M88" i="17"/>
  <c r="D174" i="17" s="1"/>
  <c r="L88" i="17"/>
  <c r="K88" i="17"/>
  <c r="R87" i="17"/>
  <c r="M87" i="17"/>
  <c r="L87" i="17"/>
  <c r="K87" i="17"/>
  <c r="E87" i="17"/>
  <c r="U173" i="17" s="1"/>
  <c r="R86" i="17"/>
  <c r="M86" i="17"/>
  <c r="L86" i="17"/>
  <c r="K86" i="17"/>
  <c r="R85" i="17"/>
  <c r="M85" i="17"/>
  <c r="L85" i="17"/>
  <c r="K85" i="17"/>
  <c r="E85" i="17"/>
  <c r="U172" i="17" s="1"/>
  <c r="R84" i="17"/>
  <c r="M84" i="17"/>
  <c r="L84" i="17"/>
  <c r="K84" i="17"/>
  <c r="R83" i="17"/>
  <c r="M83" i="17"/>
  <c r="L83" i="17"/>
  <c r="K83" i="17"/>
  <c r="E83" i="17"/>
  <c r="S171" i="17" s="1"/>
  <c r="R82" i="17"/>
  <c r="M82" i="17"/>
  <c r="L82" i="17"/>
  <c r="K82" i="17"/>
  <c r="R81" i="17"/>
  <c r="M81" i="17"/>
  <c r="L81" i="17"/>
  <c r="K81" i="17"/>
  <c r="E81" i="17"/>
  <c r="R80" i="17"/>
  <c r="M80" i="17"/>
  <c r="L80" i="17"/>
  <c r="K80" i="17"/>
  <c r="R79" i="17"/>
  <c r="M79" i="17"/>
  <c r="L79" i="17"/>
  <c r="K79" i="17"/>
  <c r="E79" i="17"/>
  <c r="U169" i="17" s="1"/>
  <c r="R78" i="17"/>
  <c r="M78" i="17"/>
  <c r="L78" i="17"/>
  <c r="K78" i="17"/>
  <c r="R77" i="17"/>
  <c r="M77" i="17"/>
  <c r="L77" i="17"/>
  <c r="K77" i="17"/>
  <c r="E77" i="17"/>
  <c r="U168" i="17" s="1"/>
  <c r="R76" i="17"/>
  <c r="M76" i="17"/>
  <c r="L76" i="17"/>
  <c r="K76" i="17"/>
  <c r="R75" i="17"/>
  <c r="M75" i="17"/>
  <c r="L75" i="17"/>
  <c r="K75" i="17"/>
  <c r="R74" i="17"/>
  <c r="M74" i="17"/>
  <c r="L74" i="17"/>
  <c r="K74" i="17"/>
  <c r="R73" i="17"/>
  <c r="M73" i="17"/>
  <c r="L73" i="17"/>
  <c r="K73" i="17"/>
  <c r="E73" i="17"/>
  <c r="U166" i="17" s="1"/>
  <c r="R72" i="17"/>
  <c r="M72" i="17"/>
  <c r="L72" i="17"/>
  <c r="K72" i="17"/>
  <c r="R71" i="17"/>
  <c r="M71" i="17"/>
  <c r="L71" i="17"/>
  <c r="K71" i="17"/>
  <c r="E71" i="17"/>
  <c r="S165" i="17" s="1"/>
  <c r="R70" i="17"/>
  <c r="M70" i="17"/>
  <c r="L70" i="17"/>
  <c r="K70" i="17"/>
  <c r="R69" i="17"/>
  <c r="M69" i="17"/>
  <c r="L69" i="17"/>
  <c r="K69" i="17"/>
  <c r="E69" i="17"/>
  <c r="U164" i="17" s="1"/>
  <c r="R68" i="17"/>
  <c r="M68" i="17"/>
  <c r="L68" i="17"/>
  <c r="K68" i="17"/>
  <c r="R67" i="17"/>
  <c r="M67" i="17"/>
  <c r="L67" i="17"/>
  <c r="K67" i="17"/>
  <c r="R66" i="17"/>
  <c r="M66" i="17"/>
  <c r="L66" i="17"/>
  <c r="K66" i="17"/>
  <c r="R65" i="17"/>
  <c r="M65" i="17"/>
  <c r="L65" i="17"/>
  <c r="K65" i="17"/>
  <c r="R64" i="17"/>
  <c r="M64" i="17"/>
  <c r="L64" i="17"/>
  <c r="K64" i="17"/>
  <c r="R63" i="17"/>
  <c r="M63" i="17"/>
  <c r="L63" i="17"/>
  <c r="K63" i="17"/>
  <c r="E63" i="17"/>
  <c r="M62" i="17"/>
  <c r="L62" i="17"/>
  <c r="K62" i="17"/>
  <c r="R61" i="17"/>
  <c r="M61" i="17"/>
  <c r="L61" i="17"/>
  <c r="K61" i="17"/>
  <c r="E61" i="17"/>
  <c r="M60" i="17"/>
  <c r="L60" i="17"/>
  <c r="K60" i="17"/>
  <c r="R59" i="17"/>
  <c r="M59" i="17"/>
  <c r="L59" i="17"/>
  <c r="K59" i="17"/>
  <c r="R58" i="17"/>
  <c r="M58" i="17"/>
  <c r="L58" i="17"/>
  <c r="K58" i="17"/>
  <c r="R57" i="17"/>
  <c r="M57" i="17"/>
  <c r="L57" i="17"/>
  <c r="K57" i="17"/>
  <c r="E57" i="17"/>
  <c r="U158" i="17" s="1"/>
  <c r="R56" i="17"/>
  <c r="M56" i="17"/>
  <c r="L56" i="17"/>
  <c r="K56" i="17"/>
  <c r="R55" i="17"/>
  <c r="M55" i="17"/>
  <c r="L55" i="17"/>
  <c r="K55" i="17"/>
  <c r="R54" i="17"/>
  <c r="H157" i="17" s="1"/>
  <c r="M54" i="17"/>
  <c r="L54" i="17"/>
  <c r="K54" i="17"/>
  <c r="R53" i="17"/>
  <c r="M53" i="17"/>
  <c r="L53" i="17"/>
  <c r="K53" i="17"/>
  <c r="E53" i="17"/>
  <c r="T156" i="17" s="1"/>
  <c r="R52" i="17"/>
  <c r="M52" i="17"/>
  <c r="L52" i="17"/>
  <c r="K52" i="17"/>
  <c r="R51" i="17"/>
  <c r="M51" i="17"/>
  <c r="L51" i="17"/>
  <c r="K51" i="17"/>
  <c r="R50" i="17"/>
  <c r="M50" i="17"/>
  <c r="L50" i="17"/>
  <c r="K50" i="17"/>
  <c r="R49" i="17"/>
  <c r="M49" i="17"/>
  <c r="L49" i="17"/>
  <c r="K49" i="17"/>
  <c r="B155" i="17" s="1"/>
  <c r="R48" i="17"/>
  <c r="M48" i="17"/>
  <c r="L48" i="17"/>
  <c r="K48" i="17"/>
  <c r="R47" i="17"/>
  <c r="M47" i="17"/>
  <c r="L47" i="17"/>
  <c r="K47" i="17"/>
  <c r="R46" i="17"/>
  <c r="M46" i="17"/>
  <c r="L46" i="17"/>
  <c r="K46" i="17"/>
  <c r="R45" i="17"/>
  <c r="M45" i="17"/>
  <c r="D153" i="17" s="1"/>
  <c r="L45" i="17"/>
  <c r="K45" i="17"/>
  <c r="R44" i="17"/>
  <c r="M44" i="17"/>
  <c r="L44" i="17"/>
  <c r="K44" i="17"/>
  <c r="E44" i="17"/>
  <c r="U152" i="17" s="1"/>
  <c r="R43" i="17"/>
  <c r="M43" i="17"/>
  <c r="L43" i="17"/>
  <c r="K43" i="17"/>
  <c r="R42" i="17"/>
  <c r="M42" i="17"/>
  <c r="L42" i="17"/>
  <c r="K42" i="17"/>
  <c r="E42" i="17"/>
  <c r="U151" i="17" s="1"/>
  <c r="R41" i="17"/>
  <c r="M41" i="17"/>
  <c r="L41" i="17"/>
  <c r="K41" i="17"/>
  <c r="R40" i="17"/>
  <c r="M40" i="17"/>
  <c r="L40" i="17"/>
  <c r="K40" i="17"/>
  <c r="R39" i="17"/>
  <c r="H150" i="17" s="1"/>
  <c r="M39" i="17"/>
  <c r="L39" i="17"/>
  <c r="K39" i="17"/>
  <c r="R38" i="17"/>
  <c r="M38" i="17"/>
  <c r="L38" i="17"/>
  <c r="K38" i="17"/>
  <c r="R37" i="17"/>
  <c r="H149" i="17" s="1"/>
  <c r="M37" i="17"/>
  <c r="L37" i="17"/>
  <c r="K37" i="17"/>
  <c r="R36" i="17"/>
  <c r="M36" i="17"/>
  <c r="L36" i="17"/>
  <c r="K36" i="17"/>
  <c r="E36" i="17"/>
  <c r="M35" i="17"/>
  <c r="L35" i="17"/>
  <c r="K35" i="17"/>
  <c r="M34" i="17"/>
  <c r="L34" i="17"/>
  <c r="K34" i="17"/>
  <c r="E34" i="17"/>
  <c r="U147" i="17" s="1"/>
  <c r="R33" i="17"/>
  <c r="M33" i="17"/>
  <c r="L33" i="17"/>
  <c r="K33" i="17"/>
  <c r="R32" i="17"/>
  <c r="M32" i="17"/>
  <c r="L32" i="17"/>
  <c r="K32" i="17"/>
  <c r="E32" i="17"/>
  <c r="U146" i="17" s="1"/>
  <c r="M31" i="17"/>
  <c r="L31" i="17"/>
  <c r="K31" i="17"/>
  <c r="R30" i="17"/>
  <c r="M30" i="17"/>
  <c r="L30" i="17"/>
  <c r="K30" i="17"/>
  <c r="T145" i="17"/>
  <c r="M29" i="17"/>
  <c r="L29" i="17"/>
  <c r="K29" i="17"/>
  <c r="R28" i="17"/>
  <c r="M28" i="17"/>
  <c r="L28" i="17"/>
  <c r="K28" i="17"/>
  <c r="E28" i="17"/>
  <c r="T144" i="17" s="1"/>
  <c r="M27" i="17"/>
  <c r="L27" i="17"/>
  <c r="K27" i="17"/>
  <c r="R26" i="17"/>
  <c r="M26" i="17"/>
  <c r="L26" i="17"/>
  <c r="K26" i="17"/>
  <c r="T143" i="17"/>
  <c r="M25" i="17"/>
  <c r="L25" i="17"/>
  <c r="K25" i="17"/>
  <c r="R24" i="17"/>
  <c r="M24" i="17"/>
  <c r="L24" i="17"/>
  <c r="K24" i="17"/>
  <c r="M23" i="17"/>
  <c r="L23" i="17"/>
  <c r="K23" i="17"/>
  <c r="R22" i="17"/>
  <c r="M22" i="17"/>
  <c r="L22" i="17"/>
  <c r="K22" i="17"/>
  <c r="M21" i="17"/>
  <c r="L21" i="17"/>
  <c r="K21" i="17"/>
  <c r="M20" i="17"/>
  <c r="L20" i="17"/>
  <c r="K20" i="17"/>
  <c r="E20" i="17"/>
  <c r="R19" i="17"/>
  <c r="M19" i="17"/>
  <c r="L19" i="17"/>
  <c r="K19" i="17"/>
  <c r="R18" i="17"/>
  <c r="M18" i="17"/>
  <c r="L18" i="17"/>
  <c r="K18" i="17"/>
  <c r="R17" i="17"/>
  <c r="L139" i="17" s="1"/>
  <c r="M17" i="17"/>
  <c r="L17" i="17"/>
  <c r="K17" i="17"/>
  <c r="R16" i="17"/>
  <c r="M16" i="17"/>
  <c r="L16" i="17"/>
  <c r="K16" i="17"/>
  <c r="E16" i="17"/>
  <c r="U138" i="17" s="1"/>
  <c r="M15" i="17"/>
  <c r="L15" i="17"/>
  <c r="K15" i="17"/>
  <c r="R14" i="17"/>
  <c r="M14" i="17"/>
  <c r="L14" i="17"/>
  <c r="K14" i="17"/>
  <c r="R13" i="17"/>
  <c r="M13" i="17"/>
  <c r="L13" i="17"/>
  <c r="K13" i="17"/>
  <c r="R12" i="17"/>
  <c r="M12" i="17"/>
  <c r="L12" i="17"/>
  <c r="K12" i="17"/>
  <c r="R11" i="17"/>
  <c r="M11" i="17"/>
  <c r="L11" i="17"/>
  <c r="K11" i="17"/>
  <c r="E11" i="17"/>
  <c r="R10" i="17"/>
  <c r="M10" i="17"/>
  <c r="L10" i="17"/>
  <c r="K10" i="17"/>
  <c r="R9" i="17"/>
  <c r="M9" i="17"/>
  <c r="L9" i="17"/>
  <c r="K9" i="17"/>
  <c r="R8" i="17"/>
  <c r="M8" i="17"/>
  <c r="L8" i="17"/>
  <c r="K8" i="17"/>
  <c r="B135" i="17" s="1"/>
  <c r="U191" i="18"/>
  <c r="T191" i="18"/>
  <c r="S191" i="18"/>
  <c r="U190" i="18"/>
  <c r="T190" i="18"/>
  <c r="U189" i="18"/>
  <c r="T189" i="18"/>
  <c r="S189" i="18"/>
  <c r="U188" i="18"/>
  <c r="T188" i="18"/>
  <c r="W188" i="18" s="1"/>
  <c r="S188" i="18"/>
  <c r="U186" i="18"/>
  <c r="T186" i="18"/>
  <c r="S186" i="18"/>
  <c r="U185" i="18"/>
  <c r="T185" i="18"/>
  <c r="S185" i="18"/>
  <c r="U179" i="18"/>
  <c r="T179" i="18"/>
  <c r="S179" i="18"/>
  <c r="U171" i="18"/>
  <c r="T171" i="18"/>
  <c r="S171" i="18"/>
  <c r="U167" i="18"/>
  <c r="T167" i="18"/>
  <c r="S167" i="18"/>
  <c r="U165" i="18"/>
  <c r="T165" i="18"/>
  <c r="S165" i="18"/>
  <c r="U164" i="18"/>
  <c r="T164" i="18"/>
  <c r="S164" i="18"/>
  <c r="U162" i="18"/>
  <c r="T162" i="18"/>
  <c r="S162" i="18"/>
  <c r="U161" i="18"/>
  <c r="T161" i="18"/>
  <c r="S161" i="18"/>
  <c r="U159" i="18"/>
  <c r="T159" i="18"/>
  <c r="S159" i="18"/>
  <c r="U158" i="18"/>
  <c r="T158" i="18"/>
  <c r="S158" i="18"/>
  <c r="U156" i="18"/>
  <c r="T156" i="18"/>
  <c r="S156" i="18"/>
  <c r="U155" i="18"/>
  <c r="T155" i="18"/>
  <c r="S155" i="18"/>
  <c r="U152" i="18"/>
  <c r="T152" i="18"/>
  <c r="S152" i="18"/>
  <c r="U150" i="18"/>
  <c r="T150" i="18"/>
  <c r="S150" i="18"/>
  <c r="U149" i="18"/>
  <c r="T149" i="18"/>
  <c r="S149" i="18"/>
  <c r="U147" i="18"/>
  <c r="T147" i="18"/>
  <c r="S147" i="18"/>
  <c r="U146" i="18"/>
  <c r="T146" i="18"/>
  <c r="S146" i="18"/>
  <c r="U144" i="18"/>
  <c r="T144" i="18"/>
  <c r="S144" i="18"/>
  <c r="U143" i="18"/>
  <c r="T143" i="18"/>
  <c r="S143" i="18"/>
  <c r="U141" i="18"/>
  <c r="T141" i="18"/>
  <c r="S141" i="18"/>
  <c r="U140" i="18"/>
  <c r="T140" i="18"/>
  <c r="S140" i="18"/>
  <c r="R116" i="18"/>
  <c r="M116" i="18"/>
  <c r="L116" i="18"/>
  <c r="K116" i="18"/>
  <c r="R115" i="18"/>
  <c r="J191" i="18" s="1"/>
  <c r="M115" i="18"/>
  <c r="L115" i="18"/>
  <c r="K115" i="18"/>
  <c r="R114" i="18"/>
  <c r="M114" i="18"/>
  <c r="L114" i="18"/>
  <c r="K114" i="18"/>
  <c r="R113" i="18"/>
  <c r="J190" i="18" s="1"/>
  <c r="M113" i="18"/>
  <c r="L113" i="18"/>
  <c r="K113" i="18"/>
  <c r="R112" i="18"/>
  <c r="M112" i="18"/>
  <c r="L112" i="18"/>
  <c r="K112" i="18"/>
  <c r="R111" i="18"/>
  <c r="M111" i="18"/>
  <c r="D189" i="18" s="1"/>
  <c r="L111" i="18"/>
  <c r="K111" i="18"/>
  <c r="R110" i="18"/>
  <c r="M110" i="18"/>
  <c r="L110" i="18"/>
  <c r="K110" i="18"/>
  <c r="R109" i="18"/>
  <c r="M109" i="18"/>
  <c r="L109" i="18"/>
  <c r="K109" i="18"/>
  <c r="M108" i="18"/>
  <c r="L108" i="18"/>
  <c r="K108" i="18"/>
  <c r="E108" i="18"/>
  <c r="S187" i="18" s="1"/>
  <c r="R107" i="18"/>
  <c r="M107" i="18"/>
  <c r="L107" i="18"/>
  <c r="K107" i="18"/>
  <c r="R106" i="18"/>
  <c r="M106" i="18"/>
  <c r="L106" i="18"/>
  <c r="K106" i="18"/>
  <c r="R105" i="18"/>
  <c r="L186" i="18" s="1"/>
  <c r="M105" i="18"/>
  <c r="L105" i="18"/>
  <c r="K105" i="18"/>
  <c r="R104" i="18"/>
  <c r="M104" i="18"/>
  <c r="L104" i="18"/>
  <c r="K104" i="18"/>
  <c r="R103" i="18"/>
  <c r="H185" i="18" s="1"/>
  <c r="M103" i="18"/>
  <c r="L103" i="18"/>
  <c r="K103" i="18"/>
  <c r="R102" i="18"/>
  <c r="M102" i="18"/>
  <c r="L102" i="18"/>
  <c r="K102" i="18"/>
  <c r="E102" i="18"/>
  <c r="U184" i="18" s="1"/>
  <c r="R101" i="18"/>
  <c r="M101" i="18"/>
  <c r="L101" i="18"/>
  <c r="K101" i="18"/>
  <c r="R100" i="18"/>
  <c r="M100" i="18"/>
  <c r="L100" i="18"/>
  <c r="K100" i="18"/>
  <c r="R99" i="18"/>
  <c r="M99" i="18"/>
  <c r="L99" i="18"/>
  <c r="K99" i="18"/>
  <c r="R98" i="18"/>
  <c r="M98" i="18"/>
  <c r="L98" i="18"/>
  <c r="K98" i="18"/>
  <c r="R97" i="18"/>
  <c r="M97" i="18"/>
  <c r="L97" i="18"/>
  <c r="K97" i="18"/>
  <c r="E97" i="18"/>
  <c r="R96" i="18"/>
  <c r="L182" i="18" s="1"/>
  <c r="M96" i="18"/>
  <c r="L96" i="18"/>
  <c r="K96" i="18"/>
  <c r="R95" i="18"/>
  <c r="M95" i="18"/>
  <c r="L95" i="18"/>
  <c r="K95" i="18"/>
  <c r="E95" i="18"/>
  <c r="U181" i="18" s="1"/>
  <c r="R94" i="18"/>
  <c r="M94" i="18"/>
  <c r="L94" i="18"/>
  <c r="K94" i="18"/>
  <c r="R93" i="18"/>
  <c r="M93" i="18"/>
  <c r="L93" i="18"/>
  <c r="K93" i="18"/>
  <c r="E93" i="18"/>
  <c r="T180" i="18" s="1"/>
  <c r="R92" i="18"/>
  <c r="J180" i="18" s="1"/>
  <c r="M92" i="18"/>
  <c r="L92" i="18"/>
  <c r="K92" i="18"/>
  <c r="R91" i="18"/>
  <c r="M91" i="18"/>
  <c r="L91" i="18"/>
  <c r="K91" i="18"/>
  <c r="R90" i="18"/>
  <c r="H179" i="18" s="1"/>
  <c r="M90" i="18"/>
  <c r="D179" i="18" s="1"/>
  <c r="L90" i="18"/>
  <c r="K90" i="18"/>
  <c r="R89" i="18"/>
  <c r="M89" i="18"/>
  <c r="L89" i="18"/>
  <c r="K89" i="18"/>
  <c r="E89" i="18"/>
  <c r="R88" i="18"/>
  <c r="M88" i="18"/>
  <c r="L88" i="18"/>
  <c r="K88" i="18"/>
  <c r="R87" i="18"/>
  <c r="M87" i="18"/>
  <c r="L87" i="18"/>
  <c r="K87" i="18"/>
  <c r="E87" i="18"/>
  <c r="R86" i="18"/>
  <c r="M86" i="18"/>
  <c r="L86" i="18"/>
  <c r="K86" i="18"/>
  <c r="R85" i="18"/>
  <c r="M85" i="18"/>
  <c r="L85" i="18"/>
  <c r="K85" i="18"/>
  <c r="E85" i="18"/>
  <c r="R84" i="18"/>
  <c r="M84" i="18"/>
  <c r="L84" i="18"/>
  <c r="K84" i="18"/>
  <c r="R83" i="18"/>
  <c r="M83" i="18"/>
  <c r="L83" i="18"/>
  <c r="K83" i="18"/>
  <c r="R81" i="18"/>
  <c r="M81" i="18"/>
  <c r="L81" i="18"/>
  <c r="K81" i="18"/>
  <c r="R80" i="18"/>
  <c r="M80" i="18"/>
  <c r="L80" i="18"/>
  <c r="K80" i="18"/>
  <c r="E80" i="18"/>
  <c r="U174" i="18" s="1"/>
  <c r="R79" i="18"/>
  <c r="M79" i="18"/>
  <c r="L79" i="18"/>
  <c r="C174" i="18" s="1"/>
  <c r="K79" i="18"/>
  <c r="R78" i="18"/>
  <c r="M78" i="18"/>
  <c r="L78" i="18"/>
  <c r="K78" i="18"/>
  <c r="E78" i="18"/>
  <c r="T173" i="18" s="1"/>
  <c r="R77" i="18"/>
  <c r="M77" i="18"/>
  <c r="L77" i="18"/>
  <c r="K77" i="18"/>
  <c r="R76" i="18"/>
  <c r="M76" i="18"/>
  <c r="L76" i="18"/>
  <c r="K76" i="18"/>
  <c r="E76" i="18"/>
  <c r="S172" i="18"/>
  <c r="R75" i="18"/>
  <c r="M75" i="18"/>
  <c r="L75" i="18"/>
  <c r="K75" i="18"/>
  <c r="R74" i="18"/>
  <c r="M74" i="18"/>
  <c r="L74" i="18"/>
  <c r="K74" i="18"/>
  <c r="R73" i="18"/>
  <c r="M73" i="18"/>
  <c r="L73" i="18"/>
  <c r="K73" i="18"/>
  <c r="R72" i="18"/>
  <c r="M72" i="18"/>
  <c r="L72" i="18"/>
  <c r="K72" i="18"/>
  <c r="E72" i="18"/>
  <c r="R71" i="18"/>
  <c r="M71" i="18"/>
  <c r="L71" i="18"/>
  <c r="K71" i="18"/>
  <c r="R70" i="18"/>
  <c r="M70" i="18"/>
  <c r="L70" i="18"/>
  <c r="K70" i="18"/>
  <c r="E70" i="18"/>
  <c r="S169" i="18" s="1"/>
  <c r="R69" i="18"/>
  <c r="M69" i="18"/>
  <c r="L69" i="18"/>
  <c r="K69" i="18"/>
  <c r="R68" i="18"/>
  <c r="M68" i="18"/>
  <c r="L68" i="18"/>
  <c r="K68" i="18"/>
  <c r="E68" i="18"/>
  <c r="U168" i="18" s="1"/>
  <c r="R67" i="18"/>
  <c r="M67" i="18"/>
  <c r="L67" i="18"/>
  <c r="K67" i="18"/>
  <c r="R66" i="18"/>
  <c r="M66" i="18"/>
  <c r="L66" i="18"/>
  <c r="K66" i="18"/>
  <c r="R65" i="18"/>
  <c r="M65" i="18"/>
  <c r="L65" i="18"/>
  <c r="C167" i="18" s="1"/>
  <c r="K65" i="18"/>
  <c r="B167" i="18" s="1"/>
  <c r="R64" i="18"/>
  <c r="M64" i="18"/>
  <c r="L64" i="18"/>
  <c r="K64" i="18"/>
  <c r="E64" i="18"/>
  <c r="R63" i="18"/>
  <c r="M63" i="18"/>
  <c r="L63" i="18"/>
  <c r="K63" i="18"/>
  <c r="R62" i="18"/>
  <c r="M62" i="18"/>
  <c r="L62" i="18"/>
  <c r="K62" i="18"/>
  <c r="R61" i="18"/>
  <c r="M61" i="18"/>
  <c r="D165" i="18" s="1"/>
  <c r="L61" i="18"/>
  <c r="K61" i="18"/>
  <c r="R60" i="18"/>
  <c r="M60" i="18"/>
  <c r="L60" i="18"/>
  <c r="K60" i="18"/>
  <c r="R59" i="18"/>
  <c r="L164" i="18" s="1"/>
  <c r="M59" i="18"/>
  <c r="L59" i="18"/>
  <c r="K59" i="18"/>
  <c r="R58" i="18"/>
  <c r="M58" i="18"/>
  <c r="L58" i="18"/>
  <c r="K58" i="18"/>
  <c r="E58" i="18"/>
  <c r="R57" i="18"/>
  <c r="M57" i="18"/>
  <c r="L57" i="18"/>
  <c r="K57" i="18"/>
  <c r="R56" i="18"/>
  <c r="M56" i="18"/>
  <c r="L56" i="18"/>
  <c r="K56" i="18"/>
  <c r="R55" i="18"/>
  <c r="L162" i="18" s="1"/>
  <c r="M55" i="18"/>
  <c r="L55" i="18"/>
  <c r="K55" i="18"/>
  <c r="R54" i="18"/>
  <c r="M54" i="18"/>
  <c r="L54" i="18"/>
  <c r="K54" i="18"/>
  <c r="R53" i="18"/>
  <c r="M53" i="18"/>
  <c r="L53" i="18"/>
  <c r="C161" i="18"/>
  <c r="K53" i="18"/>
  <c r="R52" i="18"/>
  <c r="M52" i="18"/>
  <c r="L52" i="18"/>
  <c r="K52" i="18"/>
  <c r="E52" i="18"/>
  <c r="R51" i="18"/>
  <c r="M51" i="18"/>
  <c r="L51" i="18"/>
  <c r="K51" i="18"/>
  <c r="R50" i="18"/>
  <c r="M50" i="18"/>
  <c r="L50" i="18"/>
  <c r="K50" i="18"/>
  <c r="R49" i="18"/>
  <c r="J159" i="18"/>
  <c r="M49" i="18"/>
  <c r="L49" i="18"/>
  <c r="K49" i="18"/>
  <c r="R48" i="18"/>
  <c r="M48" i="18"/>
  <c r="L48" i="18"/>
  <c r="K48" i="18"/>
  <c r="R47" i="18"/>
  <c r="M47" i="18"/>
  <c r="L47" i="18"/>
  <c r="K47" i="18"/>
  <c r="R46" i="18"/>
  <c r="M46" i="18"/>
  <c r="L46" i="18"/>
  <c r="K46" i="18"/>
  <c r="E46" i="18"/>
  <c r="S157" i="18" s="1"/>
  <c r="R45" i="18"/>
  <c r="M45" i="18"/>
  <c r="L45" i="18"/>
  <c r="K45" i="18"/>
  <c r="B157" i="18" s="1"/>
  <c r="R44" i="18"/>
  <c r="M44" i="18"/>
  <c r="L44" i="18"/>
  <c r="K44" i="18"/>
  <c r="R43" i="18"/>
  <c r="M43" i="18"/>
  <c r="L43" i="18"/>
  <c r="C156" i="18" s="1"/>
  <c r="K43" i="18"/>
  <c r="B156" i="18" s="1"/>
  <c r="R42" i="18"/>
  <c r="M42" i="18"/>
  <c r="L42" i="18"/>
  <c r="K42" i="18"/>
  <c r="R41" i="18"/>
  <c r="M41" i="18"/>
  <c r="L41" i="18"/>
  <c r="K41" i="18"/>
  <c r="R40" i="18"/>
  <c r="M40" i="18"/>
  <c r="L40" i="18"/>
  <c r="K40" i="18"/>
  <c r="E40" i="18"/>
  <c r="R39" i="18"/>
  <c r="M39" i="18"/>
  <c r="L39" i="18"/>
  <c r="K39" i="18"/>
  <c r="R38" i="18"/>
  <c r="M38" i="18"/>
  <c r="L38" i="18"/>
  <c r="K38" i="18"/>
  <c r="E38" i="18"/>
  <c r="R37" i="18"/>
  <c r="M37" i="18"/>
  <c r="L37" i="18"/>
  <c r="K37" i="18"/>
  <c r="R36" i="18"/>
  <c r="M36" i="18"/>
  <c r="L36" i="18"/>
  <c r="K36" i="18"/>
  <c r="R35" i="18"/>
  <c r="M35" i="18"/>
  <c r="L35" i="18"/>
  <c r="K35" i="18"/>
  <c r="R34" i="18"/>
  <c r="M34" i="18"/>
  <c r="L34" i="18"/>
  <c r="K34" i="18"/>
  <c r="E34" i="18"/>
  <c r="R33" i="18"/>
  <c r="M33" i="18"/>
  <c r="L33" i="18"/>
  <c r="K33" i="18"/>
  <c r="R32" i="18"/>
  <c r="M32" i="18"/>
  <c r="L32" i="18"/>
  <c r="K32" i="18"/>
  <c r="R31" i="18"/>
  <c r="M31" i="18"/>
  <c r="L31" i="18"/>
  <c r="K31" i="18"/>
  <c r="R30" i="18"/>
  <c r="M30" i="18"/>
  <c r="L30" i="18"/>
  <c r="K30" i="18"/>
  <c r="R29" i="18"/>
  <c r="M29" i="18"/>
  <c r="L29" i="18"/>
  <c r="K29" i="18"/>
  <c r="R28" i="18"/>
  <c r="M28" i="18"/>
  <c r="L28" i="18"/>
  <c r="K28" i="18"/>
  <c r="R27" i="18"/>
  <c r="M27" i="18"/>
  <c r="L27" i="18"/>
  <c r="K27" i="18"/>
  <c r="E27" i="18"/>
  <c r="R26" i="18"/>
  <c r="M26" i="18"/>
  <c r="L26" i="18"/>
  <c r="K26" i="18"/>
  <c r="R25" i="18"/>
  <c r="M25" i="18"/>
  <c r="L25" i="18"/>
  <c r="K25" i="18"/>
  <c r="R24" i="18"/>
  <c r="M24" i="18"/>
  <c r="L24" i="18"/>
  <c r="K24" i="18"/>
  <c r="R23" i="18"/>
  <c r="M23" i="18"/>
  <c r="L23" i="18"/>
  <c r="K23" i="18"/>
  <c r="R22" i="18"/>
  <c r="M22" i="18"/>
  <c r="L22" i="18"/>
  <c r="K22" i="18"/>
  <c r="R21" i="18"/>
  <c r="M21" i="18"/>
  <c r="L21" i="18"/>
  <c r="K21" i="18"/>
  <c r="E21" i="18"/>
  <c r="R20" i="18"/>
  <c r="M20" i="18"/>
  <c r="L20" i="18"/>
  <c r="K20" i="18"/>
  <c r="R19" i="18"/>
  <c r="M19" i="18"/>
  <c r="L19" i="18"/>
  <c r="K19" i="18"/>
  <c r="R18" i="18"/>
  <c r="L144" i="18" s="1"/>
  <c r="M18" i="18"/>
  <c r="L18" i="18"/>
  <c r="K18" i="18"/>
  <c r="R17" i="18"/>
  <c r="M17" i="18"/>
  <c r="L17" i="18"/>
  <c r="K17" i="18"/>
  <c r="R16" i="18"/>
  <c r="M16" i="18"/>
  <c r="L16" i="18"/>
  <c r="K16" i="18"/>
  <c r="R15" i="18"/>
  <c r="M15" i="18"/>
  <c r="L15" i="18"/>
  <c r="K15" i="18"/>
  <c r="E15" i="18"/>
  <c r="T142" i="18" s="1"/>
  <c r="R14" i="18"/>
  <c r="M14" i="18"/>
  <c r="L14" i="18"/>
  <c r="K14" i="18"/>
  <c r="R13" i="18"/>
  <c r="M13" i="18"/>
  <c r="L13" i="18"/>
  <c r="K13" i="18"/>
  <c r="R12" i="18"/>
  <c r="M12" i="18"/>
  <c r="L12" i="18"/>
  <c r="K12" i="18"/>
  <c r="R11" i="18"/>
  <c r="M11" i="18"/>
  <c r="L11" i="18"/>
  <c r="K11" i="18"/>
  <c r="R10" i="18"/>
  <c r="M10" i="18"/>
  <c r="L10" i="18"/>
  <c r="K10" i="18"/>
  <c r="R9" i="18"/>
  <c r="M9" i="18"/>
  <c r="L9" i="18"/>
  <c r="K9" i="18"/>
  <c r="E9" i="18"/>
  <c r="S139" i="18" s="1"/>
  <c r="R8" i="18"/>
  <c r="M8" i="18"/>
  <c r="L8" i="18"/>
  <c r="K8" i="18"/>
  <c r="U193" i="19"/>
  <c r="T193" i="19"/>
  <c r="U192" i="19"/>
  <c r="T192" i="19"/>
  <c r="S192" i="19"/>
  <c r="U190" i="19"/>
  <c r="T190" i="19"/>
  <c r="S190" i="19"/>
  <c r="U189" i="19"/>
  <c r="T189" i="19"/>
  <c r="S189" i="19"/>
  <c r="U185" i="19"/>
  <c r="T185" i="19"/>
  <c r="S185" i="19"/>
  <c r="U181" i="19"/>
  <c r="T181" i="19"/>
  <c r="S181" i="19"/>
  <c r="U177" i="19"/>
  <c r="T177" i="19"/>
  <c r="S177" i="19"/>
  <c r="U173" i="19"/>
  <c r="T173" i="19"/>
  <c r="S173" i="19"/>
  <c r="U169" i="19"/>
  <c r="T169" i="19"/>
  <c r="S169" i="19"/>
  <c r="U168" i="19"/>
  <c r="T168" i="19"/>
  <c r="S168" i="19"/>
  <c r="U166" i="19"/>
  <c r="U165" i="19"/>
  <c r="U164" i="19"/>
  <c r="T164" i="19"/>
  <c r="U161" i="19"/>
  <c r="T161" i="19"/>
  <c r="U160" i="19"/>
  <c r="T160" i="19"/>
  <c r="S160" i="19"/>
  <c r="U159" i="19"/>
  <c r="T159" i="19"/>
  <c r="U151" i="19"/>
  <c r="U150" i="19"/>
  <c r="S150" i="19"/>
  <c r="U149" i="19"/>
  <c r="U145" i="19"/>
  <c r="U143" i="19"/>
  <c r="U142" i="19"/>
  <c r="U141" i="19"/>
  <c r="R118" i="19"/>
  <c r="M118" i="19"/>
  <c r="L118" i="19"/>
  <c r="K118" i="19"/>
  <c r="R117" i="19"/>
  <c r="L193" i="19" s="1"/>
  <c r="M117" i="19"/>
  <c r="D193" i="19" s="1"/>
  <c r="L117" i="19"/>
  <c r="K117" i="19"/>
  <c r="R116" i="19"/>
  <c r="M116" i="19"/>
  <c r="L116" i="19"/>
  <c r="K116" i="19"/>
  <c r="R115" i="19"/>
  <c r="J192" i="19" s="1"/>
  <c r="M115" i="19"/>
  <c r="L115" i="19"/>
  <c r="K115" i="19"/>
  <c r="R114" i="19"/>
  <c r="M114" i="19"/>
  <c r="L114" i="19"/>
  <c r="K114" i="19"/>
  <c r="R113" i="19"/>
  <c r="M113" i="19"/>
  <c r="L113" i="19"/>
  <c r="K113" i="19"/>
  <c r="E113" i="19"/>
  <c r="U191" i="19" s="1"/>
  <c r="R112" i="19"/>
  <c r="M112" i="19"/>
  <c r="L112" i="19"/>
  <c r="K112" i="19"/>
  <c r="R111" i="19"/>
  <c r="M111" i="19"/>
  <c r="L111" i="19"/>
  <c r="K111" i="19"/>
  <c r="R110" i="19"/>
  <c r="H190" i="19" s="1"/>
  <c r="M110" i="19"/>
  <c r="L110" i="19"/>
  <c r="K110" i="19"/>
  <c r="R109" i="19"/>
  <c r="M109" i="19"/>
  <c r="L109" i="19"/>
  <c r="K109" i="19"/>
  <c r="R108" i="19"/>
  <c r="M108" i="19"/>
  <c r="L108" i="19"/>
  <c r="K108" i="19"/>
  <c r="R107" i="19"/>
  <c r="M107" i="19"/>
  <c r="L107" i="19"/>
  <c r="K107" i="19"/>
  <c r="E107" i="19"/>
  <c r="T188" i="19" s="1"/>
  <c r="R106" i="19"/>
  <c r="M106" i="19"/>
  <c r="L106" i="19"/>
  <c r="K106" i="19"/>
  <c r="R105" i="19"/>
  <c r="M105" i="19"/>
  <c r="L105" i="19"/>
  <c r="K105" i="19"/>
  <c r="E105" i="19"/>
  <c r="T187" i="19" s="1"/>
  <c r="R104" i="19"/>
  <c r="M104" i="19"/>
  <c r="L104" i="19"/>
  <c r="K104" i="19"/>
  <c r="R103" i="19"/>
  <c r="M103" i="19"/>
  <c r="L103" i="19"/>
  <c r="K103" i="19"/>
  <c r="E103" i="19"/>
  <c r="U186" i="19" s="1"/>
  <c r="R102" i="19"/>
  <c r="M102" i="19"/>
  <c r="L102" i="19"/>
  <c r="K102" i="19"/>
  <c r="R101" i="19"/>
  <c r="M101" i="19"/>
  <c r="L101" i="19"/>
  <c r="K101" i="19"/>
  <c r="R100" i="19"/>
  <c r="M100" i="19"/>
  <c r="L100" i="19"/>
  <c r="K100" i="19"/>
  <c r="R99" i="19"/>
  <c r="M99" i="19"/>
  <c r="L99" i="19"/>
  <c r="K99" i="19"/>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E88" i="19"/>
  <c r="T180" i="19" s="1"/>
  <c r="R87" i="19"/>
  <c r="M87" i="19"/>
  <c r="L87" i="19"/>
  <c r="K87" i="19"/>
  <c r="R86" i="19"/>
  <c r="M86" i="19"/>
  <c r="L86" i="19"/>
  <c r="K86" i="19"/>
  <c r="E86" i="19"/>
  <c r="R85" i="19"/>
  <c r="M85" i="19"/>
  <c r="L85" i="19"/>
  <c r="K85" i="19"/>
  <c r="R84" i="19"/>
  <c r="M84" i="19"/>
  <c r="N84" i="19" s="1"/>
  <c r="L84" i="19"/>
  <c r="K84" i="19"/>
  <c r="E84" i="19"/>
  <c r="T178" i="19" s="1"/>
  <c r="R83" i="19"/>
  <c r="M83" i="19"/>
  <c r="L83" i="19"/>
  <c r="K83" i="19"/>
  <c r="R82" i="19"/>
  <c r="M82" i="19"/>
  <c r="L82" i="19"/>
  <c r="K82" i="19"/>
  <c r="N82" i="19" s="1"/>
  <c r="R81" i="19"/>
  <c r="M81" i="19"/>
  <c r="D177" i="19" s="1"/>
  <c r="L81" i="19"/>
  <c r="C177" i="19" s="1"/>
  <c r="K81" i="19"/>
  <c r="R80" i="19"/>
  <c r="M80" i="19"/>
  <c r="L80" i="19"/>
  <c r="K80" i="19"/>
  <c r="E80" i="19"/>
  <c r="R79" i="19"/>
  <c r="M79" i="19"/>
  <c r="L79" i="19"/>
  <c r="K79" i="19"/>
  <c r="R78" i="19"/>
  <c r="M78" i="19"/>
  <c r="L78" i="19"/>
  <c r="K78" i="19"/>
  <c r="E78" i="19"/>
  <c r="U175" i="19" s="1"/>
  <c r="R77" i="19"/>
  <c r="M77" i="19"/>
  <c r="L77" i="19"/>
  <c r="K77" i="19"/>
  <c r="R76" i="19"/>
  <c r="M76" i="19"/>
  <c r="L76" i="19"/>
  <c r="K76" i="19"/>
  <c r="E76" i="19"/>
  <c r="R75" i="19"/>
  <c r="M75" i="19"/>
  <c r="L75" i="19"/>
  <c r="K75" i="19"/>
  <c r="R74" i="19"/>
  <c r="M74" i="19"/>
  <c r="L74" i="19"/>
  <c r="K74" i="19"/>
  <c r="R73" i="19"/>
  <c r="M73" i="19"/>
  <c r="L73" i="19"/>
  <c r="K73" i="19"/>
  <c r="R72" i="19"/>
  <c r="M72" i="19"/>
  <c r="L72" i="19"/>
  <c r="K72" i="19"/>
  <c r="E72" i="19"/>
  <c r="T172" i="19" s="1"/>
  <c r="R71" i="19"/>
  <c r="M71" i="19"/>
  <c r="L71" i="19"/>
  <c r="K71" i="19"/>
  <c r="R70" i="19"/>
  <c r="M70" i="19"/>
  <c r="L70" i="19"/>
  <c r="K70" i="19"/>
  <c r="E70" i="19"/>
  <c r="T171" i="19" s="1"/>
  <c r="R69" i="19"/>
  <c r="M69" i="19"/>
  <c r="L69" i="19"/>
  <c r="K69" i="19"/>
  <c r="R68" i="19"/>
  <c r="M68" i="19"/>
  <c r="L68" i="19"/>
  <c r="K68" i="19"/>
  <c r="E68" i="19"/>
  <c r="S170" i="19" s="1"/>
  <c r="R67" i="19"/>
  <c r="M67" i="19"/>
  <c r="L67" i="19"/>
  <c r="K67" i="19"/>
  <c r="R66" i="19"/>
  <c r="M66" i="19"/>
  <c r="L66" i="19"/>
  <c r="K66" i="19"/>
  <c r="R65" i="19"/>
  <c r="M65" i="19"/>
  <c r="L65" i="19"/>
  <c r="K65" i="19"/>
  <c r="R64" i="19"/>
  <c r="M64" i="19"/>
  <c r="L64" i="19"/>
  <c r="K64" i="19"/>
  <c r="R63" i="19"/>
  <c r="M63" i="19"/>
  <c r="L63" i="19"/>
  <c r="N63" i="19" s="1"/>
  <c r="K63" i="19"/>
  <c r="R62" i="19"/>
  <c r="M62" i="19"/>
  <c r="L62" i="19"/>
  <c r="K62" i="19"/>
  <c r="E62" i="19"/>
  <c r="U167" i="19" s="1"/>
  <c r="R61" i="19"/>
  <c r="M61" i="19"/>
  <c r="D167" i="19" s="1"/>
  <c r="L61" i="19"/>
  <c r="K61" i="19"/>
  <c r="T166" i="19"/>
  <c r="R60" i="19"/>
  <c r="M60" i="19"/>
  <c r="L60" i="19"/>
  <c r="K60" i="19"/>
  <c r="M59" i="19"/>
  <c r="L59" i="19"/>
  <c r="K59" i="19"/>
  <c r="R58" i="19"/>
  <c r="M58" i="19"/>
  <c r="L58" i="19"/>
  <c r="K58" i="19"/>
  <c r="R57" i="19"/>
  <c r="M57" i="19"/>
  <c r="L57" i="19"/>
  <c r="K57" i="19"/>
  <c r="B165" i="19" s="1"/>
  <c r="S164" i="19"/>
  <c r="R56" i="19"/>
  <c r="M56" i="19"/>
  <c r="L56" i="19"/>
  <c r="K56" i="19"/>
  <c r="R55" i="19"/>
  <c r="L164" i="19" s="1"/>
  <c r="M55" i="19"/>
  <c r="L55" i="19"/>
  <c r="C164" i="19" s="1"/>
  <c r="K55" i="19"/>
  <c r="R54" i="19"/>
  <c r="M54" i="19"/>
  <c r="L54" i="19"/>
  <c r="K54" i="19"/>
  <c r="E54" i="19"/>
  <c r="U163" i="19" s="1"/>
  <c r="R53" i="19"/>
  <c r="M53" i="19"/>
  <c r="L53" i="19"/>
  <c r="K53" i="19"/>
  <c r="R52" i="19"/>
  <c r="M52" i="19"/>
  <c r="L52" i="19"/>
  <c r="K52" i="19"/>
  <c r="B163" i="19" s="1"/>
  <c r="M51" i="19"/>
  <c r="L51" i="19"/>
  <c r="K51" i="19"/>
  <c r="E51" i="19"/>
  <c r="S162" i="19" s="1"/>
  <c r="M50" i="19"/>
  <c r="L50" i="19"/>
  <c r="K50" i="19"/>
  <c r="R49" i="19"/>
  <c r="M49" i="19"/>
  <c r="L49" i="19"/>
  <c r="K49" i="19"/>
  <c r="R48" i="19"/>
  <c r="H161" i="19" s="1"/>
  <c r="S161" i="19"/>
  <c r="M48" i="19"/>
  <c r="L48" i="19"/>
  <c r="K48" i="19"/>
  <c r="N48" i="19" s="1"/>
  <c r="R47" i="19"/>
  <c r="M47" i="19"/>
  <c r="L47" i="19"/>
  <c r="K47" i="19"/>
  <c r="M46" i="19"/>
  <c r="L46" i="19"/>
  <c r="K46" i="19"/>
  <c r="R45" i="19"/>
  <c r="M45" i="19"/>
  <c r="L45" i="19"/>
  <c r="K45" i="19"/>
  <c r="R44" i="19"/>
  <c r="S159" i="19"/>
  <c r="M44" i="19"/>
  <c r="L44" i="19"/>
  <c r="K44" i="19"/>
  <c r="R43" i="19"/>
  <c r="M43" i="19"/>
  <c r="L43" i="19"/>
  <c r="K43" i="19"/>
  <c r="E43" i="19"/>
  <c r="S158" i="19" s="1"/>
  <c r="M42" i="19"/>
  <c r="L42" i="19"/>
  <c r="K42" i="19"/>
  <c r="M41" i="19"/>
  <c r="L41" i="19"/>
  <c r="K41" i="19"/>
  <c r="M40" i="19"/>
  <c r="L40" i="19"/>
  <c r="K40" i="19"/>
  <c r="R39" i="19"/>
  <c r="M39" i="19"/>
  <c r="L39" i="19"/>
  <c r="K39" i="19"/>
  <c r="M38" i="19"/>
  <c r="L38" i="19"/>
  <c r="K38" i="19"/>
  <c r="M37" i="19"/>
  <c r="L37" i="19"/>
  <c r="K37" i="19"/>
  <c r="M36" i="19"/>
  <c r="L36" i="19"/>
  <c r="K36" i="19"/>
  <c r="R35" i="19"/>
  <c r="M35" i="19"/>
  <c r="L35" i="19"/>
  <c r="K35" i="19"/>
  <c r="E35" i="19"/>
  <c r="R34" i="19"/>
  <c r="M34" i="19"/>
  <c r="L34" i="19"/>
  <c r="K34" i="19"/>
  <c r="R33" i="19"/>
  <c r="M33" i="19"/>
  <c r="L33" i="19"/>
  <c r="K33" i="19"/>
  <c r="E33" i="19"/>
  <c r="U153" i="19" s="1"/>
  <c r="M32" i="19"/>
  <c r="L32" i="19"/>
  <c r="K32" i="19"/>
  <c r="R31" i="19"/>
  <c r="M31" i="19"/>
  <c r="L31" i="19"/>
  <c r="K31" i="19"/>
  <c r="U152" i="19"/>
  <c r="R30" i="19"/>
  <c r="M30" i="19"/>
  <c r="L30" i="19"/>
  <c r="C152" i="19" s="1"/>
  <c r="K30" i="19"/>
  <c r="R29" i="19"/>
  <c r="M29" i="19"/>
  <c r="L29" i="19"/>
  <c r="K29" i="19"/>
  <c r="R28" i="19"/>
  <c r="S151" i="19"/>
  <c r="M28" i="19"/>
  <c r="L28" i="19"/>
  <c r="K28" i="19"/>
  <c r="R27" i="19"/>
  <c r="M27" i="19"/>
  <c r="L27" i="19"/>
  <c r="K27" i="19"/>
  <c r="R26" i="19"/>
  <c r="T150" i="19"/>
  <c r="M26" i="19"/>
  <c r="L26" i="19"/>
  <c r="K26" i="19"/>
  <c r="R25" i="19"/>
  <c r="M25" i="19"/>
  <c r="L25" i="19"/>
  <c r="K25" i="19"/>
  <c r="T149" i="19"/>
  <c r="M24" i="19"/>
  <c r="L24" i="19"/>
  <c r="K24" i="19"/>
  <c r="M23" i="19"/>
  <c r="N23" i="19" s="1"/>
  <c r="L23" i="19"/>
  <c r="K23" i="19"/>
  <c r="E23" i="19"/>
  <c r="M22" i="19"/>
  <c r="L22" i="19"/>
  <c r="K22" i="19"/>
  <c r="R21" i="19"/>
  <c r="M21" i="19"/>
  <c r="N21" i="19" s="1"/>
  <c r="L21" i="19"/>
  <c r="K21" i="19"/>
  <c r="E21" i="19"/>
  <c r="T147" i="19" s="1"/>
  <c r="R20" i="19"/>
  <c r="M20" i="19"/>
  <c r="L20" i="19"/>
  <c r="K20" i="19"/>
  <c r="R19" i="19"/>
  <c r="M19" i="19"/>
  <c r="L19" i="19"/>
  <c r="K19" i="19"/>
  <c r="E19" i="19"/>
  <c r="U146" i="19" s="1"/>
  <c r="R18" i="19"/>
  <c r="M18" i="19"/>
  <c r="L18" i="19"/>
  <c r="K18" i="19"/>
  <c r="R17" i="19"/>
  <c r="M17" i="19"/>
  <c r="L17" i="19"/>
  <c r="K17" i="19"/>
  <c r="B145" i="19" s="1"/>
  <c r="M16" i="19"/>
  <c r="L16" i="19"/>
  <c r="K16" i="19"/>
  <c r="M15" i="19"/>
  <c r="L15" i="19"/>
  <c r="K15" i="19"/>
  <c r="E15" i="19"/>
  <c r="R14" i="19"/>
  <c r="M14" i="19"/>
  <c r="L14" i="19"/>
  <c r="K14" i="19"/>
  <c r="R13" i="19"/>
  <c r="M13" i="19"/>
  <c r="L13" i="19"/>
  <c r="K13" i="19"/>
  <c r="R12" i="19"/>
  <c r="J143" i="19" s="1"/>
  <c r="S143" i="19"/>
  <c r="M12" i="19"/>
  <c r="L12" i="19"/>
  <c r="K12" i="19"/>
  <c r="B143" i="19" s="1"/>
  <c r="R11" i="19"/>
  <c r="M11" i="19"/>
  <c r="L11" i="19"/>
  <c r="K11" i="19"/>
  <c r="R10" i="19"/>
  <c r="H142" i="19" s="1"/>
  <c r="M10" i="19"/>
  <c r="D142" i="19" s="1"/>
  <c r="L10" i="19"/>
  <c r="K10" i="19"/>
  <c r="R9" i="19"/>
  <c r="M9" i="19"/>
  <c r="L9" i="19"/>
  <c r="K9" i="19"/>
  <c r="M8" i="19"/>
  <c r="L8" i="19"/>
  <c r="K8" i="19"/>
  <c r="U185" i="21"/>
  <c r="T185" i="21"/>
  <c r="S185" i="21"/>
  <c r="U184" i="21"/>
  <c r="T184" i="21"/>
  <c r="S184" i="21"/>
  <c r="U183" i="21"/>
  <c r="T183" i="21"/>
  <c r="S183" i="21"/>
  <c r="U181" i="21"/>
  <c r="T181" i="21"/>
  <c r="S181" i="21"/>
  <c r="U180" i="21"/>
  <c r="T180" i="21"/>
  <c r="S180" i="21"/>
  <c r="U173" i="21"/>
  <c r="T173" i="21"/>
  <c r="S173" i="21"/>
  <c r="U169" i="21"/>
  <c r="T169" i="21"/>
  <c r="S169" i="21"/>
  <c r="U165" i="21"/>
  <c r="T165" i="21"/>
  <c r="S165" i="21"/>
  <c r="U161" i="21"/>
  <c r="T161" i="21"/>
  <c r="S161" i="21"/>
  <c r="U160" i="21"/>
  <c r="T160" i="21"/>
  <c r="S160" i="21"/>
  <c r="U159" i="21"/>
  <c r="T159" i="21"/>
  <c r="S159" i="21"/>
  <c r="U158" i="21"/>
  <c r="T158" i="21"/>
  <c r="S158" i="21"/>
  <c r="U156" i="21"/>
  <c r="T156" i="21"/>
  <c r="S156" i="21"/>
  <c r="U155" i="21"/>
  <c r="T155" i="21"/>
  <c r="S155" i="21"/>
  <c r="U154" i="21"/>
  <c r="T154" i="21"/>
  <c r="S154" i="21"/>
  <c r="U153" i="21"/>
  <c r="T153" i="21"/>
  <c r="S153" i="21"/>
  <c r="U151" i="21"/>
  <c r="T151" i="21"/>
  <c r="S151" i="21"/>
  <c r="U150" i="21"/>
  <c r="T150" i="21"/>
  <c r="S150" i="21"/>
  <c r="U149" i="21"/>
  <c r="T149" i="21"/>
  <c r="S149" i="21"/>
  <c r="U148" i="21"/>
  <c r="T148" i="21"/>
  <c r="S148" i="21"/>
  <c r="U146" i="21"/>
  <c r="T146" i="21"/>
  <c r="S146" i="21"/>
  <c r="U145" i="21"/>
  <c r="T145" i="21"/>
  <c r="S145" i="21"/>
  <c r="U144" i="21"/>
  <c r="T144" i="21"/>
  <c r="S144" i="21"/>
  <c r="U143" i="21"/>
  <c r="T143" i="21"/>
  <c r="S143" i="21"/>
  <c r="U141" i="21"/>
  <c r="T141" i="21"/>
  <c r="S141" i="21"/>
  <c r="U139" i="21"/>
  <c r="T139" i="21"/>
  <c r="S139" i="21"/>
  <c r="U138" i="21"/>
  <c r="T138" i="21"/>
  <c r="S138" i="21"/>
  <c r="U136" i="21"/>
  <c r="T136" i="21"/>
  <c r="S136" i="21"/>
  <c r="U135" i="21"/>
  <c r="T135" i="21"/>
  <c r="S135" i="21"/>
  <c r="U134" i="21"/>
  <c r="T134" i="21"/>
  <c r="S134" i="21"/>
  <c r="W134" i="21" s="1"/>
  <c r="U133" i="21"/>
  <c r="T133" i="21"/>
  <c r="S133" i="21"/>
  <c r="R113" i="21"/>
  <c r="M113" i="21"/>
  <c r="L113" i="21"/>
  <c r="K113" i="21"/>
  <c r="R112" i="21"/>
  <c r="M112" i="21"/>
  <c r="L112" i="21"/>
  <c r="K112" i="21"/>
  <c r="R111" i="21"/>
  <c r="M111" i="21"/>
  <c r="L111" i="21"/>
  <c r="K111" i="21"/>
  <c r="R110" i="21"/>
  <c r="J184" i="21" s="1"/>
  <c r="M110" i="21"/>
  <c r="L110" i="21"/>
  <c r="K110" i="21"/>
  <c r="B184" i="21" s="1"/>
  <c r="R109" i="21"/>
  <c r="M109" i="21"/>
  <c r="L109" i="21"/>
  <c r="K109" i="21"/>
  <c r="R108" i="21"/>
  <c r="L183" i="21" s="1"/>
  <c r="M108" i="21"/>
  <c r="L108" i="21"/>
  <c r="K108" i="21"/>
  <c r="B183" i="21" s="1"/>
  <c r="R107" i="21"/>
  <c r="M107" i="21"/>
  <c r="L107" i="21"/>
  <c r="K107" i="21"/>
  <c r="E107" i="21"/>
  <c r="U182" i="21" s="1"/>
  <c r="R106" i="21"/>
  <c r="M106" i="21"/>
  <c r="L106" i="21"/>
  <c r="K106" i="21"/>
  <c r="B182" i="21" s="1"/>
  <c r="R105" i="21"/>
  <c r="M105" i="21"/>
  <c r="L105" i="21"/>
  <c r="K105" i="21"/>
  <c r="N105" i="21" s="1"/>
  <c r="R104" i="21"/>
  <c r="M104" i="21"/>
  <c r="L104" i="21"/>
  <c r="C181" i="21" s="1"/>
  <c r="K104" i="21"/>
  <c r="R103" i="21"/>
  <c r="M103" i="21"/>
  <c r="L103" i="21"/>
  <c r="K103" i="21"/>
  <c r="N103" i="21" s="1"/>
  <c r="R102" i="21"/>
  <c r="M102" i="21"/>
  <c r="L102" i="21"/>
  <c r="C180" i="21" s="1"/>
  <c r="K102" i="21"/>
  <c r="R101" i="21"/>
  <c r="M101" i="21"/>
  <c r="L101" i="21"/>
  <c r="K101" i="21"/>
  <c r="B179" i="21" s="1"/>
  <c r="E101" i="21"/>
  <c r="S179" i="21" s="1"/>
  <c r="R100" i="21"/>
  <c r="M100" i="21"/>
  <c r="L100" i="21"/>
  <c r="K100" i="21"/>
  <c r="R99" i="21"/>
  <c r="M99" i="21"/>
  <c r="L99" i="21"/>
  <c r="N99" i="21" s="1"/>
  <c r="K99" i="21"/>
  <c r="E99" i="21"/>
  <c r="T178" i="21" s="1"/>
  <c r="R98" i="21"/>
  <c r="M98" i="21"/>
  <c r="L98" i="21"/>
  <c r="K98" i="21"/>
  <c r="R97" i="21"/>
  <c r="M97" i="21"/>
  <c r="L97" i="21"/>
  <c r="K97" i="21"/>
  <c r="E97" i="21"/>
  <c r="R96" i="21"/>
  <c r="M96" i="21"/>
  <c r="L96" i="21"/>
  <c r="K96" i="21"/>
  <c r="R95" i="21"/>
  <c r="M95" i="21"/>
  <c r="L95" i="21"/>
  <c r="K95" i="21"/>
  <c r="E95" i="21"/>
  <c r="U176" i="21" s="1"/>
  <c r="R94" i="21"/>
  <c r="M94" i="21"/>
  <c r="L94" i="21"/>
  <c r="K94" i="21"/>
  <c r="B176" i="21" s="1"/>
  <c r="R93" i="21"/>
  <c r="M93" i="21"/>
  <c r="L93" i="21"/>
  <c r="K93" i="21"/>
  <c r="E93" i="21"/>
  <c r="R92" i="21"/>
  <c r="M92" i="21"/>
  <c r="L92" i="21"/>
  <c r="K92" i="21"/>
  <c r="R91" i="21"/>
  <c r="M91" i="21"/>
  <c r="L91" i="21"/>
  <c r="K91" i="21"/>
  <c r="E91" i="21"/>
  <c r="S174" i="21" s="1"/>
  <c r="R90" i="21"/>
  <c r="M90" i="21"/>
  <c r="L90" i="21"/>
  <c r="K90" i="21"/>
  <c r="R89" i="21"/>
  <c r="M89" i="21"/>
  <c r="N89" i="21" s="1"/>
  <c r="L89" i="21"/>
  <c r="K89" i="21"/>
  <c r="R88" i="21"/>
  <c r="M88" i="21"/>
  <c r="L88" i="21"/>
  <c r="K88" i="21"/>
  <c r="R87" i="21"/>
  <c r="M87" i="21"/>
  <c r="L87" i="21"/>
  <c r="K87" i="21"/>
  <c r="E87" i="21"/>
  <c r="R86" i="21"/>
  <c r="M86" i="21"/>
  <c r="L86" i="21"/>
  <c r="K86" i="21"/>
  <c r="R85" i="21"/>
  <c r="M85" i="21"/>
  <c r="L85" i="21"/>
  <c r="K85" i="21"/>
  <c r="E85" i="21"/>
  <c r="S171" i="21" s="1"/>
  <c r="R84" i="21"/>
  <c r="M84" i="21"/>
  <c r="L84" i="21"/>
  <c r="K84" i="21"/>
  <c r="N84" i="21" s="1"/>
  <c r="R83" i="21"/>
  <c r="M83" i="21"/>
  <c r="L83" i="21"/>
  <c r="K83" i="21"/>
  <c r="E83" i="21"/>
  <c r="U170" i="21" s="1"/>
  <c r="R82" i="21"/>
  <c r="M82" i="21"/>
  <c r="L82" i="21"/>
  <c r="K82" i="21"/>
  <c r="R81" i="21"/>
  <c r="M81" i="21"/>
  <c r="L81" i="21"/>
  <c r="K81" i="21"/>
  <c r="R80" i="21"/>
  <c r="M80" i="21"/>
  <c r="L80" i="21"/>
  <c r="K80" i="21"/>
  <c r="B169" i="21" s="1"/>
  <c r="R79" i="21"/>
  <c r="M79" i="21"/>
  <c r="L79" i="21"/>
  <c r="K79" i="21"/>
  <c r="E79" i="21"/>
  <c r="R78" i="21"/>
  <c r="M78" i="21"/>
  <c r="L78" i="21"/>
  <c r="K78" i="21"/>
  <c r="R77" i="21"/>
  <c r="M77" i="21"/>
  <c r="L77" i="21"/>
  <c r="K77" i="21"/>
  <c r="E77" i="21"/>
  <c r="T167" i="21" s="1"/>
  <c r="R76" i="21"/>
  <c r="M76" i="21"/>
  <c r="L76" i="21"/>
  <c r="K76" i="21"/>
  <c r="R75" i="21"/>
  <c r="M75" i="21"/>
  <c r="L75" i="21"/>
  <c r="K75" i="21"/>
  <c r="E75" i="21"/>
  <c r="R74" i="21"/>
  <c r="M74" i="21"/>
  <c r="L74" i="21"/>
  <c r="K74" i="21"/>
  <c r="R73" i="21"/>
  <c r="M73" i="21"/>
  <c r="L73" i="21"/>
  <c r="K73" i="21"/>
  <c r="N73" i="21" s="1"/>
  <c r="R72" i="21"/>
  <c r="M72" i="21"/>
  <c r="L72" i="21"/>
  <c r="K72" i="21"/>
  <c r="R71" i="21"/>
  <c r="M71" i="21"/>
  <c r="L71" i="21"/>
  <c r="K71" i="21"/>
  <c r="E71" i="21"/>
  <c r="R70" i="21"/>
  <c r="M70" i="21"/>
  <c r="L70" i="21"/>
  <c r="K70" i="21"/>
  <c r="R69" i="21"/>
  <c r="M69" i="21"/>
  <c r="L69" i="21"/>
  <c r="K69" i="21"/>
  <c r="E69" i="21"/>
  <c r="S163" i="21" s="1"/>
  <c r="R68" i="21"/>
  <c r="M68" i="21"/>
  <c r="L68" i="21"/>
  <c r="K68" i="21"/>
  <c r="R67" i="21"/>
  <c r="M67" i="21"/>
  <c r="N67" i="21" s="1"/>
  <c r="L67" i="21"/>
  <c r="K67" i="21"/>
  <c r="E67" i="21"/>
  <c r="U162" i="21" s="1"/>
  <c r="R66" i="21"/>
  <c r="M66" i="21"/>
  <c r="L66" i="21"/>
  <c r="K66" i="21"/>
  <c r="R65" i="21"/>
  <c r="M65" i="21"/>
  <c r="L65" i="21"/>
  <c r="K65" i="21"/>
  <c r="R64" i="21"/>
  <c r="M64" i="21"/>
  <c r="D161" i="21" s="1"/>
  <c r="L64" i="21"/>
  <c r="K64" i="21"/>
  <c r="R63" i="21"/>
  <c r="M63" i="21"/>
  <c r="L63" i="21"/>
  <c r="K63" i="21"/>
  <c r="R62" i="21"/>
  <c r="M62" i="21"/>
  <c r="L62" i="21"/>
  <c r="K62" i="21"/>
  <c r="R61" i="21"/>
  <c r="M61" i="21"/>
  <c r="L61" i="21"/>
  <c r="K61" i="21"/>
  <c r="R60" i="21"/>
  <c r="J159" i="21" s="1"/>
  <c r="M60" i="21"/>
  <c r="D159" i="21" s="1"/>
  <c r="L60" i="21"/>
  <c r="K60" i="21"/>
  <c r="R59" i="21"/>
  <c r="M59" i="21"/>
  <c r="L59" i="21"/>
  <c r="K59" i="21"/>
  <c r="R58" i="21"/>
  <c r="H158" i="21" s="1"/>
  <c r="M58" i="21"/>
  <c r="D158" i="21" s="1"/>
  <c r="L58" i="21"/>
  <c r="K58" i="21"/>
  <c r="R57" i="21"/>
  <c r="M57" i="21"/>
  <c r="L57" i="21"/>
  <c r="K57" i="21"/>
  <c r="E57" i="21"/>
  <c r="S157" i="21" s="1"/>
  <c r="R56" i="21"/>
  <c r="M56" i="21"/>
  <c r="L56" i="21"/>
  <c r="K56" i="21"/>
  <c r="R55" i="21"/>
  <c r="M55" i="21"/>
  <c r="L55" i="21"/>
  <c r="K55" i="21"/>
  <c r="R54" i="21"/>
  <c r="L156" i="21" s="1"/>
  <c r="M54" i="21"/>
  <c r="L54" i="21"/>
  <c r="K54" i="21"/>
  <c r="R53" i="21"/>
  <c r="M53" i="21"/>
  <c r="L53" i="21"/>
  <c r="K53" i="21"/>
  <c r="R52" i="21"/>
  <c r="H155" i="21" s="1"/>
  <c r="M52" i="21"/>
  <c r="D155" i="21" s="1"/>
  <c r="L52" i="21"/>
  <c r="K52" i="21"/>
  <c r="R51" i="21"/>
  <c r="M51" i="21"/>
  <c r="L51" i="21"/>
  <c r="K51" i="21"/>
  <c r="R50" i="21"/>
  <c r="M50" i="21"/>
  <c r="L50" i="21"/>
  <c r="K50" i="21"/>
  <c r="B154" i="21" s="1"/>
  <c r="R49" i="21"/>
  <c r="M49" i="21"/>
  <c r="L49" i="21"/>
  <c r="K49" i="21"/>
  <c r="R48" i="21"/>
  <c r="L153" i="21" s="1"/>
  <c r="M48" i="21"/>
  <c r="L48" i="21"/>
  <c r="K48" i="21"/>
  <c r="N48" i="21" s="1"/>
  <c r="R47" i="21"/>
  <c r="M47" i="21"/>
  <c r="L47" i="21"/>
  <c r="K47" i="21"/>
  <c r="E47" i="21"/>
  <c r="R46" i="21"/>
  <c r="M46" i="21"/>
  <c r="L46" i="21"/>
  <c r="K46" i="21"/>
  <c r="R45" i="21"/>
  <c r="M45" i="21"/>
  <c r="L45" i="21"/>
  <c r="K45" i="21"/>
  <c r="R44" i="21"/>
  <c r="M44" i="21"/>
  <c r="L44" i="21"/>
  <c r="K44" i="21"/>
  <c r="R43" i="21"/>
  <c r="M43" i="21"/>
  <c r="L43" i="21"/>
  <c r="K43" i="21"/>
  <c r="R42" i="21"/>
  <c r="M42" i="21"/>
  <c r="L42" i="21"/>
  <c r="N42" i="21" s="1"/>
  <c r="K42" i="21"/>
  <c r="R41" i="21"/>
  <c r="M41" i="21"/>
  <c r="L41" i="21"/>
  <c r="K41" i="21"/>
  <c r="R40" i="21"/>
  <c r="M40" i="21"/>
  <c r="L40" i="21"/>
  <c r="N40" i="21" s="1"/>
  <c r="K40" i="21"/>
  <c r="R39" i="21"/>
  <c r="M39" i="21"/>
  <c r="L39" i="21"/>
  <c r="K39" i="21"/>
  <c r="R38" i="21"/>
  <c r="M38" i="21"/>
  <c r="L38" i="21"/>
  <c r="N38" i="21" s="1"/>
  <c r="K38" i="21"/>
  <c r="R37" i="21"/>
  <c r="M37" i="21"/>
  <c r="L37" i="21"/>
  <c r="K37" i="21"/>
  <c r="E37" i="21"/>
  <c r="S147" i="21" s="1"/>
  <c r="R36" i="21"/>
  <c r="M36" i="21"/>
  <c r="L36" i="21"/>
  <c r="K36" i="21"/>
  <c r="R35" i="21"/>
  <c r="M35" i="21"/>
  <c r="L35" i="21"/>
  <c r="K35" i="21"/>
  <c r="R34" i="21"/>
  <c r="M34" i="21"/>
  <c r="L34" i="21"/>
  <c r="C146" i="21" s="1"/>
  <c r="K34" i="21"/>
  <c r="B146" i="21" s="1"/>
  <c r="R33" i="21"/>
  <c r="M33" i="21"/>
  <c r="L33" i="21"/>
  <c r="K33" i="21"/>
  <c r="R32" i="21"/>
  <c r="M32" i="21"/>
  <c r="D145" i="21" s="1"/>
  <c r="L32" i="21"/>
  <c r="K32" i="21"/>
  <c r="R31" i="21"/>
  <c r="M31" i="21"/>
  <c r="L31" i="21"/>
  <c r="K31" i="21"/>
  <c r="R30" i="21"/>
  <c r="L144" i="21" s="1"/>
  <c r="M30" i="21"/>
  <c r="D144" i="21" s="1"/>
  <c r="L30" i="21"/>
  <c r="K30" i="21"/>
  <c r="R29" i="21"/>
  <c r="M29" i="21"/>
  <c r="N29" i="21" s="1"/>
  <c r="L29" i="21"/>
  <c r="K29" i="21"/>
  <c r="R28" i="21"/>
  <c r="M28" i="21"/>
  <c r="L28" i="21"/>
  <c r="K28" i="21"/>
  <c r="R27" i="21"/>
  <c r="M27" i="21"/>
  <c r="L27" i="21"/>
  <c r="K27" i="21"/>
  <c r="E27" i="21"/>
  <c r="U142" i="21" s="1"/>
  <c r="R26" i="21"/>
  <c r="M26" i="21"/>
  <c r="L26" i="21"/>
  <c r="K26" i="21"/>
  <c r="R25" i="21"/>
  <c r="M25" i="21"/>
  <c r="L25" i="21"/>
  <c r="K25" i="21"/>
  <c r="R24" i="21"/>
  <c r="M24" i="21"/>
  <c r="L24" i="21"/>
  <c r="K24" i="21"/>
  <c r="R23" i="21"/>
  <c r="M23" i="21"/>
  <c r="L23" i="21"/>
  <c r="K23" i="21"/>
  <c r="E23" i="21"/>
  <c r="R22" i="21"/>
  <c r="M22" i="21"/>
  <c r="L22" i="21"/>
  <c r="K22" i="21"/>
  <c r="N22" i="21" s="1"/>
  <c r="R21" i="21"/>
  <c r="M21" i="21"/>
  <c r="L21" i="21"/>
  <c r="K21" i="21"/>
  <c r="R20" i="21"/>
  <c r="M20" i="21"/>
  <c r="L20" i="21"/>
  <c r="K20" i="21"/>
  <c r="N20" i="21" s="1"/>
  <c r="R19" i="21"/>
  <c r="M19" i="21"/>
  <c r="L19" i="21"/>
  <c r="K19" i="21"/>
  <c r="R18" i="21"/>
  <c r="J138" i="21" s="1"/>
  <c r="M18" i="21"/>
  <c r="L18" i="21"/>
  <c r="K18" i="21"/>
  <c r="N18" i="21" s="1"/>
  <c r="R17" i="21"/>
  <c r="M17" i="21"/>
  <c r="L17" i="21"/>
  <c r="K17" i="21"/>
  <c r="N17" i="21" s="1"/>
  <c r="E17" i="21"/>
  <c r="R16" i="21"/>
  <c r="M16" i="21"/>
  <c r="L16" i="21"/>
  <c r="K16" i="21"/>
  <c r="R15" i="21"/>
  <c r="M15" i="21"/>
  <c r="L15" i="21"/>
  <c r="N15" i="21" s="1"/>
  <c r="K15" i="21"/>
  <c r="R14" i="21"/>
  <c r="M14" i="21"/>
  <c r="L14" i="21"/>
  <c r="K14" i="21"/>
  <c r="B136" i="21" s="1"/>
  <c r="R13" i="21"/>
  <c r="M13" i="21"/>
  <c r="L13" i="21"/>
  <c r="K13" i="21"/>
  <c r="R12" i="21"/>
  <c r="M12" i="21"/>
  <c r="L12" i="21"/>
  <c r="K12" i="21"/>
  <c r="R11" i="21"/>
  <c r="M11" i="21"/>
  <c r="L11" i="21"/>
  <c r="K11" i="21"/>
  <c r="R10" i="21"/>
  <c r="M10" i="21"/>
  <c r="L10" i="21"/>
  <c r="K10" i="21"/>
  <c r="R9" i="21"/>
  <c r="M9" i="21"/>
  <c r="L9" i="21"/>
  <c r="K9" i="21"/>
  <c r="R8" i="21"/>
  <c r="M8" i="21"/>
  <c r="L8" i="21"/>
  <c r="K8" i="21"/>
  <c r="U178" i="9"/>
  <c r="T178" i="9"/>
  <c r="S178" i="9"/>
  <c r="U175" i="9"/>
  <c r="T175" i="9"/>
  <c r="U171" i="9"/>
  <c r="T171" i="9"/>
  <c r="S171" i="9"/>
  <c r="U167" i="9"/>
  <c r="T167" i="9"/>
  <c r="S167" i="9"/>
  <c r="U165" i="9"/>
  <c r="T165" i="9"/>
  <c r="S165" i="9"/>
  <c r="U163" i="9"/>
  <c r="T163" i="9"/>
  <c r="S163" i="9"/>
  <c r="U161" i="9"/>
  <c r="T161" i="9"/>
  <c r="S161" i="9"/>
  <c r="U159" i="9"/>
  <c r="T159" i="9"/>
  <c r="S159" i="9"/>
  <c r="U158" i="9"/>
  <c r="T158" i="9"/>
  <c r="S158" i="9"/>
  <c r="U156" i="9"/>
  <c r="T156" i="9"/>
  <c r="S156" i="9"/>
  <c r="U155" i="9"/>
  <c r="T155" i="9"/>
  <c r="S155" i="9"/>
  <c r="U152" i="9"/>
  <c r="T152" i="9"/>
  <c r="S152" i="9"/>
  <c r="U151" i="9"/>
  <c r="T151" i="9"/>
  <c r="S151" i="9"/>
  <c r="R129" i="9"/>
  <c r="M129" i="9"/>
  <c r="L129" i="9"/>
  <c r="K129" i="9"/>
  <c r="R128" i="9"/>
  <c r="M128" i="9"/>
  <c r="L128" i="9"/>
  <c r="K128" i="9"/>
  <c r="R127" i="9"/>
  <c r="M127" i="9"/>
  <c r="L127" i="9"/>
  <c r="K127" i="9"/>
  <c r="N127" i="9" s="1"/>
  <c r="R126" i="9"/>
  <c r="M126" i="9"/>
  <c r="L126" i="9"/>
  <c r="K126" i="9"/>
  <c r="R125" i="9"/>
  <c r="M125" i="9"/>
  <c r="L125" i="9"/>
  <c r="K125" i="9"/>
  <c r="N125" i="9" s="1"/>
  <c r="R124" i="9"/>
  <c r="M124" i="9"/>
  <c r="L124" i="9"/>
  <c r="K124" i="9"/>
  <c r="R123" i="9"/>
  <c r="M123" i="9"/>
  <c r="L123" i="9"/>
  <c r="K123" i="9"/>
  <c r="N123" i="9" s="1"/>
  <c r="R122" i="9"/>
  <c r="M122" i="9"/>
  <c r="L122" i="9"/>
  <c r="K122" i="9"/>
  <c r="E122" i="9"/>
  <c r="R121" i="9"/>
  <c r="H201" i="9" s="1"/>
  <c r="M121" i="9"/>
  <c r="L121" i="9"/>
  <c r="K121" i="9"/>
  <c r="R120" i="9"/>
  <c r="M120" i="9"/>
  <c r="L120" i="9"/>
  <c r="K120" i="9"/>
  <c r="E120" i="9"/>
  <c r="R119" i="9"/>
  <c r="M119" i="9"/>
  <c r="L119" i="9"/>
  <c r="K119" i="9"/>
  <c r="R118" i="9"/>
  <c r="M118" i="9"/>
  <c r="L118" i="9"/>
  <c r="K118" i="9"/>
  <c r="R117" i="9"/>
  <c r="M117" i="9"/>
  <c r="L117" i="9"/>
  <c r="K117" i="9"/>
  <c r="R116" i="9"/>
  <c r="M116" i="9"/>
  <c r="L116" i="9"/>
  <c r="K116" i="9"/>
  <c r="R115" i="9"/>
  <c r="M115" i="9"/>
  <c r="D199" i="9" s="1"/>
  <c r="L115" i="9"/>
  <c r="C199" i="9" s="1"/>
  <c r="K115" i="9"/>
  <c r="R114" i="9"/>
  <c r="M114" i="9"/>
  <c r="L114" i="9"/>
  <c r="K114" i="9"/>
  <c r="E114" i="9"/>
  <c r="R113" i="9"/>
  <c r="M113" i="9"/>
  <c r="L113" i="9"/>
  <c r="K113" i="9"/>
  <c r="R112" i="9"/>
  <c r="M112" i="9"/>
  <c r="L112" i="9"/>
  <c r="K112" i="9"/>
  <c r="R111" i="9"/>
  <c r="M111" i="9"/>
  <c r="L111" i="9"/>
  <c r="K111" i="9"/>
  <c r="E111" i="9"/>
  <c r="S197" i="9" s="1"/>
  <c r="R110" i="9"/>
  <c r="M110" i="9"/>
  <c r="L110" i="9"/>
  <c r="K110" i="9"/>
  <c r="R109" i="9"/>
  <c r="M109" i="9"/>
  <c r="L109" i="9"/>
  <c r="K109" i="9"/>
  <c r="R108" i="9"/>
  <c r="M108" i="9"/>
  <c r="L108" i="9"/>
  <c r="K108" i="9"/>
  <c r="E108" i="9"/>
  <c r="S196" i="9" s="1"/>
  <c r="R107" i="9"/>
  <c r="M107" i="9"/>
  <c r="L107" i="9"/>
  <c r="K107" i="9"/>
  <c r="R106" i="9"/>
  <c r="M106" i="9"/>
  <c r="L106" i="9"/>
  <c r="C195" i="9" s="1"/>
  <c r="K106" i="9"/>
  <c r="E106" i="9"/>
  <c r="R105" i="9"/>
  <c r="M105" i="9"/>
  <c r="L105" i="9"/>
  <c r="K105" i="9"/>
  <c r="R104" i="9"/>
  <c r="M104" i="9"/>
  <c r="L104" i="9"/>
  <c r="K104" i="9"/>
  <c r="E104" i="9"/>
  <c r="R103" i="9"/>
  <c r="M103" i="9"/>
  <c r="L103" i="9"/>
  <c r="K103" i="9"/>
  <c r="O102" i="9"/>
  <c r="R102" i="9" s="1"/>
  <c r="M102" i="9"/>
  <c r="L102" i="9"/>
  <c r="K102" i="9"/>
  <c r="E102" i="9"/>
  <c r="T193" i="9" s="1"/>
  <c r="R101" i="9"/>
  <c r="M101" i="9"/>
  <c r="L101" i="9"/>
  <c r="K101" i="9"/>
  <c r="R100" i="9"/>
  <c r="M100" i="9"/>
  <c r="L100" i="9"/>
  <c r="K100" i="9"/>
  <c r="E100" i="9"/>
  <c r="S192" i="9" s="1"/>
  <c r="R99" i="9"/>
  <c r="M99" i="9"/>
  <c r="L99" i="9"/>
  <c r="K99" i="9"/>
  <c r="R98" i="9"/>
  <c r="M98" i="9"/>
  <c r="L98" i="9"/>
  <c r="K98" i="9"/>
  <c r="E98" i="9"/>
  <c r="T191" i="9" s="1"/>
  <c r="R97" i="9"/>
  <c r="M97" i="9"/>
  <c r="L97" i="9"/>
  <c r="K97" i="9"/>
  <c r="R96" i="9"/>
  <c r="M96" i="9"/>
  <c r="L96" i="9"/>
  <c r="K96" i="9"/>
  <c r="M94" i="9"/>
  <c r="L94" i="9"/>
  <c r="K94" i="9"/>
  <c r="M93" i="9"/>
  <c r="L93" i="9"/>
  <c r="K93" i="9"/>
  <c r="E93" i="9"/>
  <c r="U189" i="9" s="1"/>
  <c r="M92" i="9"/>
  <c r="L92" i="9"/>
  <c r="K92" i="9"/>
  <c r="R91" i="9"/>
  <c r="M91" i="9"/>
  <c r="L91" i="9"/>
  <c r="K91" i="9"/>
  <c r="R90" i="9"/>
  <c r="M90" i="9"/>
  <c r="L90" i="9"/>
  <c r="K90" i="9"/>
  <c r="E90" i="9"/>
  <c r="S188" i="9" s="1"/>
  <c r="R89" i="9"/>
  <c r="M89" i="9"/>
  <c r="L89" i="9"/>
  <c r="K89" i="9"/>
  <c r="R88" i="9"/>
  <c r="M88" i="9"/>
  <c r="L88" i="9"/>
  <c r="K88" i="9"/>
  <c r="E88" i="9"/>
  <c r="R87" i="9"/>
  <c r="M87" i="9"/>
  <c r="L87" i="9"/>
  <c r="K87" i="9"/>
  <c r="R86" i="9"/>
  <c r="M86" i="9"/>
  <c r="L86" i="9"/>
  <c r="K86" i="9"/>
  <c r="E86" i="9"/>
  <c r="R85" i="9"/>
  <c r="M85" i="9"/>
  <c r="L85" i="9"/>
  <c r="K85" i="9"/>
  <c r="R84" i="9"/>
  <c r="M84" i="9"/>
  <c r="L84" i="9"/>
  <c r="K84" i="9"/>
  <c r="R83" i="9"/>
  <c r="M83" i="9"/>
  <c r="L83" i="9"/>
  <c r="K83" i="9"/>
  <c r="E83" i="9"/>
  <c r="R82" i="9"/>
  <c r="M82" i="9"/>
  <c r="L82" i="9"/>
  <c r="K82" i="9"/>
  <c r="R81" i="9"/>
  <c r="M81" i="9"/>
  <c r="L81" i="9"/>
  <c r="K81" i="9"/>
  <c r="E81" i="9"/>
  <c r="S184" i="9" s="1"/>
  <c r="R80" i="9"/>
  <c r="M80" i="9"/>
  <c r="L80" i="9"/>
  <c r="K80" i="9"/>
  <c r="Q79" i="9"/>
  <c r="R79" i="9" s="1"/>
  <c r="M79" i="9"/>
  <c r="L79" i="9"/>
  <c r="K79" i="9"/>
  <c r="Q78" i="9"/>
  <c r="M78" i="9"/>
  <c r="L78" i="9"/>
  <c r="K78" i="9"/>
  <c r="E78" i="9"/>
  <c r="T183" i="9" s="1"/>
  <c r="R77" i="9"/>
  <c r="M77" i="9"/>
  <c r="L77" i="9"/>
  <c r="K77" i="9"/>
  <c r="R76" i="9"/>
  <c r="M76" i="9"/>
  <c r="L76" i="9"/>
  <c r="K76" i="9"/>
  <c r="E76" i="9"/>
  <c r="R75" i="9"/>
  <c r="M75" i="9"/>
  <c r="L75" i="9"/>
  <c r="K75" i="9"/>
  <c r="R74" i="9"/>
  <c r="M74" i="9"/>
  <c r="L74" i="9"/>
  <c r="K74" i="9"/>
  <c r="E74" i="9"/>
  <c r="U181" i="9" s="1"/>
  <c r="R73" i="9"/>
  <c r="M73" i="9"/>
  <c r="L73" i="9"/>
  <c r="K73" i="9"/>
  <c r="R72" i="9"/>
  <c r="M72" i="9"/>
  <c r="L72" i="9"/>
  <c r="K72" i="9"/>
  <c r="E72" i="9"/>
  <c r="U180" i="9" s="1"/>
  <c r="R71" i="9"/>
  <c r="M71" i="9"/>
  <c r="L71" i="9"/>
  <c r="K71" i="9"/>
  <c r="R70" i="9"/>
  <c r="M70" i="9"/>
  <c r="L70" i="9"/>
  <c r="K70" i="9"/>
  <c r="E70" i="9"/>
  <c r="T179" i="9" s="1"/>
  <c r="R69" i="9"/>
  <c r="M69" i="9"/>
  <c r="L69" i="9"/>
  <c r="K69" i="9"/>
  <c r="R68" i="9"/>
  <c r="M68" i="9"/>
  <c r="L68" i="9"/>
  <c r="K68" i="9"/>
  <c r="R67" i="9"/>
  <c r="M67" i="9"/>
  <c r="L67" i="9"/>
  <c r="K67" i="9"/>
  <c r="R66" i="9"/>
  <c r="M66" i="9"/>
  <c r="L66" i="9"/>
  <c r="K66" i="9"/>
  <c r="R65" i="9"/>
  <c r="M65" i="9"/>
  <c r="L65" i="9"/>
  <c r="K65" i="9"/>
  <c r="E65" i="9"/>
  <c r="R64" i="9"/>
  <c r="M64" i="9"/>
  <c r="L64" i="9"/>
  <c r="K64" i="9"/>
  <c r="R63" i="9"/>
  <c r="M63" i="9"/>
  <c r="L63" i="9"/>
  <c r="K63" i="9"/>
  <c r="E63" i="9"/>
  <c r="O62" i="9"/>
  <c r="M62" i="9"/>
  <c r="L62" i="9"/>
  <c r="K62" i="9"/>
  <c r="O61" i="9"/>
  <c r="R61" i="9" s="1"/>
  <c r="M61" i="9"/>
  <c r="L61" i="9"/>
  <c r="K61" i="9"/>
  <c r="O60" i="9"/>
  <c r="M60" i="9"/>
  <c r="L60" i="9"/>
  <c r="C175" i="9" s="1"/>
  <c r="K60" i="9"/>
  <c r="O59" i="9"/>
  <c r="R59" i="9" s="1"/>
  <c r="M59" i="9"/>
  <c r="L59" i="9"/>
  <c r="K59" i="9"/>
  <c r="E59" i="9"/>
  <c r="O58" i="9"/>
  <c r="R58" i="9" s="1"/>
  <c r="M58" i="9"/>
  <c r="L58" i="9"/>
  <c r="K58" i="9"/>
  <c r="O57" i="9"/>
  <c r="R57" i="9" s="1"/>
  <c r="M57" i="9"/>
  <c r="L57" i="9"/>
  <c r="K57" i="9"/>
  <c r="E57" i="9"/>
  <c r="U173" i="9" s="1"/>
  <c r="R56" i="9"/>
  <c r="M56" i="9"/>
  <c r="L56" i="9"/>
  <c r="K56" i="9"/>
  <c r="R55" i="9"/>
  <c r="M55" i="9"/>
  <c r="L55" i="9"/>
  <c r="K55" i="9"/>
  <c r="E55" i="9"/>
  <c r="T172" i="9" s="1"/>
  <c r="R54" i="9"/>
  <c r="M54" i="9"/>
  <c r="L54" i="9"/>
  <c r="K54" i="9"/>
  <c r="R53" i="9"/>
  <c r="M53" i="9"/>
  <c r="L53" i="9"/>
  <c r="K53" i="9"/>
  <c r="R52" i="9"/>
  <c r="H171" i="9" s="1"/>
  <c r="M52" i="9"/>
  <c r="L52" i="9"/>
  <c r="K52" i="9"/>
  <c r="R51" i="9"/>
  <c r="M51" i="9"/>
  <c r="L51" i="9"/>
  <c r="K51" i="9"/>
  <c r="E51" i="9"/>
  <c r="S170" i="9" s="1"/>
  <c r="R50" i="9"/>
  <c r="M50" i="9"/>
  <c r="L50" i="9"/>
  <c r="K50" i="9"/>
  <c r="R49" i="9"/>
  <c r="M49" i="9"/>
  <c r="L49" i="9"/>
  <c r="K49" i="9"/>
  <c r="E49" i="9"/>
  <c r="T169" i="9" s="1"/>
  <c r="R48" i="9"/>
  <c r="M48" i="9"/>
  <c r="L48" i="9"/>
  <c r="K48" i="9"/>
  <c r="R47" i="9"/>
  <c r="M47" i="9"/>
  <c r="L47" i="9"/>
  <c r="K47" i="9"/>
  <c r="E47" i="9"/>
  <c r="S168" i="9" s="1"/>
  <c r="R46" i="9"/>
  <c r="M46" i="9"/>
  <c r="L46" i="9"/>
  <c r="K46" i="9"/>
  <c r="R45" i="9"/>
  <c r="M45" i="9"/>
  <c r="L45" i="9"/>
  <c r="K45" i="9"/>
  <c r="R44" i="9"/>
  <c r="M44" i="9"/>
  <c r="L44" i="9"/>
  <c r="K44" i="9"/>
  <c r="R43" i="9"/>
  <c r="M43" i="9"/>
  <c r="L43" i="9"/>
  <c r="K43" i="9"/>
  <c r="E43" i="9"/>
  <c r="R42" i="9"/>
  <c r="M42" i="9"/>
  <c r="L42" i="9"/>
  <c r="K42" i="9"/>
  <c r="R41" i="9"/>
  <c r="M41" i="9"/>
  <c r="L41" i="9"/>
  <c r="K41" i="9"/>
  <c r="R40" i="9"/>
  <c r="M40" i="9"/>
  <c r="L40" i="9"/>
  <c r="K40" i="9"/>
  <c r="R39" i="9"/>
  <c r="M39" i="9"/>
  <c r="L39" i="9"/>
  <c r="K39" i="9"/>
  <c r="E39" i="9"/>
  <c r="S164" i="9" s="1"/>
  <c r="R38" i="9"/>
  <c r="M38" i="9"/>
  <c r="L38" i="9"/>
  <c r="K38" i="9"/>
  <c r="R37" i="9"/>
  <c r="M37" i="9"/>
  <c r="L37" i="9"/>
  <c r="K37" i="9"/>
  <c r="R36" i="9"/>
  <c r="L163" i="9" s="1"/>
  <c r="M36" i="9"/>
  <c r="D163" i="9" s="1"/>
  <c r="L36" i="9"/>
  <c r="K36" i="9"/>
  <c r="R35" i="9"/>
  <c r="M35" i="9"/>
  <c r="L35" i="9"/>
  <c r="K35" i="9"/>
  <c r="E35" i="9"/>
  <c r="T162" i="9" s="1"/>
  <c r="R34" i="9"/>
  <c r="M34" i="9"/>
  <c r="L34" i="9"/>
  <c r="K34" i="9"/>
  <c r="R33" i="9"/>
  <c r="M33" i="9"/>
  <c r="L33" i="9"/>
  <c r="K33" i="9"/>
  <c r="R32" i="9"/>
  <c r="M32" i="9"/>
  <c r="L32" i="9"/>
  <c r="K32" i="9"/>
  <c r="R31" i="9"/>
  <c r="M31" i="9"/>
  <c r="L31" i="9"/>
  <c r="K31" i="9"/>
  <c r="R30" i="9"/>
  <c r="M30" i="9"/>
  <c r="L30" i="9"/>
  <c r="K30" i="9"/>
  <c r="E30" i="9"/>
  <c r="R29" i="9"/>
  <c r="M29" i="9"/>
  <c r="L29" i="9"/>
  <c r="K29" i="9"/>
  <c r="R28" i="9"/>
  <c r="M28" i="9"/>
  <c r="L28" i="9"/>
  <c r="K28" i="9"/>
  <c r="R27" i="9"/>
  <c r="M27" i="9"/>
  <c r="L27" i="9"/>
  <c r="K27" i="9"/>
  <c r="R26" i="9"/>
  <c r="M26" i="9"/>
  <c r="L26" i="9"/>
  <c r="K26" i="9"/>
  <c r="R25" i="9"/>
  <c r="M25" i="9"/>
  <c r="L25" i="9"/>
  <c r="K25" i="9"/>
  <c r="R24" i="9"/>
  <c r="M24" i="9"/>
  <c r="L24" i="9"/>
  <c r="K24" i="9"/>
  <c r="E24" i="9"/>
  <c r="S157" i="9" s="1"/>
  <c r="R23" i="9"/>
  <c r="M23" i="9"/>
  <c r="L23" i="9"/>
  <c r="K23" i="9"/>
  <c r="R22" i="9"/>
  <c r="M22" i="9"/>
  <c r="L22" i="9"/>
  <c r="K22" i="9"/>
  <c r="R21" i="9"/>
  <c r="M21" i="9"/>
  <c r="L21" i="9"/>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K14" i="9"/>
  <c r="R13" i="9"/>
  <c r="M13" i="9"/>
  <c r="L13" i="9"/>
  <c r="K13" i="9"/>
  <c r="R12" i="9"/>
  <c r="M12" i="9"/>
  <c r="L12" i="9"/>
  <c r="K12" i="9"/>
  <c r="R11" i="9"/>
  <c r="L151" i="9" s="1"/>
  <c r="M11" i="9"/>
  <c r="L11" i="9"/>
  <c r="K11" i="9"/>
  <c r="R10" i="9"/>
  <c r="M10" i="9"/>
  <c r="L10" i="9"/>
  <c r="K10" i="9"/>
  <c r="E10" i="9"/>
  <c r="T150" i="9" s="1"/>
  <c r="R9" i="9"/>
  <c r="M9" i="9"/>
  <c r="L9" i="9"/>
  <c r="K9" i="9"/>
  <c r="N9" i="9" s="1"/>
  <c r="R8" i="9"/>
  <c r="M8" i="9"/>
  <c r="L8" i="9"/>
  <c r="K8" i="9"/>
  <c r="E119" i="10"/>
  <c r="U203" i="10" s="1"/>
  <c r="E109" i="10"/>
  <c r="U199" i="10" s="1"/>
  <c r="E101" i="10"/>
  <c r="T195" i="10" s="1"/>
  <c r="E93" i="10"/>
  <c r="T191" i="10" s="1"/>
  <c r="E85" i="10"/>
  <c r="U187" i="10" s="1"/>
  <c r="R130" i="10"/>
  <c r="M130" i="10"/>
  <c r="L130" i="10"/>
  <c r="K130" i="10"/>
  <c r="U207" i="10" s="1"/>
  <c r="R129" i="10"/>
  <c r="M129" i="10"/>
  <c r="L129" i="10"/>
  <c r="K129" i="10"/>
  <c r="R128" i="10"/>
  <c r="M128" i="10"/>
  <c r="L128" i="10"/>
  <c r="K128" i="10"/>
  <c r="S206" i="10" s="1"/>
  <c r="R127" i="10"/>
  <c r="M127" i="10"/>
  <c r="L127" i="10"/>
  <c r="K127" i="10"/>
  <c r="R126" i="10"/>
  <c r="M126" i="10"/>
  <c r="L126" i="10"/>
  <c r="K126" i="10"/>
  <c r="R125" i="10"/>
  <c r="M125" i="10"/>
  <c r="L125" i="10"/>
  <c r="K125" i="10"/>
  <c r="E125" i="10"/>
  <c r="U205"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200"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197" i="10" s="1"/>
  <c r="R104" i="10"/>
  <c r="M104" i="10"/>
  <c r="L104" i="10"/>
  <c r="K104" i="10"/>
  <c r="R103" i="10"/>
  <c r="M103" i="10"/>
  <c r="L103" i="10"/>
  <c r="K103" i="10"/>
  <c r="E103" i="10"/>
  <c r="R102" i="10"/>
  <c r="M102" i="10"/>
  <c r="L102" i="10"/>
  <c r="K102" i="10"/>
  <c r="R101" i="10"/>
  <c r="M101" i="10"/>
  <c r="L101" i="10"/>
  <c r="K101" i="10"/>
  <c r="R100" i="10"/>
  <c r="M100" i="10"/>
  <c r="L100" i="10"/>
  <c r="K100" i="10"/>
  <c r="R99" i="10"/>
  <c r="M99" i="10"/>
  <c r="L99" i="10"/>
  <c r="K99" i="10"/>
  <c r="E99" i="10"/>
  <c r="S194" i="10" s="1"/>
  <c r="R98" i="10"/>
  <c r="M98" i="10"/>
  <c r="L98" i="10"/>
  <c r="K98" i="10"/>
  <c r="R97" i="10"/>
  <c r="M97" i="10"/>
  <c r="L97" i="10"/>
  <c r="K97" i="10"/>
  <c r="E97" i="10"/>
  <c r="U193" i="10" s="1"/>
  <c r="R96" i="10"/>
  <c r="M96" i="10"/>
  <c r="L96" i="10"/>
  <c r="K96" i="10"/>
  <c r="R95" i="10"/>
  <c r="M95" i="10"/>
  <c r="L95" i="10"/>
  <c r="K95" i="10"/>
  <c r="E95" i="10"/>
  <c r="S192" i="10" s="1"/>
  <c r="R94" i="10"/>
  <c r="M94" i="10"/>
  <c r="L94" i="10"/>
  <c r="K94" i="10"/>
  <c r="R93" i="10"/>
  <c r="M93" i="10"/>
  <c r="L93" i="10"/>
  <c r="K93" i="10"/>
  <c r="R92" i="10"/>
  <c r="M92" i="10"/>
  <c r="L92" i="10"/>
  <c r="K92" i="10"/>
  <c r="R91" i="10"/>
  <c r="M91" i="10"/>
  <c r="L91" i="10"/>
  <c r="K91" i="10"/>
  <c r="E91" i="10"/>
  <c r="U190" i="10" s="1"/>
  <c r="R90" i="10"/>
  <c r="L190" i="10" s="1"/>
  <c r="M90" i="10"/>
  <c r="L90" i="10"/>
  <c r="K90" i="10"/>
  <c r="R89" i="10"/>
  <c r="M89" i="10"/>
  <c r="L89" i="10"/>
  <c r="K89" i="10"/>
  <c r="E89" i="10"/>
  <c r="U189" i="10" s="1"/>
  <c r="R88" i="10"/>
  <c r="M88" i="10"/>
  <c r="L88" i="10"/>
  <c r="K88" i="10"/>
  <c r="R87" i="10"/>
  <c r="M87" i="10"/>
  <c r="L87" i="10"/>
  <c r="K87" i="10"/>
  <c r="E87" i="10"/>
  <c r="S188" i="10" s="1"/>
  <c r="R86" i="10"/>
  <c r="M86" i="10"/>
  <c r="L86" i="10"/>
  <c r="K86" i="10"/>
  <c r="R85" i="10"/>
  <c r="M85" i="10"/>
  <c r="L85" i="10"/>
  <c r="K85" i="10"/>
  <c r="R84" i="10"/>
  <c r="M84" i="10"/>
  <c r="L84" i="10"/>
  <c r="K84" i="10"/>
  <c r="R83" i="10"/>
  <c r="M83" i="10"/>
  <c r="L83" i="10"/>
  <c r="K83" i="10"/>
  <c r="R82" i="10"/>
  <c r="M82" i="10"/>
  <c r="L82" i="10"/>
  <c r="K82" i="10"/>
  <c r="E82" i="10"/>
  <c r="T186" i="10" s="1"/>
  <c r="R81" i="10"/>
  <c r="M81" i="10"/>
  <c r="L81" i="10"/>
  <c r="K81" i="10"/>
  <c r="R80" i="10"/>
  <c r="M80" i="10"/>
  <c r="L80" i="10"/>
  <c r="K80" i="10"/>
  <c r="E80" i="10"/>
  <c r="T185" i="10" s="1"/>
  <c r="R79" i="10"/>
  <c r="M79" i="10"/>
  <c r="L79" i="10"/>
  <c r="K79" i="10"/>
  <c r="R78" i="10"/>
  <c r="M78" i="10"/>
  <c r="L78" i="10"/>
  <c r="K78" i="10"/>
  <c r="E78" i="10"/>
  <c r="S184" i="10" s="1"/>
  <c r="R77" i="10"/>
  <c r="M77" i="10"/>
  <c r="L77" i="10"/>
  <c r="K77" i="10"/>
  <c r="R76" i="10"/>
  <c r="M76" i="10"/>
  <c r="L76" i="10"/>
  <c r="K76" i="10"/>
  <c r="E76" i="10"/>
  <c r="R75" i="10"/>
  <c r="M75" i="10"/>
  <c r="L75" i="10"/>
  <c r="K75" i="10"/>
  <c r="R74" i="10"/>
  <c r="M74" i="10"/>
  <c r="L74" i="10"/>
  <c r="K74" i="10"/>
  <c r="E74" i="10"/>
  <c r="S182"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77" i="10" s="1"/>
  <c r="R62" i="10"/>
  <c r="M62" i="10"/>
  <c r="L62" i="10"/>
  <c r="K62" i="10"/>
  <c r="R61" i="10"/>
  <c r="M61" i="10"/>
  <c r="L61" i="10"/>
  <c r="K61" i="10"/>
  <c r="R60" i="10"/>
  <c r="M60" i="10"/>
  <c r="L60" i="10"/>
  <c r="K60" i="10"/>
  <c r="E60" i="10"/>
  <c r="T176" i="10" s="1"/>
  <c r="R59" i="10"/>
  <c r="M59" i="10"/>
  <c r="L59" i="10"/>
  <c r="K59" i="10"/>
  <c r="M58" i="10"/>
  <c r="L58" i="10"/>
  <c r="K58" i="10"/>
  <c r="E58" i="10"/>
  <c r="S175" i="10" s="1"/>
  <c r="R57" i="10"/>
  <c r="M57" i="10"/>
  <c r="L57" i="10"/>
  <c r="K57" i="10"/>
  <c r="R56" i="10"/>
  <c r="M56" i="10"/>
  <c r="L56" i="10"/>
  <c r="K56" i="10"/>
  <c r="R55" i="10"/>
  <c r="M55" i="10"/>
  <c r="L55" i="10"/>
  <c r="K55" i="10"/>
  <c r="E55" i="10"/>
  <c r="S174" i="10" s="1"/>
  <c r="R54" i="10"/>
  <c r="M54" i="10"/>
  <c r="L54" i="10"/>
  <c r="K54" i="10"/>
  <c r="R53" i="10"/>
  <c r="M53" i="10"/>
  <c r="L53" i="10"/>
  <c r="K53" i="10"/>
  <c r="R52" i="10"/>
  <c r="M52" i="10"/>
  <c r="L52" i="10"/>
  <c r="K52" i="10"/>
  <c r="E52" i="10"/>
  <c r="U173" i="10" s="1"/>
  <c r="R51" i="10"/>
  <c r="M51" i="10"/>
  <c r="L51" i="10"/>
  <c r="K51" i="10"/>
  <c r="R50" i="10"/>
  <c r="M50" i="10"/>
  <c r="L50" i="10"/>
  <c r="K50" i="10"/>
  <c r="R49" i="10"/>
  <c r="M49" i="10"/>
  <c r="L49" i="10"/>
  <c r="K49" i="10"/>
  <c r="R48" i="10"/>
  <c r="M48" i="10"/>
  <c r="L48" i="10"/>
  <c r="K48" i="10"/>
  <c r="E48" i="10"/>
  <c r="T171"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67" i="10" s="1"/>
  <c r="R37" i="10"/>
  <c r="M37" i="10"/>
  <c r="L37" i="10"/>
  <c r="K37" i="10"/>
  <c r="R36" i="10"/>
  <c r="M36" i="10"/>
  <c r="L36" i="10"/>
  <c r="K36" i="10"/>
  <c r="R35" i="10"/>
  <c r="M35" i="10"/>
  <c r="L35" i="10"/>
  <c r="K35" i="10"/>
  <c r="R34" i="10"/>
  <c r="M34" i="10"/>
  <c r="L34" i="10"/>
  <c r="K34" i="10"/>
  <c r="R33" i="10"/>
  <c r="M33" i="10"/>
  <c r="L33" i="10"/>
  <c r="K33" i="10"/>
  <c r="E33" i="10"/>
  <c r="T165" i="10" s="1"/>
  <c r="R32" i="10"/>
  <c r="M32" i="10"/>
  <c r="L32" i="10"/>
  <c r="K32" i="10"/>
  <c r="R31" i="10"/>
  <c r="M31" i="10"/>
  <c r="L31" i="10"/>
  <c r="K31" i="10"/>
  <c r="R30" i="10"/>
  <c r="M30" i="10"/>
  <c r="L30" i="10"/>
  <c r="K30" i="10"/>
  <c r="E30" i="10"/>
  <c r="U164" i="10" s="1"/>
  <c r="R29" i="10"/>
  <c r="M29" i="10"/>
  <c r="L29" i="10"/>
  <c r="K29" i="10"/>
  <c r="R28" i="10"/>
  <c r="M28" i="10"/>
  <c r="L28" i="10"/>
  <c r="K28" i="10"/>
  <c r="E28" i="10"/>
  <c r="U163"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59" i="10" s="1"/>
  <c r="R18" i="10"/>
  <c r="M18" i="10"/>
  <c r="L18" i="10"/>
  <c r="K18" i="10"/>
  <c r="R17" i="10"/>
  <c r="M17" i="10"/>
  <c r="L17" i="10"/>
  <c r="K17" i="10"/>
  <c r="E17" i="10"/>
  <c r="T158" i="10" s="1"/>
  <c r="R16" i="10"/>
  <c r="M16" i="10"/>
  <c r="L16" i="10"/>
  <c r="K16" i="10"/>
  <c r="R15" i="10"/>
  <c r="M15" i="10"/>
  <c r="L15" i="10"/>
  <c r="K15" i="10"/>
  <c r="R14" i="10"/>
  <c r="M14" i="10"/>
  <c r="L14" i="10"/>
  <c r="K14" i="10"/>
  <c r="E14" i="10"/>
  <c r="U157" i="10" s="1"/>
  <c r="R13" i="10"/>
  <c r="M13" i="10"/>
  <c r="L13" i="10"/>
  <c r="K13" i="10"/>
  <c r="R12" i="10"/>
  <c r="M12" i="10"/>
  <c r="L12" i="10"/>
  <c r="K12" i="10"/>
  <c r="R11" i="10"/>
  <c r="M11" i="10"/>
  <c r="L11" i="10"/>
  <c r="K11" i="10"/>
  <c r="R10" i="10"/>
  <c r="M10" i="10"/>
  <c r="L10" i="10"/>
  <c r="K10" i="10"/>
  <c r="E10" i="10"/>
  <c r="U155" i="10" s="1"/>
  <c r="R9" i="10"/>
  <c r="M9" i="10"/>
  <c r="L9" i="10"/>
  <c r="K9" i="10"/>
  <c r="R8" i="10"/>
  <c r="M8" i="10"/>
  <c r="L8" i="10"/>
  <c r="K8" i="10"/>
  <c r="E106" i="11"/>
  <c r="U188" i="11" s="1"/>
  <c r="E74" i="11"/>
  <c r="U192" i="11"/>
  <c r="T192" i="11"/>
  <c r="S192" i="11"/>
  <c r="U190" i="11"/>
  <c r="T190" i="11"/>
  <c r="S190" i="11"/>
  <c r="U189" i="11"/>
  <c r="T189" i="11"/>
  <c r="S189" i="11"/>
  <c r="U187" i="11"/>
  <c r="T187" i="11"/>
  <c r="S187" i="11"/>
  <c r="W187" i="11" s="1"/>
  <c r="U168" i="11"/>
  <c r="T168" i="11"/>
  <c r="S168" i="11"/>
  <c r="U166" i="11"/>
  <c r="T166" i="11"/>
  <c r="S166" i="11"/>
  <c r="U165" i="11"/>
  <c r="T165" i="11"/>
  <c r="S165" i="11"/>
  <c r="U164" i="11"/>
  <c r="T164" i="11"/>
  <c r="S164" i="11"/>
  <c r="W164" i="11" s="1"/>
  <c r="U163" i="11"/>
  <c r="T163" i="11"/>
  <c r="S163" i="11"/>
  <c r="U160" i="11"/>
  <c r="T160" i="11"/>
  <c r="S160" i="11"/>
  <c r="U158" i="11"/>
  <c r="T158" i="11"/>
  <c r="S158" i="11"/>
  <c r="U156" i="11"/>
  <c r="T156" i="11"/>
  <c r="S156" i="11"/>
  <c r="U155" i="11"/>
  <c r="T155" i="11"/>
  <c r="S155" i="11"/>
  <c r="U154" i="11"/>
  <c r="T154" i="11"/>
  <c r="S154" i="11"/>
  <c r="U152" i="11"/>
  <c r="T152" i="11"/>
  <c r="S152" i="11"/>
  <c r="U151" i="11"/>
  <c r="T151" i="11"/>
  <c r="S151" i="11"/>
  <c r="U150" i="11"/>
  <c r="T150" i="11"/>
  <c r="S150" i="11"/>
  <c r="U148" i="11"/>
  <c r="T148" i="11"/>
  <c r="S148" i="11"/>
  <c r="U147" i="11"/>
  <c r="T147" i="11"/>
  <c r="S147" i="11"/>
  <c r="U144" i="11"/>
  <c r="T144" i="11"/>
  <c r="S144" i="11"/>
  <c r="U143" i="11"/>
  <c r="T143" i="11"/>
  <c r="S143" i="11"/>
  <c r="U142" i="11"/>
  <c r="T142" i="11"/>
  <c r="S142" i="11"/>
  <c r="U140" i="11"/>
  <c r="T140" i="11"/>
  <c r="R117" i="11"/>
  <c r="M117" i="11"/>
  <c r="L117" i="11"/>
  <c r="K117" i="11"/>
  <c r="R116" i="11"/>
  <c r="J192" i="11" s="1"/>
  <c r="M116" i="11"/>
  <c r="L116" i="11"/>
  <c r="K116" i="11"/>
  <c r="B192" i="11" s="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R109" i="11"/>
  <c r="M109" i="11"/>
  <c r="L109" i="11"/>
  <c r="K109" i="11"/>
  <c r="R108" i="11"/>
  <c r="M108" i="11"/>
  <c r="L108" i="11"/>
  <c r="K108" i="11"/>
  <c r="R107" i="11"/>
  <c r="M107" i="11"/>
  <c r="L107" i="11"/>
  <c r="K107" i="11"/>
  <c r="R106" i="11"/>
  <c r="M106" i="11"/>
  <c r="L106" i="11"/>
  <c r="K106" i="11"/>
  <c r="R105" i="11"/>
  <c r="M105" i="11"/>
  <c r="L105" i="11"/>
  <c r="K105" i="11"/>
  <c r="R104" i="11"/>
  <c r="M104" i="11"/>
  <c r="L104" i="11"/>
  <c r="K104" i="11"/>
  <c r="R103" i="11"/>
  <c r="M103" i="11"/>
  <c r="L103" i="11"/>
  <c r="K103" i="11"/>
  <c r="R102" i="11"/>
  <c r="M102" i="11"/>
  <c r="L102" i="11"/>
  <c r="K102" i="11"/>
  <c r="E102" i="11"/>
  <c r="R101" i="11"/>
  <c r="M101" i="11"/>
  <c r="L101" i="11"/>
  <c r="K101" i="11"/>
  <c r="R100" i="11"/>
  <c r="M100" i="11"/>
  <c r="L100" i="11"/>
  <c r="K100" i="11"/>
  <c r="E100" i="11"/>
  <c r="R99" i="11"/>
  <c r="M99" i="11"/>
  <c r="L99" i="11"/>
  <c r="K99" i="11"/>
  <c r="R98" i="11"/>
  <c r="M98" i="11"/>
  <c r="L98" i="11"/>
  <c r="K98" i="11"/>
  <c r="R97" i="11"/>
  <c r="M97" i="11"/>
  <c r="L97" i="11"/>
  <c r="K97" i="11"/>
  <c r="R96" i="11"/>
  <c r="M96" i="11"/>
  <c r="L96" i="11"/>
  <c r="K96" i="11"/>
  <c r="E96" i="11"/>
  <c r="R95" i="11"/>
  <c r="M95" i="11"/>
  <c r="L95" i="11"/>
  <c r="K95" i="11"/>
  <c r="N95" i="11" s="1"/>
  <c r="R94" i="11"/>
  <c r="M94" i="11"/>
  <c r="L94" i="11"/>
  <c r="K94" i="11"/>
  <c r="E94" i="11"/>
  <c r="R93" i="11"/>
  <c r="M93" i="11"/>
  <c r="L93" i="11"/>
  <c r="N93" i="11" s="1"/>
  <c r="K93" i="11"/>
  <c r="R92" i="11"/>
  <c r="M92" i="11"/>
  <c r="L92" i="11"/>
  <c r="K92" i="11"/>
  <c r="E92" i="11"/>
  <c r="R91" i="11"/>
  <c r="M91" i="11"/>
  <c r="L91" i="11"/>
  <c r="K91" i="11"/>
  <c r="R90" i="11"/>
  <c r="M90" i="11"/>
  <c r="N90" i="11" s="1"/>
  <c r="L90" i="11"/>
  <c r="K90" i="11"/>
  <c r="U180" i="11"/>
  <c r="R89" i="11"/>
  <c r="M89" i="11"/>
  <c r="L89" i="11"/>
  <c r="K89" i="11"/>
  <c r="R88" i="11"/>
  <c r="M88" i="11"/>
  <c r="L88" i="11"/>
  <c r="K88" i="11"/>
  <c r="E88" i="11"/>
  <c r="T179" i="11" s="1"/>
  <c r="R87" i="11"/>
  <c r="M87" i="11"/>
  <c r="L87" i="11"/>
  <c r="K87" i="11"/>
  <c r="R86" i="11"/>
  <c r="M86" i="11"/>
  <c r="L86" i="11"/>
  <c r="K86" i="11"/>
  <c r="N86" i="11" s="1"/>
  <c r="E86" i="11"/>
  <c r="R85" i="11"/>
  <c r="M85" i="11"/>
  <c r="L85" i="11"/>
  <c r="K85" i="11"/>
  <c r="R84" i="11"/>
  <c r="M84" i="11"/>
  <c r="L84" i="11"/>
  <c r="K84" i="11"/>
  <c r="E84" i="11"/>
  <c r="R83" i="11"/>
  <c r="M83" i="11"/>
  <c r="L83" i="11"/>
  <c r="K83" i="11"/>
  <c r="R82" i="11"/>
  <c r="M82" i="11"/>
  <c r="L82" i="11"/>
  <c r="K82" i="11"/>
  <c r="R81" i="11"/>
  <c r="M81" i="11"/>
  <c r="L81" i="11"/>
  <c r="K81" i="11"/>
  <c r="R80" i="11"/>
  <c r="M80" i="11"/>
  <c r="L80" i="11"/>
  <c r="K80" i="11"/>
  <c r="E80" i="11"/>
  <c r="R79" i="11"/>
  <c r="M79" i="11"/>
  <c r="L79" i="11"/>
  <c r="K79" i="11"/>
  <c r="M78" i="11"/>
  <c r="L78" i="11"/>
  <c r="K78" i="11"/>
  <c r="E78" i="11"/>
  <c r="R77" i="11"/>
  <c r="M77" i="11"/>
  <c r="L77" i="11"/>
  <c r="K77" i="11"/>
  <c r="R76" i="11"/>
  <c r="M76" i="11"/>
  <c r="L76" i="11"/>
  <c r="K76" i="11"/>
  <c r="E76" i="11"/>
  <c r="U173" i="11" s="1"/>
  <c r="R75" i="11"/>
  <c r="M75" i="11"/>
  <c r="L75" i="11"/>
  <c r="K75" i="11"/>
  <c r="N75" i="11" s="1"/>
  <c r="R74" i="11"/>
  <c r="M74" i="11"/>
  <c r="L74" i="11"/>
  <c r="K74" i="11"/>
  <c r="R73" i="11"/>
  <c r="M73" i="11"/>
  <c r="L73" i="11"/>
  <c r="K73" i="11"/>
  <c r="R72" i="11"/>
  <c r="M72" i="11"/>
  <c r="L72" i="11"/>
  <c r="K72" i="11"/>
  <c r="E72" i="11"/>
  <c r="T171" i="11" s="1"/>
  <c r="R71" i="11"/>
  <c r="M71" i="11"/>
  <c r="L71" i="11"/>
  <c r="C171" i="11" s="1"/>
  <c r="K71" i="11"/>
  <c r="R70" i="11"/>
  <c r="M70" i="11"/>
  <c r="L70" i="11"/>
  <c r="K70" i="11"/>
  <c r="E70" i="11"/>
  <c r="R69" i="11"/>
  <c r="L170" i="11" s="1"/>
  <c r="M69" i="11"/>
  <c r="L69" i="11"/>
  <c r="K69" i="11"/>
  <c r="R68" i="11"/>
  <c r="M68" i="11"/>
  <c r="L68" i="11"/>
  <c r="K68" i="11"/>
  <c r="E68" i="11"/>
  <c r="U169" i="11" s="1"/>
  <c r="R67" i="11"/>
  <c r="M67" i="11"/>
  <c r="L67" i="11"/>
  <c r="K67" i="11"/>
  <c r="R66" i="11"/>
  <c r="M66" i="11"/>
  <c r="L66" i="11"/>
  <c r="K66" i="11"/>
  <c r="R65" i="11"/>
  <c r="M65" i="11"/>
  <c r="L65" i="11"/>
  <c r="K65" i="11"/>
  <c r="R64" i="11"/>
  <c r="M64" i="11"/>
  <c r="L64" i="11"/>
  <c r="K64" i="11"/>
  <c r="E64" i="11"/>
  <c r="R63" i="11"/>
  <c r="M63" i="11"/>
  <c r="L63" i="11"/>
  <c r="K63" i="11"/>
  <c r="R62" i="11"/>
  <c r="M62" i="11"/>
  <c r="L62" i="11"/>
  <c r="K62" i="11"/>
  <c r="R61" i="11"/>
  <c r="M61" i="11"/>
  <c r="L61" i="11"/>
  <c r="K61" i="11"/>
  <c r="R60" i="11"/>
  <c r="M60" i="11"/>
  <c r="L60" i="11"/>
  <c r="K60" i="11"/>
  <c r="R59" i="11"/>
  <c r="M59" i="11"/>
  <c r="D165" i="11" s="1"/>
  <c r="L59" i="11"/>
  <c r="C165" i="11" s="1"/>
  <c r="K59" i="11"/>
  <c r="R58" i="11"/>
  <c r="M58" i="11"/>
  <c r="L58" i="11"/>
  <c r="K58" i="11"/>
  <c r="R57" i="11"/>
  <c r="M57" i="11"/>
  <c r="L57" i="11"/>
  <c r="C164" i="11" s="1"/>
  <c r="K57" i="11"/>
  <c r="R56" i="11"/>
  <c r="M56" i="11"/>
  <c r="L56" i="11"/>
  <c r="K56" i="11"/>
  <c r="R55" i="11"/>
  <c r="M55" i="11"/>
  <c r="L55" i="11"/>
  <c r="K55" i="11"/>
  <c r="R54" i="11"/>
  <c r="M54" i="11"/>
  <c r="L54" i="11"/>
  <c r="K54" i="11"/>
  <c r="E54" i="11"/>
  <c r="R53" i="11"/>
  <c r="M53" i="11"/>
  <c r="L53" i="11"/>
  <c r="K53" i="11"/>
  <c r="R52" i="11"/>
  <c r="M52" i="11"/>
  <c r="L52" i="11"/>
  <c r="K52" i="11"/>
  <c r="R51" i="11"/>
  <c r="M51" i="11"/>
  <c r="L51" i="11"/>
  <c r="K51" i="11"/>
  <c r="E51" i="11"/>
  <c r="R50" i="11"/>
  <c r="M50" i="11"/>
  <c r="L50" i="11"/>
  <c r="K50" i="11"/>
  <c r="R49" i="11"/>
  <c r="M49" i="11"/>
  <c r="L49" i="11"/>
  <c r="K49" i="11"/>
  <c r="R48" i="11"/>
  <c r="M48" i="11"/>
  <c r="L48" i="11"/>
  <c r="K48" i="11"/>
  <c r="B160" i="11" s="1"/>
  <c r="R47" i="11"/>
  <c r="M47" i="11"/>
  <c r="L47" i="11"/>
  <c r="K47" i="11"/>
  <c r="E47" i="11"/>
  <c r="U159" i="11" s="1"/>
  <c r="R46" i="11"/>
  <c r="M46" i="11"/>
  <c r="L46" i="11"/>
  <c r="K46" i="11"/>
  <c r="R45" i="11"/>
  <c r="M45" i="11"/>
  <c r="L45" i="11"/>
  <c r="K45" i="11"/>
  <c r="R44" i="11"/>
  <c r="M44" i="11"/>
  <c r="L44" i="11"/>
  <c r="K44" i="11"/>
  <c r="B158" i="11" s="1"/>
  <c r="R43" i="11"/>
  <c r="M43" i="11"/>
  <c r="L43" i="11"/>
  <c r="K43" i="11"/>
  <c r="E43" i="11"/>
  <c r="R42" i="11"/>
  <c r="M42" i="11"/>
  <c r="L42" i="11"/>
  <c r="K42" i="11"/>
  <c r="R41" i="11"/>
  <c r="M41" i="11"/>
  <c r="L41" i="11"/>
  <c r="K41" i="11"/>
  <c r="R40" i="11"/>
  <c r="M40" i="11"/>
  <c r="D156" i="11" s="1"/>
  <c r="L40" i="11"/>
  <c r="K40" i="11"/>
  <c r="R39" i="11"/>
  <c r="M39" i="11"/>
  <c r="L39" i="11"/>
  <c r="K39" i="11"/>
  <c r="R38" i="11"/>
  <c r="M38" i="11"/>
  <c r="L38" i="11"/>
  <c r="K38" i="11"/>
  <c r="R37" i="11"/>
  <c r="M37" i="11"/>
  <c r="L37" i="11"/>
  <c r="K37" i="11"/>
  <c r="R36" i="11"/>
  <c r="M36" i="11"/>
  <c r="L36" i="11"/>
  <c r="K36" i="11"/>
  <c r="R35" i="11"/>
  <c r="M35" i="11"/>
  <c r="L35" i="11"/>
  <c r="K35" i="11"/>
  <c r="E35" i="11"/>
  <c r="R34" i="11"/>
  <c r="M34" i="11"/>
  <c r="L34" i="11"/>
  <c r="K34" i="11"/>
  <c r="R33" i="11"/>
  <c r="M33" i="11"/>
  <c r="L33" i="11"/>
  <c r="K33" i="11"/>
  <c r="R32" i="11"/>
  <c r="M32" i="11"/>
  <c r="L32" i="11"/>
  <c r="K32" i="11"/>
  <c r="R31" i="11"/>
  <c r="M31" i="11"/>
  <c r="L31" i="11"/>
  <c r="K31" i="11"/>
  <c r="R30" i="11"/>
  <c r="M30" i="11"/>
  <c r="L30" i="11"/>
  <c r="K30" i="11"/>
  <c r="B151" i="11" s="1"/>
  <c r="R29" i="11"/>
  <c r="M29" i="11"/>
  <c r="L29" i="11"/>
  <c r="K29" i="11"/>
  <c r="R28" i="11"/>
  <c r="M28" i="11"/>
  <c r="D150" i="11" s="1"/>
  <c r="L28" i="11"/>
  <c r="K28" i="11"/>
  <c r="R27" i="11"/>
  <c r="M27" i="11"/>
  <c r="L27" i="11"/>
  <c r="K27" i="11"/>
  <c r="E27" i="11"/>
  <c r="R26" i="11"/>
  <c r="M26" i="11"/>
  <c r="L26" i="11"/>
  <c r="K26" i="11"/>
  <c r="R25" i="11"/>
  <c r="M25" i="11"/>
  <c r="L25" i="11"/>
  <c r="K25" i="11"/>
  <c r="R24" i="11"/>
  <c r="H148" i="11" s="1"/>
  <c r="M24" i="11"/>
  <c r="D148" i="11" s="1"/>
  <c r="L24" i="11"/>
  <c r="K24" i="11"/>
  <c r="R23" i="11"/>
  <c r="M23" i="11"/>
  <c r="L23" i="11"/>
  <c r="K23" i="11"/>
  <c r="R22" i="11"/>
  <c r="J147" i="11" s="1"/>
  <c r="M22" i="11"/>
  <c r="L22" i="11"/>
  <c r="K22" i="11"/>
  <c r="R21" i="11"/>
  <c r="M21" i="11"/>
  <c r="L21" i="11"/>
  <c r="K21" i="11"/>
  <c r="E21" i="11"/>
  <c r="J146" i="11" s="1"/>
  <c r="R20" i="11"/>
  <c r="M20" i="11"/>
  <c r="L20" i="11"/>
  <c r="K20" i="11"/>
  <c r="R19" i="11"/>
  <c r="M19" i="11"/>
  <c r="L19" i="11"/>
  <c r="K19" i="11"/>
  <c r="E19" i="11"/>
  <c r="R18" i="11"/>
  <c r="M18" i="11"/>
  <c r="L18" i="11"/>
  <c r="K18" i="11"/>
  <c r="R17" i="11"/>
  <c r="M17" i="11"/>
  <c r="L17" i="11"/>
  <c r="K17" i="11"/>
  <c r="R16" i="11"/>
  <c r="M16" i="11"/>
  <c r="L16" i="11"/>
  <c r="C144" i="11" s="1"/>
  <c r="K16" i="11"/>
  <c r="R15" i="11"/>
  <c r="M15" i="11"/>
  <c r="L15" i="11"/>
  <c r="K15" i="11"/>
  <c r="R14" i="11"/>
  <c r="M14" i="11"/>
  <c r="D143" i="11" s="1"/>
  <c r="L14" i="11"/>
  <c r="K14" i="11"/>
  <c r="B143" i="11" s="1"/>
  <c r="R13" i="11"/>
  <c r="M13" i="11"/>
  <c r="L13" i="11"/>
  <c r="K13" i="11"/>
  <c r="R12" i="11"/>
  <c r="M12" i="11"/>
  <c r="D142" i="11" s="1"/>
  <c r="L12" i="11"/>
  <c r="K12" i="11"/>
  <c r="R11" i="11"/>
  <c r="M11" i="11"/>
  <c r="L11" i="11"/>
  <c r="K11" i="11"/>
  <c r="E11" i="11"/>
  <c r="S141" i="11" s="1"/>
  <c r="R10" i="11"/>
  <c r="M10" i="11"/>
  <c r="L10" i="11"/>
  <c r="K10" i="11"/>
  <c r="R9" i="11"/>
  <c r="M9" i="11"/>
  <c r="L9" i="11"/>
  <c r="K9" i="11"/>
  <c r="R8" i="11"/>
  <c r="M8" i="11"/>
  <c r="D140" i="11" s="1"/>
  <c r="L8" i="11"/>
  <c r="K8" i="11"/>
  <c r="U188" i="12"/>
  <c r="T188" i="12"/>
  <c r="S188" i="12"/>
  <c r="J188" i="12"/>
  <c r="H188" i="12"/>
  <c r="T187" i="12"/>
  <c r="U184" i="12"/>
  <c r="T184" i="12"/>
  <c r="S184" i="12"/>
  <c r="L184" i="12"/>
  <c r="J184" i="12"/>
  <c r="H184" i="12"/>
  <c r="U183" i="12"/>
  <c r="T183" i="12"/>
  <c r="S183" i="12"/>
  <c r="L183" i="12"/>
  <c r="J183" i="12"/>
  <c r="H183" i="12"/>
  <c r="U181" i="12"/>
  <c r="T181" i="12"/>
  <c r="S181" i="12"/>
  <c r="L181" i="12"/>
  <c r="J181" i="12"/>
  <c r="H181" i="12"/>
  <c r="U176" i="12"/>
  <c r="T176" i="12"/>
  <c r="S176" i="12"/>
  <c r="L176" i="12"/>
  <c r="J176" i="12"/>
  <c r="H176" i="12"/>
  <c r="U172" i="12"/>
  <c r="T172" i="12"/>
  <c r="S172" i="12"/>
  <c r="L172" i="12"/>
  <c r="J172" i="12"/>
  <c r="H172" i="12"/>
  <c r="U168" i="12"/>
  <c r="T168" i="12"/>
  <c r="S168" i="12"/>
  <c r="L168" i="12"/>
  <c r="J168" i="12"/>
  <c r="H168" i="12"/>
  <c r="U162" i="12"/>
  <c r="T162" i="12"/>
  <c r="S162" i="12"/>
  <c r="L162" i="12"/>
  <c r="J162" i="12"/>
  <c r="H162" i="12"/>
  <c r="U161" i="12"/>
  <c r="T161" i="12"/>
  <c r="S161" i="12"/>
  <c r="L161" i="12"/>
  <c r="J161" i="12"/>
  <c r="H161" i="12"/>
  <c r="U160" i="12"/>
  <c r="T160" i="12"/>
  <c r="S160" i="12"/>
  <c r="L160" i="12"/>
  <c r="J160" i="12"/>
  <c r="H160" i="12"/>
  <c r="U158" i="12"/>
  <c r="T158" i="12"/>
  <c r="S158" i="12"/>
  <c r="L158" i="12"/>
  <c r="J158" i="12"/>
  <c r="H158" i="12"/>
  <c r="U157" i="12"/>
  <c r="T157" i="12"/>
  <c r="S157" i="12"/>
  <c r="L157" i="12"/>
  <c r="J157" i="12"/>
  <c r="H157" i="12"/>
  <c r="U153" i="12"/>
  <c r="T153" i="12"/>
  <c r="S153" i="12"/>
  <c r="L153" i="12"/>
  <c r="J153" i="12"/>
  <c r="H153" i="12"/>
  <c r="U152" i="12"/>
  <c r="T152" i="12"/>
  <c r="S152" i="12"/>
  <c r="L152" i="12"/>
  <c r="J152" i="12"/>
  <c r="H152" i="12"/>
  <c r="U151" i="12"/>
  <c r="T151" i="12"/>
  <c r="S151" i="12"/>
  <c r="L151" i="12"/>
  <c r="J151" i="12"/>
  <c r="H151" i="12"/>
  <c r="U149" i="12"/>
  <c r="T149" i="12"/>
  <c r="S149" i="12"/>
  <c r="L149" i="12"/>
  <c r="J149" i="12"/>
  <c r="H149" i="12"/>
  <c r="U148" i="12"/>
  <c r="T148" i="12"/>
  <c r="S148" i="12"/>
  <c r="L148" i="12"/>
  <c r="J148" i="12"/>
  <c r="H148" i="12"/>
  <c r="U145" i="12"/>
  <c r="T145" i="12"/>
  <c r="S145" i="12"/>
  <c r="L145" i="12"/>
  <c r="J145" i="12"/>
  <c r="H145" i="12"/>
  <c r="U144" i="12"/>
  <c r="T144" i="12"/>
  <c r="S144" i="12"/>
  <c r="L144" i="12"/>
  <c r="J144" i="12"/>
  <c r="H144" i="12"/>
  <c r="U142" i="12"/>
  <c r="T142" i="12"/>
  <c r="S142" i="12"/>
  <c r="L142" i="12"/>
  <c r="J142" i="12"/>
  <c r="H142" i="12"/>
  <c r="U141" i="12"/>
  <c r="T141" i="12"/>
  <c r="S141" i="12"/>
  <c r="L141" i="12"/>
  <c r="J141" i="12"/>
  <c r="H141" i="12"/>
  <c r="U140" i="12"/>
  <c r="T140" i="12"/>
  <c r="S140" i="12"/>
  <c r="L140" i="12"/>
  <c r="J140" i="12"/>
  <c r="H140" i="12"/>
  <c r="U138" i="12"/>
  <c r="T138" i="12"/>
  <c r="S138" i="12"/>
  <c r="L138" i="12"/>
  <c r="J138" i="12"/>
  <c r="H138" i="12"/>
  <c r="U137" i="12"/>
  <c r="T137" i="12"/>
  <c r="S137" i="12"/>
  <c r="L137" i="12"/>
  <c r="J137" i="12"/>
  <c r="H137" i="12"/>
  <c r="U136" i="12"/>
  <c r="T136" i="12"/>
  <c r="L136" i="12"/>
  <c r="J136" i="12"/>
  <c r="H136" i="12"/>
  <c r="R114" i="12"/>
  <c r="M114" i="12"/>
  <c r="L114" i="12"/>
  <c r="K114" i="12"/>
  <c r="R113" i="12"/>
  <c r="M113" i="12"/>
  <c r="L113" i="12"/>
  <c r="K113" i="12"/>
  <c r="R112" i="12"/>
  <c r="M112" i="12"/>
  <c r="L112" i="12"/>
  <c r="K112" i="12"/>
  <c r="R111" i="12"/>
  <c r="M111" i="12"/>
  <c r="L111" i="12"/>
  <c r="K111" i="12"/>
  <c r="R110" i="12"/>
  <c r="M110" i="12"/>
  <c r="L110" i="12"/>
  <c r="K110" i="12"/>
  <c r="E110" i="12"/>
  <c r="U186"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D184" i="12" s="1"/>
  <c r="L104" i="12"/>
  <c r="K104" i="12"/>
  <c r="R103" i="12"/>
  <c r="M103" i="12"/>
  <c r="L103" i="12"/>
  <c r="K103" i="12"/>
  <c r="R102" i="12"/>
  <c r="M102" i="12"/>
  <c r="D183" i="12" s="1"/>
  <c r="L102" i="12"/>
  <c r="K102" i="12"/>
  <c r="R101" i="12"/>
  <c r="M101" i="12"/>
  <c r="L101" i="12"/>
  <c r="K101" i="12"/>
  <c r="E101" i="12"/>
  <c r="T182" i="12" s="1"/>
  <c r="R100" i="12"/>
  <c r="M100" i="12"/>
  <c r="L100" i="12"/>
  <c r="K100" i="12"/>
  <c r="R99" i="12"/>
  <c r="M99" i="12"/>
  <c r="L99" i="12"/>
  <c r="K99" i="12"/>
  <c r="R98" i="12"/>
  <c r="M98" i="12"/>
  <c r="L98" i="12"/>
  <c r="K98" i="12"/>
  <c r="R97" i="12"/>
  <c r="M97" i="12"/>
  <c r="L97" i="12"/>
  <c r="K97" i="12"/>
  <c r="E97" i="12"/>
  <c r="U180" i="12" s="1"/>
  <c r="R96" i="12"/>
  <c r="M96" i="12"/>
  <c r="L96" i="12"/>
  <c r="K96" i="12"/>
  <c r="R95" i="12"/>
  <c r="M95" i="12"/>
  <c r="L95" i="12"/>
  <c r="K95" i="12"/>
  <c r="E95" i="12"/>
  <c r="J179" i="12" s="1"/>
  <c r="R94" i="12"/>
  <c r="M94" i="12"/>
  <c r="L94" i="12"/>
  <c r="K94" i="12"/>
  <c r="R93" i="12"/>
  <c r="M93" i="12"/>
  <c r="L93" i="12"/>
  <c r="K93" i="12"/>
  <c r="E93" i="12"/>
  <c r="H178" i="12" s="1"/>
  <c r="R92" i="12"/>
  <c r="M92" i="12"/>
  <c r="L92" i="12"/>
  <c r="K92" i="12"/>
  <c r="R91" i="12"/>
  <c r="M91" i="12"/>
  <c r="L91" i="12"/>
  <c r="K91" i="12"/>
  <c r="E91" i="12"/>
  <c r="T177" i="12" s="1"/>
  <c r="R90" i="12"/>
  <c r="M90" i="12"/>
  <c r="L90" i="12"/>
  <c r="K90" i="12"/>
  <c r="B177" i="12" s="1"/>
  <c r="R89" i="12"/>
  <c r="M89" i="12"/>
  <c r="L89" i="12"/>
  <c r="K89" i="12"/>
  <c r="R88" i="12"/>
  <c r="M88" i="12"/>
  <c r="L88" i="12"/>
  <c r="K88" i="12"/>
  <c r="R87" i="12"/>
  <c r="M87" i="12"/>
  <c r="L87" i="12"/>
  <c r="K87" i="12"/>
  <c r="E87" i="12"/>
  <c r="J175" i="12" s="1"/>
  <c r="R86" i="12"/>
  <c r="M86" i="12"/>
  <c r="L86" i="12"/>
  <c r="C175" i="12" s="1"/>
  <c r="K86" i="12"/>
  <c r="R85" i="12"/>
  <c r="M85" i="12"/>
  <c r="L85" i="12"/>
  <c r="K85" i="12"/>
  <c r="E85" i="12"/>
  <c r="H174" i="12" s="1"/>
  <c r="R84" i="12"/>
  <c r="M84" i="12"/>
  <c r="L84" i="12"/>
  <c r="K84" i="12"/>
  <c r="R83" i="12"/>
  <c r="M83" i="12"/>
  <c r="L83" i="12"/>
  <c r="K83" i="12"/>
  <c r="E83" i="12"/>
  <c r="L173" i="12" s="1"/>
  <c r="R82" i="12"/>
  <c r="M82" i="12"/>
  <c r="L82" i="12"/>
  <c r="K82" i="12"/>
  <c r="R81" i="12"/>
  <c r="M81" i="12"/>
  <c r="L81" i="12"/>
  <c r="K81" i="12"/>
  <c r="R80" i="12"/>
  <c r="M80" i="12"/>
  <c r="L80" i="12"/>
  <c r="K80" i="12"/>
  <c r="R79" i="12"/>
  <c r="M79" i="12"/>
  <c r="L79" i="12"/>
  <c r="K79" i="12"/>
  <c r="E79" i="12"/>
  <c r="T171" i="12" s="1"/>
  <c r="R78" i="12"/>
  <c r="M78" i="12"/>
  <c r="L78" i="12"/>
  <c r="K78" i="12"/>
  <c r="R77" i="12"/>
  <c r="M77" i="12"/>
  <c r="L77" i="12"/>
  <c r="K77" i="12"/>
  <c r="E77" i="12"/>
  <c r="J170" i="12" s="1"/>
  <c r="R76" i="12"/>
  <c r="M76" i="12"/>
  <c r="L76" i="12"/>
  <c r="K76" i="12"/>
  <c r="R75" i="12"/>
  <c r="M75" i="12"/>
  <c r="L75" i="12"/>
  <c r="K75" i="12"/>
  <c r="E75" i="12"/>
  <c r="R74" i="12"/>
  <c r="M74" i="12"/>
  <c r="L74" i="12"/>
  <c r="K74" i="12"/>
  <c r="R73" i="12"/>
  <c r="M73" i="12"/>
  <c r="L73" i="12"/>
  <c r="K73" i="12"/>
  <c r="R72" i="12"/>
  <c r="M72" i="12"/>
  <c r="L72" i="12"/>
  <c r="K72" i="12"/>
  <c r="R71" i="12"/>
  <c r="M71" i="12"/>
  <c r="L71" i="12"/>
  <c r="K71" i="12"/>
  <c r="E71" i="12"/>
  <c r="H167" i="12" s="1"/>
  <c r="R70" i="12"/>
  <c r="M70" i="12"/>
  <c r="L70" i="12"/>
  <c r="K70" i="12"/>
  <c r="R69" i="12"/>
  <c r="M69" i="12"/>
  <c r="L69" i="12"/>
  <c r="K69" i="12"/>
  <c r="E69" i="12"/>
  <c r="S166" i="12" s="1"/>
  <c r="R68" i="12"/>
  <c r="M68" i="12"/>
  <c r="L68" i="12"/>
  <c r="K68" i="12"/>
  <c r="R67" i="12"/>
  <c r="M67" i="12"/>
  <c r="L67" i="12"/>
  <c r="K67" i="12"/>
  <c r="E67" i="12"/>
  <c r="S165" i="12" s="1"/>
  <c r="R66" i="12"/>
  <c r="M66" i="12"/>
  <c r="L66" i="12"/>
  <c r="K66" i="12"/>
  <c r="R65" i="12"/>
  <c r="M65" i="12"/>
  <c r="L65" i="12"/>
  <c r="K65" i="12"/>
  <c r="E65" i="12"/>
  <c r="U164" i="12" s="1"/>
  <c r="R64" i="12"/>
  <c r="M64" i="12"/>
  <c r="L64" i="12"/>
  <c r="K64" i="12"/>
  <c r="R63" i="12"/>
  <c r="M63" i="12"/>
  <c r="L63" i="12"/>
  <c r="K63" i="12"/>
  <c r="E63" i="12"/>
  <c r="R62" i="12"/>
  <c r="M62" i="12"/>
  <c r="L62" i="12"/>
  <c r="K62" i="12"/>
  <c r="R61" i="12"/>
  <c r="M61" i="12"/>
  <c r="L61" i="12"/>
  <c r="K61" i="12"/>
  <c r="R60" i="12"/>
  <c r="M60" i="12"/>
  <c r="L60" i="12"/>
  <c r="K60" i="12"/>
  <c r="R59" i="12"/>
  <c r="M59" i="12"/>
  <c r="L59" i="12"/>
  <c r="K59" i="12"/>
  <c r="R58" i="12"/>
  <c r="M58" i="12"/>
  <c r="L58" i="12"/>
  <c r="K58" i="12"/>
  <c r="R57" i="12"/>
  <c r="M57" i="12"/>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N48" i="12" s="1"/>
  <c r="R47" i="12"/>
  <c r="M47" i="12"/>
  <c r="L47" i="12"/>
  <c r="K47" i="12"/>
  <c r="E47" i="12"/>
  <c r="U155" i="12" s="1"/>
  <c r="R46" i="12"/>
  <c r="M46" i="12"/>
  <c r="L46" i="12"/>
  <c r="K46" i="12"/>
  <c r="R45" i="12"/>
  <c r="M45" i="12"/>
  <c r="L45" i="12"/>
  <c r="K45" i="12"/>
  <c r="E45" i="12"/>
  <c r="J154" i="12" s="1"/>
  <c r="R44" i="12"/>
  <c r="M44" i="12"/>
  <c r="L44" i="12"/>
  <c r="K44" i="12"/>
  <c r="R43" i="12"/>
  <c r="M43" i="12"/>
  <c r="L43" i="12"/>
  <c r="K43" i="12"/>
  <c r="R42" i="12"/>
  <c r="M42" i="12"/>
  <c r="D153" i="12" s="1"/>
  <c r="L42" i="12"/>
  <c r="K42" i="12"/>
  <c r="R41" i="12"/>
  <c r="M41" i="12"/>
  <c r="L41" i="12"/>
  <c r="K41" i="12"/>
  <c r="R40" i="12"/>
  <c r="M40" i="12"/>
  <c r="L40" i="12"/>
  <c r="K40" i="12"/>
  <c r="R39" i="12"/>
  <c r="M39" i="12"/>
  <c r="L39" i="12"/>
  <c r="K39" i="12"/>
  <c r="R38" i="12"/>
  <c r="M38" i="12"/>
  <c r="L38" i="12"/>
  <c r="K38" i="12"/>
  <c r="R37" i="12"/>
  <c r="M37" i="12"/>
  <c r="L37" i="12"/>
  <c r="K37" i="12"/>
  <c r="E37" i="12"/>
  <c r="R36" i="12"/>
  <c r="M36" i="12"/>
  <c r="L36" i="12"/>
  <c r="C150" i="12" s="1"/>
  <c r="K36" i="12"/>
  <c r="R35" i="12"/>
  <c r="M35" i="12"/>
  <c r="L35" i="12"/>
  <c r="K35" i="12"/>
  <c r="R34" i="12"/>
  <c r="M34" i="12"/>
  <c r="L34" i="12"/>
  <c r="K34" i="12"/>
  <c r="R33" i="12"/>
  <c r="M33" i="12"/>
  <c r="L33" i="12"/>
  <c r="K33" i="12"/>
  <c r="R32" i="12"/>
  <c r="M32" i="12"/>
  <c r="L32" i="12"/>
  <c r="K32" i="12"/>
  <c r="R31" i="12"/>
  <c r="M31" i="12"/>
  <c r="L31" i="12"/>
  <c r="K31" i="12"/>
  <c r="E31" i="12"/>
  <c r="R30" i="12"/>
  <c r="M30" i="12"/>
  <c r="L30" i="12"/>
  <c r="K30" i="12"/>
  <c r="R29" i="12"/>
  <c r="M29" i="12"/>
  <c r="L29" i="12"/>
  <c r="K29" i="12"/>
  <c r="E29" i="12"/>
  <c r="T146"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U143"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39"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35" i="7"/>
  <c r="U135" i="7"/>
  <c r="T138" i="7"/>
  <c r="U138" i="7"/>
  <c r="T139" i="7"/>
  <c r="U139" i="7"/>
  <c r="T140" i="7"/>
  <c r="U140" i="7"/>
  <c r="T141" i="7"/>
  <c r="U141"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T160" i="7"/>
  <c r="U160" i="7"/>
  <c r="T161" i="7"/>
  <c r="U161" i="7"/>
  <c r="U162" i="7"/>
  <c r="T163" i="7"/>
  <c r="U163" i="7"/>
  <c r="T164" i="7"/>
  <c r="U164" i="7"/>
  <c r="T167" i="7"/>
  <c r="U167" i="7"/>
  <c r="T171" i="7"/>
  <c r="U171" i="7"/>
  <c r="T175" i="7"/>
  <c r="U175" i="7"/>
  <c r="T179" i="7"/>
  <c r="U179" i="7"/>
  <c r="T181" i="7"/>
  <c r="U181" i="7"/>
  <c r="T183" i="7"/>
  <c r="U183" i="7"/>
  <c r="T184" i="7"/>
  <c r="U184" i="7"/>
  <c r="T185" i="7"/>
  <c r="U185" i="7"/>
  <c r="T186" i="7"/>
  <c r="U186" i="7"/>
  <c r="T187" i="7"/>
  <c r="U187" i="7"/>
  <c r="S187" i="7"/>
  <c r="S186" i="7"/>
  <c r="S185" i="7"/>
  <c r="S184" i="7"/>
  <c r="S183" i="7"/>
  <c r="S181" i="7"/>
  <c r="S179" i="7"/>
  <c r="S175" i="7"/>
  <c r="S171" i="7"/>
  <c r="S167" i="7"/>
  <c r="S164" i="7"/>
  <c r="S163" i="7"/>
  <c r="S162" i="7"/>
  <c r="S161" i="7"/>
  <c r="S160" i="7"/>
  <c r="S159" i="7"/>
  <c r="S158" i="7"/>
  <c r="S157" i="7"/>
  <c r="S156" i="7"/>
  <c r="S155" i="7"/>
  <c r="S154" i="7"/>
  <c r="S153" i="7"/>
  <c r="S152" i="7"/>
  <c r="S151" i="7"/>
  <c r="S150" i="7"/>
  <c r="S149" i="7"/>
  <c r="S148" i="7"/>
  <c r="S147" i="7"/>
  <c r="S146" i="7"/>
  <c r="S145" i="7"/>
  <c r="S144" i="7"/>
  <c r="S143" i="7"/>
  <c r="S142" i="7"/>
  <c r="S141" i="7"/>
  <c r="S140" i="7"/>
  <c r="S139" i="7"/>
  <c r="S138" i="7"/>
  <c r="T169" i="5"/>
  <c r="U169" i="5"/>
  <c r="S169" i="5"/>
  <c r="N69" i="5"/>
  <c r="N70" i="5"/>
  <c r="R75" i="5"/>
  <c r="M75" i="5"/>
  <c r="L75" i="5"/>
  <c r="K75" i="5"/>
  <c r="T136" i="5"/>
  <c r="U136" i="5"/>
  <c r="T139" i="5"/>
  <c r="U139" i="5"/>
  <c r="T140" i="5"/>
  <c r="U140" i="5"/>
  <c r="T141" i="5"/>
  <c r="U141" i="5"/>
  <c r="T142" i="5"/>
  <c r="U142" i="5"/>
  <c r="T144" i="5"/>
  <c r="U144" i="5"/>
  <c r="T146" i="5"/>
  <c r="U146" i="5"/>
  <c r="T148" i="5"/>
  <c r="U148" i="5"/>
  <c r="T149" i="5"/>
  <c r="U149" i="5"/>
  <c r="T150" i="5"/>
  <c r="U150" i="5"/>
  <c r="T152" i="5"/>
  <c r="U152" i="5"/>
  <c r="T153" i="5"/>
  <c r="U153" i="5"/>
  <c r="T154" i="5"/>
  <c r="U154" i="5"/>
  <c r="T155" i="5"/>
  <c r="U155" i="5"/>
  <c r="T156" i="5"/>
  <c r="U156" i="5"/>
  <c r="T160" i="5"/>
  <c r="U160" i="5"/>
  <c r="T161" i="5"/>
  <c r="U161" i="5"/>
  <c r="T164" i="5"/>
  <c r="U164" i="5"/>
  <c r="T168" i="5"/>
  <c r="U168" i="5"/>
  <c r="T172" i="5"/>
  <c r="U172" i="5"/>
  <c r="T173" i="5"/>
  <c r="U173" i="5"/>
  <c r="T176" i="5"/>
  <c r="U176" i="5"/>
  <c r="T180" i="5"/>
  <c r="U180" i="5"/>
  <c r="T184" i="5"/>
  <c r="U184" i="5"/>
  <c r="T185" i="5"/>
  <c r="U185" i="5"/>
  <c r="T186" i="5"/>
  <c r="U186" i="5"/>
  <c r="T187" i="5"/>
  <c r="U187" i="5"/>
  <c r="T188" i="5"/>
  <c r="U188" i="5"/>
  <c r="S188" i="5"/>
  <c r="S187" i="5"/>
  <c r="S186" i="5"/>
  <c r="S185" i="5"/>
  <c r="S184" i="5"/>
  <c r="S180" i="5"/>
  <c r="S176" i="5"/>
  <c r="S173" i="5"/>
  <c r="S172" i="5"/>
  <c r="S168" i="5"/>
  <c r="S164" i="5"/>
  <c r="S161" i="5"/>
  <c r="S160" i="5"/>
  <c r="S156" i="5"/>
  <c r="S155" i="5"/>
  <c r="S154" i="5"/>
  <c r="S153" i="5"/>
  <c r="S152" i="5"/>
  <c r="S150" i="5"/>
  <c r="S149" i="5"/>
  <c r="S148" i="5"/>
  <c r="S146" i="5"/>
  <c r="S144" i="5"/>
  <c r="S142" i="5"/>
  <c r="S141" i="5"/>
  <c r="S140" i="5"/>
  <c r="S139" i="5"/>
  <c r="T143" i="3"/>
  <c r="U143" i="3"/>
  <c r="T144" i="3"/>
  <c r="U144" i="3"/>
  <c r="T145" i="3"/>
  <c r="U145" i="3"/>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6" i="3"/>
  <c r="U166" i="3"/>
  <c r="T167" i="3"/>
  <c r="U167" i="3"/>
  <c r="T168" i="3"/>
  <c r="U168" i="3"/>
  <c r="T170" i="3"/>
  <c r="U170" i="3"/>
  <c r="T171" i="3"/>
  <c r="U171" i="3"/>
  <c r="T175" i="3"/>
  <c r="U175" i="3"/>
  <c r="T179" i="3"/>
  <c r="U179" i="3"/>
  <c r="T183" i="3"/>
  <c r="U183" i="3"/>
  <c r="T186" i="3"/>
  <c r="U186" i="3"/>
  <c r="T187" i="3"/>
  <c r="U187" i="3"/>
  <c r="T191" i="3"/>
  <c r="U191" i="3"/>
  <c r="T192" i="3"/>
  <c r="U192" i="3"/>
  <c r="T194" i="3"/>
  <c r="U194" i="3"/>
  <c r="T195" i="3"/>
  <c r="U195" i="3"/>
  <c r="S194" i="3"/>
  <c r="S192" i="3"/>
  <c r="S191" i="3"/>
  <c r="S187" i="3"/>
  <c r="S186" i="3"/>
  <c r="S183" i="3"/>
  <c r="S179" i="3"/>
  <c r="S175" i="3"/>
  <c r="S171" i="3"/>
  <c r="S170" i="3"/>
  <c r="S168" i="3"/>
  <c r="S167" i="3"/>
  <c r="S166" i="3"/>
  <c r="S165" i="3"/>
  <c r="S164" i="3"/>
  <c r="S163" i="3"/>
  <c r="S162" i="3"/>
  <c r="S161" i="3"/>
  <c r="S160" i="3"/>
  <c r="S159" i="3"/>
  <c r="S158" i="3"/>
  <c r="S157" i="3"/>
  <c r="S156" i="3"/>
  <c r="S155" i="3"/>
  <c r="S154" i="3"/>
  <c r="S153" i="3"/>
  <c r="S152" i="3"/>
  <c r="S151" i="3"/>
  <c r="S150" i="3"/>
  <c r="S149" i="3"/>
  <c r="S148" i="3"/>
  <c r="S147" i="3"/>
  <c r="S146" i="3"/>
  <c r="S145" i="3"/>
  <c r="S144" i="3"/>
  <c r="R46" i="13"/>
  <c r="R47" i="13"/>
  <c r="R48" i="13"/>
  <c r="R49" i="13"/>
  <c r="R50" i="13"/>
  <c r="R51" i="13"/>
  <c r="R52" i="13"/>
  <c r="R53" i="13"/>
  <c r="R54" i="13"/>
  <c r="R55" i="13"/>
  <c r="R56" i="13"/>
  <c r="R57" i="13"/>
  <c r="R58" i="13"/>
  <c r="R59" i="13"/>
  <c r="L171" i="13" s="1"/>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H198" i="13" s="1"/>
  <c r="R118" i="13"/>
  <c r="R119" i="13"/>
  <c r="R120" i="13"/>
  <c r="R121" i="13"/>
  <c r="R122" i="13"/>
  <c r="R123" i="13"/>
  <c r="R124" i="13"/>
  <c r="R125" i="13"/>
  <c r="R126" i="13"/>
  <c r="R127" i="13"/>
  <c r="R45" i="13"/>
  <c r="H164" i="13" s="1"/>
  <c r="M80" i="13"/>
  <c r="L80" i="13"/>
  <c r="K80" i="13"/>
  <c r="N126" i="13"/>
  <c r="M75" i="13"/>
  <c r="L75" i="13"/>
  <c r="K75" i="13"/>
  <c r="M76" i="13"/>
  <c r="L76" i="13"/>
  <c r="K76" i="13"/>
  <c r="M67" i="13"/>
  <c r="L67" i="13"/>
  <c r="K67" i="13"/>
  <c r="T186" i="1"/>
  <c r="U186" i="1"/>
  <c r="T187" i="1"/>
  <c r="U187" i="1"/>
  <c r="T190" i="1"/>
  <c r="U190" i="1"/>
  <c r="S190" i="1"/>
  <c r="S187" i="1"/>
  <c r="S186" i="1"/>
  <c r="T147" i="1"/>
  <c r="U147" i="1"/>
  <c r="T152" i="1"/>
  <c r="U152" i="1"/>
  <c r="T156" i="1"/>
  <c r="U156" i="1"/>
  <c r="T158" i="1"/>
  <c r="U158" i="1"/>
  <c r="S158" i="1"/>
  <c r="S156" i="1"/>
  <c r="S152" i="1"/>
  <c r="S147" i="1"/>
  <c r="M47" i="38"/>
  <c r="L47" i="38"/>
  <c r="K47" i="38"/>
  <c r="M46" i="38"/>
  <c r="L46" i="38"/>
  <c r="K46" i="38"/>
  <c r="M36" i="38"/>
  <c r="L36" i="38"/>
  <c r="K36" i="38"/>
  <c r="R10" i="37"/>
  <c r="R11" i="37"/>
  <c r="R12" i="37"/>
  <c r="R13" i="37"/>
  <c r="R16" i="37"/>
  <c r="R20" i="37"/>
  <c r="J85" i="37" s="1"/>
  <c r="R21" i="37"/>
  <c r="R22" i="37"/>
  <c r="R23" i="37"/>
  <c r="R24" i="37"/>
  <c r="R27" i="37"/>
  <c r="R28" i="37"/>
  <c r="R29" i="37"/>
  <c r="R30" i="37"/>
  <c r="L89" i="37" s="1"/>
  <c r="R31" i="37"/>
  <c r="R32" i="37"/>
  <c r="R33" i="37"/>
  <c r="R34" i="37"/>
  <c r="R35" i="37"/>
  <c r="R36" i="37"/>
  <c r="R37" i="37"/>
  <c r="R38" i="37"/>
  <c r="H93" i="37" s="1"/>
  <c r="R39" i="37"/>
  <c r="R40" i="37"/>
  <c r="R41" i="37"/>
  <c r="R42" i="37"/>
  <c r="R43" i="37"/>
  <c r="J96" i="37" s="1"/>
  <c r="R45" i="37"/>
  <c r="R46" i="37"/>
  <c r="R47" i="37"/>
  <c r="J97" i="37" s="1"/>
  <c r="R48" i="37"/>
  <c r="R49" i="37"/>
  <c r="R50" i="37"/>
  <c r="L98" i="37" s="1"/>
  <c r="R51" i="37"/>
  <c r="L99" i="37" s="1"/>
  <c r="R52" i="37"/>
  <c r="R53" i="37"/>
  <c r="R54" i="37"/>
  <c r="R55" i="37"/>
  <c r="L101" i="37" s="1"/>
  <c r="R56" i="37"/>
  <c r="R57" i="37"/>
  <c r="R58" i="37"/>
  <c r="M45" i="37"/>
  <c r="L45" i="37"/>
  <c r="K45" i="37"/>
  <c r="R7" i="36"/>
  <c r="H96" i="36" s="1"/>
  <c r="R8" i="36"/>
  <c r="R9" i="36"/>
  <c r="R10" i="36"/>
  <c r="R11" i="36"/>
  <c r="R12" i="36"/>
  <c r="R13" i="36"/>
  <c r="R14" i="36"/>
  <c r="R15" i="36"/>
  <c r="R16" i="36"/>
  <c r="R17" i="36"/>
  <c r="R18" i="36"/>
  <c r="R19" i="36"/>
  <c r="R23" i="36"/>
  <c r="R26" i="36"/>
  <c r="R27" i="36"/>
  <c r="R28" i="36"/>
  <c r="R29" i="36"/>
  <c r="R30" i="36"/>
  <c r="R31" i="36"/>
  <c r="L107" i="36" s="1"/>
  <c r="R32" i="36"/>
  <c r="R33" i="36"/>
  <c r="R34" i="36"/>
  <c r="R35" i="36"/>
  <c r="R36" i="36"/>
  <c r="R37" i="36"/>
  <c r="R38" i="36"/>
  <c r="R39" i="36"/>
  <c r="J111" i="36" s="1"/>
  <c r="R40" i="36"/>
  <c r="R41" i="36"/>
  <c r="R42" i="36"/>
  <c r="R43" i="36"/>
  <c r="R44" i="36"/>
  <c r="R48" i="36"/>
  <c r="R49" i="36"/>
  <c r="R50" i="36"/>
  <c r="R51" i="36"/>
  <c r="R52" i="36"/>
  <c r="R53" i="36"/>
  <c r="R54" i="36"/>
  <c r="R55" i="36"/>
  <c r="R56" i="36"/>
  <c r="R57" i="36"/>
  <c r="R58" i="36"/>
  <c r="R59" i="36"/>
  <c r="R60" i="36"/>
  <c r="R61" i="36"/>
  <c r="R62" i="36"/>
  <c r="R63" i="36"/>
  <c r="R64" i="36"/>
  <c r="M62" i="36"/>
  <c r="K62" i="36"/>
  <c r="N62" i="36" s="1"/>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06" i="35" s="1"/>
  <c r="R8" i="35"/>
  <c r="J107" i="35" s="1"/>
  <c r="R9" i="35"/>
  <c r="R11" i="35"/>
  <c r="J108" i="35" s="1"/>
  <c r="R7" i="34"/>
  <c r="L74" i="34" s="1"/>
  <c r="R8" i="34"/>
  <c r="L75" i="34" s="1"/>
  <c r="R9" i="34"/>
  <c r="R10" i="34"/>
  <c r="R11" i="34"/>
  <c r="R12" i="34"/>
  <c r="L77" i="34" s="1"/>
  <c r="R13" i="34"/>
  <c r="R14" i="34"/>
  <c r="R15" i="34"/>
  <c r="R26" i="34"/>
  <c r="H83" i="34" s="1"/>
  <c r="R27" i="34"/>
  <c r="R28" i="34"/>
  <c r="R29" i="34"/>
  <c r="R30" i="34"/>
  <c r="R31" i="34"/>
  <c r="R32" i="34"/>
  <c r="R33" i="34"/>
  <c r="R34" i="34"/>
  <c r="R35" i="34"/>
  <c r="R36" i="34"/>
  <c r="R37" i="34"/>
  <c r="R38" i="34"/>
  <c r="R39" i="34"/>
  <c r="R40" i="34"/>
  <c r="R41" i="34"/>
  <c r="R42" i="34"/>
  <c r="H90" i="34" s="1"/>
  <c r="R43" i="34"/>
  <c r="R44" i="34"/>
  <c r="R51" i="34"/>
  <c r="L93" i="34" s="1"/>
  <c r="R52" i="34"/>
  <c r="R53" i="34"/>
  <c r="M43" i="34"/>
  <c r="L43" i="34"/>
  <c r="K43" i="34"/>
  <c r="M42" i="34"/>
  <c r="L42" i="34"/>
  <c r="K42" i="34"/>
  <c r="M37" i="34"/>
  <c r="L37" i="34"/>
  <c r="K37" i="34"/>
  <c r="M32" i="34"/>
  <c r="L32" i="34"/>
  <c r="K32" i="34"/>
  <c r="R8" i="32"/>
  <c r="R9" i="32"/>
  <c r="R10" i="32"/>
  <c r="R11" i="32"/>
  <c r="R12" i="32"/>
  <c r="R13" i="32"/>
  <c r="R14" i="32"/>
  <c r="R15" i="32"/>
  <c r="R16" i="32"/>
  <c r="R17" i="32"/>
  <c r="R18" i="32"/>
  <c r="R19" i="32"/>
  <c r="R20" i="32"/>
  <c r="R21" i="32"/>
  <c r="R22" i="32"/>
  <c r="R23" i="32"/>
  <c r="R24" i="32"/>
  <c r="R25" i="32"/>
  <c r="R26" i="32"/>
  <c r="R27" i="32"/>
  <c r="R28" i="32"/>
  <c r="R29" i="32"/>
  <c r="R30" i="32"/>
  <c r="R31" i="32"/>
  <c r="R32" i="32"/>
  <c r="R33" i="32"/>
  <c r="R34" i="32"/>
  <c r="R35" i="32"/>
  <c r="R37" i="32"/>
  <c r="R38" i="32"/>
  <c r="R39" i="32"/>
  <c r="R40" i="32"/>
  <c r="R41" i="32"/>
  <c r="R42" i="32"/>
  <c r="R43" i="32"/>
  <c r="R44" i="32"/>
  <c r="R45" i="32"/>
  <c r="R46" i="32"/>
  <c r="R47" i="32"/>
  <c r="R48" i="32"/>
  <c r="R49" i="32"/>
  <c r="R50" i="32"/>
  <c r="R51" i="32"/>
  <c r="R52" i="32"/>
  <c r="R53" i="32"/>
  <c r="R36" i="32"/>
  <c r="M52" i="32"/>
  <c r="L52" i="32"/>
  <c r="M43" i="32"/>
  <c r="L43" i="32"/>
  <c r="K43" i="32"/>
  <c r="N43" i="32" s="1"/>
  <c r="R31" i="31"/>
  <c r="J83" i="31" s="1"/>
  <c r="R32" i="31"/>
  <c r="R33" i="31"/>
  <c r="R34" i="31"/>
  <c r="R35" i="31"/>
  <c r="R36" i="31"/>
  <c r="R37" i="31"/>
  <c r="R38" i="31"/>
  <c r="R39" i="31"/>
  <c r="L87" i="31" s="1"/>
  <c r="R40" i="31"/>
  <c r="R41" i="31"/>
  <c r="R42" i="31"/>
  <c r="R43" i="31"/>
  <c r="L89" i="31" s="1"/>
  <c r="R44" i="31"/>
  <c r="R45" i="31"/>
  <c r="H90" i="31" s="1"/>
  <c r="R46" i="31"/>
  <c r="R47" i="31"/>
  <c r="J91" i="31" s="1"/>
  <c r="R48" i="31"/>
  <c r="R30" i="31"/>
  <c r="J82" i="31" s="1"/>
  <c r="M13" i="31"/>
  <c r="L13" i="31"/>
  <c r="K13" i="31"/>
  <c r="R7" i="29"/>
  <c r="J79" i="29" s="1"/>
  <c r="R8" i="29"/>
  <c r="R9" i="29"/>
  <c r="R10" i="29"/>
  <c r="R11" i="29"/>
  <c r="R12" i="29"/>
  <c r="R13" i="29"/>
  <c r="R14" i="29"/>
  <c r="R15" i="29"/>
  <c r="R16" i="29"/>
  <c r="R17" i="29"/>
  <c r="J84" i="29" s="1"/>
  <c r="R18" i="29"/>
  <c r="R19" i="29"/>
  <c r="R20" i="29"/>
  <c r="R21" i="29"/>
  <c r="R22" i="29"/>
  <c r="R24" i="29"/>
  <c r="R25" i="29"/>
  <c r="R27" i="29"/>
  <c r="H88" i="29" s="1"/>
  <c r="R28" i="29"/>
  <c r="R29" i="29"/>
  <c r="R30" i="29"/>
  <c r="R31" i="29"/>
  <c r="R32" i="29"/>
  <c r="R33" i="29"/>
  <c r="R34" i="29"/>
  <c r="R36" i="29"/>
  <c r="R37" i="29"/>
  <c r="R38" i="29"/>
  <c r="R39" i="29"/>
  <c r="R42" i="29"/>
  <c r="R43" i="29"/>
  <c r="R44" i="29"/>
  <c r="R45" i="29"/>
  <c r="R46" i="29"/>
  <c r="R47" i="29"/>
  <c r="R48" i="29"/>
  <c r="L97" i="29" s="1"/>
  <c r="R49" i="29"/>
  <c r="H98" i="29" s="1"/>
  <c r="R50" i="29"/>
  <c r="R51" i="29"/>
  <c r="R52" i="29"/>
  <c r="J99" i="29" s="1"/>
  <c r="R53" i="29"/>
  <c r="R55" i="29"/>
  <c r="R56" i="29"/>
  <c r="R57" i="29"/>
  <c r="M55" i="29"/>
  <c r="L55" i="29"/>
  <c r="K55" i="29"/>
  <c r="R7" i="30"/>
  <c r="R8" i="30"/>
  <c r="R9" i="30"/>
  <c r="R10" i="30"/>
  <c r="R11" i="30"/>
  <c r="L69" i="30" s="1"/>
  <c r="R12" i="30"/>
  <c r="R13" i="30"/>
  <c r="R14" i="30"/>
  <c r="R15" i="30"/>
  <c r="R16" i="30"/>
  <c r="R17" i="30"/>
  <c r="J71" i="30" s="1"/>
  <c r="R18" i="30"/>
  <c r="R19" i="30"/>
  <c r="R20" i="30"/>
  <c r="R21" i="30"/>
  <c r="R22" i="30"/>
  <c r="R23" i="30"/>
  <c r="R24" i="30"/>
  <c r="R25" i="30"/>
  <c r="R26" i="30"/>
  <c r="R27" i="30"/>
  <c r="R28" i="30"/>
  <c r="R29" i="30"/>
  <c r="R30" i="30"/>
  <c r="R31" i="30"/>
  <c r="R32" i="30"/>
  <c r="R33" i="30"/>
  <c r="H78" i="30" s="1"/>
  <c r="R34" i="30"/>
  <c r="R35" i="30"/>
  <c r="R36" i="30"/>
  <c r="R8" i="28"/>
  <c r="R9" i="28"/>
  <c r="R10" i="28"/>
  <c r="R11" i="28"/>
  <c r="L83" i="28" s="1"/>
  <c r="R12" i="28"/>
  <c r="R13" i="28"/>
  <c r="R14" i="28"/>
  <c r="R15" i="28"/>
  <c r="R16" i="28"/>
  <c r="R17" i="28"/>
  <c r="R18" i="28"/>
  <c r="J86" i="28" s="1"/>
  <c r="R19" i="28"/>
  <c r="R20" i="28"/>
  <c r="R21" i="28"/>
  <c r="R23" i="28"/>
  <c r="R24" i="28"/>
  <c r="R25" i="28"/>
  <c r="R26" i="28"/>
  <c r="R27" i="28"/>
  <c r="R28" i="28"/>
  <c r="R29" i="28"/>
  <c r="J91" i="28" s="1"/>
  <c r="R30" i="28"/>
  <c r="R31" i="28"/>
  <c r="R32" i="28"/>
  <c r="R33" i="28"/>
  <c r="R34" i="28"/>
  <c r="R35" i="28"/>
  <c r="R36" i="28"/>
  <c r="R37" i="28"/>
  <c r="R38" i="28"/>
  <c r="R39" i="28"/>
  <c r="R40" i="28"/>
  <c r="R41" i="28"/>
  <c r="R42" i="28"/>
  <c r="R43" i="28"/>
  <c r="R44" i="28"/>
  <c r="R45" i="28"/>
  <c r="L99" i="28" s="1"/>
  <c r="R46" i="28"/>
  <c r="R47" i="28"/>
  <c r="R48" i="28"/>
  <c r="R49" i="28"/>
  <c r="R50" i="28"/>
  <c r="R51" i="28"/>
  <c r="R52" i="28"/>
  <c r="R53" i="28"/>
  <c r="R54" i="28"/>
  <c r="R55" i="28"/>
  <c r="R56" i="28"/>
  <c r="M30" i="30"/>
  <c r="L30" i="30"/>
  <c r="K30" i="30"/>
  <c r="M29" i="30"/>
  <c r="L29" i="30"/>
  <c r="K29" i="30"/>
  <c r="M24" i="30"/>
  <c r="L24" i="30"/>
  <c r="K24" i="30"/>
  <c r="M14" i="30"/>
  <c r="L14" i="30"/>
  <c r="K14" i="30"/>
  <c r="M8" i="30"/>
  <c r="L8" i="30"/>
  <c r="K8" i="30"/>
  <c r="E48" i="28"/>
  <c r="U100" i="28" s="1"/>
  <c r="E39" i="28"/>
  <c r="U96" i="28" s="1"/>
  <c r="E33" i="28"/>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M8" i="38"/>
  <c r="L8" i="38"/>
  <c r="K8" i="38"/>
  <c r="M7" i="38"/>
  <c r="D78" i="38" s="1"/>
  <c r="L7" i="38"/>
  <c r="C78" i="38" s="1"/>
  <c r="K7" i="38"/>
  <c r="M58" i="37"/>
  <c r="L58" i="37"/>
  <c r="K58" i="37"/>
  <c r="M57" i="37"/>
  <c r="L57" i="37"/>
  <c r="K57" i="37"/>
  <c r="M56" i="37"/>
  <c r="L56" i="37"/>
  <c r="K56" i="37"/>
  <c r="M55" i="37"/>
  <c r="L55" i="37"/>
  <c r="K55" i="37"/>
  <c r="B101" i="37" s="1"/>
  <c r="M54" i="37"/>
  <c r="L54" i="37"/>
  <c r="K54" i="37"/>
  <c r="M53" i="37"/>
  <c r="L53" i="37"/>
  <c r="K53" i="37"/>
  <c r="M52" i="37"/>
  <c r="L52" i="37"/>
  <c r="K52" i="37"/>
  <c r="M51" i="37"/>
  <c r="L51" i="37"/>
  <c r="K51" i="37"/>
  <c r="B99" i="37" s="1"/>
  <c r="M50" i="37"/>
  <c r="L50" i="37"/>
  <c r="K50" i="37"/>
  <c r="M49" i="37"/>
  <c r="L49" i="37"/>
  <c r="K49" i="37"/>
  <c r="M48" i="37"/>
  <c r="L48" i="37"/>
  <c r="K48" i="37"/>
  <c r="M47" i="37"/>
  <c r="L47" i="37"/>
  <c r="K47" i="37"/>
  <c r="M46" i="37"/>
  <c r="L46" i="37"/>
  <c r="K46" i="37"/>
  <c r="M43" i="37"/>
  <c r="L43" i="37"/>
  <c r="K43" i="37"/>
  <c r="M42" i="37"/>
  <c r="L42" i="37"/>
  <c r="K42" i="37"/>
  <c r="M41" i="37"/>
  <c r="L41" i="37"/>
  <c r="K41" i="37"/>
  <c r="M40" i="37"/>
  <c r="L40" i="37"/>
  <c r="K40" i="37"/>
  <c r="M39" i="37"/>
  <c r="N39" i="37" s="1"/>
  <c r="L39" i="37"/>
  <c r="K39" i="37"/>
  <c r="M38" i="37"/>
  <c r="L38" i="37"/>
  <c r="K38" i="37"/>
  <c r="M37" i="37"/>
  <c r="L37" i="37"/>
  <c r="K37" i="37"/>
  <c r="M36" i="37"/>
  <c r="L36" i="37"/>
  <c r="K36" i="37"/>
  <c r="N36" i="37" s="1"/>
  <c r="M35" i="37"/>
  <c r="L35" i="37"/>
  <c r="K35" i="37"/>
  <c r="M34" i="37"/>
  <c r="L34" i="37"/>
  <c r="K34" i="37"/>
  <c r="M33" i="37"/>
  <c r="L33" i="37"/>
  <c r="K33" i="37"/>
  <c r="B91" i="37" s="1"/>
  <c r="M32" i="37"/>
  <c r="L32" i="37"/>
  <c r="K32" i="37"/>
  <c r="M31" i="37"/>
  <c r="L31" i="37"/>
  <c r="K31" i="37"/>
  <c r="M30" i="37"/>
  <c r="L30" i="37"/>
  <c r="K30" i="37"/>
  <c r="M29" i="37"/>
  <c r="L29" i="37"/>
  <c r="K29" i="37"/>
  <c r="M28" i="37"/>
  <c r="L28" i="37"/>
  <c r="K28" i="37"/>
  <c r="M27" i="37"/>
  <c r="D88" i="37" s="1"/>
  <c r="L27" i="37"/>
  <c r="K27" i="37"/>
  <c r="M24" i="37"/>
  <c r="L24" i="37"/>
  <c r="K24" i="37"/>
  <c r="M23" i="37"/>
  <c r="L23" i="37"/>
  <c r="K23" i="37"/>
  <c r="B87" i="37" s="1"/>
  <c r="M22" i="37"/>
  <c r="L22" i="37"/>
  <c r="K22" i="37"/>
  <c r="M21" i="37"/>
  <c r="N21" i="37" s="1"/>
  <c r="L21" i="37"/>
  <c r="K21" i="37"/>
  <c r="M20" i="37"/>
  <c r="L20" i="37"/>
  <c r="K20" i="37"/>
  <c r="M19" i="37"/>
  <c r="L19" i="37"/>
  <c r="K19" i="37"/>
  <c r="M17" i="37"/>
  <c r="L17" i="37"/>
  <c r="K17" i="37"/>
  <c r="M16" i="37"/>
  <c r="L16" i="37"/>
  <c r="K16" i="37"/>
  <c r="M13" i="37"/>
  <c r="L13" i="37"/>
  <c r="K13" i="37"/>
  <c r="M12" i="37"/>
  <c r="L12" i="37"/>
  <c r="K12" i="37"/>
  <c r="M11"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M48" i="36"/>
  <c r="L48" i="36"/>
  <c r="K48" i="36"/>
  <c r="M44" i="36"/>
  <c r="L44" i="36"/>
  <c r="K44" i="36"/>
  <c r="M43" i="36"/>
  <c r="L43" i="36"/>
  <c r="K43" i="36"/>
  <c r="M42" i="36"/>
  <c r="L42" i="36"/>
  <c r="K42" i="36"/>
  <c r="M39" i="36"/>
  <c r="L39" i="36"/>
  <c r="K39" i="36"/>
  <c r="M38" i="36"/>
  <c r="L38" i="36"/>
  <c r="K38" i="36"/>
  <c r="M37" i="36"/>
  <c r="L37" i="36"/>
  <c r="K37" i="36"/>
  <c r="M36" i="36"/>
  <c r="M35" i="36"/>
  <c r="M34" i="36"/>
  <c r="M33" i="36"/>
  <c r="M32" i="36"/>
  <c r="M31" i="36"/>
  <c r="M30" i="36"/>
  <c r="M29" i="36"/>
  <c r="M28" i="36"/>
  <c r="M27" i="36"/>
  <c r="M26" i="36"/>
  <c r="M24" i="36"/>
  <c r="M23" i="36"/>
  <c r="M22" i="36"/>
  <c r="M21" i="36"/>
  <c r="M19" i="36"/>
  <c r="L19" i="36"/>
  <c r="M18" i="36"/>
  <c r="L18" i="36"/>
  <c r="K18" i="36"/>
  <c r="M17" i="36"/>
  <c r="L17" i="36"/>
  <c r="K17" i="36"/>
  <c r="M16" i="36"/>
  <c r="L16" i="36"/>
  <c r="K16" i="36"/>
  <c r="M15" i="36"/>
  <c r="L15" i="36"/>
  <c r="K15" i="36"/>
  <c r="M14" i="36"/>
  <c r="L14" i="36"/>
  <c r="K14" i="36"/>
  <c r="M13" i="36"/>
  <c r="L13" i="36"/>
  <c r="K13" i="36"/>
  <c r="M12" i="36"/>
  <c r="L12" i="36"/>
  <c r="K12" i="36"/>
  <c r="M11" i="36"/>
  <c r="L11" i="36"/>
  <c r="K11" i="36"/>
  <c r="M10" i="36"/>
  <c r="L10" i="36"/>
  <c r="K10" i="36"/>
  <c r="M9" i="36"/>
  <c r="L9" i="36"/>
  <c r="K9" i="36"/>
  <c r="M8" i="36"/>
  <c r="L8" i="36"/>
  <c r="K8" i="36"/>
  <c r="M7" i="36"/>
  <c r="D96" i="36" s="1"/>
  <c r="L7" i="36"/>
  <c r="C96" i="36" s="1"/>
  <c r="K7" i="36"/>
  <c r="B96" i="36" s="1"/>
  <c r="K37" i="35"/>
  <c r="N37" i="35" s="1"/>
  <c r="K36" i="35"/>
  <c r="K35" i="35"/>
  <c r="M23" i="35"/>
  <c r="M22" i="35"/>
  <c r="M21" i="35"/>
  <c r="L21" i="35"/>
  <c r="K21" i="35"/>
  <c r="M18" i="35"/>
  <c r="L18" i="35"/>
  <c r="K18" i="35"/>
  <c r="M17" i="35"/>
  <c r="L17" i="35"/>
  <c r="K17" i="35"/>
  <c r="M16" i="35"/>
  <c r="L16" i="35"/>
  <c r="K16" i="35"/>
  <c r="M15" i="35"/>
  <c r="L15" i="35"/>
  <c r="K15" i="35"/>
  <c r="M14" i="35"/>
  <c r="L14" i="35"/>
  <c r="K14" i="35"/>
  <c r="M13" i="35"/>
  <c r="L13" i="35"/>
  <c r="K13" i="35"/>
  <c r="N13" i="35" s="1"/>
  <c r="M53" i="34"/>
  <c r="L53" i="34"/>
  <c r="K53" i="34"/>
  <c r="M52" i="34"/>
  <c r="L52" i="34"/>
  <c r="K52" i="34"/>
  <c r="M51" i="34"/>
  <c r="L51" i="34"/>
  <c r="K51" i="34"/>
  <c r="M50" i="34"/>
  <c r="L50" i="34"/>
  <c r="K50" i="34"/>
  <c r="M49" i="34"/>
  <c r="L49" i="34"/>
  <c r="K49" i="34"/>
  <c r="M48" i="34"/>
  <c r="L48" i="34"/>
  <c r="K48" i="34"/>
  <c r="M47" i="34"/>
  <c r="L47" i="34"/>
  <c r="K47" i="34"/>
  <c r="M46" i="34"/>
  <c r="L46" i="34"/>
  <c r="K46" i="34"/>
  <c r="M45" i="34"/>
  <c r="L45" i="34"/>
  <c r="K45" i="34"/>
  <c r="M44" i="34"/>
  <c r="L44" i="34"/>
  <c r="K44" i="34"/>
  <c r="M41" i="34"/>
  <c r="L41" i="34"/>
  <c r="K41" i="34"/>
  <c r="M40" i="34"/>
  <c r="L40" i="34"/>
  <c r="K40" i="34"/>
  <c r="M39" i="34"/>
  <c r="L39" i="34"/>
  <c r="K39" i="34"/>
  <c r="M38" i="34"/>
  <c r="L38" i="34"/>
  <c r="K38" i="34"/>
  <c r="M36" i="34"/>
  <c r="L36" i="34"/>
  <c r="K36" i="34"/>
  <c r="M35" i="34"/>
  <c r="L35" i="34"/>
  <c r="K35" i="34"/>
  <c r="M34" i="34"/>
  <c r="L34" i="34"/>
  <c r="K34" i="34"/>
  <c r="M33" i="34"/>
  <c r="L33" i="34"/>
  <c r="K33" i="34"/>
  <c r="M31" i="34"/>
  <c r="L31" i="34"/>
  <c r="K31" i="34"/>
  <c r="M30" i="34"/>
  <c r="L30" i="34"/>
  <c r="K30" i="34"/>
  <c r="M29" i="34"/>
  <c r="L29" i="34"/>
  <c r="K29" i="34"/>
  <c r="M28" i="34"/>
  <c r="L28" i="34"/>
  <c r="K28" i="34"/>
  <c r="M27" i="34"/>
  <c r="L27" i="34"/>
  <c r="C83" i="34" s="1"/>
  <c r="K27" i="34"/>
  <c r="M21" i="34"/>
  <c r="L21" i="34"/>
  <c r="K21" i="34"/>
  <c r="B81" i="34" s="1"/>
  <c r="M20" i="34"/>
  <c r="L20" i="34"/>
  <c r="K20" i="34"/>
  <c r="M19" i="34"/>
  <c r="N19" i="34" s="1"/>
  <c r="L19" i="34"/>
  <c r="K19" i="34"/>
  <c r="M18" i="34"/>
  <c r="L18" i="34"/>
  <c r="K18" i="34"/>
  <c r="M17" i="34"/>
  <c r="L17" i="34"/>
  <c r="K17" i="34"/>
  <c r="N17" i="34" s="1"/>
  <c r="M15" i="34"/>
  <c r="L15" i="34"/>
  <c r="K15" i="34"/>
  <c r="M14" i="34"/>
  <c r="L14" i="34"/>
  <c r="K14" i="34"/>
  <c r="M13" i="34"/>
  <c r="L13" i="34"/>
  <c r="K13" i="34"/>
  <c r="M12" i="34"/>
  <c r="L12" i="34"/>
  <c r="K12" i="34"/>
  <c r="B77" i="34" s="1"/>
  <c r="M11" i="34"/>
  <c r="L11" i="34"/>
  <c r="K11" i="34"/>
  <c r="M10" i="34"/>
  <c r="N10" i="34" s="1"/>
  <c r="L10" i="34"/>
  <c r="K10" i="34"/>
  <c r="M9" i="34"/>
  <c r="L9" i="34"/>
  <c r="K9" i="34"/>
  <c r="M8" i="34"/>
  <c r="L8" i="34"/>
  <c r="K8" i="34"/>
  <c r="N8" i="34" s="1"/>
  <c r="M7" i="34"/>
  <c r="D74" i="34" s="1"/>
  <c r="L7" i="34"/>
  <c r="C74" i="34" s="1"/>
  <c r="K7" i="34"/>
  <c r="B74" i="34" s="1"/>
  <c r="M53" i="32"/>
  <c r="L53" i="32"/>
  <c r="K53" i="32"/>
  <c r="M51" i="32"/>
  <c r="L51" i="32"/>
  <c r="K51" i="32"/>
  <c r="M50" i="32"/>
  <c r="L50" i="32"/>
  <c r="C95" i="32" s="1"/>
  <c r="K50" i="32"/>
  <c r="M49" i="32"/>
  <c r="L49" i="32"/>
  <c r="K49" i="32"/>
  <c r="M48" i="32"/>
  <c r="L48" i="32"/>
  <c r="K48" i="32"/>
  <c r="M47" i="32"/>
  <c r="D93" i="32" s="1"/>
  <c r="L47" i="32"/>
  <c r="K47" i="32"/>
  <c r="M46" i="32"/>
  <c r="L46" i="32"/>
  <c r="K46" i="32"/>
  <c r="M45" i="32"/>
  <c r="L45" i="32"/>
  <c r="K45" i="32"/>
  <c r="M44" i="32"/>
  <c r="L44" i="32"/>
  <c r="K44" i="32"/>
  <c r="M42" i="32"/>
  <c r="K42" i="32"/>
  <c r="M41" i="32"/>
  <c r="L41" i="32"/>
  <c r="C91" i="32"/>
  <c r="K41" i="32"/>
  <c r="M40" i="32"/>
  <c r="D90" i="32" s="1"/>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C85" i="32" s="1"/>
  <c r="K29" i="32"/>
  <c r="M28" i="32"/>
  <c r="L28" i="32"/>
  <c r="K28" i="32"/>
  <c r="N28" i="32" s="1"/>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C80" i="32" s="1"/>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L9" i="32"/>
  <c r="K9" i="32"/>
  <c r="M8" i="32"/>
  <c r="D74" i="32" s="1"/>
  <c r="L8" i="32"/>
  <c r="K8" i="32"/>
  <c r="M48" i="31"/>
  <c r="L48" i="31"/>
  <c r="K48" i="31"/>
  <c r="M47" i="31"/>
  <c r="L47" i="31"/>
  <c r="K47" i="31"/>
  <c r="M46" i="31"/>
  <c r="L46" i="31"/>
  <c r="K46" i="31"/>
  <c r="M45" i="31"/>
  <c r="L45" i="31"/>
  <c r="C90" i="31" s="1"/>
  <c r="K45" i="31"/>
  <c r="M44" i="31"/>
  <c r="L44" i="31"/>
  <c r="K44" i="31"/>
  <c r="M43" i="31"/>
  <c r="L43" i="31"/>
  <c r="C89" i="31" s="1"/>
  <c r="K43" i="31"/>
  <c r="M42" i="31"/>
  <c r="L42" i="31"/>
  <c r="K42" i="31"/>
  <c r="M41" i="31"/>
  <c r="L41" i="31"/>
  <c r="K41" i="31"/>
  <c r="M40" i="31"/>
  <c r="L40" i="31"/>
  <c r="K40" i="31"/>
  <c r="M39" i="31"/>
  <c r="L39" i="31"/>
  <c r="K39" i="31"/>
  <c r="M38" i="31"/>
  <c r="L38" i="31"/>
  <c r="K38" i="31"/>
  <c r="M37" i="31"/>
  <c r="L37" i="31"/>
  <c r="C86" i="31" s="1"/>
  <c r="K37" i="31"/>
  <c r="M36" i="31"/>
  <c r="L36" i="31"/>
  <c r="K36" i="31"/>
  <c r="M35" i="31"/>
  <c r="L35" i="31"/>
  <c r="C85" i="31" s="1"/>
  <c r="K35" i="31"/>
  <c r="M34" i="31"/>
  <c r="L34" i="31"/>
  <c r="K34" i="31"/>
  <c r="M33" i="31"/>
  <c r="L33" i="31"/>
  <c r="K33" i="31"/>
  <c r="M32" i="31"/>
  <c r="L32" i="31"/>
  <c r="K32" i="31"/>
  <c r="B83" i="31" s="1"/>
  <c r="M31" i="31"/>
  <c r="L31" i="31"/>
  <c r="K31" i="31"/>
  <c r="M30" i="31"/>
  <c r="L30" i="31"/>
  <c r="K30" i="31"/>
  <c r="M29" i="31"/>
  <c r="L29" i="31"/>
  <c r="N29" i="31" s="1"/>
  <c r="K29" i="31"/>
  <c r="M28" i="31"/>
  <c r="L28" i="31"/>
  <c r="K28" i="31"/>
  <c r="M27" i="31"/>
  <c r="L27" i="31"/>
  <c r="K27" i="31"/>
  <c r="M26" i="31"/>
  <c r="L26" i="31"/>
  <c r="K26" i="31"/>
  <c r="M25" i="31"/>
  <c r="L25" i="31"/>
  <c r="K25" i="31"/>
  <c r="M24" i="31"/>
  <c r="L24" i="31"/>
  <c r="K24" i="31"/>
  <c r="N24" i="31" s="1"/>
  <c r="M23" i="31"/>
  <c r="L23" i="31"/>
  <c r="K23" i="31"/>
  <c r="M22" i="31"/>
  <c r="L22" i="31"/>
  <c r="K22" i="31"/>
  <c r="M21" i="31"/>
  <c r="L21" i="31"/>
  <c r="C78" i="31" s="1"/>
  <c r="K21" i="31"/>
  <c r="M20" i="31"/>
  <c r="L20" i="31"/>
  <c r="K20" i="31"/>
  <c r="M19" i="31"/>
  <c r="L19" i="31"/>
  <c r="K19" i="31"/>
  <c r="B77" i="31"/>
  <c r="M18" i="31"/>
  <c r="L18" i="31"/>
  <c r="K18" i="31"/>
  <c r="M17" i="31"/>
  <c r="L17" i="31"/>
  <c r="K17" i="31"/>
  <c r="M16" i="31"/>
  <c r="L16" i="31"/>
  <c r="K16" i="31"/>
  <c r="M15" i="31"/>
  <c r="L15" i="31"/>
  <c r="K15" i="31"/>
  <c r="M14" i="31"/>
  <c r="L14" i="31"/>
  <c r="K14" i="31"/>
  <c r="M12" i="31"/>
  <c r="L12" i="31"/>
  <c r="K12" i="31"/>
  <c r="M11" i="31"/>
  <c r="L11" i="31"/>
  <c r="K11" i="31"/>
  <c r="M10" i="31"/>
  <c r="L10" i="31"/>
  <c r="K10" i="31"/>
  <c r="M9" i="31"/>
  <c r="L9" i="31"/>
  <c r="K9" i="31"/>
  <c r="M8" i="31"/>
  <c r="L8" i="31"/>
  <c r="K8" i="31"/>
  <c r="M7" i="31"/>
  <c r="D71" i="31" s="1"/>
  <c r="L7" i="31"/>
  <c r="K7" i="31"/>
  <c r="B71" i="31" s="1"/>
  <c r="M36" i="30"/>
  <c r="L36" i="30"/>
  <c r="K36" i="30"/>
  <c r="M35" i="30"/>
  <c r="L35" i="30"/>
  <c r="K35" i="30"/>
  <c r="M34" i="30"/>
  <c r="L34" i="30"/>
  <c r="K34" i="30"/>
  <c r="M33" i="30"/>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M56" i="29"/>
  <c r="L56" i="29"/>
  <c r="K56" i="29"/>
  <c r="M53" i="29"/>
  <c r="L53" i="29"/>
  <c r="K53" i="29"/>
  <c r="M52" i="29"/>
  <c r="L52" i="29"/>
  <c r="K52" i="29"/>
  <c r="M51" i="29"/>
  <c r="L51" i="29"/>
  <c r="K51" i="29"/>
  <c r="M50" i="29"/>
  <c r="L50" i="29"/>
  <c r="K50" i="29"/>
  <c r="M49" i="29"/>
  <c r="L49" i="29"/>
  <c r="K49" i="29"/>
  <c r="M48" i="29"/>
  <c r="L48" i="29"/>
  <c r="K48" i="29"/>
  <c r="M47" i="29"/>
  <c r="L47" i="29"/>
  <c r="K47" i="29"/>
  <c r="M46" i="29"/>
  <c r="L46" i="29"/>
  <c r="K46" i="29"/>
  <c r="M45" i="29"/>
  <c r="L45" i="29"/>
  <c r="K45" i="29"/>
  <c r="M44" i="29"/>
  <c r="L44" i="29"/>
  <c r="K44" i="29"/>
  <c r="M43" i="29"/>
  <c r="L43" i="29"/>
  <c r="K43" i="29"/>
  <c r="M42" i="29"/>
  <c r="L42" i="29"/>
  <c r="K42" i="29"/>
  <c r="M39" i="29"/>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N43" i="28" s="1"/>
  <c r="M42" i="28"/>
  <c r="L42" i="28"/>
  <c r="K42" i="28"/>
  <c r="M41" i="28"/>
  <c r="L41" i="28"/>
  <c r="K41" i="28"/>
  <c r="M40" i="28"/>
  <c r="L40" i="28"/>
  <c r="K40" i="28"/>
  <c r="M38" i="28"/>
  <c r="L38" i="28"/>
  <c r="K38" i="28"/>
  <c r="M37" i="28"/>
  <c r="L37" i="28"/>
  <c r="K37" i="28"/>
  <c r="M36" i="28"/>
  <c r="L36" i="28"/>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D84" i="28" s="1"/>
  <c r="L13" i="28"/>
  <c r="K13" i="28"/>
  <c r="M12" i="28"/>
  <c r="L12" i="28"/>
  <c r="K12" i="28"/>
  <c r="M11" i="28"/>
  <c r="L11" i="28"/>
  <c r="K11" i="28"/>
  <c r="M10" i="28"/>
  <c r="L10" i="28"/>
  <c r="K10" i="28"/>
  <c r="M9" i="28"/>
  <c r="L9" i="28"/>
  <c r="K9" i="28"/>
  <c r="M8" i="28"/>
  <c r="L8" i="28"/>
  <c r="K8" i="28"/>
  <c r="U146" i="2"/>
  <c r="M70" i="13"/>
  <c r="L70" i="13"/>
  <c r="K70" i="13"/>
  <c r="M69" i="13"/>
  <c r="L69" i="13"/>
  <c r="K69" i="13"/>
  <c r="M68" i="13"/>
  <c r="L68" i="13"/>
  <c r="K68" i="13"/>
  <c r="M66" i="13"/>
  <c r="L66" i="13"/>
  <c r="K66" i="13"/>
  <c r="B175" i="13" s="1"/>
  <c r="M65" i="13"/>
  <c r="L65" i="13"/>
  <c r="K65" i="13"/>
  <c r="L155" i="2"/>
  <c r="J181" i="2"/>
  <c r="L181" i="2"/>
  <c r="H181" i="2"/>
  <c r="H177" i="2"/>
  <c r="J177" i="2"/>
  <c r="L177" i="2"/>
  <c r="L173" i="2"/>
  <c r="J173" i="2"/>
  <c r="H173" i="2"/>
  <c r="H169" i="2"/>
  <c r="J169" i="2"/>
  <c r="L169" i="2"/>
  <c r="L165" i="2"/>
  <c r="J165" i="2"/>
  <c r="H165" i="2"/>
  <c r="J135" i="2"/>
  <c r="L135" i="2"/>
  <c r="J136" i="2"/>
  <c r="L136" i="2"/>
  <c r="J137" i="2"/>
  <c r="L137" i="2"/>
  <c r="J138" i="2"/>
  <c r="L138" i="2"/>
  <c r="J139" i="2"/>
  <c r="L139" i="2"/>
  <c r="J140" i="2"/>
  <c r="L140" i="2"/>
  <c r="J141" i="2"/>
  <c r="L141" i="2"/>
  <c r="J142" i="2"/>
  <c r="L142" i="2"/>
  <c r="J143" i="2"/>
  <c r="L143" i="2"/>
  <c r="J144" i="2"/>
  <c r="L144" i="2"/>
  <c r="J145" i="2"/>
  <c r="L145" i="2"/>
  <c r="J146" i="2"/>
  <c r="L146" i="2"/>
  <c r="J147" i="2"/>
  <c r="L147" i="2"/>
  <c r="J148" i="2"/>
  <c r="L148" i="2"/>
  <c r="J149" i="2"/>
  <c r="L149" i="2"/>
  <c r="J150" i="2"/>
  <c r="L150" i="2"/>
  <c r="J151" i="2"/>
  <c r="L151" i="2"/>
  <c r="J152" i="2"/>
  <c r="L152" i="2"/>
  <c r="J153" i="2"/>
  <c r="L153" i="2"/>
  <c r="J154" i="2"/>
  <c r="L154" i="2"/>
  <c r="J155" i="2"/>
  <c r="J156" i="2"/>
  <c r="L156" i="2"/>
  <c r="J157" i="2"/>
  <c r="L157" i="2"/>
  <c r="J158" i="2"/>
  <c r="L158" i="2"/>
  <c r="J159" i="2"/>
  <c r="L159" i="2"/>
  <c r="J160" i="2"/>
  <c r="L160" i="2"/>
  <c r="J161" i="2"/>
  <c r="L161" i="2"/>
  <c r="J162" i="2"/>
  <c r="L162" i="2"/>
  <c r="H161" i="2"/>
  <c r="H157" i="2"/>
  <c r="H153" i="2"/>
  <c r="H149" i="2"/>
  <c r="H145" i="2"/>
  <c r="H141" i="2"/>
  <c r="H137" i="2"/>
  <c r="H162" i="2"/>
  <c r="H163" i="2"/>
  <c r="H160" i="2"/>
  <c r="H159" i="2"/>
  <c r="H158" i="2"/>
  <c r="H156" i="2"/>
  <c r="H155" i="2"/>
  <c r="H154" i="2"/>
  <c r="H152" i="2"/>
  <c r="N152" i="2" s="1"/>
  <c r="H151" i="2"/>
  <c r="H150" i="2"/>
  <c r="H148" i="2"/>
  <c r="H147" i="2"/>
  <c r="H146" i="2"/>
  <c r="H144" i="2"/>
  <c r="H143" i="2"/>
  <c r="H142" i="2"/>
  <c r="H140" i="2"/>
  <c r="H139" i="2"/>
  <c r="H138" i="2"/>
  <c r="H136" i="2"/>
  <c r="H135" i="2"/>
  <c r="J133" i="2"/>
  <c r="L133" i="2"/>
  <c r="H133" i="2"/>
  <c r="J134" i="2"/>
  <c r="L134" i="2"/>
  <c r="H134" i="2"/>
  <c r="T160" i="2"/>
  <c r="T185" i="2"/>
  <c r="S136" i="2"/>
  <c r="T136" i="2"/>
  <c r="U136" i="2"/>
  <c r="S137" i="2"/>
  <c r="T137" i="2"/>
  <c r="U137" i="2"/>
  <c r="S138" i="2"/>
  <c r="T138" i="2"/>
  <c r="U138" i="2"/>
  <c r="S139" i="2"/>
  <c r="T139" i="2"/>
  <c r="U139" i="2"/>
  <c r="S140" i="2"/>
  <c r="T140" i="2"/>
  <c r="U140" i="2"/>
  <c r="S141" i="2"/>
  <c r="T141" i="2"/>
  <c r="U141" i="2"/>
  <c r="S142" i="2"/>
  <c r="T142" i="2"/>
  <c r="U142" i="2"/>
  <c r="S143" i="2"/>
  <c r="T143" i="2"/>
  <c r="U143" i="2"/>
  <c r="S144" i="2"/>
  <c r="T144" i="2"/>
  <c r="U144" i="2"/>
  <c r="S145" i="2"/>
  <c r="T145" i="2"/>
  <c r="U145" i="2"/>
  <c r="S146" i="2"/>
  <c r="T146" i="2"/>
  <c r="S147" i="2"/>
  <c r="T147" i="2"/>
  <c r="U147" i="2"/>
  <c r="S148" i="2"/>
  <c r="T148" i="2"/>
  <c r="U148" i="2"/>
  <c r="S149" i="2"/>
  <c r="T149" i="2"/>
  <c r="U149" i="2"/>
  <c r="S150" i="2"/>
  <c r="T150" i="2"/>
  <c r="U150" i="2"/>
  <c r="S151" i="2"/>
  <c r="T151" i="2"/>
  <c r="U151" i="2"/>
  <c r="S152" i="2"/>
  <c r="T152" i="2"/>
  <c r="U152" i="2"/>
  <c r="S153" i="2"/>
  <c r="T153" i="2"/>
  <c r="U153" i="2"/>
  <c r="S154" i="2"/>
  <c r="T154" i="2"/>
  <c r="U154" i="2"/>
  <c r="S155" i="2"/>
  <c r="T155" i="2"/>
  <c r="U155" i="2"/>
  <c r="S156" i="2"/>
  <c r="T156" i="2"/>
  <c r="U156" i="2"/>
  <c r="S157" i="2"/>
  <c r="T157" i="2"/>
  <c r="U157" i="2"/>
  <c r="S158" i="2"/>
  <c r="T158" i="2"/>
  <c r="U158" i="2"/>
  <c r="S159" i="2"/>
  <c r="T159" i="2"/>
  <c r="U159" i="2"/>
  <c r="S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S182" i="2"/>
  <c r="T182" i="2"/>
  <c r="U182" i="2"/>
  <c r="S183" i="2"/>
  <c r="T183" i="2"/>
  <c r="U183" i="2"/>
  <c r="S184" i="2"/>
  <c r="T184" i="2"/>
  <c r="U184" i="2"/>
  <c r="S185" i="2"/>
  <c r="U185" i="2"/>
  <c r="S134" i="2"/>
  <c r="T134" i="2"/>
  <c r="U134" i="2"/>
  <c r="S135" i="2"/>
  <c r="T135" i="2"/>
  <c r="U135" i="2"/>
  <c r="T133" i="2"/>
  <c r="U133" i="2"/>
  <c r="K8" i="2"/>
  <c r="N68" i="2"/>
  <c r="H172" i="2"/>
  <c r="R9" i="14"/>
  <c r="R10" i="14"/>
  <c r="H139" i="14" s="1"/>
  <c r="R11" i="14"/>
  <c r="R12" i="14"/>
  <c r="R13" i="14"/>
  <c r="R14" i="14"/>
  <c r="R15" i="14"/>
  <c r="R16" i="14"/>
  <c r="R17" i="14"/>
  <c r="R18" i="14"/>
  <c r="R19" i="14"/>
  <c r="R20" i="14"/>
  <c r="L143" i="14" s="1"/>
  <c r="R21" i="14"/>
  <c r="R22" i="14"/>
  <c r="L144" i="14" s="1"/>
  <c r="R23" i="14"/>
  <c r="R24" i="14"/>
  <c r="R25" i="14"/>
  <c r="R26" i="14"/>
  <c r="R27" i="14"/>
  <c r="R28" i="14"/>
  <c r="R29" i="14"/>
  <c r="R30" i="14"/>
  <c r="J148" i="14" s="1"/>
  <c r="R31" i="14"/>
  <c r="R32" i="14"/>
  <c r="R33" i="14"/>
  <c r="R34" i="14"/>
  <c r="R35" i="14"/>
  <c r="R36" i="14"/>
  <c r="R37" i="14"/>
  <c r="R38" i="14"/>
  <c r="J151" i="14" s="1"/>
  <c r="R39" i="14"/>
  <c r="R40" i="14"/>
  <c r="R41" i="14"/>
  <c r="R42" i="14"/>
  <c r="R43" i="14"/>
  <c r="R44" i="14"/>
  <c r="R45" i="14"/>
  <c r="R46" i="14"/>
  <c r="H155" i="14" s="1"/>
  <c r="R47" i="14"/>
  <c r="R48" i="14"/>
  <c r="R49" i="14"/>
  <c r="R50" i="14"/>
  <c r="R51" i="14"/>
  <c r="R52" i="14"/>
  <c r="R53" i="14"/>
  <c r="R54" i="14"/>
  <c r="R55" i="14"/>
  <c r="R56" i="14"/>
  <c r="R57" i="14"/>
  <c r="R58" i="14"/>
  <c r="R59" i="14"/>
  <c r="R60" i="14"/>
  <c r="R61" i="14"/>
  <c r="R62" i="14"/>
  <c r="J163" i="14" s="1"/>
  <c r="R63" i="14"/>
  <c r="R64" i="14"/>
  <c r="R65" i="14"/>
  <c r="R66" i="14"/>
  <c r="R67" i="14"/>
  <c r="R68" i="14"/>
  <c r="R69" i="14"/>
  <c r="R70" i="14"/>
  <c r="H167" i="14" s="1"/>
  <c r="R71" i="14"/>
  <c r="R72" i="14"/>
  <c r="R73" i="14"/>
  <c r="R74" i="14"/>
  <c r="R75" i="14"/>
  <c r="R76" i="14"/>
  <c r="R77" i="14"/>
  <c r="R78" i="14"/>
  <c r="R79" i="14"/>
  <c r="R80" i="14"/>
  <c r="R81" i="14"/>
  <c r="R82" i="14"/>
  <c r="R83" i="14"/>
  <c r="R84" i="14"/>
  <c r="R85" i="14"/>
  <c r="R86" i="14"/>
  <c r="R87" i="14"/>
  <c r="R88" i="14"/>
  <c r="R89" i="14"/>
  <c r="R90" i="14"/>
  <c r="R91" i="14"/>
  <c r="R92" i="14"/>
  <c r="R93" i="14"/>
  <c r="R94" i="14"/>
  <c r="R95" i="14"/>
  <c r="R96" i="14"/>
  <c r="R97" i="14"/>
  <c r="R98" i="14"/>
  <c r="R99" i="14"/>
  <c r="R100" i="14"/>
  <c r="R101" i="14"/>
  <c r="R102" i="14"/>
  <c r="H183" i="14" s="1"/>
  <c r="R103" i="14"/>
  <c r="R104" i="14"/>
  <c r="R105" i="14"/>
  <c r="R106" i="14"/>
  <c r="R107" i="14"/>
  <c r="R108" i="14"/>
  <c r="R109" i="14"/>
  <c r="R110" i="14"/>
  <c r="L187" i="14" s="1"/>
  <c r="R111" i="14"/>
  <c r="R112" i="14"/>
  <c r="R113" i="14"/>
  <c r="R114" i="14"/>
  <c r="R115" i="14"/>
  <c r="R116" i="14"/>
  <c r="R117" i="14"/>
  <c r="R8" i="14"/>
  <c r="J138" i="14" s="1"/>
  <c r="M35" i="14"/>
  <c r="L35" i="14"/>
  <c r="K35" i="14"/>
  <c r="K8" i="14"/>
  <c r="L8" i="14"/>
  <c r="M8" i="14"/>
  <c r="K9" i="14"/>
  <c r="L9" i="14"/>
  <c r="C138" i="14" s="1"/>
  <c r="M9" i="14"/>
  <c r="K10" i="14"/>
  <c r="L10" i="14"/>
  <c r="M10" i="14"/>
  <c r="K11" i="14"/>
  <c r="L11" i="14"/>
  <c r="M11" i="14"/>
  <c r="K12" i="14"/>
  <c r="B140" i="14" s="1"/>
  <c r="L12" i="14"/>
  <c r="M12" i="14"/>
  <c r="K13" i="14"/>
  <c r="L13" i="14"/>
  <c r="M13" i="14"/>
  <c r="K14" i="14"/>
  <c r="L14" i="14"/>
  <c r="M14" i="14"/>
  <c r="D140" i="14" s="1"/>
  <c r="K15" i="14"/>
  <c r="L15" i="14"/>
  <c r="M15" i="14"/>
  <c r="K16" i="14"/>
  <c r="L16" i="14"/>
  <c r="M16" i="14"/>
  <c r="K17" i="14"/>
  <c r="L17" i="14"/>
  <c r="N17" i="14" s="1"/>
  <c r="M17" i="14"/>
  <c r="K18" i="14"/>
  <c r="L18" i="14"/>
  <c r="M18" i="14"/>
  <c r="D142" i="14" s="1"/>
  <c r="K19" i="14"/>
  <c r="L19" i="14"/>
  <c r="M19" i="14"/>
  <c r="K20" i="14"/>
  <c r="N20" i="14" s="1"/>
  <c r="L20" i="14"/>
  <c r="M20" i="14"/>
  <c r="K21" i="14"/>
  <c r="L21" i="14"/>
  <c r="M21" i="14"/>
  <c r="K22" i="14"/>
  <c r="L22" i="14"/>
  <c r="M22" i="14"/>
  <c r="N22" i="14" s="1"/>
  <c r="K23" i="14"/>
  <c r="L23" i="14"/>
  <c r="M23" i="14"/>
  <c r="K24" i="14"/>
  <c r="L24" i="14"/>
  <c r="M24" i="14"/>
  <c r="K25" i="14"/>
  <c r="L25" i="14"/>
  <c r="M25" i="14"/>
  <c r="K26" i="14"/>
  <c r="L26" i="14"/>
  <c r="M26" i="14"/>
  <c r="D146" i="14" s="1"/>
  <c r="K27" i="14"/>
  <c r="L27" i="14"/>
  <c r="M27" i="14"/>
  <c r="K28" i="14"/>
  <c r="B147" i="14" s="1"/>
  <c r="L28" i="14"/>
  <c r="M28" i="14"/>
  <c r="K29" i="14"/>
  <c r="L29" i="14"/>
  <c r="M29" i="14"/>
  <c r="K30" i="14"/>
  <c r="L30" i="14"/>
  <c r="M30" i="14"/>
  <c r="K31" i="14"/>
  <c r="L31" i="14"/>
  <c r="M31" i="14"/>
  <c r="K32" i="14"/>
  <c r="L32" i="14"/>
  <c r="M32" i="14"/>
  <c r="K33" i="14"/>
  <c r="L33" i="14"/>
  <c r="M33" i="14"/>
  <c r="K34" i="14"/>
  <c r="L34" i="14"/>
  <c r="M34" i="14"/>
  <c r="K36" i="14"/>
  <c r="L36" i="14"/>
  <c r="M36" i="14"/>
  <c r="K37" i="14"/>
  <c r="B151" i="14" s="1"/>
  <c r="L37" i="14"/>
  <c r="M37" i="14"/>
  <c r="K38" i="14"/>
  <c r="L38" i="14"/>
  <c r="M38" i="14"/>
  <c r="K39" i="14"/>
  <c r="L39" i="14"/>
  <c r="M39" i="14"/>
  <c r="N39" i="14" s="1"/>
  <c r="K40" i="14"/>
  <c r="L40" i="14"/>
  <c r="M40" i="14"/>
  <c r="K41" i="14"/>
  <c r="L41" i="14"/>
  <c r="M41" i="14"/>
  <c r="K42" i="14"/>
  <c r="L42" i="14"/>
  <c r="C153" i="14" s="1"/>
  <c r="M42" i="14"/>
  <c r="K43" i="14"/>
  <c r="L43" i="14"/>
  <c r="M43" i="14"/>
  <c r="K44" i="14"/>
  <c r="L44" i="14"/>
  <c r="M44" i="14"/>
  <c r="K45" i="14"/>
  <c r="L45" i="14"/>
  <c r="M45" i="14"/>
  <c r="K46" i="14"/>
  <c r="L46" i="14"/>
  <c r="M46" i="14"/>
  <c r="K47" i="14"/>
  <c r="L47" i="14"/>
  <c r="M47" i="14"/>
  <c r="K48" i="14"/>
  <c r="L48" i="14"/>
  <c r="M48" i="14"/>
  <c r="K49" i="14"/>
  <c r="L49" i="14"/>
  <c r="M49" i="14"/>
  <c r="K50" i="14"/>
  <c r="L50" i="14"/>
  <c r="M50" i="14"/>
  <c r="K51" i="14"/>
  <c r="L51" i="14"/>
  <c r="M51" i="14"/>
  <c r="K52" i="14"/>
  <c r="L52" i="14"/>
  <c r="M52" i="14"/>
  <c r="K53" i="14"/>
  <c r="L53" i="14"/>
  <c r="M53" i="14"/>
  <c r="K54" i="14"/>
  <c r="L54" i="14"/>
  <c r="M54" i="14"/>
  <c r="K55" i="14"/>
  <c r="L55" i="14"/>
  <c r="M55" i="14"/>
  <c r="K56" i="14"/>
  <c r="L56" i="14"/>
  <c r="M56" i="14"/>
  <c r="K57" i="14"/>
  <c r="L57" i="14"/>
  <c r="M57" i="14"/>
  <c r="K58" i="14"/>
  <c r="L58" i="14"/>
  <c r="M58" i="14"/>
  <c r="K59" i="14"/>
  <c r="L59" i="14"/>
  <c r="M59" i="14"/>
  <c r="K60" i="14"/>
  <c r="L60" i="14"/>
  <c r="M60" i="14"/>
  <c r="K61" i="14"/>
  <c r="L61" i="14"/>
  <c r="M61" i="14"/>
  <c r="K62" i="14"/>
  <c r="L62" i="14"/>
  <c r="M62" i="14"/>
  <c r="K63" i="14"/>
  <c r="L63" i="14"/>
  <c r="M63" i="14"/>
  <c r="K64" i="14"/>
  <c r="L64" i="14"/>
  <c r="M64" i="14"/>
  <c r="K65" i="14"/>
  <c r="L65" i="14"/>
  <c r="M65" i="14"/>
  <c r="K66" i="14"/>
  <c r="L66" i="14"/>
  <c r="M66" i="14"/>
  <c r="K67" i="14"/>
  <c r="L67" i="14"/>
  <c r="M67" i="14"/>
  <c r="K68" i="14"/>
  <c r="L68" i="14"/>
  <c r="M68" i="14"/>
  <c r="K69" i="14"/>
  <c r="L69" i="14"/>
  <c r="M69" i="14"/>
  <c r="R9" i="15"/>
  <c r="R10" i="15"/>
  <c r="R11" i="15"/>
  <c r="R12" i="15"/>
  <c r="R13" i="15"/>
  <c r="R14" i="15"/>
  <c r="R15" i="15"/>
  <c r="R16" i="15"/>
  <c r="R17" i="15"/>
  <c r="R18" i="15"/>
  <c r="R19" i="15"/>
  <c r="R20" i="15"/>
  <c r="L155" i="15" s="1"/>
  <c r="R21" i="15"/>
  <c r="R22" i="15"/>
  <c r="R23" i="15"/>
  <c r="R24" i="15"/>
  <c r="R25" i="15"/>
  <c r="R26" i="15"/>
  <c r="R27" i="15"/>
  <c r="R28" i="15"/>
  <c r="R29" i="15"/>
  <c r="R30" i="15"/>
  <c r="R31" i="15"/>
  <c r="R32" i="15"/>
  <c r="R33" i="15"/>
  <c r="R34" i="15"/>
  <c r="R35" i="15"/>
  <c r="R36" i="15"/>
  <c r="R37" i="15"/>
  <c r="R38" i="15"/>
  <c r="R39" i="15"/>
  <c r="R40" i="15"/>
  <c r="R41" i="15"/>
  <c r="R42" i="15"/>
  <c r="R43" i="15"/>
  <c r="R44" i="15"/>
  <c r="R45" i="15"/>
  <c r="R46" i="15"/>
  <c r="R47" i="15"/>
  <c r="R48" i="15"/>
  <c r="R49" i="15"/>
  <c r="R50" i="15"/>
  <c r="R51" i="15"/>
  <c r="R52" i="15"/>
  <c r="H170" i="15" s="1"/>
  <c r="R53" i="15"/>
  <c r="R54" i="15"/>
  <c r="R55" i="15"/>
  <c r="R56" i="15"/>
  <c r="R57" i="15"/>
  <c r="R58" i="15"/>
  <c r="R59" i="15"/>
  <c r="R60" i="15"/>
  <c r="R61" i="15"/>
  <c r="R62" i="15"/>
  <c r="R63" i="15"/>
  <c r="R64" i="15"/>
  <c r="R65" i="15"/>
  <c r="R66" i="15"/>
  <c r="R67" i="15"/>
  <c r="R68" i="15"/>
  <c r="R69" i="15"/>
  <c r="J178" i="15" s="1"/>
  <c r="R70" i="15"/>
  <c r="R71" i="15"/>
  <c r="R72" i="15"/>
  <c r="R73" i="15"/>
  <c r="R74" i="15"/>
  <c r="R75" i="15"/>
  <c r="R76" i="15"/>
  <c r="R77" i="15"/>
  <c r="R78" i="15"/>
  <c r="J182" i="15" s="1"/>
  <c r="R79" i="15"/>
  <c r="R80" i="15"/>
  <c r="R81" i="15"/>
  <c r="R82" i="15"/>
  <c r="R83" i="15"/>
  <c r="R84" i="15"/>
  <c r="R86" i="15"/>
  <c r="R87" i="15"/>
  <c r="L186" i="15" s="1"/>
  <c r="R88" i="15"/>
  <c r="R89" i="15"/>
  <c r="R90" i="15"/>
  <c r="R91" i="15"/>
  <c r="R92" i="15"/>
  <c r="R93" i="15"/>
  <c r="R94" i="15"/>
  <c r="R95" i="15"/>
  <c r="L190" i="15" s="1"/>
  <c r="R96" i="15"/>
  <c r="R97" i="15"/>
  <c r="R98" i="15"/>
  <c r="R99" i="15"/>
  <c r="R101" i="15"/>
  <c r="R102" i="15"/>
  <c r="R103" i="15"/>
  <c r="R104" i="15"/>
  <c r="L194" i="15" s="1"/>
  <c r="R105" i="15"/>
  <c r="R106" i="15"/>
  <c r="R107" i="15"/>
  <c r="R108" i="15"/>
  <c r="R109" i="15"/>
  <c r="R110" i="15"/>
  <c r="R112" i="15"/>
  <c r="R113" i="15"/>
  <c r="R114" i="15"/>
  <c r="R115" i="15"/>
  <c r="R116" i="15"/>
  <c r="R117" i="15"/>
  <c r="R118" i="15"/>
  <c r="R119" i="15"/>
  <c r="R120" i="15"/>
  <c r="R121" i="15"/>
  <c r="R122" i="15"/>
  <c r="R124" i="15"/>
  <c r="R8" i="15"/>
  <c r="K8" i="15"/>
  <c r="L8" i="15"/>
  <c r="M8" i="15"/>
  <c r="K9" i="15"/>
  <c r="L9" i="15"/>
  <c r="M9" i="15"/>
  <c r="K10" i="15"/>
  <c r="L10" i="15"/>
  <c r="M10" i="15"/>
  <c r="K11" i="15"/>
  <c r="L11" i="15"/>
  <c r="N11" i="15" s="1"/>
  <c r="M11" i="15"/>
  <c r="K12" i="15"/>
  <c r="L12" i="15"/>
  <c r="M12" i="15"/>
  <c r="K13" i="15"/>
  <c r="L13" i="15"/>
  <c r="M13" i="15"/>
  <c r="K14" i="15"/>
  <c r="L14" i="15"/>
  <c r="M14" i="15"/>
  <c r="K15" i="15"/>
  <c r="L15" i="15"/>
  <c r="M15" i="15"/>
  <c r="K16" i="15"/>
  <c r="L16" i="15"/>
  <c r="M16" i="15"/>
  <c r="K17" i="15"/>
  <c r="L17" i="15"/>
  <c r="M17" i="15"/>
  <c r="K18" i="15"/>
  <c r="L18" i="15"/>
  <c r="M18" i="15"/>
  <c r="K19" i="15"/>
  <c r="L19" i="15"/>
  <c r="M19" i="15"/>
  <c r="K20" i="15"/>
  <c r="L20" i="15"/>
  <c r="M20" i="15"/>
  <c r="D155" i="15" s="1"/>
  <c r="K21" i="15"/>
  <c r="L21" i="15"/>
  <c r="M21" i="15"/>
  <c r="K22" i="15"/>
  <c r="L22" i="15"/>
  <c r="M22" i="15"/>
  <c r="K23" i="15"/>
  <c r="L23" i="15"/>
  <c r="M23" i="15"/>
  <c r="K24" i="15"/>
  <c r="L24" i="15"/>
  <c r="M24" i="15"/>
  <c r="K25" i="15"/>
  <c r="L25" i="15"/>
  <c r="M25" i="15"/>
  <c r="K26" i="15"/>
  <c r="L26" i="15"/>
  <c r="M26" i="15"/>
  <c r="K27" i="15"/>
  <c r="L27" i="15"/>
  <c r="M27" i="15"/>
  <c r="K28" i="15"/>
  <c r="L28" i="15"/>
  <c r="M28" i="15"/>
  <c r="D158" i="15" s="1"/>
  <c r="K29" i="15"/>
  <c r="L29" i="15"/>
  <c r="M29" i="15"/>
  <c r="K30" i="15"/>
  <c r="L30" i="15"/>
  <c r="M30" i="15"/>
  <c r="K31" i="15"/>
  <c r="L31" i="15"/>
  <c r="M31" i="15"/>
  <c r="K32" i="15"/>
  <c r="L32" i="15"/>
  <c r="M32" i="15"/>
  <c r="K33" i="15"/>
  <c r="L33" i="15"/>
  <c r="M33" i="15"/>
  <c r="K34" i="15"/>
  <c r="L34" i="15"/>
  <c r="M34" i="15"/>
  <c r="D161" i="15" s="1"/>
  <c r="K35" i="15"/>
  <c r="L35" i="15"/>
  <c r="M35" i="15"/>
  <c r="K36" i="15"/>
  <c r="L36" i="15"/>
  <c r="M36" i="15"/>
  <c r="K37" i="15"/>
  <c r="L37" i="15"/>
  <c r="M37" i="15"/>
  <c r="K38" i="15"/>
  <c r="N38" i="15" s="1"/>
  <c r="L38" i="15"/>
  <c r="M38" i="15"/>
  <c r="K39" i="15"/>
  <c r="L39" i="15"/>
  <c r="M39" i="15"/>
  <c r="K40" i="15"/>
  <c r="L40" i="15"/>
  <c r="M40" i="15"/>
  <c r="K41" i="15"/>
  <c r="L41" i="15"/>
  <c r="M41" i="15"/>
  <c r="K42" i="15"/>
  <c r="L42" i="15"/>
  <c r="M42" i="15"/>
  <c r="K43" i="15"/>
  <c r="L43" i="15"/>
  <c r="M43" i="15"/>
  <c r="K44" i="15"/>
  <c r="L44" i="15"/>
  <c r="M44" i="15"/>
  <c r="K45" i="15"/>
  <c r="L45" i="15"/>
  <c r="M45" i="15"/>
  <c r="K46" i="15"/>
  <c r="L46" i="15"/>
  <c r="M46" i="15"/>
  <c r="K47" i="15"/>
  <c r="L47" i="15"/>
  <c r="C167" i="15" s="1"/>
  <c r="M47" i="15"/>
  <c r="K48" i="15"/>
  <c r="B168" i="15" s="1"/>
  <c r="L48" i="15"/>
  <c r="M48" i="15"/>
  <c r="K49" i="15"/>
  <c r="L49" i="15"/>
  <c r="M49" i="15"/>
  <c r="K50" i="15"/>
  <c r="L50" i="15"/>
  <c r="M50" i="15"/>
  <c r="D169" i="15" s="1"/>
  <c r="K51" i="15"/>
  <c r="L51" i="15"/>
  <c r="M51" i="15"/>
  <c r="K52" i="15"/>
  <c r="L52" i="15"/>
  <c r="M52" i="15"/>
  <c r="D170" i="15" s="1"/>
  <c r="K53" i="15"/>
  <c r="L53" i="15"/>
  <c r="M53" i="15"/>
  <c r="K54" i="15"/>
  <c r="L54" i="15"/>
  <c r="M54" i="15"/>
  <c r="K55" i="15"/>
  <c r="L55" i="15"/>
  <c r="M55" i="15"/>
  <c r="K56" i="15"/>
  <c r="L56" i="15"/>
  <c r="M56" i="15"/>
  <c r="K57" i="15"/>
  <c r="L57" i="15"/>
  <c r="M57" i="15"/>
  <c r="K58" i="15"/>
  <c r="L58" i="15"/>
  <c r="M58" i="15"/>
  <c r="K59" i="15"/>
  <c r="L59" i="15"/>
  <c r="M59" i="15"/>
  <c r="K60" i="15"/>
  <c r="L60" i="15"/>
  <c r="M60" i="15"/>
  <c r="K61" i="15"/>
  <c r="L61" i="15"/>
  <c r="C174" i="15" s="1"/>
  <c r="M61" i="15"/>
  <c r="K62" i="15"/>
  <c r="L62" i="15"/>
  <c r="M62" i="15"/>
  <c r="K63" i="15"/>
  <c r="L63" i="15"/>
  <c r="M63" i="15"/>
  <c r="K64" i="15"/>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L145" i="8" s="1"/>
  <c r="M58" i="8"/>
  <c r="L58" i="8"/>
  <c r="K58" i="8"/>
  <c r="M43" i="8"/>
  <c r="L43" i="8"/>
  <c r="K43" i="8"/>
  <c r="M36" i="8"/>
  <c r="L36" i="8"/>
  <c r="K36" i="8"/>
  <c r="M33" i="8"/>
  <c r="L33" i="8"/>
  <c r="K33" i="8"/>
  <c r="M30" i="8"/>
  <c r="L30" i="8"/>
  <c r="K30" i="8"/>
  <c r="N30" i="8" s="1"/>
  <c r="M15" i="8"/>
  <c r="L15" i="8"/>
  <c r="K15" i="8"/>
  <c r="M39" i="8"/>
  <c r="L39" i="8"/>
  <c r="K39" i="8"/>
  <c r="M38" i="8"/>
  <c r="L38" i="8"/>
  <c r="K38" i="8"/>
  <c r="M37" i="8"/>
  <c r="L37" i="8"/>
  <c r="K37" i="8"/>
  <c r="M35" i="8"/>
  <c r="L35" i="8"/>
  <c r="C157" i="8" s="1"/>
  <c r="K35" i="8"/>
  <c r="M34" i="8"/>
  <c r="L34" i="8"/>
  <c r="K34" i="8"/>
  <c r="M32" i="8"/>
  <c r="L32" i="8"/>
  <c r="K32" i="8"/>
  <c r="M31" i="8"/>
  <c r="L31" i="8"/>
  <c r="K31" i="8"/>
  <c r="M29" i="8"/>
  <c r="L29" i="8"/>
  <c r="K29" i="8"/>
  <c r="M28" i="8"/>
  <c r="L28" i="8"/>
  <c r="K28" i="8"/>
  <c r="M27" i="8"/>
  <c r="L27" i="8"/>
  <c r="K27" i="8"/>
  <c r="M26" i="8"/>
  <c r="L26" i="8"/>
  <c r="K26" i="8"/>
  <c r="M25" i="8"/>
  <c r="L25" i="8"/>
  <c r="K25" i="8"/>
  <c r="M24" i="8"/>
  <c r="L24" i="8"/>
  <c r="K24" i="8"/>
  <c r="N24" i="8" s="1"/>
  <c r="M23" i="8"/>
  <c r="L23" i="8"/>
  <c r="K23" i="8"/>
  <c r="M22" i="8"/>
  <c r="L22" i="8"/>
  <c r="K22" i="8"/>
  <c r="M21" i="8"/>
  <c r="L21" i="8"/>
  <c r="K21" i="8"/>
  <c r="B151" i="8" s="1"/>
  <c r="M20" i="8"/>
  <c r="L20" i="8"/>
  <c r="K20" i="8"/>
  <c r="M19" i="8"/>
  <c r="L19" i="8"/>
  <c r="K19" i="8"/>
  <c r="M18" i="8"/>
  <c r="D149" i="8" s="1"/>
  <c r="L18" i="8"/>
  <c r="K18" i="8"/>
  <c r="M17" i="8"/>
  <c r="L17" i="8"/>
  <c r="K17" i="8"/>
  <c r="M16" i="8"/>
  <c r="L16" i="8"/>
  <c r="K16" i="8"/>
  <c r="M14" i="8"/>
  <c r="L14" i="8"/>
  <c r="K14" i="8"/>
  <c r="M13" i="8"/>
  <c r="L13" i="8"/>
  <c r="K13" i="8"/>
  <c r="M12" i="8"/>
  <c r="L12" i="8"/>
  <c r="K12" i="8"/>
  <c r="M11" i="8"/>
  <c r="L11" i="8"/>
  <c r="K11" i="8"/>
  <c r="M10" i="8"/>
  <c r="L10" i="8"/>
  <c r="K10" i="8"/>
  <c r="M9" i="8"/>
  <c r="L9" i="8"/>
  <c r="K9" i="8"/>
  <c r="M8" i="8"/>
  <c r="L8" i="8"/>
  <c r="K8" i="8"/>
  <c r="M69" i="8"/>
  <c r="L69" i="8"/>
  <c r="K69" i="8"/>
  <c r="M68" i="8"/>
  <c r="D172" i="8" s="1"/>
  <c r="L68" i="8"/>
  <c r="K68" i="8"/>
  <c r="M67" i="8"/>
  <c r="L67" i="8"/>
  <c r="K67" i="8"/>
  <c r="M66" i="8"/>
  <c r="L66" i="8"/>
  <c r="K66" i="8"/>
  <c r="M65" i="8"/>
  <c r="L65" i="8"/>
  <c r="K65" i="8"/>
  <c r="N65" i="8" s="1"/>
  <c r="M64" i="8"/>
  <c r="L64" i="8"/>
  <c r="K64" i="8"/>
  <c r="M63" i="8"/>
  <c r="D169" i="8" s="1"/>
  <c r="L63" i="8"/>
  <c r="K63" i="8"/>
  <c r="M62" i="8"/>
  <c r="L62" i="8"/>
  <c r="C169" i="8" s="1"/>
  <c r="K62" i="8"/>
  <c r="M61" i="8"/>
  <c r="L61" i="8"/>
  <c r="K61" i="8"/>
  <c r="M60" i="8"/>
  <c r="L60" i="8"/>
  <c r="K60" i="8"/>
  <c r="M59" i="8"/>
  <c r="L59" i="8"/>
  <c r="K59" i="8"/>
  <c r="M57" i="8"/>
  <c r="L57" i="8"/>
  <c r="K57" i="8"/>
  <c r="M56" i="8"/>
  <c r="L56" i="8"/>
  <c r="K56" i="8"/>
  <c r="M55" i="8"/>
  <c r="L55" i="8"/>
  <c r="K55" i="8"/>
  <c r="M54" i="8"/>
  <c r="L54" i="8"/>
  <c r="K54" i="8"/>
  <c r="M53" i="8"/>
  <c r="L53" i="8"/>
  <c r="K53" i="8"/>
  <c r="M52" i="8"/>
  <c r="L52" i="8"/>
  <c r="K52" i="8"/>
  <c r="M51" i="8"/>
  <c r="L51" i="8"/>
  <c r="K51" i="8"/>
  <c r="M50" i="8"/>
  <c r="L50" i="8"/>
  <c r="K50" i="8"/>
  <c r="M49" i="8"/>
  <c r="L49" i="8"/>
  <c r="K49" i="8"/>
  <c r="M48" i="8"/>
  <c r="L48" i="8"/>
  <c r="K48" i="8"/>
  <c r="M47" i="8"/>
  <c r="L47" i="8"/>
  <c r="K47" i="8"/>
  <c r="M46" i="8"/>
  <c r="L46" i="8"/>
  <c r="K46" i="8"/>
  <c r="M45" i="8"/>
  <c r="L45" i="8"/>
  <c r="K45" i="8"/>
  <c r="M44" i="8"/>
  <c r="L44" i="8"/>
  <c r="K44" i="8"/>
  <c r="M42" i="8"/>
  <c r="L42" i="8"/>
  <c r="K42" i="8"/>
  <c r="M41" i="8"/>
  <c r="N41" i="8" s="1"/>
  <c r="L41" i="8"/>
  <c r="K41" i="8"/>
  <c r="M40" i="8"/>
  <c r="L40" i="8"/>
  <c r="K40" i="8"/>
  <c r="M71" i="8"/>
  <c r="L71" i="8"/>
  <c r="K71" i="8"/>
  <c r="M70" i="8"/>
  <c r="D173" i="8" s="1"/>
  <c r="L70" i="8"/>
  <c r="K70" i="8"/>
  <c r="R9" i="7"/>
  <c r="R10" i="7"/>
  <c r="R11" i="7"/>
  <c r="R12" i="7"/>
  <c r="R13" i="7"/>
  <c r="R14" i="7"/>
  <c r="R15" i="7"/>
  <c r="R16" i="7"/>
  <c r="R17" i="7"/>
  <c r="R18" i="7"/>
  <c r="R19" i="7"/>
  <c r="R20" i="7"/>
  <c r="R21" i="7"/>
  <c r="R22" i="7"/>
  <c r="R23" i="7"/>
  <c r="R24" i="7"/>
  <c r="R25" i="7"/>
  <c r="R26" i="7"/>
  <c r="R27" i="7"/>
  <c r="R28" i="7"/>
  <c r="R29" i="7"/>
  <c r="R30" i="7"/>
  <c r="R31" i="7"/>
  <c r="R32" i="7"/>
  <c r="R33" i="7"/>
  <c r="R34" i="7"/>
  <c r="R35" i="7"/>
  <c r="R36" i="7"/>
  <c r="R37" i="7"/>
  <c r="R38" i="7"/>
  <c r="R39" i="7"/>
  <c r="R40" i="7"/>
  <c r="R41" i="7"/>
  <c r="R42" i="7"/>
  <c r="R43" i="7"/>
  <c r="R44" i="7"/>
  <c r="R45" i="7"/>
  <c r="R46" i="7"/>
  <c r="R47" i="7"/>
  <c r="R48" i="7"/>
  <c r="R49" i="7"/>
  <c r="R50" i="7"/>
  <c r="R51" i="7"/>
  <c r="R52" i="7"/>
  <c r="R53" i="7"/>
  <c r="R54" i="7"/>
  <c r="R55" i="7"/>
  <c r="R56" i="7"/>
  <c r="R57" i="7"/>
  <c r="L159" i="7" s="1"/>
  <c r="R58" i="7"/>
  <c r="R59" i="7"/>
  <c r="R60" i="7"/>
  <c r="R61" i="7"/>
  <c r="R62" i="7"/>
  <c r="R63" i="7"/>
  <c r="R64" i="7"/>
  <c r="R66" i="7"/>
  <c r="W163" i="7" s="1"/>
  <c r="R67" i="7"/>
  <c r="R68" i="7"/>
  <c r="L164" i="7" s="1"/>
  <c r="R69" i="7"/>
  <c r="R70" i="7"/>
  <c r="R71" i="7"/>
  <c r="R72" i="7"/>
  <c r="R73" i="7"/>
  <c r="R74" i="7"/>
  <c r="R75" i="7"/>
  <c r="R76" i="7"/>
  <c r="R77" i="7"/>
  <c r="R78" i="7"/>
  <c r="R79" i="7"/>
  <c r="R80" i="7"/>
  <c r="R81" i="7"/>
  <c r="R82" i="7"/>
  <c r="R83" i="7"/>
  <c r="R84" i="7"/>
  <c r="R85" i="7"/>
  <c r="R86" i="7"/>
  <c r="R87" i="7"/>
  <c r="R88" i="7"/>
  <c r="R89" i="7"/>
  <c r="R90" i="7"/>
  <c r="H175" i="7" s="1"/>
  <c r="R91" i="7"/>
  <c r="R92" i="7"/>
  <c r="R93" i="7"/>
  <c r="R94" i="7"/>
  <c r="R95" i="7"/>
  <c r="R96" i="7"/>
  <c r="R97" i="7"/>
  <c r="R98" i="7"/>
  <c r="R99" i="7"/>
  <c r="R100" i="7"/>
  <c r="R101" i="7"/>
  <c r="R102" i="7"/>
  <c r="R103" i="7"/>
  <c r="R104" i="7"/>
  <c r="R105" i="7"/>
  <c r="R106" i="7"/>
  <c r="W183" i="7" s="1"/>
  <c r="R107" i="7"/>
  <c r="R108" i="7"/>
  <c r="R109" i="7"/>
  <c r="R110" i="7"/>
  <c r="R111" i="7"/>
  <c r="R112" i="7"/>
  <c r="R113" i="7"/>
  <c r="R114" i="7"/>
  <c r="R8" i="7"/>
  <c r="M9" i="7"/>
  <c r="L9" i="7"/>
  <c r="K9" i="7"/>
  <c r="M17" i="7"/>
  <c r="L17" i="7"/>
  <c r="K17" i="7"/>
  <c r="M16" i="7"/>
  <c r="L16" i="7"/>
  <c r="K16" i="7"/>
  <c r="M15" i="7"/>
  <c r="L15" i="7"/>
  <c r="C138" i="7" s="1"/>
  <c r="K15" i="7"/>
  <c r="M14" i="7"/>
  <c r="L14" i="7"/>
  <c r="K14" i="7"/>
  <c r="E14" i="7"/>
  <c r="T137" i="7" s="1"/>
  <c r="M13" i="7"/>
  <c r="L13" i="7"/>
  <c r="K13" i="7"/>
  <c r="M12" i="7"/>
  <c r="L12" i="7"/>
  <c r="K12" i="7"/>
  <c r="E12" i="7"/>
  <c r="T136" i="7" s="1"/>
  <c r="M11" i="7"/>
  <c r="L11" i="7"/>
  <c r="K11" i="7"/>
  <c r="M10" i="7"/>
  <c r="N10" i="7" s="1"/>
  <c r="L10" i="7"/>
  <c r="K10" i="7"/>
  <c r="M8" i="7"/>
  <c r="L8" i="7"/>
  <c r="N8" i="7" s="1"/>
  <c r="K8" i="7"/>
  <c r="M45" i="7"/>
  <c r="L45" i="7"/>
  <c r="K45" i="7"/>
  <c r="M44" i="7"/>
  <c r="L44" i="7"/>
  <c r="K44" i="7"/>
  <c r="M43" i="7"/>
  <c r="N43" i="7" s="1"/>
  <c r="L43" i="7"/>
  <c r="K43" i="7"/>
  <c r="M42" i="7"/>
  <c r="L42" i="7"/>
  <c r="K42" i="7"/>
  <c r="M41" i="7"/>
  <c r="L41" i="7"/>
  <c r="K41" i="7"/>
  <c r="M40" i="7"/>
  <c r="L40" i="7"/>
  <c r="K40" i="7"/>
  <c r="M39" i="7"/>
  <c r="L39" i="7"/>
  <c r="K39" i="7"/>
  <c r="M38" i="7"/>
  <c r="L38" i="7"/>
  <c r="K38" i="7"/>
  <c r="M37" i="7"/>
  <c r="L37" i="7"/>
  <c r="K37" i="7"/>
  <c r="M36" i="7"/>
  <c r="L36" i="7"/>
  <c r="K36" i="7"/>
  <c r="M35" i="7"/>
  <c r="L35" i="7"/>
  <c r="K35" i="7"/>
  <c r="M34" i="7"/>
  <c r="L34" i="7"/>
  <c r="K34" i="7"/>
  <c r="M33" i="7"/>
  <c r="L33" i="7"/>
  <c r="K33" i="7"/>
  <c r="M32" i="7"/>
  <c r="L32" i="7"/>
  <c r="K32" i="7"/>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M19" i="7"/>
  <c r="D140" i="7" s="1"/>
  <c r="L19" i="7"/>
  <c r="K19" i="7"/>
  <c r="M18" i="7"/>
  <c r="D139" i="7" s="1"/>
  <c r="L18" i="7"/>
  <c r="K18" i="7"/>
  <c r="M58" i="7"/>
  <c r="L58" i="7"/>
  <c r="K58" i="7"/>
  <c r="M57" i="7"/>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L168" i="5" s="1"/>
  <c r="R74" i="5"/>
  <c r="R76" i="5"/>
  <c r="R77" i="5"/>
  <c r="R78" i="5"/>
  <c r="R79" i="5"/>
  <c r="R80" i="5"/>
  <c r="R81" i="5"/>
  <c r="R82" i="5"/>
  <c r="H172" i="5" s="1"/>
  <c r="R83" i="5"/>
  <c r="R84" i="5"/>
  <c r="R85" i="5"/>
  <c r="L173" i="5" s="1"/>
  <c r="H173" i="5"/>
  <c r="R86" i="5"/>
  <c r="R87" i="5"/>
  <c r="R88" i="5"/>
  <c r="R89" i="5"/>
  <c r="R90" i="5"/>
  <c r="R91" i="5"/>
  <c r="R92" i="5"/>
  <c r="R93" i="5"/>
  <c r="R94" i="5"/>
  <c r="R95" i="5"/>
  <c r="R96" i="5"/>
  <c r="R97" i="5"/>
  <c r="R98" i="5"/>
  <c r="J180" i="5" s="1"/>
  <c r="R99" i="5"/>
  <c r="R100" i="5"/>
  <c r="R101" i="5"/>
  <c r="R102" i="5"/>
  <c r="R103" i="5"/>
  <c r="R104" i="5"/>
  <c r="R105" i="5"/>
  <c r="R106" i="5"/>
  <c r="L184" i="5" s="1"/>
  <c r="R107" i="5"/>
  <c r="R108" i="5"/>
  <c r="R109" i="5"/>
  <c r="R110" i="5"/>
  <c r="L186" i="5" s="1"/>
  <c r="R111" i="5"/>
  <c r="R112" i="5"/>
  <c r="R113" i="5"/>
  <c r="R114" i="5"/>
  <c r="R115" i="5"/>
  <c r="R9" i="5"/>
  <c r="R10" i="5"/>
  <c r="R11" i="5"/>
  <c r="R12" i="5"/>
  <c r="R13" i="5"/>
  <c r="R14" i="5"/>
  <c r="R15" i="5"/>
  <c r="R16" i="5"/>
  <c r="R17" i="5"/>
  <c r="W140" i="5" s="1"/>
  <c r="R18" i="5"/>
  <c r="R19" i="5"/>
  <c r="R20" i="5"/>
  <c r="R21" i="5"/>
  <c r="R22" i="5"/>
  <c r="R23" i="5"/>
  <c r="R24" i="5"/>
  <c r="R25" i="5"/>
  <c r="R26" i="5"/>
  <c r="R27" i="5"/>
  <c r="R28" i="5"/>
  <c r="R29" i="5"/>
  <c r="R30" i="5"/>
  <c r="R31" i="5"/>
  <c r="R32" i="5"/>
  <c r="R33" i="5"/>
  <c r="R34" i="5"/>
  <c r="R35" i="5"/>
  <c r="R36" i="5"/>
  <c r="R37" i="5"/>
  <c r="R38" i="5"/>
  <c r="H150" i="5" s="1"/>
  <c r="R39" i="5"/>
  <c r="R40" i="5"/>
  <c r="R41" i="5"/>
  <c r="R42" i="5"/>
  <c r="R43" i="5"/>
  <c r="R44" i="5"/>
  <c r="R45" i="5"/>
  <c r="R46" i="5"/>
  <c r="H154" i="5" s="1"/>
  <c r="R47" i="5"/>
  <c r="R48" i="5"/>
  <c r="R49" i="5"/>
  <c r="R50" i="5"/>
  <c r="R51" i="5"/>
  <c r="R52" i="5"/>
  <c r="R53" i="5"/>
  <c r="R54" i="5"/>
  <c r="R55" i="5"/>
  <c r="R56" i="5"/>
  <c r="R57" i="5"/>
  <c r="R58" i="5"/>
  <c r="R59" i="5"/>
  <c r="R60" i="5"/>
  <c r="R61" i="5"/>
  <c r="R62" i="5"/>
  <c r="R63" i="5"/>
  <c r="R64" i="5"/>
  <c r="R65" i="5"/>
  <c r="R66" i="5"/>
  <c r="R8" i="5"/>
  <c r="M25" i="5"/>
  <c r="L25" i="5"/>
  <c r="K25" i="5"/>
  <c r="M36" i="5"/>
  <c r="L36" i="5"/>
  <c r="K36" i="5"/>
  <c r="M35" i="5"/>
  <c r="L35" i="5"/>
  <c r="K35" i="5"/>
  <c r="M34" i="5"/>
  <c r="L34" i="5"/>
  <c r="K34" i="5"/>
  <c r="M33" i="5"/>
  <c r="L33" i="5"/>
  <c r="K33" i="5"/>
  <c r="M32" i="5"/>
  <c r="L32" i="5"/>
  <c r="K32" i="5"/>
  <c r="M31" i="5"/>
  <c r="L31" i="5"/>
  <c r="K31" i="5"/>
  <c r="E31" i="5"/>
  <c r="M30" i="5"/>
  <c r="L30" i="5"/>
  <c r="K30" i="5"/>
  <c r="M29" i="5"/>
  <c r="L29" i="5"/>
  <c r="K29" i="5"/>
  <c r="M28" i="5"/>
  <c r="L28" i="5"/>
  <c r="K28" i="5"/>
  <c r="E28" i="5"/>
  <c r="L145" i="5" s="1"/>
  <c r="M27" i="5"/>
  <c r="L27" i="5"/>
  <c r="K27" i="5"/>
  <c r="M26" i="5"/>
  <c r="L26" i="5"/>
  <c r="K26" i="5"/>
  <c r="M24" i="5"/>
  <c r="L24" i="5"/>
  <c r="K24" i="5"/>
  <c r="M23" i="5"/>
  <c r="L23" i="5"/>
  <c r="K23" i="5"/>
  <c r="E23" i="5"/>
  <c r="M22" i="5"/>
  <c r="L22" i="5"/>
  <c r="K22" i="5"/>
  <c r="M21" i="5"/>
  <c r="L21" i="5"/>
  <c r="K21" i="5"/>
  <c r="M20" i="5"/>
  <c r="L20" i="5"/>
  <c r="K20" i="5"/>
  <c r="M19" i="5"/>
  <c r="L19" i="5"/>
  <c r="K19" i="5"/>
  <c r="M18" i="5"/>
  <c r="L18" i="5"/>
  <c r="K18" i="5"/>
  <c r="M17" i="5"/>
  <c r="L17" i="5"/>
  <c r="K17" i="5"/>
  <c r="M16" i="5"/>
  <c r="L16" i="5"/>
  <c r="K16" i="5"/>
  <c r="M15" i="5"/>
  <c r="L15" i="5"/>
  <c r="K15" i="5"/>
  <c r="M14" i="5"/>
  <c r="L14" i="5"/>
  <c r="K14" i="5"/>
  <c r="M13" i="5"/>
  <c r="L13" i="5"/>
  <c r="K13" i="5"/>
  <c r="E13" i="5"/>
  <c r="M12" i="5"/>
  <c r="L12" i="5"/>
  <c r="K12" i="5"/>
  <c r="M11" i="5"/>
  <c r="L11" i="5"/>
  <c r="K11" i="5"/>
  <c r="E11" i="5"/>
  <c r="M10" i="5"/>
  <c r="L10" i="5"/>
  <c r="K10" i="5"/>
  <c r="M9" i="5"/>
  <c r="L9" i="5"/>
  <c r="K9" i="5"/>
  <c r="M8" i="5"/>
  <c r="D136" i="5" s="1"/>
  <c r="L8" i="5"/>
  <c r="K8" i="5"/>
  <c r="M64" i="5"/>
  <c r="L64" i="5"/>
  <c r="K64" i="5"/>
  <c r="M63" i="5"/>
  <c r="L63" i="5"/>
  <c r="K63" i="5"/>
  <c r="B163" i="5" s="1"/>
  <c r="E63" i="5"/>
  <c r="U163" i="5" s="1"/>
  <c r="M62" i="5"/>
  <c r="L62" i="5"/>
  <c r="K62" i="5"/>
  <c r="M61" i="5"/>
  <c r="L61" i="5"/>
  <c r="K61" i="5"/>
  <c r="E61" i="5"/>
  <c r="M60" i="5"/>
  <c r="L60" i="5"/>
  <c r="K60" i="5"/>
  <c r="M59" i="5"/>
  <c r="L59" i="5"/>
  <c r="K59" i="5"/>
  <c r="M58" i="5"/>
  <c r="L58" i="5"/>
  <c r="K58" i="5"/>
  <c r="M57" i="5"/>
  <c r="L57" i="5"/>
  <c r="K57" i="5"/>
  <c r="M56" i="5"/>
  <c r="L56" i="5"/>
  <c r="K56" i="5"/>
  <c r="E56" i="5"/>
  <c r="U159" i="5" s="1"/>
  <c r="M55" i="5"/>
  <c r="L55" i="5"/>
  <c r="K55" i="5"/>
  <c r="M54" i="5"/>
  <c r="L54" i="5"/>
  <c r="K54" i="5"/>
  <c r="E54" i="5"/>
  <c r="M53" i="5"/>
  <c r="L53" i="5"/>
  <c r="K53" i="5"/>
  <c r="M52" i="5"/>
  <c r="L52" i="5"/>
  <c r="K52" i="5"/>
  <c r="E52" i="5"/>
  <c r="H157" i="5" s="1"/>
  <c r="M51" i="5"/>
  <c r="L51" i="5"/>
  <c r="K51" i="5"/>
  <c r="M50" i="5"/>
  <c r="L50" i="5"/>
  <c r="K50" i="5"/>
  <c r="M49" i="5"/>
  <c r="L49" i="5"/>
  <c r="K49" i="5"/>
  <c r="M48" i="5"/>
  <c r="L48" i="5"/>
  <c r="K48" i="5"/>
  <c r="M47" i="5"/>
  <c r="L47" i="5"/>
  <c r="C155" i="5" s="1"/>
  <c r="K47" i="5"/>
  <c r="M46" i="5"/>
  <c r="D154" i="5" s="1"/>
  <c r="L46" i="5"/>
  <c r="K46" i="5"/>
  <c r="M45" i="5"/>
  <c r="L45" i="5"/>
  <c r="K45" i="5"/>
  <c r="M44" i="5"/>
  <c r="L44" i="5"/>
  <c r="C153" i="5"/>
  <c r="K44" i="5"/>
  <c r="M43" i="5"/>
  <c r="L43" i="5"/>
  <c r="K43" i="5"/>
  <c r="M42" i="5"/>
  <c r="L42" i="5"/>
  <c r="K42" i="5"/>
  <c r="M41" i="5"/>
  <c r="L41" i="5"/>
  <c r="K41" i="5"/>
  <c r="M40" i="5"/>
  <c r="L40" i="5"/>
  <c r="K40" i="5"/>
  <c r="E40" i="5"/>
  <c r="U151" i="5" s="1"/>
  <c r="M39" i="5"/>
  <c r="L39" i="5"/>
  <c r="K39" i="5"/>
  <c r="M38" i="5"/>
  <c r="L38" i="5"/>
  <c r="K38" i="5"/>
  <c r="M37" i="5"/>
  <c r="L37" i="5"/>
  <c r="C150" i="5" s="1"/>
  <c r="K37" i="5"/>
  <c r="M66" i="5"/>
  <c r="L66" i="5"/>
  <c r="K66" i="5"/>
  <c r="M65" i="5"/>
  <c r="L65" i="5"/>
  <c r="K65" i="5"/>
  <c r="R9" i="3"/>
  <c r="R10" i="3"/>
  <c r="R11" i="3"/>
  <c r="R12" i="3"/>
  <c r="R13" i="3"/>
  <c r="J145" i="3" s="1"/>
  <c r="R14" i="3"/>
  <c r="R15" i="3"/>
  <c r="R16" i="3"/>
  <c r="R17" i="3"/>
  <c r="R18" i="3"/>
  <c r="R19" i="3"/>
  <c r="J148" i="3" s="1"/>
  <c r="R20" i="3"/>
  <c r="R21" i="3"/>
  <c r="R22" i="3"/>
  <c r="R23" i="3"/>
  <c r="R24" i="3"/>
  <c r="R25" i="3"/>
  <c r="R26" i="3"/>
  <c r="R27" i="3"/>
  <c r="L152" i="3" s="1"/>
  <c r="R28" i="3"/>
  <c r="R29" i="3"/>
  <c r="R30" i="3"/>
  <c r="R31" i="3"/>
  <c r="R32" i="3"/>
  <c r="R33" i="3"/>
  <c r="R34" i="3"/>
  <c r="R35" i="3"/>
  <c r="J156" i="3" s="1"/>
  <c r="R36" i="3"/>
  <c r="R37" i="3"/>
  <c r="R38" i="3"/>
  <c r="R39" i="3"/>
  <c r="R40" i="3"/>
  <c r="R41" i="3"/>
  <c r="R42" i="3"/>
  <c r="R43" i="3"/>
  <c r="R44" i="3"/>
  <c r="R45" i="3"/>
  <c r="R46" i="3"/>
  <c r="R47" i="3"/>
  <c r="R48" i="3"/>
  <c r="R49" i="3"/>
  <c r="R50" i="3"/>
  <c r="R51" i="3"/>
  <c r="R52" i="3"/>
  <c r="R53" i="3"/>
  <c r="R54" i="3"/>
  <c r="R55" i="3"/>
  <c r="R56" i="3"/>
  <c r="R57" i="3"/>
  <c r="H165" i="3" s="1"/>
  <c r="R58" i="3"/>
  <c r="R59" i="3"/>
  <c r="R60" i="3"/>
  <c r="R61" i="3"/>
  <c r="R62" i="3"/>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99" i="2"/>
  <c r="R100" i="2"/>
  <c r="R101" i="2"/>
  <c r="R102" i="2"/>
  <c r="R103" i="2"/>
  <c r="R104" i="2"/>
  <c r="R105" i="2"/>
  <c r="R106" i="2"/>
  <c r="R107" i="2"/>
  <c r="R108" i="2"/>
  <c r="R109" i="2"/>
  <c r="R110" i="2"/>
  <c r="R111" i="2"/>
  <c r="R112" i="2"/>
  <c r="R113" i="2"/>
  <c r="R9" i="2"/>
  <c r="R10" i="2"/>
  <c r="R11" i="2"/>
  <c r="R12" i="2"/>
  <c r="R13" i="2"/>
  <c r="R14" i="2"/>
  <c r="R15" i="2"/>
  <c r="R16" i="2"/>
  <c r="R17" i="2"/>
  <c r="R18" i="2"/>
  <c r="R19" i="2"/>
  <c r="R20" i="2"/>
  <c r="R21" i="2"/>
  <c r="R22" i="2"/>
  <c r="R23" i="2"/>
  <c r="R24" i="2"/>
  <c r="R25" i="2"/>
  <c r="R26" i="2"/>
  <c r="R27" i="2"/>
  <c r="R28" i="2"/>
  <c r="R29" i="2"/>
  <c r="R30" i="2"/>
  <c r="R31" i="2"/>
  <c r="W144" i="2" s="1"/>
  <c r="R32" i="2"/>
  <c r="R33" i="2"/>
  <c r="R34" i="2"/>
  <c r="R35" i="2"/>
  <c r="R36" i="2"/>
  <c r="R37" i="2"/>
  <c r="R38" i="2"/>
  <c r="R39" i="2"/>
  <c r="W148" i="2" s="1"/>
  <c r="R40" i="2"/>
  <c r="W149" i="2" s="1"/>
  <c r="R41" i="2"/>
  <c r="R42" i="2"/>
  <c r="R43" i="2"/>
  <c r="R44" i="2"/>
  <c r="R45" i="2"/>
  <c r="R46" i="2"/>
  <c r="R47" i="2"/>
  <c r="R48" i="2"/>
  <c r="R49" i="2"/>
  <c r="R50" i="2"/>
  <c r="R51" i="2"/>
  <c r="R52" i="2"/>
  <c r="R53" i="2"/>
  <c r="R54" i="2"/>
  <c r="R55" i="2"/>
  <c r="W156" i="2" s="1"/>
  <c r="R56" i="2"/>
  <c r="R57" i="2"/>
  <c r="R58" i="2"/>
  <c r="R59" i="2"/>
  <c r="R60" i="2"/>
  <c r="R61" i="2"/>
  <c r="R62" i="2"/>
  <c r="R63" i="2"/>
  <c r="R64" i="2"/>
  <c r="R65" i="2"/>
  <c r="R66" i="2"/>
  <c r="R8" i="2"/>
  <c r="K29" i="1"/>
  <c r="R71" i="1"/>
  <c r="R72" i="1"/>
  <c r="R73" i="1"/>
  <c r="R74" i="1"/>
  <c r="R75" i="1"/>
  <c r="R76" i="1"/>
  <c r="R77" i="1"/>
  <c r="R78" i="1"/>
  <c r="R79" i="1"/>
  <c r="R80" i="1"/>
  <c r="R81" i="1"/>
  <c r="R82" i="1"/>
  <c r="R83" i="1"/>
  <c r="H177" i="1" s="1"/>
  <c r="R84" i="1"/>
  <c r="R85" i="1"/>
  <c r="R86" i="1"/>
  <c r="R87" i="1"/>
  <c r="R88" i="1"/>
  <c r="R89" i="1"/>
  <c r="R90" i="1"/>
  <c r="R91" i="1"/>
  <c r="R92" i="1"/>
  <c r="R93" i="1"/>
  <c r="R94" i="1"/>
  <c r="R95" i="1"/>
  <c r="R96" i="1"/>
  <c r="R97" i="1"/>
  <c r="R98" i="1"/>
  <c r="R99" i="1"/>
  <c r="R100" i="1"/>
  <c r="R101" i="1"/>
  <c r="R102" i="1"/>
  <c r="R103" i="1"/>
  <c r="R104" i="1"/>
  <c r="R105" i="1"/>
  <c r="R106" i="1"/>
  <c r="R107" i="1"/>
  <c r="H189" i="1" s="1"/>
  <c r="R108" i="1"/>
  <c r="R109" i="1"/>
  <c r="R110" i="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W169" i="1" s="1"/>
  <c r="R69" i="1"/>
  <c r="R70" i="1"/>
  <c r="R9" i="1"/>
  <c r="R10" i="1"/>
  <c r="R11" i="1"/>
  <c r="R12" i="1"/>
  <c r="R13" i="1"/>
  <c r="R14" i="1"/>
  <c r="R15" i="1"/>
  <c r="R16" i="1"/>
  <c r="W145" i="1" s="1"/>
  <c r="R17" i="1"/>
  <c r="R18" i="1"/>
  <c r="R19" i="1"/>
  <c r="R20" i="1"/>
  <c r="R21" i="1"/>
  <c r="R22" i="1"/>
  <c r="R23" i="1"/>
  <c r="R24" i="1"/>
  <c r="R25" i="1"/>
  <c r="R26" i="1"/>
  <c r="R27" i="1"/>
  <c r="R28" i="1"/>
  <c r="R29" i="1"/>
  <c r="R30" i="1"/>
  <c r="R31" i="1"/>
  <c r="R32" i="1"/>
  <c r="W152" i="1" s="1"/>
  <c r="R33" i="1"/>
  <c r="R34" i="1"/>
  <c r="R35" i="1"/>
  <c r="R36" i="1"/>
  <c r="R37" i="1"/>
  <c r="R38" i="1"/>
  <c r="R39" i="1"/>
  <c r="R40" i="1"/>
  <c r="R8" i="1"/>
  <c r="J141" i="1" s="1"/>
  <c r="M54" i="3"/>
  <c r="L54" i="3"/>
  <c r="K54" i="3"/>
  <c r="M51" i="3"/>
  <c r="L51" i="3"/>
  <c r="K51" i="3"/>
  <c r="M50" i="3"/>
  <c r="L50" i="3"/>
  <c r="K50" i="3"/>
  <c r="N50" i="3" s="1"/>
  <c r="M37" i="3"/>
  <c r="L37" i="3"/>
  <c r="K37" i="3"/>
  <c r="N37" i="3"/>
  <c r="M35" i="3"/>
  <c r="L35" i="3"/>
  <c r="K35" i="3"/>
  <c r="M34" i="3"/>
  <c r="L34" i="3"/>
  <c r="K34" i="3"/>
  <c r="M33" i="3"/>
  <c r="L33" i="3"/>
  <c r="K33" i="3"/>
  <c r="M32" i="3"/>
  <c r="D155" i="3" s="1"/>
  <c r="L32" i="3"/>
  <c r="K32" i="3"/>
  <c r="M31" i="3"/>
  <c r="L31" i="3"/>
  <c r="K31" i="3"/>
  <c r="M30" i="3"/>
  <c r="D154" i="3" s="1"/>
  <c r="L30" i="3"/>
  <c r="K30" i="3"/>
  <c r="M29" i="3"/>
  <c r="L29" i="3"/>
  <c r="K29" i="3"/>
  <c r="M28" i="3"/>
  <c r="D153" i="3" s="1"/>
  <c r="L28" i="3"/>
  <c r="K28" i="3"/>
  <c r="M27" i="3"/>
  <c r="L27" i="3"/>
  <c r="C152" i="3" s="1"/>
  <c r="K27" i="3"/>
  <c r="M26" i="3"/>
  <c r="L26" i="3"/>
  <c r="K26" i="3"/>
  <c r="B152" i="3" s="1"/>
  <c r="M25" i="3"/>
  <c r="L25" i="3"/>
  <c r="K25" i="3"/>
  <c r="M24" i="3"/>
  <c r="L24" i="3"/>
  <c r="K24" i="3"/>
  <c r="M23" i="3"/>
  <c r="L23" i="3"/>
  <c r="K23" i="3"/>
  <c r="M22" i="3"/>
  <c r="D150" i="3" s="1"/>
  <c r="L22" i="3"/>
  <c r="K22" i="3"/>
  <c r="M21" i="3"/>
  <c r="L21" i="3"/>
  <c r="K21" i="3"/>
  <c r="M20" i="3"/>
  <c r="D149" i="3" s="1"/>
  <c r="L20" i="3"/>
  <c r="K20" i="3"/>
  <c r="B149" i="3" s="1"/>
  <c r="M19" i="3"/>
  <c r="L19" i="3"/>
  <c r="K19" i="3"/>
  <c r="M18" i="3"/>
  <c r="D148" i="3" s="1"/>
  <c r="L18" i="3"/>
  <c r="K18" i="3"/>
  <c r="M17" i="3"/>
  <c r="L17" i="3"/>
  <c r="K17" i="3"/>
  <c r="M16" i="3"/>
  <c r="D147" i="3" s="1"/>
  <c r="L16" i="3"/>
  <c r="K16" i="3"/>
  <c r="B147" i="3" s="1"/>
  <c r="M15" i="3"/>
  <c r="L15" i="3"/>
  <c r="K15" i="3"/>
  <c r="M14" i="3"/>
  <c r="D146" i="3" s="1"/>
  <c r="L14" i="3"/>
  <c r="K14" i="3"/>
  <c r="M13" i="3"/>
  <c r="L13" i="3"/>
  <c r="K13" i="3"/>
  <c r="M12" i="3"/>
  <c r="L12" i="3"/>
  <c r="K12" i="3"/>
  <c r="B145" i="3" s="1"/>
  <c r="M11" i="3"/>
  <c r="L11" i="3"/>
  <c r="K11" i="3"/>
  <c r="M10" i="3"/>
  <c r="L10" i="3"/>
  <c r="K10" i="3"/>
  <c r="B144" i="3" s="1"/>
  <c r="M9" i="3"/>
  <c r="L9" i="3"/>
  <c r="N9" i="3" s="1"/>
  <c r="K9" i="3"/>
  <c r="M8" i="3"/>
  <c r="L8" i="3"/>
  <c r="K8" i="3"/>
  <c r="M63" i="3"/>
  <c r="L63" i="3"/>
  <c r="K63" i="3"/>
  <c r="M62" i="3"/>
  <c r="D168" i="3" s="1"/>
  <c r="L62" i="3"/>
  <c r="K62" i="3"/>
  <c r="M61" i="3"/>
  <c r="L61" i="3"/>
  <c r="K61" i="3"/>
  <c r="M60" i="3"/>
  <c r="L60" i="3"/>
  <c r="K60" i="3"/>
  <c r="N60" i="3" s="1"/>
  <c r="M59" i="3"/>
  <c r="L59" i="3"/>
  <c r="K59" i="3"/>
  <c r="M58" i="3"/>
  <c r="L58" i="3"/>
  <c r="K58" i="3"/>
  <c r="M57" i="3"/>
  <c r="L57" i="3"/>
  <c r="K57" i="3"/>
  <c r="M56" i="3"/>
  <c r="L56" i="3"/>
  <c r="K56" i="3"/>
  <c r="B165" i="3" s="1"/>
  <c r="M55" i="3"/>
  <c r="L55" i="3"/>
  <c r="K55" i="3"/>
  <c r="M53" i="3"/>
  <c r="L53" i="3"/>
  <c r="K53" i="3"/>
  <c r="B164" i="3" s="1"/>
  <c r="M52" i="3"/>
  <c r="L52" i="3"/>
  <c r="K52" i="3"/>
  <c r="M49" i="3"/>
  <c r="L49" i="3"/>
  <c r="K49" i="3"/>
  <c r="M48" i="3"/>
  <c r="L48" i="3"/>
  <c r="K48" i="3"/>
  <c r="M47" i="3"/>
  <c r="L47" i="3"/>
  <c r="K47" i="3"/>
  <c r="M46" i="3"/>
  <c r="L46" i="3"/>
  <c r="K46" i="3"/>
  <c r="M45" i="3"/>
  <c r="L45" i="3"/>
  <c r="K45" i="3"/>
  <c r="M44" i="3"/>
  <c r="L44" i="3"/>
  <c r="C160" i="3" s="1"/>
  <c r="K44" i="3"/>
  <c r="M43" i="3"/>
  <c r="L43" i="3"/>
  <c r="K43" i="3"/>
  <c r="B160" i="3" s="1"/>
  <c r="M42" i="3"/>
  <c r="L42" i="3"/>
  <c r="N42" i="3" s="1"/>
  <c r="K42" i="3"/>
  <c r="M41" i="3"/>
  <c r="L41" i="3"/>
  <c r="K41" i="3"/>
  <c r="M40" i="3"/>
  <c r="L40" i="3"/>
  <c r="K40" i="3"/>
  <c r="M39" i="3"/>
  <c r="L39" i="3"/>
  <c r="K39" i="3"/>
  <c r="M38" i="3"/>
  <c r="L38" i="3"/>
  <c r="K38" i="3"/>
  <c r="M36" i="3"/>
  <c r="L36" i="3"/>
  <c r="K36" i="3"/>
  <c r="M39" i="2"/>
  <c r="L39" i="2"/>
  <c r="K39" i="2"/>
  <c r="M38" i="2"/>
  <c r="D148" i="2" s="1"/>
  <c r="L38" i="2"/>
  <c r="K38" i="2"/>
  <c r="M37" i="2"/>
  <c r="L37" i="2"/>
  <c r="K37" i="2"/>
  <c r="M36" i="2"/>
  <c r="L36" i="2"/>
  <c r="K36" i="2"/>
  <c r="M35" i="2"/>
  <c r="L35" i="2"/>
  <c r="K35" i="2"/>
  <c r="M34" i="2"/>
  <c r="L34" i="2"/>
  <c r="K34" i="2"/>
  <c r="M33" i="2"/>
  <c r="L33" i="2"/>
  <c r="K33" i="2"/>
  <c r="M32" i="2"/>
  <c r="L32" i="2"/>
  <c r="K32" i="2"/>
  <c r="M31" i="2"/>
  <c r="L31" i="2"/>
  <c r="K31" i="2"/>
  <c r="M30" i="2"/>
  <c r="L30" i="2"/>
  <c r="K30" i="2"/>
  <c r="M29" i="2"/>
  <c r="L29" i="2"/>
  <c r="K29" i="2"/>
  <c r="M28" i="2"/>
  <c r="L28" i="2"/>
  <c r="K28" i="2"/>
  <c r="M27" i="2"/>
  <c r="L27" i="2"/>
  <c r="K27" i="2"/>
  <c r="M26" i="2"/>
  <c r="L26" i="2"/>
  <c r="K26" i="2"/>
  <c r="M25" i="2"/>
  <c r="L25" i="2"/>
  <c r="K25" i="2"/>
  <c r="M24" i="2"/>
  <c r="L24" i="2"/>
  <c r="K24" i="2"/>
  <c r="M23" i="2"/>
  <c r="L23" i="2"/>
  <c r="K23" i="2"/>
  <c r="M22" i="2"/>
  <c r="L22" i="2"/>
  <c r="K22" i="2"/>
  <c r="M21" i="2"/>
  <c r="L21" i="2"/>
  <c r="K21" i="2"/>
  <c r="M20" i="2"/>
  <c r="L20" i="2"/>
  <c r="K20" i="2"/>
  <c r="M19" i="2"/>
  <c r="L19" i="2"/>
  <c r="K19" i="2"/>
  <c r="M18" i="2"/>
  <c r="L18" i="2"/>
  <c r="K18" i="2"/>
  <c r="M17" i="2"/>
  <c r="L17" i="2"/>
  <c r="K17" i="2"/>
  <c r="M16" i="2"/>
  <c r="L16" i="2"/>
  <c r="K16" i="2"/>
  <c r="M15" i="2"/>
  <c r="L15" i="2"/>
  <c r="K15" i="2"/>
  <c r="M14" i="2"/>
  <c r="L14" i="2"/>
  <c r="K14" i="2"/>
  <c r="M13" i="2"/>
  <c r="L13" i="2"/>
  <c r="K13" i="2"/>
  <c r="M12" i="2"/>
  <c r="L12" i="2"/>
  <c r="K12" i="2"/>
  <c r="M11" i="2"/>
  <c r="L11" i="2"/>
  <c r="K11" i="2"/>
  <c r="M10" i="2"/>
  <c r="L10" i="2"/>
  <c r="K10" i="2"/>
  <c r="M9" i="2"/>
  <c r="L9" i="2"/>
  <c r="K9" i="2"/>
  <c r="M8" i="2"/>
  <c r="L8" i="2"/>
  <c r="M55" i="2"/>
  <c r="L55" i="2"/>
  <c r="K55" i="2"/>
  <c r="M54" i="2"/>
  <c r="L54" i="2"/>
  <c r="K54" i="2"/>
  <c r="M53" i="2"/>
  <c r="L53" i="2"/>
  <c r="K53" i="2"/>
  <c r="M52" i="2"/>
  <c r="L52" i="2"/>
  <c r="K52" i="2"/>
  <c r="M51" i="2"/>
  <c r="D154" i="2" s="1"/>
  <c r="L51" i="2"/>
  <c r="K51" i="2"/>
  <c r="M50" i="2"/>
  <c r="L50" i="2"/>
  <c r="K50" i="2"/>
  <c r="M49" i="2"/>
  <c r="L49" i="2"/>
  <c r="K49" i="2"/>
  <c r="B153" i="2" s="1"/>
  <c r="M48" i="2"/>
  <c r="L48" i="2"/>
  <c r="K48" i="2"/>
  <c r="M47" i="2"/>
  <c r="L47" i="2"/>
  <c r="K47" i="2"/>
  <c r="M46" i="2"/>
  <c r="L46" i="2"/>
  <c r="K46" i="2"/>
  <c r="M45" i="2"/>
  <c r="L45" i="2"/>
  <c r="K45" i="2"/>
  <c r="M44" i="2"/>
  <c r="L44" i="2"/>
  <c r="K44" i="2"/>
  <c r="M43" i="2"/>
  <c r="D150" i="2" s="1"/>
  <c r="L43" i="2"/>
  <c r="K43" i="2"/>
  <c r="M42" i="2"/>
  <c r="L42" i="2"/>
  <c r="K42" i="2"/>
  <c r="M41" i="2"/>
  <c r="L41" i="2"/>
  <c r="K41" i="2"/>
  <c r="M40" i="2"/>
  <c r="L40" i="2"/>
  <c r="K40" i="2"/>
  <c r="M63" i="2"/>
  <c r="L63" i="2"/>
  <c r="K63" i="2"/>
  <c r="M62" i="2"/>
  <c r="L62" i="2"/>
  <c r="K62" i="2"/>
  <c r="M61" i="2"/>
  <c r="L61" i="2"/>
  <c r="K61" i="2"/>
  <c r="M60" i="2"/>
  <c r="L60" i="2"/>
  <c r="C159" i="2" s="1"/>
  <c r="K60" i="2"/>
  <c r="M59" i="2"/>
  <c r="L59" i="2"/>
  <c r="K59" i="2"/>
  <c r="M58" i="2"/>
  <c r="L58" i="2"/>
  <c r="K58" i="2"/>
  <c r="M57" i="2"/>
  <c r="L57" i="2"/>
  <c r="K57" i="2"/>
  <c r="M56" i="2"/>
  <c r="L56" i="2"/>
  <c r="K56" i="2"/>
  <c r="E15" i="1"/>
  <c r="U144" i="1" s="1"/>
  <c r="M41" i="1"/>
  <c r="L41" i="1"/>
  <c r="K41" i="1"/>
  <c r="M26" i="1"/>
  <c r="L26" i="1"/>
  <c r="K26" i="1"/>
  <c r="M21" i="1"/>
  <c r="L21" i="1"/>
  <c r="K21" i="1"/>
  <c r="K8" i="1"/>
  <c r="L8" i="1"/>
  <c r="M8" i="1"/>
  <c r="K9" i="1"/>
  <c r="L9" i="1"/>
  <c r="M9" i="1"/>
  <c r="K10" i="1"/>
  <c r="L10" i="1"/>
  <c r="M10" i="1"/>
  <c r="L11" i="1"/>
  <c r="M11" i="1"/>
  <c r="K12" i="1"/>
  <c r="L12" i="1"/>
  <c r="M12" i="1"/>
  <c r="K13" i="1"/>
  <c r="L13" i="1"/>
  <c r="M13" i="1"/>
  <c r="K14" i="1"/>
  <c r="L14" i="1"/>
  <c r="M14" i="1"/>
  <c r="K15" i="1"/>
  <c r="L15" i="1"/>
  <c r="C144" i="1" s="1"/>
  <c r="M15" i="1"/>
  <c r="K16" i="1"/>
  <c r="L16" i="1"/>
  <c r="M16" i="1"/>
  <c r="K17" i="1"/>
  <c r="L17" i="1"/>
  <c r="M17" i="1"/>
  <c r="K18" i="1"/>
  <c r="L18" i="1"/>
  <c r="M18" i="1"/>
  <c r="K19" i="1"/>
  <c r="L19" i="1"/>
  <c r="M19" i="1"/>
  <c r="K20" i="1"/>
  <c r="L20" i="1"/>
  <c r="M20" i="1"/>
  <c r="N20" i="1" s="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D152" i="1" s="1"/>
  <c r="K34" i="1"/>
  <c r="L34" i="1"/>
  <c r="M34" i="1"/>
  <c r="K35" i="1"/>
  <c r="L35" i="1"/>
  <c r="M35" i="1"/>
  <c r="K36" i="1"/>
  <c r="L36" i="1"/>
  <c r="M36" i="1"/>
  <c r="K37" i="1"/>
  <c r="L37" i="1"/>
  <c r="M37" i="1"/>
  <c r="K38" i="1"/>
  <c r="L38" i="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L50" i="1"/>
  <c r="M50" i="1"/>
  <c r="K51" i="1"/>
  <c r="L51" i="1"/>
  <c r="M51" i="1"/>
  <c r="K52" i="1"/>
  <c r="L52" i="1"/>
  <c r="M52" i="1"/>
  <c r="D161" i="1" s="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E39" i="1"/>
  <c r="T155" i="1" s="1"/>
  <c r="E37" i="1"/>
  <c r="S154" i="1" s="1"/>
  <c r="E31" i="1"/>
  <c r="S151" i="1" s="1"/>
  <c r="E29" i="1"/>
  <c r="E24" i="1"/>
  <c r="S148" i="1" s="1"/>
  <c r="E19" i="1"/>
  <c r="E13" i="1"/>
  <c r="S143" i="1" s="1"/>
  <c r="E11" i="1"/>
  <c r="S142" i="1" s="1"/>
  <c r="E70" i="1"/>
  <c r="T170" i="1" s="1"/>
  <c r="E66" i="1"/>
  <c r="E64" i="1"/>
  <c r="E62" i="1"/>
  <c r="E58" i="1"/>
  <c r="T164" i="1" s="1"/>
  <c r="E56" i="1"/>
  <c r="E54" i="1"/>
  <c r="T162" i="1" s="1"/>
  <c r="E50" i="1"/>
  <c r="T160" i="1" s="1"/>
  <c r="E48" i="1"/>
  <c r="S159" i="1" s="1"/>
  <c r="J185" i="2"/>
  <c r="L185" i="2"/>
  <c r="H185" i="2"/>
  <c r="L127" i="13"/>
  <c r="C202" i="13" s="1"/>
  <c r="M127" i="13"/>
  <c r="K127" i="13"/>
  <c r="K119" i="13"/>
  <c r="H183" i="2"/>
  <c r="M116" i="14"/>
  <c r="M117" i="14"/>
  <c r="L117" i="14"/>
  <c r="L116" i="14"/>
  <c r="K116" i="14"/>
  <c r="K117" i="14"/>
  <c r="M124" i="15"/>
  <c r="M122" i="15"/>
  <c r="L124" i="15"/>
  <c r="K124" i="15"/>
  <c r="K122" i="15"/>
  <c r="L122" i="15" s="1"/>
  <c r="M120" i="8"/>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K119" i="3"/>
  <c r="K112" i="2"/>
  <c r="L112" i="2"/>
  <c r="M112" i="2"/>
  <c r="K113" i="2"/>
  <c r="L113" i="2"/>
  <c r="M113" i="2"/>
  <c r="L117" i="1"/>
  <c r="M117" i="1"/>
  <c r="K116" i="1"/>
  <c r="L116" i="1"/>
  <c r="M116" i="1"/>
  <c r="D193" i="1" s="1"/>
  <c r="K113" i="3"/>
  <c r="K81" i="6"/>
  <c r="L81" i="6"/>
  <c r="M81" i="6"/>
  <c r="K79" i="6"/>
  <c r="L79" i="6"/>
  <c r="M79" i="6"/>
  <c r="M123" i="13"/>
  <c r="L123" i="13"/>
  <c r="K123" i="13"/>
  <c r="M115" i="14"/>
  <c r="L115" i="14"/>
  <c r="K115" i="14"/>
  <c r="M114" i="14"/>
  <c r="L114" i="14"/>
  <c r="K114" i="14"/>
  <c r="M121" i="15"/>
  <c r="K121" i="15"/>
  <c r="L121" i="15" s="1"/>
  <c r="M120" i="15"/>
  <c r="K120" i="15"/>
  <c r="K119" i="8"/>
  <c r="L119" i="8"/>
  <c r="M119" i="8"/>
  <c r="M118" i="8"/>
  <c r="L118" i="8"/>
  <c r="K118" i="8"/>
  <c r="K112" i="7"/>
  <c r="L112" i="7"/>
  <c r="M112" i="7"/>
  <c r="M111" i="7"/>
  <c r="L111" i="7"/>
  <c r="K111" i="7"/>
  <c r="M113" i="5"/>
  <c r="L113" i="5"/>
  <c r="M112" i="5"/>
  <c r="L112" i="5"/>
  <c r="K113" i="5"/>
  <c r="K112" i="5"/>
  <c r="K117" i="3"/>
  <c r="L117" i="3"/>
  <c r="M117" i="3"/>
  <c r="M116" i="3"/>
  <c r="L116" i="3"/>
  <c r="K116" i="3"/>
  <c r="L184" i="2"/>
  <c r="J184" i="2"/>
  <c r="M111" i="2"/>
  <c r="M110" i="2"/>
  <c r="L111" i="2"/>
  <c r="L110" i="2"/>
  <c r="K111" i="2"/>
  <c r="K110" i="2"/>
  <c r="M115" i="1"/>
  <c r="M114" i="1"/>
  <c r="D192" i="1" s="1"/>
  <c r="L115" i="1"/>
  <c r="L114" i="1"/>
  <c r="K115" i="1"/>
  <c r="K114" i="1"/>
  <c r="E122" i="13"/>
  <c r="U200" i="13" s="1"/>
  <c r="K122" i="13"/>
  <c r="L122" i="13"/>
  <c r="M122" i="13"/>
  <c r="K121" i="13"/>
  <c r="L121" i="13"/>
  <c r="M121" i="13"/>
  <c r="K113" i="14"/>
  <c r="L113" i="14"/>
  <c r="M113" i="14"/>
  <c r="K112" i="14"/>
  <c r="L112" i="14"/>
  <c r="N112" i="14" s="1"/>
  <c r="M112" i="14"/>
  <c r="E119" i="15"/>
  <c r="T200" i="15" s="1"/>
  <c r="K119" i="15"/>
  <c r="L119" i="15" s="1"/>
  <c r="M119" i="15"/>
  <c r="K118" i="15"/>
  <c r="L118" i="15"/>
  <c r="M118" i="15"/>
  <c r="E117" i="8"/>
  <c r="K117" i="8"/>
  <c r="L117" i="8"/>
  <c r="M117" i="8"/>
  <c r="K116" i="8"/>
  <c r="L116" i="8"/>
  <c r="M116" i="8"/>
  <c r="K110" i="7"/>
  <c r="L110" i="7"/>
  <c r="M110" i="7"/>
  <c r="K109" i="7"/>
  <c r="L109" i="7"/>
  <c r="M109" i="7"/>
  <c r="K78" i="6"/>
  <c r="L78" i="6"/>
  <c r="M78" i="6"/>
  <c r="K77" i="6"/>
  <c r="L77" i="6"/>
  <c r="M77" i="6"/>
  <c r="E78" i="6"/>
  <c r="T137" i="6" s="1"/>
  <c r="K111" i="5"/>
  <c r="L111" i="5"/>
  <c r="M111" i="5"/>
  <c r="K110" i="5"/>
  <c r="B186" i="5" s="1"/>
  <c r="L110" i="5"/>
  <c r="M110" i="5"/>
  <c r="K115" i="3"/>
  <c r="L115" i="3"/>
  <c r="M115" i="3"/>
  <c r="K114" i="3"/>
  <c r="L114" i="3"/>
  <c r="M114" i="3"/>
  <c r="E115" i="3"/>
  <c r="L183" i="2"/>
  <c r="J183" i="2"/>
  <c r="H182" i="2"/>
  <c r="K109" i="2"/>
  <c r="L109" i="2"/>
  <c r="M109" i="2"/>
  <c r="K108" i="2"/>
  <c r="L108" i="2"/>
  <c r="M108" i="2"/>
  <c r="L112" i="1"/>
  <c r="L113" i="1"/>
  <c r="E112" i="1"/>
  <c r="U191" i="1" s="1"/>
  <c r="L111" i="1"/>
  <c r="K113" i="1"/>
  <c r="K112" i="1"/>
  <c r="K111" i="1"/>
  <c r="M113" i="1"/>
  <c r="M112" i="1"/>
  <c r="M111" i="1"/>
  <c r="K76" i="6"/>
  <c r="L76" i="6"/>
  <c r="M76" i="6"/>
  <c r="K75" i="6"/>
  <c r="L75" i="6"/>
  <c r="M75" i="6"/>
  <c r="K111" i="14"/>
  <c r="M120" i="13"/>
  <c r="L120" i="13"/>
  <c r="K120" i="13"/>
  <c r="M111" i="14"/>
  <c r="L111" i="14"/>
  <c r="K116" i="15"/>
  <c r="L116" i="15"/>
  <c r="M116" i="15"/>
  <c r="K109" i="5"/>
  <c r="K112" i="3"/>
  <c r="L182" i="2"/>
  <c r="J182" i="2"/>
  <c r="L119" i="13"/>
  <c r="M119" i="13"/>
  <c r="K110" i="14"/>
  <c r="L110" i="14"/>
  <c r="M110" i="14"/>
  <c r="K117" i="15"/>
  <c r="L117" i="15"/>
  <c r="M117" i="15"/>
  <c r="K115" i="15"/>
  <c r="L115" i="15"/>
  <c r="M115" i="15"/>
  <c r="K115" i="8"/>
  <c r="L115" i="8"/>
  <c r="M115" i="8"/>
  <c r="K114" i="8"/>
  <c r="L114" i="8"/>
  <c r="M114" i="8"/>
  <c r="K108" i="7"/>
  <c r="L108" i="7"/>
  <c r="M108" i="7"/>
  <c r="K107" i="7"/>
  <c r="B184" i="7" s="1"/>
  <c r="L107" i="7"/>
  <c r="M107" i="7"/>
  <c r="L109" i="5"/>
  <c r="M109" i="5"/>
  <c r="K108" i="5"/>
  <c r="L108" i="5"/>
  <c r="M108" i="5"/>
  <c r="L113" i="3"/>
  <c r="M113" i="3"/>
  <c r="L112" i="3"/>
  <c r="M112" i="3"/>
  <c r="K111" i="3"/>
  <c r="L111" i="3"/>
  <c r="M111" i="3"/>
  <c r="L106" i="2"/>
  <c r="K107" i="2"/>
  <c r="L107" i="2"/>
  <c r="M107" i="2"/>
  <c r="K106" i="2"/>
  <c r="M106" i="2"/>
  <c r="K110" i="1"/>
  <c r="L110" i="1"/>
  <c r="M110" i="1"/>
  <c r="M109" i="1"/>
  <c r="L109" i="1"/>
  <c r="K109" i="1"/>
  <c r="M108" i="1"/>
  <c r="L108" i="1"/>
  <c r="K108" i="1"/>
  <c r="K118" i="13"/>
  <c r="L118" i="13"/>
  <c r="M118" i="13"/>
  <c r="K117" i="13"/>
  <c r="L117" i="13"/>
  <c r="M117" i="13"/>
  <c r="K109" i="14"/>
  <c r="L109" i="14"/>
  <c r="M109" i="14"/>
  <c r="K108" i="14"/>
  <c r="L108" i="14"/>
  <c r="M108" i="14"/>
  <c r="K114" i="15"/>
  <c r="L114" i="15"/>
  <c r="M114" i="15"/>
  <c r="K113" i="15"/>
  <c r="L113" i="15"/>
  <c r="M113" i="15"/>
  <c r="K113" i="8"/>
  <c r="L113" i="8"/>
  <c r="M113" i="8"/>
  <c r="K112" i="8"/>
  <c r="L112" i="8"/>
  <c r="C193" i="8" s="1"/>
  <c r="M112" i="8"/>
  <c r="K106" i="7"/>
  <c r="L106" i="7"/>
  <c r="M106" i="7"/>
  <c r="K105" i="7"/>
  <c r="L105" i="7"/>
  <c r="M105" i="7"/>
  <c r="K74" i="6"/>
  <c r="L74" i="6"/>
  <c r="M74" i="6"/>
  <c r="K73" i="6"/>
  <c r="L73" i="6"/>
  <c r="M73" i="6"/>
  <c r="M106" i="5"/>
  <c r="M107" i="5"/>
  <c r="L106" i="5"/>
  <c r="L107" i="5"/>
  <c r="K106" i="5"/>
  <c r="K107" i="5"/>
  <c r="M110" i="3"/>
  <c r="L110" i="3"/>
  <c r="K110" i="3"/>
  <c r="J109" i="3"/>
  <c r="M109" i="3" s="1"/>
  <c r="K108" i="3"/>
  <c r="L108" i="3"/>
  <c r="M108" i="3"/>
  <c r="K105" i="2"/>
  <c r="L105" i="2"/>
  <c r="M105" i="2"/>
  <c r="K104" i="2"/>
  <c r="L104" i="2"/>
  <c r="M104" i="2"/>
  <c r="K107" i="1"/>
  <c r="L107" i="1"/>
  <c r="M107" i="1"/>
  <c r="K72" i="6"/>
  <c r="L72" i="6"/>
  <c r="M72" i="6"/>
  <c r="K71" i="6"/>
  <c r="L71" i="6"/>
  <c r="M71" i="6"/>
  <c r="E103" i="7"/>
  <c r="S182" i="7" s="1"/>
  <c r="J180" i="2"/>
  <c r="E115" i="13"/>
  <c r="K115" i="13"/>
  <c r="L115" i="13"/>
  <c r="M115" i="13"/>
  <c r="K116" i="13"/>
  <c r="L116" i="13"/>
  <c r="M116" i="13"/>
  <c r="K106" i="14"/>
  <c r="L106" i="14"/>
  <c r="M106" i="14"/>
  <c r="K107" i="14"/>
  <c r="L107" i="14"/>
  <c r="M107" i="14"/>
  <c r="N107" i="14" s="1"/>
  <c r="K110" i="15"/>
  <c r="L110" i="15"/>
  <c r="M110" i="15"/>
  <c r="K112" i="15"/>
  <c r="L112" i="15"/>
  <c r="M112" i="15"/>
  <c r="E111" i="8"/>
  <c r="K110" i="8"/>
  <c r="L110" i="8"/>
  <c r="M110" i="8"/>
  <c r="K111" i="8"/>
  <c r="L111" i="8"/>
  <c r="M111" i="8"/>
  <c r="K103" i="7"/>
  <c r="L103" i="7"/>
  <c r="M103" i="7"/>
  <c r="K104" i="7"/>
  <c r="L104" i="7"/>
  <c r="M104" i="7"/>
  <c r="K104" i="5"/>
  <c r="L104" i="5"/>
  <c r="M104" i="5"/>
  <c r="E105" i="5"/>
  <c r="K105" i="5"/>
  <c r="B183" i="5" s="1"/>
  <c r="L105" i="5"/>
  <c r="M105" i="5"/>
  <c r="K106" i="3"/>
  <c r="L106" i="3"/>
  <c r="M106" i="3"/>
  <c r="K107" i="3"/>
  <c r="L107" i="3"/>
  <c r="M107" i="3"/>
  <c r="L180" i="2"/>
  <c r="K103" i="2"/>
  <c r="L103" i="2"/>
  <c r="M103" i="2"/>
  <c r="K102" i="2"/>
  <c r="L102" i="2"/>
  <c r="M102" i="2"/>
  <c r="E106" i="1"/>
  <c r="K105" i="1"/>
  <c r="L105" i="1"/>
  <c r="M105" i="1"/>
  <c r="K106" i="1"/>
  <c r="L106" i="1"/>
  <c r="M106" i="1"/>
  <c r="E103" i="5"/>
  <c r="U182" i="5" s="1"/>
  <c r="K113" i="13"/>
  <c r="L113" i="13"/>
  <c r="N113" i="13" s="1"/>
  <c r="M113" i="13"/>
  <c r="K114" i="13"/>
  <c r="L114" i="13"/>
  <c r="M114" i="13"/>
  <c r="K104" i="14"/>
  <c r="L104" i="14"/>
  <c r="M104" i="14"/>
  <c r="D184" i="14" s="1"/>
  <c r="K105" i="14"/>
  <c r="L105" i="14"/>
  <c r="M105" i="14"/>
  <c r="K108" i="15"/>
  <c r="L108" i="15"/>
  <c r="M108" i="15"/>
  <c r="K109" i="15"/>
  <c r="L109" i="15"/>
  <c r="M109" i="15"/>
  <c r="K108" i="8"/>
  <c r="L108" i="8"/>
  <c r="M108" i="8"/>
  <c r="K109" i="8"/>
  <c r="L109" i="8"/>
  <c r="M109" i="8"/>
  <c r="K101" i="7"/>
  <c r="L101" i="7"/>
  <c r="M101" i="7"/>
  <c r="D181" i="7" s="1"/>
  <c r="K102" i="7"/>
  <c r="L102" i="7"/>
  <c r="M102" i="7"/>
  <c r="K68" i="6"/>
  <c r="L68" i="6"/>
  <c r="M68" i="6"/>
  <c r="K70" i="6"/>
  <c r="L70" i="6"/>
  <c r="M70" i="6"/>
  <c r="K66" i="6"/>
  <c r="L66" i="6"/>
  <c r="M66" i="6"/>
  <c r="M103" i="5"/>
  <c r="D182" i="5" s="1"/>
  <c r="L103" i="5"/>
  <c r="K103" i="5"/>
  <c r="L104" i="3"/>
  <c r="C189" i="3" s="1"/>
  <c r="M104" i="3"/>
  <c r="K105" i="3"/>
  <c r="L105" i="3"/>
  <c r="M105" i="3"/>
  <c r="E105" i="3"/>
  <c r="E107" i="3"/>
  <c r="J179" i="2"/>
  <c r="L179" i="2"/>
  <c r="K100" i="2"/>
  <c r="L100" i="2"/>
  <c r="M100" i="2"/>
  <c r="K101" i="2"/>
  <c r="L101" i="2"/>
  <c r="M101" i="2"/>
  <c r="K99" i="1"/>
  <c r="L99" i="1"/>
  <c r="M99" i="1"/>
  <c r="K100" i="1"/>
  <c r="L100" i="1"/>
  <c r="M100" i="1"/>
  <c r="K101" i="1"/>
  <c r="L101" i="1"/>
  <c r="M101" i="1"/>
  <c r="K102" i="1"/>
  <c r="L102" i="1"/>
  <c r="M102" i="1"/>
  <c r="K103" i="1"/>
  <c r="L103" i="1"/>
  <c r="M103" i="1"/>
  <c r="K104" i="1"/>
  <c r="L104" i="1"/>
  <c r="M104" i="1"/>
  <c r="K98" i="2"/>
  <c r="L98" i="2"/>
  <c r="M98" i="2"/>
  <c r="K99" i="2"/>
  <c r="L99" i="2"/>
  <c r="M99" i="2"/>
  <c r="K111" i="13"/>
  <c r="L111" i="13"/>
  <c r="M111" i="13"/>
  <c r="K112" i="13"/>
  <c r="L112" i="13"/>
  <c r="M112" i="13"/>
  <c r="K102" i="14"/>
  <c r="L102" i="14"/>
  <c r="N102" i="14" s="1"/>
  <c r="M102" i="14"/>
  <c r="K103" i="14"/>
  <c r="L103" i="14"/>
  <c r="M103" i="14"/>
  <c r="K107" i="15"/>
  <c r="L107" i="15"/>
  <c r="M107" i="15"/>
  <c r="K106" i="15"/>
  <c r="L106" i="15"/>
  <c r="M106" i="15"/>
  <c r="E107" i="15"/>
  <c r="K107" i="8"/>
  <c r="L107" i="8"/>
  <c r="M107" i="8"/>
  <c r="K106" i="8"/>
  <c r="L106" i="8"/>
  <c r="M106" i="8"/>
  <c r="E107" i="8"/>
  <c r="K100" i="7"/>
  <c r="L100" i="7"/>
  <c r="M100" i="7"/>
  <c r="K99" i="7"/>
  <c r="L99" i="7"/>
  <c r="M99" i="7"/>
  <c r="E100" i="7"/>
  <c r="K100" i="5"/>
  <c r="L100" i="5"/>
  <c r="M100" i="5"/>
  <c r="H178" i="2"/>
  <c r="J178" i="2"/>
  <c r="L178" i="2"/>
  <c r="K102" i="3"/>
  <c r="L102" i="3"/>
  <c r="M102" i="3"/>
  <c r="K103" i="3"/>
  <c r="L103" i="3"/>
  <c r="M103" i="3"/>
  <c r="E103" i="3"/>
  <c r="K91" i="3"/>
  <c r="E98" i="1"/>
  <c r="E96" i="1"/>
  <c r="S183" i="1" s="1"/>
  <c r="E94" i="1"/>
  <c r="U182" i="1" s="1"/>
  <c r="E90" i="1"/>
  <c r="E88" i="1"/>
  <c r="S179" i="1" s="1"/>
  <c r="E86" i="1"/>
  <c r="E82" i="1"/>
  <c r="E80" i="1"/>
  <c r="T175" i="1" s="1"/>
  <c r="E78" i="1"/>
  <c r="S174" i="1" s="1"/>
  <c r="E74" i="1"/>
  <c r="T172" i="1" s="1"/>
  <c r="E72" i="1"/>
  <c r="U171"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C179" i="1" s="1"/>
  <c r="M87" i="1"/>
  <c r="M88" i="1"/>
  <c r="K85" i="1"/>
  <c r="K86" i="1"/>
  <c r="L85" i="1"/>
  <c r="L86" i="1"/>
  <c r="M85" i="1"/>
  <c r="M86" i="1"/>
  <c r="K83" i="1"/>
  <c r="K84" i="1"/>
  <c r="L83" i="1"/>
  <c r="L84" i="1"/>
  <c r="M83" i="1"/>
  <c r="M84" i="1"/>
  <c r="K81" i="1"/>
  <c r="K82" i="1"/>
  <c r="L81" i="1"/>
  <c r="L82" i="1"/>
  <c r="M81" i="1"/>
  <c r="M82" i="1"/>
  <c r="K79" i="1"/>
  <c r="K80" i="1"/>
  <c r="L79" i="1"/>
  <c r="L80" i="1"/>
  <c r="C175" i="1" s="1"/>
  <c r="M79" i="1"/>
  <c r="M80" i="1"/>
  <c r="K77" i="1"/>
  <c r="K78" i="1"/>
  <c r="L77" i="1"/>
  <c r="L78" i="1"/>
  <c r="M77" i="1"/>
  <c r="M78" i="1"/>
  <c r="K75" i="1"/>
  <c r="K76" i="1"/>
  <c r="L75" i="1"/>
  <c r="L76" i="1"/>
  <c r="M75" i="1"/>
  <c r="M76" i="1"/>
  <c r="K73" i="1"/>
  <c r="K74" i="1"/>
  <c r="L73" i="1"/>
  <c r="L74" i="1"/>
  <c r="M73" i="1"/>
  <c r="M74" i="1"/>
  <c r="K71" i="1"/>
  <c r="K72" i="1"/>
  <c r="M71" i="1"/>
  <c r="M72" i="1"/>
  <c r="L71" i="1"/>
  <c r="L72" i="1"/>
  <c r="K96" i="2"/>
  <c r="K97" i="2"/>
  <c r="L96" i="2"/>
  <c r="L97" i="2"/>
  <c r="M96" i="2"/>
  <c r="M97" i="2"/>
  <c r="L176" i="2"/>
  <c r="H176" i="2"/>
  <c r="K94" i="2"/>
  <c r="K95" i="2"/>
  <c r="L94" i="2"/>
  <c r="L95" i="2"/>
  <c r="M94" i="2"/>
  <c r="M95" i="2"/>
  <c r="H175" i="2"/>
  <c r="K92" i="2"/>
  <c r="K93" i="2"/>
  <c r="L92" i="2"/>
  <c r="L93" i="2"/>
  <c r="M92" i="2"/>
  <c r="M93" i="2"/>
  <c r="L174" i="2"/>
  <c r="K90" i="2"/>
  <c r="K91" i="2"/>
  <c r="L90" i="2"/>
  <c r="L91" i="2"/>
  <c r="M90" i="2"/>
  <c r="M91" i="2"/>
  <c r="K88" i="2"/>
  <c r="K89" i="2"/>
  <c r="L88" i="2"/>
  <c r="L89" i="2"/>
  <c r="M88" i="2"/>
  <c r="M89" i="2"/>
  <c r="J172" i="2"/>
  <c r="K86" i="2"/>
  <c r="K87" i="2"/>
  <c r="L86" i="2"/>
  <c r="L87" i="2"/>
  <c r="M86" i="2"/>
  <c r="M87" i="2"/>
  <c r="L171" i="2"/>
  <c r="H171" i="2"/>
  <c r="K84" i="2"/>
  <c r="K85" i="2"/>
  <c r="L84" i="2"/>
  <c r="L85" i="2"/>
  <c r="M84" i="2"/>
  <c r="M85" i="2"/>
  <c r="H170" i="2"/>
  <c r="J170" i="2"/>
  <c r="K82" i="2"/>
  <c r="K83" i="2"/>
  <c r="L82" i="2"/>
  <c r="L83" i="2"/>
  <c r="M82" i="2"/>
  <c r="M83" i="2"/>
  <c r="K80" i="2"/>
  <c r="K81" i="2"/>
  <c r="L80" i="2"/>
  <c r="L81" i="2"/>
  <c r="M80" i="2"/>
  <c r="M81" i="2"/>
  <c r="L168" i="2"/>
  <c r="K78" i="2"/>
  <c r="K79" i="2"/>
  <c r="L78" i="2"/>
  <c r="L79" i="2"/>
  <c r="M78" i="2"/>
  <c r="M79" i="2"/>
  <c r="J167" i="2"/>
  <c r="H167" i="2"/>
  <c r="K76" i="2"/>
  <c r="K77" i="2"/>
  <c r="L76" i="2"/>
  <c r="L77" i="2"/>
  <c r="M76" i="2"/>
  <c r="M77" i="2"/>
  <c r="J166" i="2"/>
  <c r="K74" i="2"/>
  <c r="K75" i="2"/>
  <c r="L74" i="2"/>
  <c r="L75" i="2"/>
  <c r="M74" i="2"/>
  <c r="M75" i="2"/>
  <c r="K72" i="2"/>
  <c r="K73" i="2"/>
  <c r="L72" i="2"/>
  <c r="L73" i="2"/>
  <c r="M72" i="2"/>
  <c r="M73" i="2"/>
  <c r="H164" i="2"/>
  <c r="J164" i="2"/>
  <c r="K70" i="2"/>
  <c r="K71" i="2"/>
  <c r="L70" i="2"/>
  <c r="L71" i="2"/>
  <c r="M70" i="2"/>
  <c r="M71" i="2"/>
  <c r="K69" i="2"/>
  <c r="B163" i="2" s="1"/>
  <c r="M69" i="2"/>
  <c r="D163" i="2" s="1"/>
  <c r="L69" i="2"/>
  <c r="M67" i="2"/>
  <c r="L67" i="2"/>
  <c r="K67" i="2"/>
  <c r="M66" i="2"/>
  <c r="L66" i="2"/>
  <c r="K66" i="2"/>
  <c r="M65" i="2"/>
  <c r="L65" i="2"/>
  <c r="K65" i="2"/>
  <c r="M64" i="2"/>
  <c r="L64" i="2"/>
  <c r="K64" i="2"/>
  <c r="K100" i="3"/>
  <c r="K101" i="3"/>
  <c r="L101" i="3"/>
  <c r="M101" i="3"/>
  <c r="M100" i="3"/>
  <c r="L100" i="3"/>
  <c r="K98" i="3"/>
  <c r="K99" i="3"/>
  <c r="L99" i="3"/>
  <c r="M99" i="3"/>
  <c r="M98" i="3"/>
  <c r="L98" i="3"/>
  <c r="E97" i="3"/>
  <c r="T185" i="3"/>
  <c r="K96" i="3"/>
  <c r="K97" i="3"/>
  <c r="L96" i="3"/>
  <c r="L97" i="3"/>
  <c r="M96" i="3"/>
  <c r="M97" i="3"/>
  <c r="E95" i="3"/>
  <c r="K94" i="3"/>
  <c r="K95" i="3"/>
  <c r="L94" i="3"/>
  <c r="L95" i="3"/>
  <c r="M94" i="3"/>
  <c r="M95" i="3"/>
  <c r="K92" i="3"/>
  <c r="K93" i="3"/>
  <c r="L92" i="3"/>
  <c r="L93" i="3"/>
  <c r="M92" i="3"/>
  <c r="M93" i="3"/>
  <c r="E91" i="3"/>
  <c r="U182" i="3" s="1"/>
  <c r="K90" i="3"/>
  <c r="L91" i="3"/>
  <c r="M91" i="3"/>
  <c r="M90" i="3"/>
  <c r="D182" i="3" s="1"/>
  <c r="L90" i="3"/>
  <c r="E89" i="3"/>
  <c r="K88" i="3"/>
  <c r="K89" i="3"/>
  <c r="L88" i="3"/>
  <c r="L89" i="3"/>
  <c r="M88" i="3"/>
  <c r="M89" i="3"/>
  <c r="E87" i="3"/>
  <c r="K86" i="3"/>
  <c r="K87" i="3"/>
  <c r="L86" i="3"/>
  <c r="L87" i="3"/>
  <c r="M86" i="3"/>
  <c r="M87" i="3"/>
  <c r="K84" i="3"/>
  <c r="B179" i="3" s="1"/>
  <c r="K85" i="3"/>
  <c r="L84" i="3"/>
  <c r="L85" i="3"/>
  <c r="M84" i="3"/>
  <c r="M85" i="3"/>
  <c r="E83" i="3"/>
  <c r="T178" i="3" s="1"/>
  <c r="K82" i="3"/>
  <c r="K83" i="3"/>
  <c r="L82" i="3"/>
  <c r="M82" i="3"/>
  <c r="M83" i="3"/>
  <c r="L83" i="3"/>
  <c r="E81" i="3"/>
  <c r="T177" i="3" s="1"/>
  <c r="K80" i="3"/>
  <c r="K81" i="3"/>
  <c r="L80" i="3"/>
  <c r="L81" i="3"/>
  <c r="M80" i="3"/>
  <c r="M81" i="3"/>
  <c r="E79" i="3"/>
  <c r="S176" i="3" s="1"/>
  <c r="K78" i="3"/>
  <c r="K79" i="3"/>
  <c r="L78" i="3"/>
  <c r="L79" i="3"/>
  <c r="M78" i="3"/>
  <c r="M79" i="3"/>
  <c r="K76" i="3"/>
  <c r="K77" i="3"/>
  <c r="L77" i="3"/>
  <c r="C175" i="3" s="1"/>
  <c r="M77" i="3"/>
  <c r="M76" i="3"/>
  <c r="L76" i="3"/>
  <c r="E75" i="3"/>
  <c r="S174" i="3" s="1"/>
  <c r="K74" i="3"/>
  <c r="K75" i="3"/>
  <c r="L75" i="3"/>
  <c r="M75" i="3"/>
  <c r="M74" i="3"/>
  <c r="L74" i="3"/>
  <c r="E73" i="3"/>
  <c r="K72" i="3"/>
  <c r="K73" i="3"/>
  <c r="L72" i="3"/>
  <c r="L73" i="3"/>
  <c r="M72" i="3"/>
  <c r="D173" i="3" s="1"/>
  <c r="M73" i="3"/>
  <c r="E71" i="3"/>
  <c r="K70" i="3"/>
  <c r="K71" i="3"/>
  <c r="L70" i="3"/>
  <c r="L71" i="3"/>
  <c r="M70" i="3"/>
  <c r="M71" i="3"/>
  <c r="K68" i="3"/>
  <c r="K69" i="3"/>
  <c r="M68" i="3"/>
  <c r="M69" i="3"/>
  <c r="L68" i="3"/>
  <c r="L69" i="3"/>
  <c r="M67" i="3"/>
  <c r="L67" i="3"/>
  <c r="K67" i="3"/>
  <c r="M66" i="3"/>
  <c r="L66" i="3"/>
  <c r="K66" i="3"/>
  <c r="M65" i="3"/>
  <c r="L65" i="3"/>
  <c r="K65" i="3"/>
  <c r="E65" i="3"/>
  <c r="U169" i="3" s="1"/>
  <c r="M64" i="3"/>
  <c r="L64" i="3"/>
  <c r="K64" i="3"/>
  <c r="K98" i="5"/>
  <c r="K99" i="5"/>
  <c r="L98" i="5"/>
  <c r="L99" i="5"/>
  <c r="M98" i="5"/>
  <c r="M99" i="5"/>
  <c r="E97" i="5"/>
  <c r="S179" i="5" s="1"/>
  <c r="K96" i="5"/>
  <c r="K97" i="5"/>
  <c r="L97" i="5"/>
  <c r="L96" i="5"/>
  <c r="M97" i="5"/>
  <c r="M96" i="5"/>
  <c r="E95" i="5"/>
  <c r="T178" i="5" s="1"/>
  <c r="K94" i="5"/>
  <c r="K95" i="5"/>
  <c r="L94" i="5"/>
  <c r="L95" i="5"/>
  <c r="M94" i="5"/>
  <c r="M95" i="5"/>
  <c r="E93" i="5"/>
  <c r="K92" i="5"/>
  <c r="K93" i="5"/>
  <c r="L92" i="5"/>
  <c r="L93" i="5"/>
  <c r="M92" i="5"/>
  <c r="M93" i="5"/>
  <c r="K90" i="5"/>
  <c r="K91" i="5"/>
  <c r="L91" i="5"/>
  <c r="L90" i="5"/>
  <c r="N90" i="5" s="1"/>
  <c r="M91" i="5"/>
  <c r="M90" i="5"/>
  <c r="D176" i="5" s="1"/>
  <c r="E89" i="5"/>
  <c r="K88" i="5"/>
  <c r="K89" i="5"/>
  <c r="L88" i="5"/>
  <c r="L89" i="5"/>
  <c r="M88" i="5"/>
  <c r="M89" i="5"/>
  <c r="E87" i="5"/>
  <c r="U174" i="5" s="1"/>
  <c r="K86" i="5"/>
  <c r="K87" i="5"/>
  <c r="L87" i="5"/>
  <c r="L86" i="5"/>
  <c r="M87" i="5"/>
  <c r="M86" i="5"/>
  <c r="K84" i="5"/>
  <c r="K85" i="5"/>
  <c r="L84" i="5"/>
  <c r="L85" i="5"/>
  <c r="M84" i="5"/>
  <c r="M85" i="5"/>
  <c r="K82" i="5"/>
  <c r="K83" i="5"/>
  <c r="L82" i="5"/>
  <c r="L83" i="5"/>
  <c r="M82" i="5"/>
  <c r="M83" i="5"/>
  <c r="E81" i="5"/>
  <c r="S171" i="5" s="1"/>
  <c r="K80" i="5"/>
  <c r="K81" i="5"/>
  <c r="L81" i="5"/>
  <c r="L80" i="5"/>
  <c r="M81" i="5"/>
  <c r="M80" i="5"/>
  <c r="E79" i="5"/>
  <c r="K78" i="5"/>
  <c r="K79" i="5"/>
  <c r="L79" i="5"/>
  <c r="L78" i="5"/>
  <c r="M79" i="5"/>
  <c r="M78" i="5"/>
  <c r="K76" i="5"/>
  <c r="K77" i="5"/>
  <c r="L76" i="5"/>
  <c r="L77" i="5"/>
  <c r="M76" i="5"/>
  <c r="M77" i="5"/>
  <c r="K73" i="5"/>
  <c r="K74" i="5"/>
  <c r="L74" i="5"/>
  <c r="L73" i="5"/>
  <c r="M74" i="5"/>
  <c r="M73" i="5"/>
  <c r="E72" i="5"/>
  <c r="K71" i="5"/>
  <c r="K72" i="5"/>
  <c r="L71" i="5"/>
  <c r="L72" i="5"/>
  <c r="M71" i="5"/>
  <c r="M72" i="5"/>
  <c r="E70" i="5"/>
  <c r="D166" i="5" s="1"/>
  <c r="E68" i="5"/>
  <c r="K67" i="5"/>
  <c r="K68" i="5"/>
  <c r="M67" i="5"/>
  <c r="M68" i="5"/>
  <c r="L67" i="5"/>
  <c r="L68" i="5"/>
  <c r="K64" i="6"/>
  <c r="K65" i="6"/>
  <c r="L65" i="6"/>
  <c r="M65" i="6"/>
  <c r="M64" i="6"/>
  <c r="L64" i="6"/>
  <c r="E63" i="6"/>
  <c r="S130" i="6" s="1"/>
  <c r="K62" i="6"/>
  <c r="K63" i="6"/>
  <c r="L63" i="6"/>
  <c r="M63" i="6"/>
  <c r="M62" i="6"/>
  <c r="L62" i="6"/>
  <c r="E61" i="6"/>
  <c r="S129" i="6" s="1"/>
  <c r="K60" i="6"/>
  <c r="K61" i="6"/>
  <c r="L60" i="6"/>
  <c r="L61" i="6"/>
  <c r="M60" i="6"/>
  <c r="M61" i="6"/>
  <c r="E59" i="6"/>
  <c r="T128" i="6" s="1"/>
  <c r="K58" i="6"/>
  <c r="K59" i="6"/>
  <c r="L58" i="6"/>
  <c r="L59" i="6"/>
  <c r="M58" i="6"/>
  <c r="M59" i="6"/>
  <c r="K56" i="6"/>
  <c r="K57" i="6"/>
  <c r="L56" i="6"/>
  <c r="L57" i="6"/>
  <c r="M56" i="6"/>
  <c r="M57" i="6"/>
  <c r="E55" i="6"/>
  <c r="T126" i="6" s="1"/>
  <c r="K54" i="6"/>
  <c r="K55" i="6"/>
  <c r="L55" i="6"/>
  <c r="L54" i="6"/>
  <c r="M55" i="6"/>
  <c r="M54" i="6"/>
  <c r="E53" i="6"/>
  <c r="T125" i="6" s="1"/>
  <c r="K52" i="6"/>
  <c r="K53" i="6"/>
  <c r="L53" i="6"/>
  <c r="M53" i="6"/>
  <c r="M52" i="6"/>
  <c r="L52" i="6"/>
  <c r="E51" i="6"/>
  <c r="S124" i="6" s="1"/>
  <c r="K50" i="6"/>
  <c r="K51" i="6"/>
  <c r="L51" i="6"/>
  <c r="M51" i="6"/>
  <c r="M50" i="6"/>
  <c r="L50" i="6"/>
  <c r="K48" i="6"/>
  <c r="K49" i="6"/>
  <c r="L48" i="6"/>
  <c r="L49" i="6"/>
  <c r="M48" i="6"/>
  <c r="M49" i="6"/>
  <c r="E47" i="6"/>
  <c r="S122" i="6" s="1"/>
  <c r="K46" i="6"/>
  <c r="K47" i="6"/>
  <c r="L46" i="6"/>
  <c r="L47" i="6"/>
  <c r="M46" i="6"/>
  <c r="M47" i="6"/>
  <c r="E45" i="6"/>
  <c r="T121" i="6" s="1"/>
  <c r="K44" i="6"/>
  <c r="K45" i="6"/>
  <c r="L44" i="6"/>
  <c r="L45" i="6"/>
  <c r="M44" i="6"/>
  <c r="M45" i="6"/>
  <c r="E43" i="6"/>
  <c r="U120" i="6" s="1"/>
  <c r="K43" i="6"/>
  <c r="L43" i="6"/>
  <c r="M43" i="6"/>
  <c r="E39" i="6"/>
  <c r="T118" i="6" s="1"/>
  <c r="K38" i="6"/>
  <c r="L38" i="6"/>
  <c r="M38" i="6"/>
  <c r="E37" i="6"/>
  <c r="K36" i="6"/>
  <c r="K37" i="6"/>
  <c r="L37" i="6"/>
  <c r="M37" i="6"/>
  <c r="M36" i="6"/>
  <c r="L36" i="6"/>
  <c r="E86" i="7"/>
  <c r="S173" i="7" s="1"/>
  <c r="E92" i="7"/>
  <c r="S176" i="7" s="1"/>
  <c r="K97" i="7"/>
  <c r="K98" i="7"/>
  <c r="L97" i="7"/>
  <c r="L98" i="7"/>
  <c r="M97" i="7"/>
  <c r="M98" i="7"/>
  <c r="E96" i="7"/>
  <c r="K95" i="7"/>
  <c r="K96" i="7"/>
  <c r="L96" i="7"/>
  <c r="L95" i="7"/>
  <c r="M96" i="7"/>
  <c r="M95" i="7"/>
  <c r="E94" i="7"/>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H172" i="7" s="1"/>
  <c r="K83" i="7"/>
  <c r="K84" i="7"/>
  <c r="L84" i="7"/>
  <c r="L83" i="7"/>
  <c r="M84" i="7"/>
  <c r="M83" i="7"/>
  <c r="K81" i="7"/>
  <c r="K82" i="7"/>
  <c r="L82" i="7"/>
  <c r="L81" i="7"/>
  <c r="M82" i="7"/>
  <c r="M81" i="7"/>
  <c r="E80" i="7"/>
  <c r="U170" i="7" s="1"/>
  <c r="K79" i="7"/>
  <c r="K80" i="7"/>
  <c r="L80" i="7"/>
  <c r="L79" i="7"/>
  <c r="M80" i="7"/>
  <c r="M79" i="7"/>
  <c r="E78" i="7"/>
  <c r="T169" i="7" s="1"/>
  <c r="K77" i="7"/>
  <c r="K78" i="7"/>
  <c r="L78" i="7"/>
  <c r="L77" i="7"/>
  <c r="M78" i="7"/>
  <c r="M77" i="7"/>
  <c r="E76" i="7"/>
  <c r="K75" i="7"/>
  <c r="K76" i="7"/>
  <c r="L76" i="7"/>
  <c r="L75" i="7"/>
  <c r="M76" i="7"/>
  <c r="M75" i="7"/>
  <c r="K73" i="7"/>
  <c r="K74" i="7"/>
  <c r="L74" i="7"/>
  <c r="L73" i="7"/>
  <c r="M74" i="7"/>
  <c r="M73" i="7"/>
  <c r="E72" i="7"/>
  <c r="K71" i="7"/>
  <c r="K72" i="7"/>
  <c r="L72" i="7"/>
  <c r="L71" i="7"/>
  <c r="M72" i="7"/>
  <c r="M71" i="7"/>
  <c r="E70" i="7"/>
  <c r="T165" i="7" s="1"/>
  <c r="K70" i="7"/>
  <c r="M70" i="7"/>
  <c r="L70" i="7"/>
  <c r="K67" i="7"/>
  <c r="K68" i="7"/>
  <c r="M67" i="7"/>
  <c r="M68" i="7"/>
  <c r="L67" i="7"/>
  <c r="L68" i="7"/>
  <c r="N68" i="7" s="1"/>
  <c r="M66" i="7"/>
  <c r="L66" i="7"/>
  <c r="K66" i="7"/>
  <c r="K104" i="8"/>
  <c r="K105" i="8"/>
  <c r="L105" i="8"/>
  <c r="L104" i="8"/>
  <c r="C189" i="8" s="1"/>
  <c r="M105" i="8"/>
  <c r="M104" i="8"/>
  <c r="K101" i="8"/>
  <c r="K103" i="8"/>
  <c r="L103" i="8"/>
  <c r="L101" i="8"/>
  <c r="C188" i="8" s="1"/>
  <c r="M103" i="8"/>
  <c r="M101" i="8"/>
  <c r="K98" i="8"/>
  <c r="K100" i="8"/>
  <c r="L98" i="8"/>
  <c r="L100" i="8"/>
  <c r="M98" i="8"/>
  <c r="M100" i="8"/>
  <c r="N100" i="8" s="1"/>
  <c r="E97" i="8"/>
  <c r="K96" i="8"/>
  <c r="K97" i="8"/>
  <c r="L97" i="8"/>
  <c r="N97" i="8" s="1"/>
  <c r="L96" i="8"/>
  <c r="M97" i="8"/>
  <c r="M96" i="8"/>
  <c r="K94" i="8"/>
  <c r="N94" i="8" s="1"/>
  <c r="K95" i="8"/>
  <c r="L95" i="8"/>
  <c r="L94" i="8"/>
  <c r="M95" i="8"/>
  <c r="M94" i="8"/>
  <c r="E93" i="8"/>
  <c r="K92" i="8"/>
  <c r="K93" i="8"/>
  <c r="L92" i="8"/>
  <c r="L93" i="8"/>
  <c r="M92" i="8"/>
  <c r="M93" i="8"/>
  <c r="E91" i="8"/>
  <c r="K90" i="8"/>
  <c r="K91" i="8"/>
  <c r="L91" i="8"/>
  <c r="L90" i="8"/>
  <c r="M91" i="8"/>
  <c r="M90" i="8"/>
  <c r="E89" i="8"/>
  <c r="K88" i="8"/>
  <c r="K89" i="8"/>
  <c r="L88" i="8"/>
  <c r="L89" i="8"/>
  <c r="M88" i="8"/>
  <c r="M89" i="8"/>
  <c r="K86" i="8"/>
  <c r="K87" i="8"/>
  <c r="N87" i="8" s="1"/>
  <c r="L87" i="8"/>
  <c r="L86" i="8"/>
  <c r="C181" i="8" s="1"/>
  <c r="M87" i="8"/>
  <c r="M86" i="8"/>
  <c r="E85" i="8"/>
  <c r="K84" i="8"/>
  <c r="K85" i="8"/>
  <c r="L84" i="8"/>
  <c r="L85" i="8"/>
  <c r="M84" i="8"/>
  <c r="D180" i="8" s="1"/>
  <c r="M85" i="8"/>
  <c r="E83" i="8"/>
  <c r="K82" i="8"/>
  <c r="K83" i="8"/>
  <c r="L82" i="8"/>
  <c r="L83" i="8"/>
  <c r="M82" i="8"/>
  <c r="M83" i="8"/>
  <c r="E81" i="8"/>
  <c r="K80" i="8"/>
  <c r="K81" i="8"/>
  <c r="L81" i="8"/>
  <c r="L80" i="8"/>
  <c r="M81" i="8"/>
  <c r="M80" i="8"/>
  <c r="K78" i="8"/>
  <c r="K79" i="8"/>
  <c r="L79" i="8"/>
  <c r="L78" i="8"/>
  <c r="M79" i="8"/>
  <c r="M78" i="8"/>
  <c r="E77" i="8"/>
  <c r="K76" i="8"/>
  <c r="K77" i="8"/>
  <c r="L76" i="8"/>
  <c r="L77" i="8"/>
  <c r="M76" i="8"/>
  <c r="M77" i="8"/>
  <c r="E75" i="8"/>
  <c r="K75" i="8"/>
  <c r="M75" i="8"/>
  <c r="L75" i="8"/>
  <c r="E73" i="8"/>
  <c r="K72" i="8"/>
  <c r="K73" i="8"/>
  <c r="M72" i="8"/>
  <c r="M73" i="8"/>
  <c r="L72" i="8"/>
  <c r="L73" i="8"/>
  <c r="K104" i="15"/>
  <c r="K105" i="15"/>
  <c r="L104" i="15"/>
  <c r="M104" i="15"/>
  <c r="M105" i="15"/>
  <c r="L105" i="15"/>
  <c r="E103" i="15"/>
  <c r="K102" i="15"/>
  <c r="K103" i="15"/>
  <c r="L102" i="15"/>
  <c r="L103" i="15"/>
  <c r="M102" i="15"/>
  <c r="M103" i="15"/>
  <c r="K99" i="15"/>
  <c r="K101" i="15"/>
  <c r="L101" i="15"/>
  <c r="M101" i="15"/>
  <c r="M99" i="15"/>
  <c r="L99" i="15"/>
  <c r="E98" i="15"/>
  <c r="T191" i="15" s="1"/>
  <c r="K97" i="15"/>
  <c r="B191" i="15" s="1"/>
  <c r="K98" i="15"/>
  <c r="L97" i="15"/>
  <c r="L98" i="15"/>
  <c r="M97" i="15"/>
  <c r="M98" i="15"/>
  <c r="K95" i="15"/>
  <c r="K96" i="15"/>
  <c r="L95" i="15"/>
  <c r="L96" i="15"/>
  <c r="M95" i="15"/>
  <c r="M96" i="15"/>
  <c r="E94" i="15"/>
  <c r="U189"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T184" i="15" s="1"/>
  <c r="K82" i="15"/>
  <c r="K83" i="15"/>
  <c r="L83" i="15"/>
  <c r="L82" i="15"/>
  <c r="M83" i="15"/>
  <c r="M82" i="15"/>
  <c r="E81" i="15"/>
  <c r="U183" i="15" s="1"/>
  <c r="K80" i="15"/>
  <c r="K81" i="15"/>
  <c r="L80" i="15"/>
  <c r="L81" i="15"/>
  <c r="M80" i="15"/>
  <c r="M81" i="15"/>
  <c r="K78" i="15"/>
  <c r="K79" i="15"/>
  <c r="L79" i="15"/>
  <c r="M79" i="15"/>
  <c r="N79" i="15" s="1"/>
  <c r="M78" i="15"/>
  <c r="L78" i="15"/>
  <c r="C182" i="15" s="1"/>
  <c r="E77" i="15"/>
  <c r="T181" i="15" s="1"/>
  <c r="K76" i="15"/>
  <c r="K77" i="15"/>
  <c r="L76" i="15"/>
  <c r="M76" i="15"/>
  <c r="M77" i="15"/>
  <c r="L77" i="15"/>
  <c r="E75" i="15"/>
  <c r="K75" i="15"/>
  <c r="M75" i="15"/>
  <c r="L75" i="15"/>
  <c r="E73" i="15"/>
  <c r="T179" i="15" s="1"/>
  <c r="K72" i="15"/>
  <c r="K73" i="15"/>
  <c r="M72" i="15"/>
  <c r="M73" i="15"/>
  <c r="L72" i="15"/>
  <c r="L73" i="15"/>
  <c r="K69" i="15"/>
  <c r="K71" i="15"/>
  <c r="M69" i="15"/>
  <c r="M71" i="15"/>
  <c r="L69" i="15"/>
  <c r="L71" i="15"/>
  <c r="M68" i="15"/>
  <c r="L68" i="15"/>
  <c r="K68" i="15"/>
  <c r="M67" i="15"/>
  <c r="L67" i="15"/>
  <c r="K67" i="15"/>
  <c r="M66" i="15"/>
  <c r="L66" i="15"/>
  <c r="K66" i="15"/>
  <c r="M65" i="15"/>
  <c r="L65" i="15"/>
  <c r="K65" i="15"/>
  <c r="K100" i="14"/>
  <c r="K101" i="14"/>
  <c r="L100" i="14"/>
  <c r="L101" i="14"/>
  <c r="M100" i="14"/>
  <c r="M101" i="14"/>
  <c r="E99" i="14"/>
  <c r="S181" i="14" s="1"/>
  <c r="K98" i="14"/>
  <c r="K99" i="14"/>
  <c r="L98" i="14"/>
  <c r="L99" i="14"/>
  <c r="M98" i="14"/>
  <c r="M99" i="14"/>
  <c r="E97" i="14"/>
  <c r="U180" i="14" s="1"/>
  <c r="K96" i="14"/>
  <c r="K97" i="14"/>
  <c r="L96" i="14"/>
  <c r="L97" i="14"/>
  <c r="M96" i="14"/>
  <c r="M97" i="14"/>
  <c r="E95" i="14"/>
  <c r="K94" i="14"/>
  <c r="K95" i="14"/>
  <c r="L94" i="14"/>
  <c r="L95" i="14"/>
  <c r="M94" i="14"/>
  <c r="M95" i="14"/>
  <c r="K92" i="14"/>
  <c r="K93" i="14"/>
  <c r="L92" i="14"/>
  <c r="L93" i="14"/>
  <c r="M92" i="14"/>
  <c r="M93" i="14"/>
  <c r="E91" i="14"/>
  <c r="K90" i="14"/>
  <c r="K91" i="14"/>
  <c r="L91" i="14"/>
  <c r="L90" i="14"/>
  <c r="M91" i="14"/>
  <c r="M90" i="14"/>
  <c r="E89" i="14"/>
  <c r="T176" i="14" s="1"/>
  <c r="K88" i="14"/>
  <c r="K89" i="14"/>
  <c r="L88" i="14"/>
  <c r="L89" i="14"/>
  <c r="M88" i="14"/>
  <c r="M89" i="14"/>
  <c r="E87" i="14"/>
  <c r="T175" i="14" s="1"/>
  <c r="K86" i="14"/>
  <c r="K87" i="14"/>
  <c r="L86" i="14"/>
  <c r="C175" i="14" s="1"/>
  <c r="L87" i="14"/>
  <c r="M86" i="14"/>
  <c r="M87" i="14"/>
  <c r="K84" i="14"/>
  <c r="K85" i="14"/>
  <c r="L84" i="14"/>
  <c r="L85" i="14"/>
  <c r="M84" i="14"/>
  <c r="N84" i="14" s="1"/>
  <c r="M85" i="14"/>
  <c r="E83" i="14"/>
  <c r="K82" i="14"/>
  <c r="K83" i="14"/>
  <c r="L82" i="14"/>
  <c r="L83" i="14"/>
  <c r="M82" i="14"/>
  <c r="M83" i="14"/>
  <c r="D173" i="14" s="1"/>
  <c r="E81" i="14"/>
  <c r="K80" i="14"/>
  <c r="K81" i="14"/>
  <c r="L80" i="14"/>
  <c r="L81" i="14"/>
  <c r="M80" i="14"/>
  <c r="M81" i="14"/>
  <c r="E79" i="14"/>
  <c r="U171" i="14" s="1"/>
  <c r="K78" i="14"/>
  <c r="K79" i="14"/>
  <c r="L78" i="14"/>
  <c r="L79" i="14"/>
  <c r="M78" i="14"/>
  <c r="M79" i="14"/>
  <c r="K76" i="14"/>
  <c r="K77" i="14"/>
  <c r="L76" i="14"/>
  <c r="L77" i="14"/>
  <c r="M76" i="14"/>
  <c r="M77" i="14"/>
  <c r="E75" i="14"/>
  <c r="K74" i="14"/>
  <c r="K75" i="14"/>
  <c r="L75" i="14"/>
  <c r="L74" i="14"/>
  <c r="M75" i="14"/>
  <c r="M74" i="14"/>
  <c r="E73" i="14"/>
  <c r="U168" i="14" s="1"/>
  <c r="K72" i="14"/>
  <c r="K73" i="14"/>
  <c r="L72" i="14"/>
  <c r="L73" i="14"/>
  <c r="M72" i="14"/>
  <c r="M73" i="14"/>
  <c r="K70" i="14"/>
  <c r="K71" i="14"/>
  <c r="B167" i="14" s="1"/>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92" i="13" s="1"/>
  <c r="K105" i="13"/>
  <c r="K106" i="13"/>
  <c r="L105" i="13"/>
  <c r="L106" i="13"/>
  <c r="M105" i="13"/>
  <c r="M106" i="13"/>
  <c r="E104" i="13"/>
  <c r="U191" i="13" s="1"/>
  <c r="K103" i="13"/>
  <c r="K104" i="13"/>
  <c r="L103" i="13"/>
  <c r="L104" i="13"/>
  <c r="M103" i="13"/>
  <c r="M104" i="13"/>
  <c r="K101" i="13"/>
  <c r="K102" i="13"/>
  <c r="L101" i="13"/>
  <c r="L102" i="13"/>
  <c r="M101" i="13"/>
  <c r="M102" i="13"/>
  <c r="E100" i="13"/>
  <c r="S189" i="13" s="1"/>
  <c r="K99" i="13"/>
  <c r="K100" i="13"/>
  <c r="L100" i="13"/>
  <c r="L99" i="13"/>
  <c r="M100" i="13"/>
  <c r="M99" i="13"/>
  <c r="E98" i="13"/>
  <c r="S188" i="13" s="1"/>
  <c r="K97" i="13"/>
  <c r="K98" i="13"/>
  <c r="L97" i="13"/>
  <c r="L98" i="13"/>
  <c r="M97" i="13"/>
  <c r="M98" i="13"/>
  <c r="E96" i="13"/>
  <c r="T187" i="13" s="1"/>
  <c r="K95" i="13"/>
  <c r="K96" i="13"/>
  <c r="L95" i="13"/>
  <c r="L96" i="13"/>
  <c r="M95" i="13"/>
  <c r="M96" i="13"/>
  <c r="E91" i="13"/>
  <c r="T185" i="13" s="1"/>
  <c r="K90" i="13"/>
  <c r="K91" i="13"/>
  <c r="L91" i="13"/>
  <c r="L90" i="13"/>
  <c r="M91" i="13"/>
  <c r="M90" i="13"/>
  <c r="E89" i="13"/>
  <c r="U184" i="13" s="1"/>
  <c r="K88" i="13"/>
  <c r="K89" i="13"/>
  <c r="L88" i="13"/>
  <c r="L89" i="13"/>
  <c r="M88" i="13"/>
  <c r="M89" i="13"/>
  <c r="E87" i="13"/>
  <c r="U183" i="13" s="1"/>
  <c r="K86" i="13"/>
  <c r="K87" i="13"/>
  <c r="L87" i="13"/>
  <c r="L86" i="13"/>
  <c r="M87" i="13"/>
  <c r="M86" i="13"/>
  <c r="K84" i="13"/>
  <c r="K85" i="13"/>
  <c r="L85" i="13"/>
  <c r="L84" i="13"/>
  <c r="M85" i="13"/>
  <c r="M84" i="13"/>
  <c r="E83" i="13"/>
  <c r="U181"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B173" i="13" s="1"/>
  <c r="H166" i="2"/>
  <c r="L170" i="2"/>
  <c r="L172" i="2"/>
  <c r="J175" i="2"/>
  <c r="L175" i="2"/>
  <c r="J174" i="2"/>
  <c r="L167" i="2"/>
  <c r="L166" i="2"/>
  <c r="J163" i="2"/>
  <c r="L163" i="2"/>
  <c r="J171" i="2"/>
  <c r="N171" i="2" s="1"/>
  <c r="J168" i="2"/>
  <c r="J176" i="2"/>
  <c r="H168" i="2"/>
  <c r="L164" i="2"/>
  <c r="H180" i="2"/>
  <c r="W137" i="7"/>
  <c r="W155" i="5"/>
  <c r="E101" i="5"/>
  <c r="T181" i="5" s="1"/>
  <c r="S164" i="1"/>
  <c r="T188" i="1"/>
  <c r="T143" i="1"/>
  <c r="T180" i="1"/>
  <c r="U172" i="1"/>
  <c r="T182" i="1"/>
  <c r="S182" i="1"/>
  <c r="N52" i="1"/>
  <c r="B160" i="7"/>
  <c r="B139" i="7"/>
  <c r="U180" i="7"/>
  <c r="T173" i="7"/>
  <c r="S186" i="22"/>
  <c r="U186" i="22"/>
  <c r="U187" i="22"/>
  <c r="T187" i="22"/>
  <c r="S187" i="22"/>
  <c r="S193" i="22"/>
  <c r="S153" i="22"/>
  <c r="U165" i="22"/>
  <c r="U153" i="22"/>
  <c r="U193" i="22"/>
  <c r="H145" i="23"/>
  <c r="B162" i="23"/>
  <c r="L153" i="23"/>
  <c r="J153" i="23"/>
  <c r="U186" i="23"/>
  <c r="T186" i="23"/>
  <c r="J187" i="23"/>
  <c r="H154" i="23"/>
  <c r="C181" i="23"/>
  <c r="J162" i="23"/>
  <c r="B177" i="23"/>
  <c r="U179" i="23"/>
  <c r="T179" i="23"/>
  <c r="J164" i="23"/>
  <c r="N76" i="23"/>
  <c r="J170" i="23"/>
  <c r="L142" i="23"/>
  <c r="B145" i="23"/>
  <c r="T175" i="23"/>
  <c r="U175" i="23"/>
  <c r="S175" i="23"/>
  <c r="L186" i="23"/>
  <c r="C169" i="23"/>
  <c r="L174" i="23"/>
  <c r="C138" i="23"/>
  <c r="N36" i="23"/>
  <c r="S186" i="23"/>
  <c r="J151" i="23"/>
  <c r="J143" i="23"/>
  <c r="D144" i="23"/>
  <c r="C148" i="23"/>
  <c r="L177" i="23"/>
  <c r="J177" i="23"/>
  <c r="W141" i="23"/>
  <c r="L158" i="23"/>
  <c r="U170" i="23"/>
  <c r="T170" i="23"/>
  <c r="C173" i="23"/>
  <c r="D148" i="23"/>
  <c r="C160" i="23"/>
  <c r="U168" i="23"/>
  <c r="U174" i="23"/>
  <c r="T174" i="23"/>
  <c r="H137" i="23"/>
  <c r="T159" i="23"/>
  <c r="H165" i="23"/>
  <c r="S170" i="23"/>
  <c r="U146" i="23"/>
  <c r="T146" i="23"/>
  <c r="N32" i="23"/>
  <c r="J137" i="23"/>
  <c r="W151" i="23"/>
  <c r="S165" i="23"/>
  <c r="S177" i="23"/>
  <c r="S181" i="23"/>
  <c r="H186" i="23"/>
  <c r="U166" i="23"/>
  <c r="T166" i="23"/>
  <c r="L175" i="23"/>
  <c r="S146" i="23"/>
  <c r="T172" i="23"/>
  <c r="J138" i="24"/>
  <c r="J146" i="24"/>
  <c r="L146" i="24"/>
  <c r="H166" i="24"/>
  <c r="L166" i="24"/>
  <c r="N76" i="24"/>
  <c r="B169" i="24"/>
  <c r="L139" i="24"/>
  <c r="J139" i="24"/>
  <c r="H139" i="24"/>
  <c r="N19" i="24"/>
  <c r="B145" i="24"/>
  <c r="N68" i="24"/>
  <c r="B159" i="24"/>
  <c r="J136" i="24"/>
  <c r="H136" i="24"/>
  <c r="D134" i="24"/>
  <c r="H163" i="24"/>
  <c r="H172" i="24"/>
  <c r="S141" i="24"/>
  <c r="J172" i="24"/>
  <c r="T141" i="24"/>
  <c r="W141" i="24" s="1"/>
  <c r="B147" i="24"/>
  <c r="H182" i="24"/>
  <c r="U180" i="24"/>
  <c r="T180" i="24"/>
  <c r="S180" i="24"/>
  <c r="H162" i="24"/>
  <c r="J164" i="24"/>
  <c r="J182" i="24"/>
  <c r="N86" i="24"/>
  <c r="C136" i="24"/>
  <c r="N24" i="24"/>
  <c r="N42" i="24"/>
  <c r="C156" i="24"/>
  <c r="C174" i="24"/>
  <c r="L177" i="24"/>
  <c r="C184" i="24"/>
  <c r="S149" i="24"/>
  <c r="S169" i="24"/>
  <c r="U172" i="24"/>
  <c r="T172" i="24"/>
  <c r="S172" i="24"/>
  <c r="N88" i="24"/>
  <c r="N32" i="24"/>
  <c r="N44" i="24"/>
  <c r="N80" i="24"/>
  <c r="D174" i="24"/>
  <c r="S164" i="24"/>
  <c r="H165" i="24"/>
  <c r="H183" i="24"/>
  <c r="J151" i="24"/>
  <c r="J155" i="24"/>
  <c r="J159" i="24"/>
  <c r="T164" i="24"/>
  <c r="S165" i="25"/>
  <c r="J149" i="25"/>
  <c r="T165" i="25"/>
  <c r="N22" i="25"/>
  <c r="T168" i="25"/>
  <c r="S168" i="25"/>
  <c r="N24" i="25"/>
  <c r="C151" i="25"/>
  <c r="U162" i="25"/>
  <c r="T162" i="25"/>
  <c r="S162" i="25"/>
  <c r="J136" i="25"/>
  <c r="S159" i="25"/>
  <c r="S152" i="25"/>
  <c r="B134" i="25"/>
  <c r="R41" i="25"/>
  <c r="N74" i="25"/>
  <c r="B185" i="25"/>
  <c r="C143" i="25"/>
  <c r="S154" i="25"/>
  <c r="R48" i="25"/>
  <c r="S179" i="25"/>
  <c r="B179" i="25"/>
  <c r="U152" i="25"/>
  <c r="T152" i="25"/>
  <c r="C158" i="25"/>
  <c r="J167" i="25"/>
  <c r="U172" i="25"/>
  <c r="T172" i="25"/>
  <c r="S172" i="25"/>
  <c r="U180" i="25"/>
  <c r="T180" i="25"/>
  <c r="S180" i="25"/>
  <c r="S173" i="25"/>
  <c r="L137" i="25"/>
  <c r="U156" i="25"/>
  <c r="T156" i="25"/>
  <c r="S156" i="25"/>
  <c r="S134" i="25"/>
  <c r="S144" i="25"/>
  <c r="L157" i="25"/>
  <c r="J157" i="25"/>
  <c r="U164" i="25"/>
  <c r="T164" i="25"/>
  <c r="S164" i="25"/>
  <c r="U176" i="25"/>
  <c r="S176" i="25"/>
  <c r="J168" i="25"/>
  <c r="T169" i="25"/>
  <c r="C136" i="25"/>
  <c r="U138" i="25"/>
  <c r="T138" i="25"/>
  <c r="S138" i="25"/>
  <c r="B140" i="25"/>
  <c r="B150" i="25"/>
  <c r="H151" i="25"/>
  <c r="T170" i="25"/>
  <c r="N98" i="25"/>
  <c r="H182" i="25"/>
  <c r="U150" i="25"/>
  <c r="U184" i="25"/>
  <c r="T184" i="25"/>
  <c r="S184" i="25"/>
  <c r="H145" i="25"/>
  <c r="C150" i="25"/>
  <c r="J161" i="25"/>
  <c r="H183" i="25"/>
  <c r="J183" i="25"/>
  <c r="U134" i="26"/>
  <c r="T134" i="26"/>
  <c r="U142" i="26"/>
  <c r="T142" i="26"/>
  <c r="N75" i="26"/>
  <c r="S142" i="26"/>
  <c r="U130" i="26"/>
  <c r="U138" i="26"/>
  <c r="T138" i="26"/>
  <c r="L141" i="26"/>
  <c r="T148" i="16"/>
  <c r="T145" i="16"/>
  <c r="R60" i="17"/>
  <c r="T170" i="17"/>
  <c r="U176" i="17"/>
  <c r="T176" i="17"/>
  <c r="S176" i="17"/>
  <c r="R25" i="17"/>
  <c r="T142" i="17"/>
  <c r="L170" i="17"/>
  <c r="R31" i="17"/>
  <c r="J150" i="17"/>
  <c r="C159" i="17"/>
  <c r="S142" i="17"/>
  <c r="R23" i="17"/>
  <c r="S141" i="17"/>
  <c r="T141" i="17"/>
  <c r="S145" i="17"/>
  <c r="R35" i="17"/>
  <c r="U177" i="17"/>
  <c r="T177" i="17"/>
  <c r="S177" i="17"/>
  <c r="T165" i="17"/>
  <c r="C137" i="17"/>
  <c r="R21" i="17"/>
  <c r="L141" i="17" s="1"/>
  <c r="T159" i="17"/>
  <c r="W159" i="17" s="1"/>
  <c r="J178" i="17"/>
  <c r="H178" i="17"/>
  <c r="T152" i="17"/>
  <c r="R20" i="17"/>
  <c r="R29" i="17"/>
  <c r="J145" i="17" s="1"/>
  <c r="R34" i="17"/>
  <c r="S169" i="17"/>
  <c r="U175" i="17"/>
  <c r="J149" i="17"/>
  <c r="S143" i="17"/>
  <c r="R27" i="17"/>
  <c r="R62" i="17"/>
  <c r="H141" i="18"/>
  <c r="N111" i="18"/>
  <c r="U173" i="18"/>
  <c r="H169" i="18"/>
  <c r="B189" i="18"/>
  <c r="T166" i="18"/>
  <c r="U169" i="18"/>
  <c r="T169" i="18"/>
  <c r="W169" i="18" s="1"/>
  <c r="S168" i="18"/>
  <c r="J143" i="18"/>
  <c r="U139" i="18"/>
  <c r="T139" i="18"/>
  <c r="T157" i="18"/>
  <c r="L155" i="18"/>
  <c r="T187" i="18"/>
  <c r="R37" i="19"/>
  <c r="R41" i="19"/>
  <c r="U158" i="19"/>
  <c r="U156" i="19"/>
  <c r="S145" i="19"/>
  <c r="R16" i="19"/>
  <c r="H145" i="19" s="1"/>
  <c r="N32" i="19"/>
  <c r="R51" i="19"/>
  <c r="U179" i="19"/>
  <c r="T179" i="19"/>
  <c r="S179" i="19"/>
  <c r="B147" i="19"/>
  <c r="T156" i="19"/>
  <c r="T158" i="19"/>
  <c r="C143" i="19"/>
  <c r="R23" i="19"/>
  <c r="U155" i="19"/>
  <c r="U157" i="19"/>
  <c r="S166" i="19"/>
  <c r="T157" i="19"/>
  <c r="L175" i="19"/>
  <c r="S146" i="19"/>
  <c r="T141" i="19"/>
  <c r="S142" i="19"/>
  <c r="S149" i="19"/>
  <c r="R24" i="19"/>
  <c r="L149" i="19" s="1"/>
  <c r="S155" i="19"/>
  <c r="R36" i="19"/>
  <c r="S157" i="19"/>
  <c r="R40" i="19"/>
  <c r="L157" i="19" s="1"/>
  <c r="T142" i="19"/>
  <c r="T155" i="19"/>
  <c r="S141" i="19"/>
  <c r="R8" i="19"/>
  <c r="S156" i="19"/>
  <c r="R38" i="19"/>
  <c r="R42" i="19"/>
  <c r="R59" i="19"/>
  <c r="L166" i="19" s="1"/>
  <c r="U187" i="19"/>
  <c r="T165" i="19"/>
  <c r="B166" i="19"/>
  <c r="T145" i="19"/>
  <c r="T153" i="19"/>
  <c r="R46" i="19"/>
  <c r="R50" i="19"/>
  <c r="S171" i="19"/>
  <c r="D189" i="19"/>
  <c r="R32" i="19"/>
  <c r="N93" i="19"/>
  <c r="C187" i="19"/>
  <c r="B190" i="19"/>
  <c r="D169" i="19"/>
  <c r="S167" i="19"/>
  <c r="N112" i="19"/>
  <c r="S186" i="19"/>
  <c r="T143" i="19"/>
  <c r="T151" i="19"/>
  <c r="N36" i="19"/>
  <c r="T167" i="19"/>
  <c r="H186" i="19"/>
  <c r="S191" i="19"/>
  <c r="T191" i="19"/>
  <c r="U137" i="21"/>
  <c r="T137" i="21"/>
  <c r="S137" i="21"/>
  <c r="B145" i="21"/>
  <c r="H143" i="21"/>
  <c r="H144" i="21"/>
  <c r="T176" i="21"/>
  <c r="L138" i="21"/>
  <c r="D139" i="21"/>
  <c r="L145" i="21"/>
  <c r="C171" i="21"/>
  <c r="C141" i="21"/>
  <c r="L143" i="21"/>
  <c r="H139" i="21"/>
  <c r="U147" i="21"/>
  <c r="T147" i="21"/>
  <c r="L151" i="21"/>
  <c r="H148" i="21"/>
  <c r="T162" i="21"/>
  <c r="H180" i="21"/>
  <c r="T175" i="21"/>
  <c r="S201" i="9"/>
  <c r="U201" i="9"/>
  <c r="T201" i="9"/>
  <c r="H178" i="9"/>
  <c r="H182" i="9"/>
  <c r="U182" i="9"/>
  <c r="U187" i="9"/>
  <c r="T187" i="9"/>
  <c r="S187" i="9"/>
  <c r="U198" i="9"/>
  <c r="T198" i="9"/>
  <c r="S198" i="9"/>
  <c r="W198" i="9" s="1"/>
  <c r="U176" i="9"/>
  <c r="T176" i="9"/>
  <c r="U200" i="9"/>
  <c r="T200" i="9"/>
  <c r="S200" i="9"/>
  <c r="R78" i="9"/>
  <c r="H183" i="9" s="1"/>
  <c r="U166" i="9"/>
  <c r="T166" i="9"/>
  <c r="U172" i="9"/>
  <c r="T164" i="9"/>
  <c r="U160" i="9"/>
  <c r="T160" i="9"/>
  <c r="S160" i="9"/>
  <c r="H153" i="11"/>
  <c r="L167" i="11"/>
  <c r="J167" i="11"/>
  <c r="H167" i="11"/>
  <c r="N67" i="11"/>
  <c r="N83" i="11"/>
  <c r="H184" i="11"/>
  <c r="L159" i="11"/>
  <c r="J159" i="11"/>
  <c r="H159" i="11"/>
  <c r="S167" i="11"/>
  <c r="D167" i="11"/>
  <c r="U175" i="11"/>
  <c r="T175" i="11"/>
  <c r="S175" i="11"/>
  <c r="U184" i="11"/>
  <c r="W184" i="11" s="1"/>
  <c r="T184" i="11"/>
  <c r="S184" i="11"/>
  <c r="N103" i="11"/>
  <c r="L150" i="11"/>
  <c r="C143" i="11"/>
  <c r="B144" i="11"/>
  <c r="N16" i="11"/>
  <c r="T159" i="11"/>
  <c r="S159" i="11"/>
  <c r="N55" i="11"/>
  <c r="C163" i="11"/>
  <c r="B165" i="11"/>
  <c r="E165" i="11" s="1"/>
  <c r="N59" i="11"/>
  <c r="B167" i="11"/>
  <c r="N80" i="11"/>
  <c r="J176" i="11"/>
  <c r="H176" i="11"/>
  <c r="D177" i="11"/>
  <c r="J178" i="11"/>
  <c r="L181" i="11"/>
  <c r="J181" i="11"/>
  <c r="H181" i="11"/>
  <c r="T145" i="11"/>
  <c r="L177" i="11"/>
  <c r="J177" i="11"/>
  <c r="H177" i="11"/>
  <c r="T181" i="11"/>
  <c r="S181" i="11"/>
  <c r="N14" i="11"/>
  <c r="L160" i="11"/>
  <c r="C162" i="11"/>
  <c r="B181" i="11"/>
  <c r="T167" i="11"/>
  <c r="B141" i="11"/>
  <c r="L144" i="11"/>
  <c r="J144" i="11"/>
  <c r="H144" i="11"/>
  <c r="D145" i="11"/>
  <c r="N27" i="11"/>
  <c r="C152" i="11"/>
  <c r="C153" i="11"/>
  <c r="B163" i="11"/>
  <c r="N56" i="11"/>
  <c r="J164" i="11"/>
  <c r="D174" i="11"/>
  <c r="B175" i="11"/>
  <c r="L178" i="11"/>
  <c r="L182" i="11"/>
  <c r="B189" i="11"/>
  <c r="L190" i="11"/>
  <c r="H190" i="11"/>
  <c r="J190" i="11"/>
  <c r="W165" i="11"/>
  <c r="U167" i="11"/>
  <c r="N22" i="11"/>
  <c r="B154" i="11"/>
  <c r="N36" i="11"/>
  <c r="N58" i="11"/>
  <c r="N61" i="11"/>
  <c r="N63" i="11"/>
  <c r="U170" i="11"/>
  <c r="T170" i="11"/>
  <c r="S170" i="11"/>
  <c r="T173" i="11"/>
  <c r="S173" i="11"/>
  <c r="L174" i="11"/>
  <c r="U178" i="11"/>
  <c r="T178" i="11"/>
  <c r="S178" i="11"/>
  <c r="U181" i="11"/>
  <c r="J142" i="11"/>
  <c r="L149" i="11"/>
  <c r="J149" i="11"/>
  <c r="H149" i="11"/>
  <c r="C151" i="11"/>
  <c r="D164" i="11"/>
  <c r="C170" i="11"/>
  <c r="B174" i="11"/>
  <c r="N77" i="11"/>
  <c r="U149" i="11"/>
  <c r="T149" i="11"/>
  <c r="S149" i="11"/>
  <c r="N42" i="11"/>
  <c r="H174" i="11"/>
  <c r="J174" i="11"/>
  <c r="H140" i="11"/>
  <c r="B142" i="11"/>
  <c r="B149" i="11"/>
  <c r="J152" i="11"/>
  <c r="N38" i="11"/>
  <c r="B156" i="11"/>
  <c r="N46" i="11"/>
  <c r="N76" i="11"/>
  <c r="U174" i="11"/>
  <c r="T174" i="11"/>
  <c r="S174" i="11"/>
  <c r="J179" i="11"/>
  <c r="L143" i="11"/>
  <c r="J143" i="11"/>
  <c r="H143" i="11"/>
  <c r="D144" i="11"/>
  <c r="T146" i="11"/>
  <c r="B148" i="11"/>
  <c r="L157" i="11"/>
  <c r="J157" i="11"/>
  <c r="H157" i="11"/>
  <c r="C158" i="11"/>
  <c r="C166" i="11"/>
  <c r="L171" i="11"/>
  <c r="U176" i="11"/>
  <c r="T176" i="11"/>
  <c r="S176" i="11"/>
  <c r="W176" i="11" s="1"/>
  <c r="D180" i="11"/>
  <c r="T141" i="11"/>
  <c r="H158" i="11"/>
  <c r="J160" i="11"/>
  <c r="H168" i="11"/>
  <c r="J182" i="11"/>
  <c r="J186" i="11"/>
  <c r="B188" i="11"/>
  <c r="N105" i="11"/>
  <c r="C148" i="11"/>
  <c r="B152" i="11"/>
  <c r="L165" i="11"/>
  <c r="J165" i="11"/>
  <c r="H165" i="11"/>
  <c r="B170" i="11"/>
  <c r="U182" i="11"/>
  <c r="T182" i="11"/>
  <c r="S182" i="11"/>
  <c r="B184" i="11"/>
  <c r="U186" i="11"/>
  <c r="T186" i="11"/>
  <c r="S186" i="11"/>
  <c r="D188" i="11"/>
  <c r="B190" i="11"/>
  <c r="B145" i="11"/>
  <c r="B155" i="11"/>
  <c r="H166" i="11"/>
  <c r="C184" i="11"/>
  <c r="L187" i="11"/>
  <c r="J187" i="11"/>
  <c r="H187" i="11"/>
  <c r="L141" i="11"/>
  <c r="C142" i="11"/>
  <c r="L151" i="11"/>
  <c r="J151" i="11"/>
  <c r="H151" i="11"/>
  <c r="D162" i="11"/>
  <c r="U162" i="11"/>
  <c r="T162" i="11"/>
  <c r="S162" i="11"/>
  <c r="B164" i="11"/>
  <c r="E164" i="11" s="1"/>
  <c r="N79" i="11"/>
  <c r="D184" i="11"/>
  <c r="N99" i="11"/>
  <c r="T161" i="11"/>
  <c r="S177" i="11"/>
  <c r="H188" i="11"/>
  <c r="L145" i="11"/>
  <c r="J145" i="11"/>
  <c r="H145" i="11"/>
  <c r="L175" i="11"/>
  <c r="J175" i="11"/>
  <c r="H175" i="11"/>
  <c r="C176" i="11"/>
  <c r="N97" i="11"/>
  <c r="L189" i="11"/>
  <c r="J189" i="11"/>
  <c r="H189" i="11"/>
  <c r="N113" i="11"/>
  <c r="C192" i="11"/>
  <c r="S180" i="11"/>
  <c r="H185" i="11"/>
  <c r="B186" i="11"/>
  <c r="S188" i="11"/>
  <c r="H191" i="11"/>
  <c r="T180" i="11"/>
  <c r="W180" i="11" s="1"/>
  <c r="J185" i="11"/>
  <c r="T188" i="11"/>
  <c r="U166" i="12"/>
  <c r="T166" i="12"/>
  <c r="J166" i="12"/>
  <c r="H177" i="12"/>
  <c r="L166" i="12"/>
  <c r="H170" i="12"/>
  <c r="S177" i="12"/>
  <c r="S170" i="12"/>
  <c r="J177" i="12"/>
  <c r="B181" i="12"/>
  <c r="U170" i="12"/>
  <c r="T170" i="12"/>
  <c r="W164" i="24"/>
  <c r="L145" i="19"/>
  <c r="J145" i="19"/>
  <c r="N190" i="11"/>
  <c r="N181" i="11"/>
  <c r="B173" i="8"/>
  <c r="C173" i="8"/>
  <c r="N70" i="8"/>
  <c r="B172" i="8"/>
  <c r="N62" i="8"/>
  <c r="B170" i="8"/>
  <c r="D171" i="8"/>
  <c r="N68" i="8"/>
  <c r="N61" i="8"/>
  <c r="N59" i="8"/>
  <c r="C167" i="8"/>
  <c r="N58" i="8"/>
  <c r="D167" i="8"/>
  <c r="B165" i="8"/>
  <c r="C165" i="8"/>
  <c r="N55" i="8"/>
  <c r="N52" i="8"/>
  <c r="N53" i="8"/>
  <c r="D163" i="8"/>
  <c r="C163" i="8"/>
  <c r="N51" i="8"/>
  <c r="N50" i="8"/>
  <c r="N49" i="8"/>
  <c r="B162" i="8"/>
  <c r="N48" i="8"/>
  <c r="N47" i="8"/>
  <c r="D161" i="8"/>
  <c r="N46" i="8"/>
  <c r="N45" i="8"/>
  <c r="N44" i="8"/>
  <c r="C160" i="8"/>
  <c r="B159" i="8"/>
  <c r="N37" i="8"/>
  <c r="N35" i="8"/>
  <c r="N34" i="8"/>
  <c r="D156" i="8"/>
  <c r="N33" i="8"/>
  <c r="N32" i="8"/>
  <c r="D154" i="8"/>
  <c r="N29" i="8"/>
  <c r="C154" i="8"/>
  <c r="N27" i="8"/>
  <c r="B153" i="8"/>
  <c r="D152" i="8"/>
  <c r="C152" i="8"/>
  <c r="N23" i="8"/>
  <c r="C151" i="8"/>
  <c r="N21" i="8"/>
  <c r="B150" i="8"/>
  <c r="N19" i="8"/>
  <c r="C148" i="8"/>
  <c r="N15" i="8"/>
  <c r="N14" i="8"/>
  <c r="B147" i="8"/>
  <c r="C147" i="8"/>
  <c r="N11" i="8"/>
  <c r="N12" i="8"/>
  <c r="C145" i="8"/>
  <c r="N10" i="8"/>
  <c r="N8" i="8"/>
  <c r="N30" i="18"/>
  <c r="T145" i="18"/>
  <c r="L147" i="18"/>
  <c r="N38" i="18"/>
  <c r="N66" i="18"/>
  <c r="B185" i="18"/>
  <c r="H151" i="18"/>
  <c r="N62" i="18"/>
  <c r="S181" i="18"/>
  <c r="T181" i="18"/>
  <c r="N113" i="18"/>
  <c r="C190" i="18"/>
  <c r="H154" i="18"/>
  <c r="U145" i="18"/>
  <c r="L159" i="18"/>
  <c r="U166" i="18"/>
  <c r="S166" i="18"/>
  <c r="W166" i="18" s="1"/>
  <c r="U182" i="18"/>
  <c r="W140" i="18"/>
  <c r="H161" i="18"/>
  <c r="C178" i="18"/>
  <c r="B143" i="18"/>
  <c r="L149" i="18"/>
  <c r="H182" i="18"/>
  <c r="W185" i="18"/>
  <c r="S154" i="18"/>
  <c r="S180" i="18"/>
  <c r="W180" i="18" s="1"/>
  <c r="U180" i="18"/>
  <c r="U169" i="22"/>
  <c r="J169" i="22"/>
  <c r="T151" i="22"/>
  <c r="T173" i="22"/>
  <c r="S181" i="22"/>
  <c r="U189" i="22"/>
  <c r="S183" i="22"/>
  <c r="S190" i="22"/>
  <c r="L175" i="3"/>
  <c r="S182" i="3"/>
  <c r="J177" i="3"/>
  <c r="T167" i="14"/>
  <c r="U167" i="14"/>
  <c r="S167" i="14"/>
  <c r="W167" i="14" s="1"/>
  <c r="N108" i="14"/>
  <c r="B166" i="14"/>
  <c r="C157" i="14"/>
  <c r="D158" i="14"/>
  <c r="N24" i="14"/>
  <c r="C145" i="14"/>
  <c r="B141" i="14"/>
  <c r="C167" i="13"/>
  <c r="L201" i="13"/>
  <c r="N17" i="8"/>
  <c r="N16" i="8"/>
  <c r="B149" i="22"/>
  <c r="J179" i="17"/>
  <c r="R15" i="17"/>
  <c r="H138" i="17" s="1"/>
  <c r="H157" i="19"/>
  <c r="J169" i="19"/>
  <c r="L142" i="19"/>
  <c r="L155" i="19"/>
  <c r="H155" i="19"/>
  <c r="H167" i="19"/>
  <c r="S165" i="19"/>
  <c r="R22" i="19"/>
  <c r="R15" i="19"/>
  <c r="J191" i="11"/>
  <c r="N174" i="11"/>
  <c r="C180" i="11"/>
  <c r="C181" i="11"/>
  <c r="B176" i="11"/>
  <c r="C173" i="11"/>
  <c r="N68" i="11"/>
  <c r="J122" i="26"/>
  <c r="S127" i="26"/>
  <c r="N45" i="26"/>
  <c r="B149" i="26"/>
  <c r="D138" i="26"/>
  <c r="T141" i="26"/>
  <c r="D128" i="26"/>
  <c r="T116" i="26"/>
  <c r="S116" i="26"/>
  <c r="U116" i="26"/>
  <c r="L146" i="26"/>
  <c r="L133" i="26"/>
  <c r="U146" i="26"/>
  <c r="T146" i="26"/>
  <c r="N77" i="26"/>
  <c r="S126" i="26"/>
  <c r="B126" i="26"/>
  <c r="T135" i="26"/>
  <c r="C135" i="26"/>
  <c r="U135" i="26"/>
  <c r="N66" i="26"/>
  <c r="S140" i="26"/>
  <c r="D122" i="26"/>
  <c r="S119" i="26"/>
  <c r="U119" i="26"/>
  <c r="T119" i="26"/>
  <c r="J119" i="26"/>
  <c r="B139" i="26"/>
  <c r="S139" i="26"/>
  <c r="U143" i="26"/>
  <c r="B116" i="26"/>
  <c r="T147" i="26"/>
  <c r="S147" i="26"/>
  <c r="S136" i="26"/>
  <c r="W136" i="26" s="1"/>
  <c r="B140" i="16"/>
  <c r="U145" i="16"/>
  <c r="T138" i="16"/>
  <c r="U129" i="16"/>
  <c r="T152" i="16"/>
  <c r="T147" i="16"/>
  <c r="T142" i="16"/>
  <c r="L145" i="16"/>
  <c r="T141" i="16"/>
  <c r="S142" i="16"/>
  <c r="U142" i="16"/>
  <c r="U133" i="16"/>
  <c r="T133" i="16"/>
  <c r="S133" i="16"/>
  <c r="T122" i="16"/>
  <c r="J134" i="16"/>
  <c r="D155" i="16"/>
  <c r="T131" i="16"/>
  <c r="S149" i="16"/>
  <c r="S151" i="16"/>
  <c r="S152" i="16"/>
  <c r="W135" i="26"/>
  <c r="U181" i="5"/>
  <c r="N114" i="9"/>
  <c r="N116" i="9"/>
  <c r="N129" i="9"/>
  <c r="U193" i="9"/>
  <c r="U150" i="9"/>
  <c r="U188" i="9"/>
  <c r="N26" i="9"/>
  <c r="H188" i="9"/>
  <c r="N43" i="9"/>
  <c r="S169" i="9"/>
  <c r="U169" i="9"/>
  <c r="H169" i="9"/>
  <c r="J179" i="9"/>
  <c r="S173" i="9"/>
  <c r="C180" i="9"/>
  <c r="T180" i="9"/>
  <c r="L182" i="9"/>
  <c r="T157" i="9"/>
  <c r="U162" i="9"/>
  <c r="T182" i="9"/>
  <c r="S182" i="9"/>
  <c r="T185" i="9"/>
  <c r="U185" i="9"/>
  <c r="S185" i="9"/>
  <c r="H187" i="9"/>
  <c r="N68" i="9"/>
  <c r="H192" i="9"/>
  <c r="N82" i="9"/>
  <c r="T177" i="9"/>
  <c r="B156" i="9"/>
  <c r="N44" i="9"/>
  <c r="T197" i="9"/>
  <c r="U197" i="9"/>
  <c r="H152" i="9"/>
  <c r="S172" i="9"/>
  <c r="U152" i="16"/>
  <c r="W186" i="22"/>
  <c r="W158" i="22"/>
  <c r="T153" i="22"/>
  <c r="T178" i="22"/>
  <c r="U178" i="22"/>
  <c r="S178" i="22"/>
  <c r="L181" i="22"/>
  <c r="J181" i="22"/>
  <c r="S175" i="22"/>
  <c r="T175" i="22"/>
  <c r="C171" i="22"/>
  <c r="U175" i="22"/>
  <c r="S163" i="22"/>
  <c r="S191" i="22"/>
  <c r="T191" i="22"/>
  <c r="H175" i="22"/>
  <c r="B192" i="22"/>
  <c r="N28" i="22"/>
  <c r="L168" i="22"/>
  <c r="W200" i="22"/>
  <c r="B159" i="22"/>
  <c r="W198" i="22"/>
  <c r="L199" i="22"/>
  <c r="J191" i="22"/>
  <c r="J187" i="22"/>
  <c r="H180" i="22"/>
  <c r="L172" i="22"/>
  <c r="J180" i="22"/>
  <c r="T181" i="23"/>
  <c r="W181" i="23" s="1"/>
  <c r="U175" i="14"/>
  <c r="U93" i="28"/>
  <c r="D90" i="28"/>
  <c r="J94" i="37"/>
  <c r="H90" i="37"/>
  <c r="H86" i="37"/>
  <c r="S83" i="34"/>
  <c r="U90" i="34"/>
  <c r="L100" i="37"/>
  <c r="S100" i="37"/>
  <c r="S101" i="37"/>
  <c r="D100" i="37"/>
  <c r="L90" i="37"/>
  <c r="L86" i="37"/>
  <c r="H100" i="37"/>
  <c r="J98" i="37"/>
  <c r="J90" i="37"/>
  <c r="J86" i="37"/>
  <c r="U101" i="37"/>
  <c r="S96" i="38"/>
  <c r="W82" i="37"/>
  <c r="N52" i="29"/>
  <c r="N13" i="29"/>
  <c r="N35" i="29"/>
  <c r="N41" i="29"/>
  <c r="N10" i="29"/>
  <c r="N33" i="29"/>
  <c r="N24" i="29"/>
  <c r="N11" i="29"/>
  <c r="N36" i="29"/>
  <c r="N32" i="29"/>
  <c r="N27" i="29"/>
  <c r="N18" i="29"/>
  <c r="N16" i="29"/>
  <c r="N14" i="29"/>
  <c r="B95" i="37"/>
  <c r="H92" i="37"/>
  <c r="C84" i="37"/>
  <c r="U84" i="37"/>
  <c r="T72" i="30"/>
  <c r="U78" i="30"/>
  <c r="N28" i="31"/>
  <c r="N13" i="31"/>
  <c r="N22" i="31"/>
  <c r="N27" i="31"/>
  <c r="N31" i="31"/>
  <c r="T93" i="34"/>
  <c r="T86" i="34"/>
  <c r="S86" i="34"/>
  <c r="H87" i="34"/>
  <c r="D85" i="34"/>
  <c r="U85" i="34"/>
  <c r="S78" i="34"/>
  <c r="T74" i="34"/>
  <c r="U88" i="34"/>
  <c r="L79" i="34"/>
  <c r="W81" i="34"/>
  <c r="U126" i="35"/>
  <c r="S126" i="35"/>
  <c r="N74" i="35"/>
  <c r="T113" i="35"/>
  <c r="S87" i="38"/>
  <c r="U87" i="38"/>
  <c r="T87" i="38"/>
  <c r="S96" i="37"/>
  <c r="U96" i="37"/>
  <c r="T96" i="37"/>
  <c r="U150" i="16"/>
  <c r="C150" i="16"/>
  <c r="S150" i="16"/>
  <c r="H136" i="16"/>
  <c r="T69" i="30"/>
  <c r="U77" i="30"/>
  <c r="L78" i="30"/>
  <c r="U68" i="30"/>
  <c r="D136" i="25"/>
  <c r="N98" i="19"/>
  <c r="N50" i="19"/>
  <c r="B161" i="19"/>
  <c r="T152" i="19"/>
  <c r="S152" i="19"/>
  <c r="J154" i="13"/>
  <c r="H154" i="13"/>
  <c r="H156" i="13"/>
  <c r="D76" i="31"/>
  <c r="B75" i="31"/>
  <c r="B76" i="31"/>
  <c r="N6" i="8"/>
  <c r="B148" i="2"/>
  <c r="N6" i="24"/>
  <c r="D148" i="12"/>
  <c r="J143" i="12"/>
  <c r="J178" i="12"/>
  <c r="H143" i="12"/>
  <c r="L146" i="12"/>
  <c r="L155" i="12"/>
  <c r="U174" i="12"/>
  <c r="J182" i="12"/>
  <c r="S179" i="12"/>
  <c r="B160" i="5"/>
  <c r="C162" i="5"/>
  <c r="C163" i="5"/>
  <c r="J161" i="5"/>
  <c r="J149" i="5"/>
  <c r="J145" i="5"/>
  <c r="L142" i="5"/>
  <c r="S170" i="5"/>
  <c r="T143" i="5"/>
  <c r="L161" i="5"/>
  <c r="J155" i="5"/>
  <c r="B144" i="5"/>
  <c r="T151" i="5"/>
  <c r="J146" i="5"/>
  <c r="D172" i="5"/>
  <c r="L149" i="5"/>
  <c r="C154" i="5"/>
  <c r="C161" i="5"/>
  <c r="D162" i="5"/>
  <c r="L175" i="5"/>
  <c r="L171" i="5"/>
  <c r="J142" i="5"/>
  <c r="L162" i="5"/>
  <c r="H184" i="5"/>
  <c r="J172" i="5"/>
  <c r="D146" i="5"/>
  <c r="T159" i="5"/>
  <c r="L169" i="5"/>
  <c r="N16" i="5"/>
  <c r="H185" i="5"/>
  <c r="D153" i="5"/>
  <c r="N14" i="5"/>
  <c r="H171" i="5"/>
  <c r="S158" i="5"/>
  <c r="T158" i="5"/>
  <c r="N10" i="5"/>
  <c r="W153" i="5"/>
  <c r="H153" i="5"/>
  <c r="J153" i="5"/>
  <c r="H176" i="5"/>
  <c r="B141" i="5"/>
  <c r="C164" i="5"/>
  <c r="D150" i="5"/>
  <c r="N42" i="5"/>
  <c r="W145" i="5"/>
  <c r="H143" i="5"/>
  <c r="W188" i="5"/>
  <c r="J173" i="5"/>
  <c r="W165" i="5"/>
  <c r="J165" i="5"/>
  <c r="C177" i="5"/>
  <c r="T147" i="5"/>
  <c r="L153" i="5"/>
  <c r="B149" i="5"/>
  <c r="U137" i="5"/>
  <c r="L151" i="5"/>
  <c r="H151" i="5"/>
  <c r="H147" i="5"/>
  <c r="L147" i="5"/>
  <c r="J176" i="5"/>
  <c r="N100" i="5"/>
  <c r="N33" i="5"/>
  <c r="L172" i="5"/>
  <c r="B151" i="5"/>
  <c r="N71" i="5"/>
  <c r="N53" i="5"/>
  <c r="N59" i="5"/>
  <c r="D161" i="5"/>
  <c r="U147" i="5"/>
  <c r="B139" i="5"/>
  <c r="U158" i="5"/>
  <c r="L165" i="5"/>
  <c r="H164" i="5"/>
  <c r="J168" i="5"/>
  <c r="H168" i="5"/>
  <c r="S138" i="5"/>
  <c r="T138" i="5"/>
  <c r="W172" i="5"/>
  <c r="C158" i="5"/>
  <c r="N62" i="5"/>
  <c r="C149" i="5"/>
  <c r="W154" i="5"/>
  <c r="W150" i="5"/>
  <c r="L146" i="5"/>
  <c r="W146" i="5"/>
  <c r="J143" i="5"/>
  <c r="S157" i="5"/>
  <c r="S165" i="5"/>
  <c r="T162" i="5"/>
  <c r="H162" i="5"/>
  <c r="J184" i="5"/>
  <c r="N184" i="5" s="1"/>
  <c r="J178" i="5"/>
  <c r="U170" i="5"/>
  <c r="U165" i="5"/>
  <c r="U157" i="5"/>
  <c r="L140" i="5"/>
  <c r="J182" i="5"/>
  <c r="S143" i="5"/>
  <c r="S159" i="5"/>
  <c r="H177" i="5"/>
  <c r="J169" i="5"/>
  <c r="C159" i="5"/>
  <c r="B179" i="5"/>
  <c r="N153" i="5"/>
  <c r="T188" i="3"/>
  <c r="S188" i="3"/>
  <c r="S184" i="3"/>
  <c r="N64" i="3"/>
  <c r="S169" i="3"/>
  <c r="D189" i="3"/>
  <c r="N52" i="3"/>
  <c r="B153" i="3"/>
  <c r="B156" i="3"/>
  <c r="L168" i="3"/>
  <c r="W168" i="3"/>
  <c r="C159" i="3"/>
  <c r="S178" i="3"/>
  <c r="U178" i="3"/>
  <c r="J167" i="3"/>
  <c r="D179" i="3"/>
  <c r="L158" i="3"/>
  <c r="J158" i="3"/>
  <c r="H158" i="3"/>
  <c r="N16" i="3"/>
  <c r="K109" i="3"/>
  <c r="T189" i="3"/>
  <c r="D157" i="3"/>
  <c r="U184" i="3"/>
  <c r="S172" i="3"/>
  <c r="T172" i="3"/>
  <c r="N117" i="5"/>
  <c r="U184" i="15"/>
  <c r="L169" i="15"/>
  <c r="J157" i="15"/>
  <c r="W152" i="15"/>
  <c r="S149" i="15"/>
  <c r="U149" i="15"/>
  <c r="U181" i="15"/>
  <c r="S183" i="15"/>
  <c r="U191" i="15"/>
  <c r="H150" i="15"/>
  <c r="W169" i="15"/>
  <c r="B197" i="15"/>
  <c r="S184" i="15"/>
  <c r="W184" i="15" s="1"/>
  <c r="S179" i="15"/>
  <c r="S179" i="14"/>
  <c r="T179" i="14"/>
  <c r="N59" i="14"/>
  <c r="N12" i="14"/>
  <c r="B174" i="14"/>
  <c r="N9" i="14"/>
  <c r="W143" i="14"/>
  <c r="W159" i="14"/>
  <c r="B164" i="14"/>
  <c r="N64" i="14"/>
  <c r="N61" i="14"/>
  <c r="B158" i="14"/>
  <c r="N51" i="14"/>
  <c r="N40" i="14"/>
  <c r="B150" i="14"/>
  <c r="J160" i="14"/>
  <c r="T169" i="14"/>
  <c r="J169" i="14"/>
  <c r="S169" i="14"/>
  <c r="J152" i="14"/>
  <c r="L152" i="14"/>
  <c r="N69" i="14"/>
  <c r="N35" i="14"/>
  <c r="D167" i="14"/>
  <c r="B170" i="14"/>
  <c r="N82" i="14"/>
  <c r="U177" i="14"/>
  <c r="T177" i="14"/>
  <c r="L168" i="14"/>
  <c r="N48" i="14"/>
  <c r="N38" i="14"/>
  <c r="N34" i="14"/>
  <c r="W166" i="14"/>
  <c r="W158" i="14"/>
  <c r="W150" i="14"/>
  <c r="W142" i="14"/>
  <c r="W138" i="14"/>
  <c r="D179" i="14"/>
  <c r="C181" i="14"/>
  <c r="D166" i="14"/>
  <c r="D162" i="14"/>
  <c r="C161" i="14"/>
  <c r="N53" i="14"/>
  <c r="L190" i="14"/>
  <c r="J182" i="14"/>
  <c r="J174" i="14"/>
  <c r="J170" i="14"/>
  <c r="H166" i="14"/>
  <c r="J147" i="14"/>
  <c r="J140" i="14"/>
  <c r="D170" i="14"/>
  <c r="D177" i="14"/>
  <c r="B181" i="14"/>
  <c r="B182" i="14"/>
  <c r="B188" i="14"/>
  <c r="C151" i="14"/>
  <c r="N31" i="14"/>
  <c r="C144" i="14"/>
  <c r="N16" i="14"/>
  <c r="C140" i="14"/>
  <c r="B138" i="14"/>
  <c r="W160" i="14"/>
  <c r="T181" i="14"/>
  <c r="N7" i="14"/>
  <c r="D176" i="14"/>
  <c r="C179" i="14"/>
  <c r="B180" i="14"/>
  <c r="H173" i="14"/>
  <c r="W186" i="14"/>
  <c r="T180" i="14"/>
  <c r="J185" i="14"/>
  <c r="W137" i="14"/>
  <c r="N90" i="14"/>
  <c r="N95" i="14"/>
  <c r="C154" i="14"/>
  <c r="D153" i="14"/>
  <c r="B142" i="14"/>
  <c r="L181" i="14"/>
  <c r="L161" i="14"/>
  <c r="D137" i="14"/>
  <c r="N94" i="14"/>
  <c r="N54" i="14"/>
  <c r="B154" i="14"/>
  <c r="N28" i="14"/>
  <c r="H176" i="14"/>
  <c r="J168" i="14"/>
  <c r="H164" i="14"/>
  <c r="J156" i="14"/>
  <c r="H152" i="14"/>
  <c r="L149" i="14"/>
  <c r="J145" i="14"/>
  <c r="L141" i="14"/>
  <c r="S180" i="14"/>
  <c r="W151" i="14"/>
  <c r="H181" i="14"/>
  <c r="L139" i="14"/>
  <c r="N70" i="14"/>
  <c r="N96" i="14"/>
  <c r="C180" i="14"/>
  <c r="N56" i="14"/>
  <c r="N36" i="14"/>
  <c r="D150" i="14"/>
  <c r="L138" i="14"/>
  <c r="W146" i="14"/>
  <c r="W154" i="14"/>
  <c r="W162" i="14"/>
  <c r="H147" i="14"/>
  <c r="L172" i="14"/>
  <c r="L147" i="14"/>
  <c r="N21" i="14"/>
  <c r="N32" i="14"/>
  <c r="C156" i="14"/>
  <c r="T173" i="14"/>
  <c r="U173" i="14"/>
  <c r="N97" i="14"/>
  <c r="N41" i="14"/>
  <c r="C147" i="14"/>
  <c r="N13" i="14"/>
  <c r="N11" i="14"/>
  <c r="H151" i="14"/>
  <c r="W139" i="14"/>
  <c r="W147" i="14"/>
  <c r="W155" i="14"/>
  <c r="W163" i="14"/>
  <c r="S173" i="14"/>
  <c r="L170" i="14"/>
  <c r="L145" i="14"/>
  <c r="H186" i="14"/>
  <c r="L186" i="14"/>
  <c r="H178" i="14"/>
  <c r="L178" i="14"/>
  <c r="J178" i="14"/>
  <c r="J154" i="14"/>
  <c r="B172" i="14"/>
  <c r="D172" i="14"/>
  <c r="N58" i="14"/>
  <c r="J150" i="14"/>
  <c r="U172" i="14"/>
  <c r="H174" i="14"/>
  <c r="C178" i="14"/>
  <c r="C174" i="14"/>
  <c r="B187" i="14"/>
  <c r="N62" i="14"/>
  <c r="D163" i="14"/>
  <c r="N27" i="14"/>
  <c r="D143" i="14"/>
  <c r="W189" i="14"/>
  <c r="H190" i="14"/>
  <c r="J183" i="14"/>
  <c r="L174" i="14"/>
  <c r="H140" i="14"/>
  <c r="B161" i="14"/>
  <c r="C177" i="14"/>
  <c r="D169" i="14"/>
  <c r="D171" i="14"/>
  <c r="N78" i="14"/>
  <c r="N81" i="14"/>
  <c r="N106" i="14"/>
  <c r="B185" i="14"/>
  <c r="C143" i="14"/>
  <c r="J188" i="14"/>
  <c r="L188" i="14"/>
  <c r="H188" i="14"/>
  <c r="J184" i="14"/>
  <c r="H184" i="14"/>
  <c r="L184" i="14"/>
  <c r="J180" i="14"/>
  <c r="L180" i="14"/>
  <c r="J176" i="14"/>
  <c r="L176" i="14"/>
  <c r="J172" i="14"/>
  <c r="H149" i="14"/>
  <c r="J149" i="14"/>
  <c r="N149" i="14" s="1"/>
  <c r="C148" i="14"/>
  <c r="J190" i="14"/>
  <c r="L173" i="14"/>
  <c r="L164" i="14"/>
  <c r="L156" i="14"/>
  <c r="L140" i="14"/>
  <c r="N140" i="14" s="1"/>
  <c r="H182" i="14"/>
  <c r="L182" i="14"/>
  <c r="N182" i="14" s="1"/>
  <c r="J166" i="14"/>
  <c r="L166" i="14"/>
  <c r="J186" i="14"/>
  <c r="N186" i="14" s="1"/>
  <c r="B144" i="14"/>
  <c r="N66" i="14"/>
  <c r="B165" i="14"/>
  <c r="N46" i="14"/>
  <c r="N15" i="14"/>
  <c r="C141" i="14"/>
  <c r="J158" i="14"/>
  <c r="J143" i="14"/>
  <c r="H170" i="14"/>
  <c r="B179" i="14"/>
  <c r="E179" i="14" s="1"/>
  <c r="N85" i="14"/>
  <c r="N105" i="14"/>
  <c r="D160" i="14"/>
  <c r="N50" i="14"/>
  <c r="C150" i="14"/>
  <c r="N8" i="14"/>
  <c r="B155" i="14"/>
  <c r="N100" i="14"/>
  <c r="N71" i="14"/>
  <c r="N79" i="14"/>
  <c r="S175" i="14"/>
  <c r="B175" i="14"/>
  <c r="S176" i="14"/>
  <c r="U176" i="14"/>
  <c r="N104" i="14"/>
  <c r="B184" i="14"/>
  <c r="B153" i="14"/>
  <c r="B145" i="14"/>
  <c r="N19" i="14"/>
  <c r="B143" i="14"/>
  <c r="H160" i="14"/>
  <c r="C172" i="14"/>
  <c r="H145" i="14"/>
  <c r="H168" i="14"/>
  <c r="H138" i="14"/>
  <c r="J173" i="14"/>
  <c r="J164" i="14"/>
  <c r="N164" i="14" s="1"/>
  <c r="T168" i="14"/>
  <c r="H143" i="14"/>
  <c r="H153" i="14"/>
  <c r="J161" i="14"/>
  <c r="N117" i="14"/>
  <c r="H146" i="14"/>
  <c r="J139" i="14"/>
  <c r="N139" i="14" s="1"/>
  <c r="U169" i="14"/>
  <c r="H150" i="14"/>
  <c r="L158" i="14"/>
  <c r="L154" i="14"/>
  <c r="L150" i="14"/>
  <c r="L146" i="14"/>
  <c r="L142" i="14"/>
  <c r="J191" i="14"/>
  <c r="S177" i="14"/>
  <c r="W177" i="14" s="1"/>
  <c r="H154" i="14"/>
  <c r="B190" i="14"/>
  <c r="B191" i="14"/>
  <c r="H191" i="14"/>
  <c r="T191" i="14"/>
  <c r="S191" i="14"/>
  <c r="U191" i="14"/>
  <c r="L202" i="15"/>
  <c r="W176" i="14"/>
  <c r="H190" i="18"/>
  <c r="J149" i="18"/>
  <c r="B151" i="18"/>
  <c r="T151" i="18"/>
  <c r="S151" i="18"/>
  <c r="U151" i="18"/>
  <c r="L189" i="18"/>
  <c r="S142" i="18"/>
  <c r="N17" i="18"/>
  <c r="B144" i="18"/>
  <c r="N80" i="18"/>
  <c r="B174" i="18"/>
  <c r="U176" i="18"/>
  <c r="T176" i="18"/>
  <c r="C176" i="18"/>
  <c r="B180" i="18"/>
  <c r="B150" i="18"/>
  <c r="H187" i="18"/>
  <c r="L157" i="18"/>
  <c r="C142" i="18"/>
  <c r="B164" i="18"/>
  <c r="N60" i="18"/>
  <c r="N69" i="18"/>
  <c r="D172" i="18"/>
  <c r="N78" i="18"/>
  <c r="N88" i="18"/>
  <c r="J182" i="18"/>
  <c r="C189" i="18"/>
  <c r="S176" i="18"/>
  <c r="N107" i="18"/>
  <c r="H148" i="18"/>
  <c r="U142" i="18"/>
  <c r="L169" i="18"/>
  <c r="J169" i="18"/>
  <c r="S182" i="18"/>
  <c r="T182" i="18"/>
  <c r="N6" i="18"/>
  <c r="S174" i="18"/>
  <c r="L149" i="21"/>
  <c r="J149" i="21"/>
  <c r="T163" i="21"/>
  <c r="L155" i="21"/>
  <c r="U179" i="21"/>
  <c r="B149" i="21"/>
  <c r="T179" i="21"/>
  <c r="H138" i="21"/>
  <c r="N96" i="21"/>
  <c r="L180" i="21"/>
  <c r="J180" i="21"/>
  <c r="D180" i="21"/>
  <c r="U163" i="21"/>
  <c r="N64" i="21"/>
  <c r="B163" i="21"/>
  <c r="N24" i="21"/>
  <c r="J147" i="21"/>
  <c r="H149" i="21"/>
  <c r="H150" i="21"/>
  <c r="J173" i="21"/>
  <c r="U132" i="21"/>
  <c r="B166" i="22"/>
  <c r="B187" i="22"/>
  <c r="H185" i="22"/>
  <c r="J155" i="22"/>
  <c r="W153" i="22"/>
  <c r="N56" i="22"/>
  <c r="J185" i="22"/>
  <c r="S179" i="22"/>
  <c r="W179" i="22" s="1"/>
  <c r="U179" i="22"/>
  <c r="H193" i="22"/>
  <c r="L193" i="22"/>
  <c r="B147" i="22"/>
  <c r="S157" i="22"/>
  <c r="U157" i="22"/>
  <c r="T181" i="22"/>
  <c r="U181" i="22"/>
  <c r="T190" i="22"/>
  <c r="H154" i="22"/>
  <c r="H199" i="22"/>
  <c r="H191" i="22"/>
  <c r="L191" i="22"/>
  <c r="L195" i="22"/>
  <c r="S169" i="22"/>
  <c r="W169" i="22" s="1"/>
  <c r="B176" i="22"/>
  <c r="H147" i="22"/>
  <c r="S143" i="16"/>
  <c r="L148" i="16"/>
  <c r="U143" i="16"/>
  <c r="N63" i="16"/>
  <c r="T151" i="16"/>
  <c r="T137" i="16"/>
  <c r="L153" i="16"/>
  <c r="L152" i="16"/>
  <c r="L136" i="16"/>
  <c r="D142" i="16"/>
  <c r="T143" i="16"/>
  <c r="J153" i="16"/>
  <c r="H145" i="16"/>
  <c r="T129" i="16"/>
  <c r="T123" i="16"/>
  <c r="J121" i="16"/>
  <c r="D133" i="16"/>
  <c r="C151" i="16"/>
  <c r="D132" i="16"/>
  <c r="H148" i="16"/>
  <c r="C133" i="16"/>
  <c r="U123" i="16"/>
  <c r="D124" i="16"/>
  <c r="N45" i="16"/>
  <c r="H152" i="16"/>
  <c r="N17" i="16"/>
  <c r="B136" i="16"/>
  <c r="C138" i="16"/>
  <c r="J145" i="16"/>
  <c r="H144" i="16"/>
  <c r="L144" i="16"/>
  <c r="J144" i="16"/>
  <c r="J155" i="16"/>
  <c r="B121" i="16"/>
  <c r="J128" i="16"/>
  <c r="L140" i="16"/>
  <c r="T144" i="16"/>
  <c r="U144" i="16"/>
  <c r="S144" i="16"/>
  <c r="D149" i="16"/>
  <c r="B147" i="16"/>
  <c r="T120" i="16"/>
  <c r="U120" i="16"/>
  <c r="S120" i="16"/>
  <c r="B120" i="16"/>
  <c r="D123" i="16"/>
  <c r="U141" i="16"/>
  <c r="S141" i="16"/>
  <c r="C143" i="16"/>
  <c r="N84" i="16"/>
  <c r="W150" i="16"/>
  <c r="L135" i="16"/>
  <c r="B139" i="16"/>
  <c r="D120" i="16"/>
  <c r="E120" i="16" s="1"/>
  <c r="U135" i="16"/>
  <c r="S135" i="16"/>
  <c r="N54" i="16"/>
  <c r="U124" i="16"/>
  <c r="S124" i="16"/>
  <c r="T124" i="16"/>
  <c r="T127" i="16"/>
  <c r="U127" i="16"/>
  <c r="L141" i="16"/>
  <c r="H141" i="16"/>
  <c r="J141" i="16"/>
  <c r="H149" i="16"/>
  <c r="U149" i="16"/>
  <c r="T149" i="16"/>
  <c r="J149" i="16"/>
  <c r="S127" i="16"/>
  <c r="W127" i="16" s="1"/>
  <c r="B138" i="16"/>
  <c r="J120" i="16"/>
  <c r="N32" i="16"/>
  <c r="H134" i="16"/>
  <c r="S146" i="16"/>
  <c r="H120" i="16"/>
  <c r="U138" i="16"/>
  <c r="W138" i="16" s="1"/>
  <c r="U148" i="16"/>
  <c r="W148" i="16" s="1"/>
  <c r="J135" i="16"/>
  <c r="H140" i="16"/>
  <c r="B151" i="16"/>
  <c r="U134" i="16"/>
  <c r="S139" i="16"/>
  <c r="B152" i="16"/>
  <c r="D154" i="16"/>
  <c r="C84" i="32"/>
  <c r="J81" i="32"/>
  <c r="J77" i="32"/>
  <c r="N19" i="32"/>
  <c r="N46" i="32"/>
  <c r="H91" i="32"/>
  <c r="J74" i="32"/>
  <c r="N35" i="32"/>
  <c r="H74" i="32"/>
  <c r="N9" i="32"/>
  <c r="L91" i="32"/>
  <c r="L87" i="32"/>
  <c r="L79" i="32"/>
  <c r="L85" i="32"/>
  <c r="J75" i="32"/>
  <c r="J97" i="29"/>
  <c r="H89" i="29"/>
  <c r="H100" i="29"/>
  <c r="L100" i="29"/>
  <c r="J93" i="29"/>
  <c r="L83" i="29"/>
  <c r="H95" i="29"/>
  <c r="T81" i="38"/>
  <c r="U81" i="38"/>
  <c r="S91" i="38"/>
  <c r="S116" i="36"/>
  <c r="U110" i="36"/>
  <c r="U114" i="36"/>
  <c r="S98" i="36"/>
  <c r="N52" i="35"/>
  <c r="H108" i="35"/>
  <c r="N39" i="35"/>
  <c r="N28" i="35"/>
  <c r="J113" i="35"/>
  <c r="D112" i="35"/>
  <c r="T116" i="35"/>
  <c r="H119" i="35"/>
  <c r="J117" i="35"/>
  <c r="T108" i="35"/>
  <c r="S108" i="35"/>
  <c r="U108" i="35"/>
  <c r="L108" i="35"/>
  <c r="C115" i="35"/>
  <c r="N14" i="35"/>
  <c r="J123" i="35"/>
  <c r="M11" i="35"/>
  <c r="D108" i="35" s="1"/>
  <c r="N17" i="35"/>
  <c r="W115" i="35"/>
  <c r="S110" i="35"/>
  <c r="B107" i="35"/>
  <c r="W124" i="35"/>
  <c r="U113" i="35"/>
  <c r="L107" i="35"/>
  <c r="B114" i="35"/>
  <c r="L110" i="35"/>
  <c r="N67" i="35"/>
  <c r="N50" i="35"/>
  <c r="J115" i="35"/>
  <c r="N81" i="35"/>
  <c r="T107" i="35"/>
  <c r="N19" i="35"/>
  <c r="C113" i="35"/>
  <c r="N44" i="35"/>
  <c r="J121" i="35"/>
  <c r="N73" i="35"/>
  <c r="N66" i="35"/>
  <c r="W121" i="35"/>
  <c r="B111" i="35"/>
  <c r="N22" i="35"/>
  <c r="N33" i="35"/>
  <c r="L109" i="35"/>
  <c r="L126" i="35"/>
  <c r="B127" i="35"/>
  <c r="N65" i="35"/>
  <c r="N57" i="35"/>
  <c r="C121" i="35"/>
  <c r="D127" i="35"/>
  <c r="D124" i="35"/>
  <c r="W123" i="35"/>
  <c r="C108" i="35"/>
  <c r="N80" i="35"/>
  <c r="B115" i="35"/>
  <c r="L117" i="35"/>
  <c r="N71" i="35"/>
  <c r="N69" i="35"/>
  <c r="W125" i="35"/>
  <c r="H107" i="35"/>
  <c r="N107" i="35" s="1"/>
  <c r="N40" i="35"/>
  <c r="N63" i="35"/>
  <c r="N55" i="35"/>
  <c r="W119" i="35"/>
  <c r="N56" i="32"/>
  <c r="N53" i="32"/>
  <c r="N52" i="32"/>
  <c r="W95" i="32"/>
  <c r="L95" i="32"/>
  <c r="N51" i="32"/>
  <c r="N15" i="32"/>
  <c r="B87" i="32"/>
  <c r="H82" i="32"/>
  <c r="L93" i="32"/>
  <c r="J87" i="32"/>
  <c r="J93" i="32"/>
  <c r="C94" i="32"/>
  <c r="J89" i="32"/>
  <c r="J79" i="32"/>
  <c r="N55" i="32"/>
  <c r="N18" i="32"/>
  <c r="N47" i="32"/>
  <c r="L83" i="32"/>
  <c r="B77" i="32"/>
  <c r="B74" i="32"/>
  <c r="L89" i="32"/>
  <c r="N39" i="32"/>
  <c r="N16" i="35"/>
  <c r="B110" i="35"/>
  <c r="N77" i="35"/>
  <c r="B121" i="35"/>
  <c r="N54" i="35"/>
  <c r="D123" i="35"/>
  <c r="N68" i="35"/>
  <c r="B113" i="35"/>
  <c r="N23" i="35"/>
  <c r="N32" i="35"/>
  <c r="N10" i="35"/>
  <c r="D115" i="35"/>
  <c r="N72" i="35"/>
  <c r="B124" i="35"/>
  <c r="N12" i="35"/>
  <c r="B108" i="35"/>
  <c r="B116" i="35"/>
  <c r="N35" i="35"/>
  <c r="D118" i="35"/>
  <c r="N26" i="35"/>
  <c r="H124" i="35"/>
  <c r="B122" i="35"/>
  <c r="N20" i="35"/>
  <c r="B112" i="35"/>
  <c r="D109" i="35"/>
  <c r="C119" i="35"/>
  <c r="J118" i="35"/>
  <c r="L124" i="35"/>
  <c r="N11" i="35"/>
  <c r="L121" i="35"/>
  <c r="J124" i="35"/>
  <c r="J120" i="35"/>
  <c r="J126" i="35"/>
  <c r="H115" i="35"/>
  <c r="L123" i="35"/>
  <c r="U107" i="35"/>
  <c r="W107" i="35" s="1"/>
  <c r="B125" i="35"/>
  <c r="H126" i="35"/>
  <c r="J127" i="35"/>
  <c r="J110" i="35"/>
  <c r="U116" i="35"/>
  <c r="H117" i="35"/>
  <c r="L8" i="35"/>
  <c r="L127" i="35"/>
  <c r="L115" i="35"/>
  <c r="C107" i="35"/>
  <c r="B99" i="29"/>
  <c r="U174" i="10"/>
  <c r="B90" i="29"/>
  <c r="D89" i="29"/>
  <c r="B88" i="29"/>
  <c r="B93" i="29"/>
  <c r="D92" i="29"/>
  <c r="B91" i="29"/>
  <c r="C80" i="29"/>
  <c r="C96" i="29"/>
  <c r="C98" i="29"/>
  <c r="L80" i="29"/>
  <c r="C90" i="29"/>
  <c r="C88" i="29"/>
  <c r="D81" i="29"/>
  <c r="B80" i="29"/>
  <c r="J80" i="29"/>
  <c r="N53" i="29"/>
  <c r="L86" i="29"/>
  <c r="N61" i="2"/>
  <c r="D159" i="2"/>
  <c r="C180" i="8"/>
  <c r="N98" i="8"/>
  <c r="N86" i="8"/>
  <c r="C184" i="8"/>
  <c r="C182" i="8"/>
  <c r="N82" i="8"/>
  <c r="N78" i="8"/>
  <c r="N77" i="8"/>
  <c r="N84" i="8"/>
  <c r="C176" i="8"/>
  <c r="N75" i="8"/>
  <c r="J193" i="1"/>
  <c r="J182" i="1"/>
  <c r="L158" i="1"/>
  <c r="J140" i="1"/>
  <c r="D167" i="1"/>
  <c r="T167" i="1"/>
  <c r="U167" i="1"/>
  <c r="W172" i="1"/>
  <c r="S175" i="1"/>
  <c r="C181" i="1"/>
  <c r="L167" i="1"/>
  <c r="T148" i="1"/>
  <c r="W142" i="1"/>
  <c r="J167" i="1"/>
  <c r="N56" i="3"/>
  <c r="N19" i="3"/>
  <c r="J192" i="3"/>
  <c r="N48" i="3"/>
  <c r="B195" i="3"/>
  <c r="C154" i="3"/>
  <c r="L169" i="3"/>
  <c r="D185" i="3"/>
  <c r="B174" i="3"/>
  <c r="J175" i="3"/>
  <c r="B183" i="3"/>
  <c r="L109" i="3"/>
  <c r="C191" i="3" s="1"/>
  <c r="C149" i="3"/>
  <c r="N23" i="3"/>
  <c r="W175" i="3"/>
  <c r="W155" i="3"/>
  <c r="D196" i="3"/>
  <c r="U185" i="3"/>
  <c r="D167" i="3"/>
  <c r="N31" i="3"/>
  <c r="W172" i="3"/>
  <c r="L145" i="3"/>
  <c r="S185" i="3"/>
  <c r="W183" i="3"/>
  <c r="N8" i="3"/>
  <c r="J179" i="3"/>
  <c r="H155" i="3"/>
  <c r="H177" i="3"/>
  <c r="C168" i="3"/>
  <c r="C144" i="3"/>
  <c r="L171" i="3"/>
  <c r="C176" i="3"/>
  <c r="C195" i="3"/>
  <c r="B150" i="3"/>
  <c r="L160" i="3"/>
  <c r="T169" i="3"/>
  <c r="B172" i="3"/>
  <c r="C161" i="3"/>
  <c r="D162" i="3"/>
  <c r="N12" i="3"/>
  <c r="W176" i="3"/>
  <c r="N61" i="3"/>
  <c r="B167" i="3"/>
  <c r="N24" i="3"/>
  <c r="W170" i="3"/>
  <c r="W166" i="3"/>
  <c r="J166" i="3"/>
  <c r="H166" i="3"/>
  <c r="N17" i="3"/>
  <c r="B157" i="3"/>
  <c r="B177" i="3"/>
  <c r="L184" i="3"/>
  <c r="T184" i="3"/>
  <c r="L189" i="3"/>
  <c r="W185" i="3"/>
  <c r="L185" i="3"/>
  <c r="H185" i="3"/>
  <c r="N59" i="3"/>
  <c r="C166" i="3"/>
  <c r="L156" i="3"/>
  <c r="W156" i="3"/>
  <c r="J159" i="3"/>
  <c r="S189" i="3"/>
  <c r="U189" i="3"/>
  <c r="W189" i="3"/>
  <c r="H148" i="3"/>
  <c r="L148" i="3"/>
  <c r="S177" i="3"/>
  <c r="B142" i="3"/>
  <c r="N10" i="3"/>
  <c r="D166" i="3"/>
  <c r="D181" i="3"/>
  <c r="N41" i="3"/>
  <c r="J194" i="3"/>
  <c r="W191" i="3"/>
  <c r="W187" i="3"/>
  <c r="L187" i="3"/>
  <c r="J183" i="3"/>
  <c r="H162" i="3"/>
  <c r="D187" i="3"/>
  <c r="L195" i="3"/>
  <c r="L173" i="3"/>
  <c r="U173" i="3"/>
  <c r="T173" i="3"/>
  <c r="S173" i="3"/>
  <c r="B148" i="3"/>
  <c r="L176" i="3"/>
  <c r="J152" i="3"/>
  <c r="D174" i="3"/>
  <c r="N105" i="3"/>
  <c r="N43" i="3"/>
  <c r="N21" i="3"/>
  <c r="J171" i="3"/>
  <c r="W171" i="3"/>
  <c r="H171" i="3"/>
  <c r="J150" i="3"/>
  <c r="L150" i="3"/>
  <c r="H147" i="3"/>
  <c r="N120" i="3"/>
  <c r="H172" i="3"/>
  <c r="L165" i="3"/>
  <c r="J174" i="3"/>
  <c r="J191" i="3"/>
  <c r="J176" i="3"/>
  <c r="J155" i="3"/>
  <c r="W152" i="3"/>
  <c r="H183" i="3"/>
  <c r="W179" i="3"/>
  <c r="H157" i="3"/>
  <c r="W192" i="3"/>
  <c r="L179" i="3"/>
  <c r="J153" i="3"/>
  <c r="L194" i="3"/>
  <c r="H87" i="28"/>
  <c r="L87" i="28"/>
  <c r="B81" i="28"/>
  <c r="L198" i="8"/>
  <c r="B84" i="31"/>
  <c r="N44" i="31"/>
  <c r="C84" i="31"/>
  <c r="C80" i="31"/>
  <c r="H84" i="31"/>
  <c r="H83" i="31"/>
  <c r="L83" i="31"/>
  <c r="N21" i="31"/>
  <c r="N12" i="31"/>
  <c r="N41" i="31"/>
  <c r="B86" i="31"/>
  <c r="C71" i="31"/>
  <c r="E71" i="31" s="1"/>
  <c r="H74" i="31"/>
  <c r="H85" i="31"/>
  <c r="J75" i="31"/>
  <c r="D92" i="31"/>
  <c r="B85" i="31"/>
  <c r="N39" i="31"/>
  <c r="C79" i="31"/>
  <c r="L78" i="31"/>
  <c r="L74" i="31"/>
  <c r="J92" i="31"/>
  <c r="N38" i="31"/>
  <c r="H77" i="31"/>
  <c r="H88" i="31"/>
  <c r="J90" i="31"/>
  <c r="N35" i="31"/>
  <c r="H89" i="31"/>
  <c r="L81" i="31"/>
  <c r="B92" i="31"/>
  <c r="N43" i="31"/>
  <c r="H72" i="31"/>
  <c r="H92" i="31"/>
  <c r="S178" i="7"/>
  <c r="T178" i="7"/>
  <c r="U177" i="7"/>
  <c r="W166" i="7"/>
  <c r="H166" i="7"/>
  <c r="W184" i="7"/>
  <c r="N71" i="7"/>
  <c r="U165" i="7"/>
  <c r="S172" i="7"/>
  <c r="T172" i="7"/>
  <c r="U172" i="7"/>
  <c r="U178" i="7"/>
  <c r="W178" i="7"/>
  <c r="S165" i="7"/>
  <c r="H178" i="7"/>
  <c r="D163" i="7"/>
  <c r="B171" i="7"/>
  <c r="S166" i="7"/>
  <c r="T166" i="7"/>
  <c r="U166" i="7"/>
  <c r="B156" i="7"/>
  <c r="S137" i="7"/>
  <c r="U137" i="7"/>
  <c r="B135" i="7"/>
  <c r="L138" i="7"/>
  <c r="T182" i="7"/>
  <c r="U182" i="7"/>
  <c r="H176" i="7"/>
  <c r="W161" i="7"/>
  <c r="H95" i="34"/>
  <c r="J88" i="34"/>
  <c r="S75" i="34"/>
  <c r="H93" i="34"/>
  <c r="D88" i="34"/>
  <c r="J93" i="34"/>
  <c r="L84" i="34"/>
  <c r="U86" i="34"/>
  <c r="S74" i="34"/>
  <c r="W74" i="34" s="1"/>
  <c r="H84" i="34"/>
  <c r="L95" i="34"/>
  <c r="B83" i="34"/>
  <c r="U196" i="10"/>
  <c r="H129" i="35"/>
  <c r="L96" i="34"/>
  <c r="L93" i="31"/>
  <c r="H93" i="31"/>
  <c r="N93" i="31" s="1"/>
  <c r="N60" i="37"/>
  <c r="T83" i="37"/>
  <c r="L80" i="37"/>
  <c r="S99" i="37"/>
  <c r="W99" i="37" s="1"/>
  <c r="C100" i="37"/>
  <c r="H80" i="37"/>
  <c r="T99" i="37"/>
  <c r="H97" i="37"/>
  <c r="S83" i="37"/>
  <c r="S102" i="37"/>
  <c r="T96" i="38"/>
  <c r="W96" i="38" s="1"/>
  <c r="U79" i="38"/>
  <c r="W120" i="36"/>
  <c r="U111" i="36"/>
  <c r="S111" i="36"/>
  <c r="D109" i="36"/>
  <c r="W129" i="35"/>
  <c r="S128" i="35"/>
  <c r="C85" i="34" l="1"/>
  <c r="B90" i="34"/>
  <c r="S88" i="34"/>
  <c r="B94" i="34"/>
  <c r="U94" i="34"/>
  <c r="D83" i="34"/>
  <c r="E83" i="34" s="1"/>
  <c r="S94" i="34"/>
  <c r="C89" i="34"/>
  <c r="N54" i="34"/>
  <c r="J77" i="34"/>
  <c r="J83" i="34"/>
  <c r="H176" i="21"/>
  <c r="L132" i="21"/>
  <c r="N101" i="21"/>
  <c r="N94" i="21"/>
  <c r="S176" i="21"/>
  <c r="T171" i="21"/>
  <c r="N65" i="21"/>
  <c r="L176" i="21"/>
  <c r="N149" i="21"/>
  <c r="S182" i="21"/>
  <c r="B137" i="21"/>
  <c r="C166" i="21"/>
  <c r="W176" i="21"/>
  <c r="L159" i="21"/>
  <c r="U157" i="21"/>
  <c r="N120" i="18"/>
  <c r="W186" i="18"/>
  <c r="N72" i="18"/>
  <c r="D173" i="18"/>
  <c r="B188" i="22"/>
  <c r="L156" i="22"/>
  <c r="N80" i="22"/>
  <c r="H198" i="22"/>
  <c r="J184" i="22"/>
  <c r="L182" i="22"/>
  <c r="L158" i="22"/>
  <c r="H168" i="22"/>
  <c r="L176" i="22"/>
  <c r="H176" i="22"/>
  <c r="N92" i="22"/>
  <c r="N106" i="22"/>
  <c r="N7" i="22"/>
  <c r="J158" i="22"/>
  <c r="J198" i="22"/>
  <c r="C176" i="22"/>
  <c r="N82" i="22"/>
  <c r="H200" i="22"/>
  <c r="H196" i="22"/>
  <c r="H192" i="22"/>
  <c r="H188" i="22"/>
  <c r="H184" i="22"/>
  <c r="L155" i="22"/>
  <c r="J172" i="22"/>
  <c r="B148" i="22"/>
  <c r="C160" i="22"/>
  <c r="L163" i="22"/>
  <c r="D167" i="22"/>
  <c r="B168" i="22"/>
  <c r="N104" i="22"/>
  <c r="N120" i="22"/>
  <c r="L185" i="22"/>
  <c r="J172" i="23"/>
  <c r="U173" i="23"/>
  <c r="D174" i="23"/>
  <c r="C175" i="23"/>
  <c r="H136" i="23"/>
  <c r="L159" i="23"/>
  <c r="J174" i="23"/>
  <c r="N8" i="23"/>
  <c r="N13" i="23"/>
  <c r="L140" i="23"/>
  <c r="H168" i="23"/>
  <c r="W144" i="23"/>
  <c r="W156" i="23"/>
  <c r="B168" i="23"/>
  <c r="D169" i="23"/>
  <c r="J159" i="23"/>
  <c r="N89" i="23"/>
  <c r="N96" i="23"/>
  <c r="H172" i="23"/>
  <c r="N62" i="23"/>
  <c r="C170" i="23"/>
  <c r="N104" i="23"/>
  <c r="C152" i="23"/>
  <c r="H159" i="23"/>
  <c r="D159" i="23"/>
  <c r="N65" i="23"/>
  <c r="H169" i="23"/>
  <c r="N78" i="23"/>
  <c r="W170" i="24"/>
  <c r="T169" i="24"/>
  <c r="W169" i="24" s="1"/>
  <c r="W140" i="24"/>
  <c r="W187" i="24"/>
  <c r="N70" i="24"/>
  <c r="W144" i="24"/>
  <c r="N28" i="24"/>
  <c r="N30" i="24"/>
  <c r="N61" i="24"/>
  <c r="B171" i="24"/>
  <c r="N102" i="24"/>
  <c r="L181" i="24"/>
  <c r="N106" i="24"/>
  <c r="N107" i="24"/>
  <c r="N109" i="24"/>
  <c r="N93" i="24"/>
  <c r="N47" i="24"/>
  <c r="N49" i="24"/>
  <c r="H161" i="24"/>
  <c r="C169" i="24"/>
  <c r="N79" i="24"/>
  <c r="N85" i="24"/>
  <c r="L175" i="24"/>
  <c r="D176" i="24"/>
  <c r="N95" i="24"/>
  <c r="D185" i="24"/>
  <c r="L143" i="25"/>
  <c r="N107" i="25"/>
  <c r="C152" i="25"/>
  <c r="D164" i="25"/>
  <c r="N103" i="25"/>
  <c r="B168" i="25"/>
  <c r="H172" i="25"/>
  <c r="B159" i="25"/>
  <c r="N10" i="25"/>
  <c r="N31" i="25"/>
  <c r="N101" i="25"/>
  <c r="N102" i="25"/>
  <c r="D168" i="25"/>
  <c r="N112" i="25"/>
  <c r="H119" i="26"/>
  <c r="B141" i="26"/>
  <c r="N71" i="26"/>
  <c r="N46" i="26"/>
  <c r="N74" i="26"/>
  <c r="H120" i="26"/>
  <c r="N59" i="26"/>
  <c r="N21" i="26"/>
  <c r="N23" i="26"/>
  <c r="C147" i="26"/>
  <c r="N76" i="26"/>
  <c r="L119" i="26"/>
  <c r="H121" i="26"/>
  <c r="N44" i="26"/>
  <c r="N48" i="26"/>
  <c r="N51" i="26"/>
  <c r="N52" i="26"/>
  <c r="N67" i="26"/>
  <c r="J150" i="26"/>
  <c r="T79" i="38"/>
  <c r="U102" i="37"/>
  <c r="L85" i="37"/>
  <c r="W88" i="37"/>
  <c r="S92" i="37"/>
  <c r="D82" i="37"/>
  <c r="E80" i="37"/>
  <c r="W80" i="37"/>
  <c r="U92" i="37"/>
  <c r="J89" i="37"/>
  <c r="D102" i="37"/>
  <c r="L92" i="37"/>
  <c r="N10" i="37"/>
  <c r="N33" i="37"/>
  <c r="L84" i="37"/>
  <c r="L93" i="37"/>
  <c r="H89" i="37"/>
  <c r="N16" i="37"/>
  <c r="D85" i="37"/>
  <c r="B88" i="37"/>
  <c r="B92" i="37"/>
  <c r="D93" i="37"/>
  <c r="B100" i="37"/>
  <c r="D101" i="37"/>
  <c r="C102" i="37"/>
  <c r="H84" i="37"/>
  <c r="L111" i="36"/>
  <c r="D102" i="36"/>
  <c r="N22" i="36"/>
  <c r="C98" i="36"/>
  <c r="D111" i="36"/>
  <c r="N49" i="36"/>
  <c r="N10" i="16"/>
  <c r="N14" i="16"/>
  <c r="B124" i="16"/>
  <c r="L124" i="16"/>
  <c r="D127" i="16"/>
  <c r="C127" i="16"/>
  <c r="N25" i="16"/>
  <c r="B129" i="16"/>
  <c r="N30" i="16"/>
  <c r="B131" i="16"/>
  <c r="N36" i="16"/>
  <c r="N39" i="16"/>
  <c r="B135" i="16"/>
  <c r="N43" i="16"/>
  <c r="D138" i="16"/>
  <c r="N48" i="16"/>
  <c r="N50" i="16"/>
  <c r="B141" i="16"/>
  <c r="D144" i="16"/>
  <c r="C145" i="16"/>
  <c r="C148" i="16"/>
  <c r="N67" i="16"/>
  <c r="B149" i="16"/>
  <c r="N69" i="16"/>
  <c r="J150" i="16"/>
  <c r="L151" i="16"/>
  <c r="D151" i="16"/>
  <c r="N74" i="16"/>
  <c r="L120" i="16"/>
  <c r="D129" i="16"/>
  <c r="D141" i="16"/>
  <c r="W145" i="16"/>
  <c r="W158" i="16"/>
  <c r="N76" i="16"/>
  <c r="E151" i="16"/>
  <c r="N72" i="16"/>
  <c r="N59" i="16"/>
  <c r="N28" i="16"/>
  <c r="C139" i="16"/>
  <c r="C152" i="16"/>
  <c r="E152" i="16" s="1"/>
  <c r="N80" i="16"/>
  <c r="L150" i="16"/>
  <c r="C128" i="16"/>
  <c r="J124" i="16"/>
  <c r="N21" i="16"/>
  <c r="N52" i="16"/>
  <c r="J132" i="16"/>
  <c r="N136" i="16"/>
  <c r="N38" i="16"/>
  <c r="C135" i="16"/>
  <c r="N44" i="16"/>
  <c r="H124" i="16"/>
  <c r="N124" i="16" s="1"/>
  <c r="C118" i="35"/>
  <c r="D117" i="35"/>
  <c r="S166" i="17"/>
  <c r="N12" i="17"/>
  <c r="N52" i="17"/>
  <c r="H168" i="17"/>
  <c r="N82" i="17"/>
  <c r="N87" i="17"/>
  <c r="N96" i="17"/>
  <c r="N98" i="17"/>
  <c r="H144" i="17"/>
  <c r="H141" i="17"/>
  <c r="H142" i="17"/>
  <c r="N28" i="18"/>
  <c r="B153" i="18"/>
  <c r="D154" i="18"/>
  <c r="N46" i="18"/>
  <c r="N48" i="18"/>
  <c r="N55" i="18"/>
  <c r="N57" i="18"/>
  <c r="B161" i="18"/>
  <c r="N74" i="18"/>
  <c r="N81" i="18"/>
  <c r="N84" i="18"/>
  <c r="D159" i="19"/>
  <c r="N103" i="19"/>
  <c r="N41" i="19"/>
  <c r="N7" i="19"/>
  <c r="H164" i="19"/>
  <c r="N52" i="19"/>
  <c r="J190" i="19"/>
  <c r="N57" i="19"/>
  <c r="N61" i="19"/>
  <c r="J176" i="19"/>
  <c r="D163" i="19"/>
  <c r="T163" i="19"/>
  <c r="D179" i="19"/>
  <c r="W166" i="19"/>
  <c r="W177" i="19"/>
  <c r="L146" i="19"/>
  <c r="C151" i="19"/>
  <c r="B152" i="19"/>
  <c r="N65" i="19"/>
  <c r="N94" i="20"/>
  <c r="D137" i="21"/>
  <c r="N34" i="21"/>
  <c r="N54" i="21"/>
  <c r="N56" i="21"/>
  <c r="N72" i="21"/>
  <c r="C175" i="21"/>
  <c r="N10" i="21"/>
  <c r="N12" i="21"/>
  <c r="J157" i="21"/>
  <c r="H171" i="21"/>
  <c r="L80" i="34"/>
  <c r="H89" i="34"/>
  <c r="J96" i="34"/>
  <c r="D93" i="34"/>
  <c r="H76" i="34"/>
  <c r="N46" i="34"/>
  <c r="J84" i="33"/>
  <c r="N21" i="9"/>
  <c r="N23" i="9"/>
  <c r="N81" i="9"/>
  <c r="D188" i="9"/>
  <c r="B190" i="9"/>
  <c r="S157" i="10"/>
  <c r="N159" i="11"/>
  <c r="N32" i="11"/>
  <c r="D159" i="11"/>
  <c r="J193" i="11"/>
  <c r="N60" i="11"/>
  <c r="N121" i="11"/>
  <c r="N89" i="11"/>
  <c r="N7" i="11"/>
  <c r="B193" i="11"/>
  <c r="N78" i="11"/>
  <c r="D178" i="12"/>
  <c r="B164" i="12"/>
  <c r="N96" i="12"/>
  <c r="N43" i="12"/>
  <c r="N7" i="32"/>
  <c r="W79" i="32"/>
  <c r="C75" i="32"/>
  <c r="H93" i="32"/>
  <c r="H87" i="32"/>
  <c r="J85" i="32"/>
  <c r="C90" i="32"/>
  <c r="N17" i="32"/>
  <c r="L86" i="32"/>
  <c r="H85" i="32"/>
  <c r="N85" i="32" s="1"/>
  <c r="N66" i="13"/>
  <c r="N13" i="13"/>
  <c r="H151" i="13"/>
  <c r="D157" i="13"/>
  <c r="N29" i="13"/>
  <c r="B204" i="13"/>
  <c r="L198" i="13"/>
  <c r="L194" i="13"/>
  <c r="H190" i="13"/>
  <c r="W168" i="13"/>
  <c r="N59" i="13"/>
  <c r="N154" i="13"/>
  <c r="H179" i="13"/>
  <c r="H171" i="13"/>
  <c r="L167" i="13"/>
  <c r="W172" i="13"/>
  <c r="W164" i="13"/>
  <c r="W149" i="13"/>
  <c r="W204" i="13"/>
  <c r="C190" i="14"/>
  <c r="N176" i="14"/>
  <c r="B186" i="14"/>
  <c r="N154" i="14"/>
  <c r="N118" i="14"/>
  <c r="C165" i="14"/>
  <c r="D156" i="14"/>
  <c r="N44" i="14"/>
  <c r="N43" i="14"/>
  <c r="D138" i="14"/>
  <c r="C189" i="14"/>
  <c r="C155" i="14"/>
  <c r="N85" i="15"/>
  <c r="N111" i="15"/>
  <c r="W151" i="15"/>
  <c r="W155" i="15"/>
  <c r="W159" i="15"/>
  <c r="W163" i="15"/>
  <c r="W167" i="15"/>
  <c r="W171" i="15"/>
  <c r="W175" i="15"/>
  <c r="W182" i="15"/>
  <c r="W192" i="15"/>
  <c r="W198" i="15"/>
  <c r="J168" i="15"/>
  <c r="J155" i="15"/>
  <c r="B151" i="15"/>
  <c r="J202" i="15"/>
  <c r="B174" i="15"/>
  <c r="B166" i="15"/>
  <c r="N31" i="15"/>
  <c r="N15" i="15"/>
  <c r="C162" i="15"/>
  <c r="N127" i="8"/>
  <c r="N71" i="8"/>
  <c r="C168" i="8"/>
  <c r="D179" i="8"/>
  <c r="B179" i="8"/>
  <c r="N38" i="8"/>
  <c r="C179" i="8"/>
  <c r="E179" i="8" s="1"/>
  <c r="D159" i="8"/>
  <c r="N64" i="8"/>
  <c r="B167" i="8"/>
  <c r="D168" i="8"/>
  <c r="N122" i="8"/>
  <c r="B164" i="7"/>
  <c r="D185" i="7"/>
  <c r="N20" i="7"/>
  <c r="N48" i="29"/>
  <c r="C87" i="29"/>
  <c r="N51" i="29"/>
  <c r="C83" i="29"/>
  <c r="N88" i="5"/>
  <c r="C145" i="5"/>
  <c r="H161" i="5"/>
  <c r="B172" i="5"/>
  <c r="J141" i="5"/>
  <c r="N56" i="5"/>
  <c r="C173" i="5"/>
  <c r="N95" i="5"/>
  <c r="N106" i="5"/>
  <c r="L139" i="5"/>
  <c r="B140" i="5"/>
  <c r="N116" i="3"/>
  <c r="L155" i="3"/>
  <c r="C133" i="2"/>
  <c r="N6" i="2"/>
  <c r="B158" i="2"/>
  <c r="B159" i="2"/>
  <c r="C141" i="1"/>
  <c r="B175" i="1"/>
  <c r="N124" i="35"/>
  <c r="N144" i="16"/>
  <c r="W142" i="16"/>
  <c r="W139" i="18"/>
  <c r="C167" i="14"/>
  <c r="C168" i="14"/>
  <c r="B169" i="14"/>
  <c r="N76" i="14"/>
  <c r="B178" i="15"/>
  <c r="D182" i="15"/>
  <c r="D184" i="15"/>
  <c r="N73" i="8"/>
  <c r="D176" i="8"/>
  <c r="D178" i="8"/>
  <c r="N81" i="8"/>
  <c r="C185" i="8"/>
  <c r="B187" i="8"/>
  <c r="D168" i="5"/>
  <c r="N74" i="5"/>
  <c r="D170" i="5"/>
  <c r="B171" i="5"/>
  <c r="D173" i="5"/>
  <c r="N99" i="5"/>
  <c r="B171" i="3"/>
  <c r="D176" i="3"/>
  <c r="N79" i="3"/>
  <c r="D183" i="3"/>
  <c r="B169" i="2"/>
  <c r="C175" i="2"/>
  <c r="B173" i="1"/>
  <c r="D188" i="3"/>
  <c r="D183" i="14"/>
  <c r="D178" i="2"/>
  <c r="C190" i="1"/>
  <c r="D193" i="3"/>
  <c r="C186" i="5"/>
  <c r="C194" i="3"/>
  <c r="B188" i="5"/>
  <c r="C188" i="5"/>
  <c r="D160" i="2"/>
  <c r="B151" i="2"/>
  <c r="D152" i="2"/>
  <c r="B155" i="2"/>
  <c r="D156" i="2"/>
  <c r="C139" i="2"/>
  <c r="C143" i="2"/>
  <c r="C147" i="2"/>
  <c r="N44" i="3"/>
  <c r="N15" i="3"/>
  <c r="N15" i="5"/>
  <c r="N18" i="5"/>
  <c r="N20" i="5"/>
  <c r="L176" i="5"/>
  <c r="W168" i="5"/>
  <c r="D159" i="7"/>
  <c r="C140" i="7"/>
  <c r="D165" i="8"/>
  <c r="E165" i="8" s="1"/>
  <c r="N22" i="8"/>
  <c r="N25" i="8"/>
  <c r="H191" i="15"/>
  <c r="H183" i="15"/>
  <c r="L179" i="14"/>
  <c r="J175" i="14"/>
  <c r="J171" i="14"/>
  <c r="D94" i="29"/>
  <c r="B97" i="29"/>
  <c r="D98" i="29"/>
  <c r="N57" i="29"/>
  <c r="N33" i="30"/>
  <c r="B79" i="30"/>
  <c r="N14" i="31"/>
  <c r="D75" i="31"/>
  <c r="D86" i="31"/>
  <c r="B89" i="31"/>
  <c r="D90" i="31"/>
  <c r="C91" i="31"/>
  <c r="C78" i="32"/>
  <c r="B81" i="32"/>
  <c r="C81" i="32"/>
  <c r="B83" i="32"/>
  <c r="D84" i="32"/>
  <c r="B85" i="32"/>
  <c r="D86" i="32"/>
  <c r="B89" i="32"/>
  <c r="N44" i="32"/>
  <c r="B93" i="32"/>
  <c r="D94" i="32"/>
  <c r="B95" i="32"/>
  <c r="N14" i="34"/>
  <c r="D80" i="34"/>
  <c r="N28" i="34"/>
  <c r="C86" i="34"/>
  <c r="B91" i="34"/>
  <c r="D92" i="34"/>
  <c r="B93" i="34"/>
  <c r="N38" i="37"/>
  <c r="C96" i="37"/>
  <c r="H88" i="28"/>
  <c r="N55" i="29"/>
  <c r="J81" i="29"/>
  <c r="H88" i="32"/>
  <c r="H90" i="32"/>
  <c r="H80" i="32"/>
  <c r="L76" i="32"/>
  <c r="H166" i="12"/>
  <c r="N171" i="3"/>
  <c r="W151" i="18"/>
  <c r="W152" i="16"/>
  <c r="W173" i="11"/>
  <c r="N92" i="3"/>
  <c r="N82" i="1"/>
  <c r="D187" i="7"/>
  <c r="N121" i="8"/>
  <c r="H194" i="3"/>
  <c r="L183" i="3"/>
  <c r="H179" i="3"/>
  <c r="J162" i="3"/>
  <c r="W158" i="3"/>
  <c r="H153" i="7"/>
  <c r="J149" i="7"/>
  <c r="H145" i="7"/>
  <c r="C162" i="8"/>
  <c r="C164" i="8"/>
  <c r="N54" i="8"/>
  <c r="N67" i="8"/>
  <c r="B146" i="8"/>
  <c r="B152" i="8"/>
  <c r="N46" i="15"/>
  <c r="D157" i="15"/>
  <c r="B156" i="15"/>
  <c r="L173" i="15"/>
  <c r="J170" i="15"/>
  <c r="H162" i="15"/>
  <c r="H155" i="15"/>
  <c r="C166" i="14"/>
  <c r="E166" i="14" s="1"/>
  <c r="N63" i="14"/>
  <c r="C162" i="14"/>
  <c r="N55" i="14"/>
  <c r="N52" i="14"/>
  <c r="N49" i="14"/>
  <c r="B156" i="14"/>
  <c r="J157" i="14"/>
  <c r="N8" i="31"/>
  <c r="N17" i="31"/>
  <c r="N31" i="37"/>
  <c r="D96" i="37"/>
  <c r="N37" i="12"/>
  <c r="D168" i="12"/>
  <c r="H141" i="11"/>
  <c r="L142" i="11"/>
  <c r="W102" i="37"/>
  <c r="N180" i="21"/>
  <c r="D181" i="14"/>
  <c r="B194" i="15"/>
  <c r="D174" i="8"/>
  <c r="C175" i="8"/>
  <c r="B182" i="8"/>
  <c r="D185" i="8"/>
  <c r="N95" i="8"/>
  <c r="C186" i="8"/>
  <c r="B188" i="8"/>
  <c r="C165" i="7"/>
  <c r="D170" i="3"/>
  <c r="N98" i="3"/>
  <c r="B168" i="2"/>
  <c r="D173" i="2"/>
  <c r="C174" i="2"/>
  <c r="N94" i="2"/>
  <c r="B176" i="2"/>
  <c r="B177" i="2"/>
  <c r="N111" i="13"/>
  <c r="B196" i="13"/>
  <c r="C185" i="14"/>
  <c r="D198" i="15"/>
  <c r="N117" i="13"/>
  <c r="N110" i="14"/>
  <c r="N119" i="8"/>
  <c r="N119" i="3"/>
  <c r="D197" i="8"/>
  <c r="D202" i="15"/>
  <c r="C169" i="1"/>
  <c r="C165" i="1"/>
  <c r="B161" i="1"/>
  <c r="B157" i="1"/>
  <c r="N42" i="2"/>
  <c r="B154" i="2"/>
  <c r="N13" i="2"/>
  <c r="N21" i="2"/>
  <c r="N29" i="2"/>
  <c r="N37" i="2"/>
  <c r="C148" i="3"/>
  <c r="E148" i="3" s="1"/>
  <c r="H190" i="1"/>
  <c r="W178" i="3"/>
  <c r="N25" i="5"/>
  <c r="W164" i="5"/>
  <c r="L160" i="5"/>
  <c r="J156" i="5"/>
  <c r="W148" i="5"/>
  <c r="L144" i="5"/>
  <c r="L185" i="5"/>
  <c r="B146" i="7"/>
  <c r="N36" i="7"/>
  <c r="D151" i="7"/>
  <c r="N44" i="7"/>
  <c r="L187" i="7"/>
  <c r="L183" i="7"/>
  <c r="L167" i="7"/>
  <c r="W160" i="7"/>
  <c r="H156" i="7"/>
  <c r="J148" i="7"/>
  <c r="J146" i="7"/>
  <c r="J144" i="7"/>
  <c r="W140" i="7"/>
  <c r="J138" i="7"/>
  <c r="B161" i="8"/>
  <c r="D162" i="8"/>
  <c r="B163" i="8"/>
  <c r="E163" i="8" s="1"/>
  <c r="D164" i="8"/>
  <c r="B169" i="8"/>
  <c r="D170" i="8"/>
  <c r="B171" i="8"/>
  <c r="C146" i="8"/>
  <c r="D146" i="8"/>
  <c r="B158" i="8"/>
  <c r="C175" i="15"/>
  <c r="N143" i="14"/>
  <c r="N10" i="28"/>
  <c r="C83" i="28"/>
  <c r="C89" i="28"/>
  <c r="C95" i="28"/>
  <c r="B73" i="31"/>
  <c r="C74" i="31"/>
  <c r="C76" i="31"/>
  <c r="E76" i="31" s="1"/>
  <c r="N18" i="31"/>
  <c r="D77" i="31"/>
  <c r="D85" i="31"/>
  <c r="E85" i="31" s="1"/>
  <c r="D89" i="31"/>
  <c r="B90" i="31"/>
  <c r="E90" i="31" s="1"/>
  <c r="D91" i="31"/>
  <c r="C77" i="32"/>
  <c r="C88" i="32"/>
  <c r="B90" i="32"/>
  <c r="N45" i="32"/>
  <c r="B94" i="32"/>
  <c r="C75" i="34"/>
  <c r="C79" i="34"/>
  <c r="D89" i="34"/>
  <c r="C93" i="37"/>
  <c r="B94" i="37"/>
  <c r="D95" i="37"/>
  <c r="D99" i="37"/>
  <c r="N54" i="37"/>
  <c r="C101" i="37"/>
  <c r="B102" i="37"/>
  <c r="H103" i="28"/>
  <c r="J89" i="28"/>
  <c r="L71" i="30"/>
  <c r="H82" i="29"/>
  <c r="H89" i="32"/>
  <c r="J83" i="32"/>
  <c r="J95" i="37"/>
  <c r="L91" i="37"/>
  <c r="J87" i="37"/>
  <c r="H82" i="37"/>
  <c r="N76" i="13"/>
  <c r="L196" i="13"/>
  <c r="H172" i="13"/>
  <c r="J168" i="13"/>
  <c r="C161" i="12"/>
  <c r="C162" i="12"/>
  <c r="N8" i="11"/>
  <c r="N183" i="3"/>
  <c r="N152" i="14"/>
  <c r="E152" i="8"/>
  <c r="N143" i="11"/>
  <c r="N92" i="14"/>
  <c r="N93" i="8"/>
  <c r="D167" i="5"/>
  <c r="N94" i="5"/>
  <c r="N84" i="1"/>
  <c r="N107" i="3"/>
  <c r="N34" i="3"/>
  <c r="W136" i="2"/>
  <c r="H168" i="3"/>
  <c r="L149" i="3"/>
  <c r="H145" i="3"/>
  <c r="N58" i="5"/>
  <c r="N61" i="5"/>
  <c r="N9" i="5"/>
  <c r="N35" i="5"/>
  <c r="L155" i="5"/>
  <c r="C163" i="15"/>
  <c r="L201" i="15"/>
  <c r="H178" i="15"/>
  <c r="H169" i="15"/>
  <c r="L165" i="15"/>
  <c r="H161" i="15"/>
  <c r="D165" i="14"/>
  <c r="E165" i="14" s="1"/>
  <c r="N45" i="14"/>
  <c r="B139" i="14"/>
  <c r="H185" i="14"/>
  <c r="L165" i="14"/>
  <c r="H161" i="14"/>
  <c r="N161" i="14" s="1"/>
  <c r="H141" i="14"/>
  <c r="E86" i="31"/>
  <c r="N30" i="32"/>
  <c r="B88" i="34"/>
  <c r="D160" i="12"/>
  <c r="N74" i="12"/>
  <c r="C141" i="11"/>
  <c r="N12" i="11"/>
  <c r="D147" i="11"/>
  <c r="N28" i="11"/>
  <c r="L166" i="11"/>
  <c r="U171" i="11"/>
  <c r="C175" i="11"/>
  <c r="N101" i="11"/>
  <c r="W142" i="11"/>
  <c r="W148" i="11"/>
  <c r="W155" i="11"/>
  <c r="W163" i="11"/>
  <c r="W168" i="11"/>
  <c r="S159" i="10"/>
  <c r="N40" i="9"/>
  <c r="B166" i="9"/>
  <c r="H173" i="9"/>
  <c r="D174" i="9"/>
  <c r="C176" i="9"/>
  <c r="N64" i="9"/>
  <c r="L177" i="9"/>
  <c r="L178" i="9"/>
  <c r="N84" i="9"/>
  <c r="D187" i="9"/>
  <c r="J191" i="9"/>
  <c r="N106" i="9"/>
  <c r="J197" i="9"/>
  <c r="C200" i="9"/>
  <c r="N121" i="9"/>
  <c r="N35" i="21"/>
  <c r="C148" i="21"/>
  <c r="L167" i="21"/>
  <c r="H181" i="21"/>
  <c r="D182" i="21"/>
  <c r="D185" i="21"/>
  <c r="D143" i="19"/>
  <c r="B151" i="19"/>
  <c r="J151" i="19"/>
  <c r="B157" i="19"/>
  <c r="N44" i="19"/>
  <c r="H172" i="19"/>
  <c r="C179" i="19"/>
  <c r="L187" i="19"/>
  <c r="W189" i="19"/>
  <c r="L175" i="18"/>
  <c r="D176" i="18"/>
  <c r="N87" i="18"/>
  <c r="N89" i="18"/>
  <c r="N103" i="18"/>
  <c r="N105" i="18"/>
  <c r="U187" i="18"/>
  <c r="W187" i="18" s="1"/>
  <c r="W161" i="18"/>
  <c r="N14" i="17"/>
  <c r="N37" i="17"/>
  <c r="N62" i="17"/>
  <c r="N66" i="17"/>
  <c r="N68" i="17"/>
  <c r="S122" i="16"/>
  <c r="W122" i="16" s="1"/>
  <c r="H138" i="16"/>
  <c r="N47" i="16"/>
  <c r="C141" i="16"/>
  <c r="B142" i="16"/>
  <c r="E142" i="16" s="1"/>
  <c r="J142" i="16"/>
  <c r="D143" i="16"/>
  <c r="C144" i="16"/>
  <c r="C146" i="16"/>
  <c r="H154" i="16"/>
  <c r="W155" i="16"/>
  <c r="C126" i="26"/>
  <c r="T126" i="26"/>
  <c r="W126" i="26" s="1"/>
  <c r="N41" i="26"/>
  <c r="N43" i="26"/>
  <c r="B133" i="26"/>
  <c r="L136" i="26"/>
  <c r="C138" i="26"/>
  <c r="N57" i="26"/>
  <c r="B140" i="26"/>
  <c r="L140" i="26"/>
  <c r="N63" i="26"/>
  <c r="N64" i="26"/>
  <c r="D146" i="26"/>
  <c r="B159" i="11"/>
  <c r="H192" i="11"/>
  <c r="W160" i="11"/>
  <c r="H160" i="9"/>
  <c r="J162" i="9"/>
  <c r="H168" i="9"/>
  <c r="C171" i="9"/>
  <c r="J187" i="9"/>
  <c r="B139" i="21"/>
  <c r="H146" i="21"/>
  <c r="N37" i="21"/>
  <c r="D150" i="21"/>
  <c r="C154" i="21"/>
  <c r="B159" i="21"/>
  <c r="J182" i="21"/>
  <c r="H183" i="21"/>
  <c r="L184" i="21"/>
  <c r="L185" i="21"/>
  <c r="J178" i="19"/>
  <c r="J188" i="19"/>
  <c r="J189" i="19"/>
  <c r="C149" i="18"/>
  <c r="L167" i="18"/>
  <c r="J176" i="18"/>
  <c r="L133" i="16"/>
  <c r="J143" i="16"/>
  <c r="H126" i="26"/>
  <c r="N56" i="26"/>
  <c r="L173" i="11"/>
  <c r="D176" i="11"/>
  <c r="H183" i="11"/>
  <c r="L184" i="11"/>
  <c r="N106" i="11"/>
  <c r="N108" i="11"/>
  <c r="C190" i="11"/>
  <c r="N112" i="11"/>
  <c r="B191" i="11"/>
  <c r="B162" i="9"/>
  <c r="N70" i="9"/>
  <c r="N71" i="9"/>
  <c r="H180" i="9"/>
  <c r="N89" i="9"/>
  <c r="J188" i="9"/>
  <c r="D195" i="9"/>
  <c r="B198" i="9"/>
  <c r="J200" i="9"/>
  <c r="H135" i="21"/>
  <c r="B140" i="21"/>
  <c r="N36" i="21"/>
  <c r="L147" i="21"/>
  <c r="J148" i="21"/>
  <c r="L150" i="21"/>
  <c r="D153" i="21"/>
  <c r="N75" i="21"/>
  <c r="N87" i="21"/>
  <c r="B174" i="21"/>
  <c r="L174" i="21"/>
  <c r="U178" i="21"/>
  <c r="D179" i="21"/>
  <c r="N112" i="21"/>
  <c r="W144" i="21"/>
  <c r="W150" i="21"/>
  <c r="W154" i="21"/>
  <c r="W173" i="21"/>
  <c r="H168" i="19"/>
  <c r="N71" i="19"/>
  <c r="B179" i="19"/>
  <c r="L179" i="19"/>
  <c r="D181" i="19"/>
  <c r="N99" i="19"/>
  <c r="B185" i="19"/>
  <c r="T186" i="19"/>
  <c r="N106" i="19"/>
  <c r="W181" i="19"/>
  <c r="L139" i="18"/>
  <c r="D142" i="18"/>
  <c r="N15" i="18"/>
  <c r="N16" i="18"/>
  <c r="N20" i="18"/>
  <c r="L145" i="18"/>
  <c r="J156" i="18"/>
  <c r="C159" i="18"/>
  <c r="H168" i="18"/>
  <c r="D169" i="18"/>
  <c r="J173" i="18"/>
  <c r="W164" i="18"/>
  <c r="J135" i="17"/>
  <c r="D137" i="17"/>
  <c r="D141" i="17"/>
  <c r="B145" i="17"/>
  <c r="B149" i="17"/>
  <c r="E149" i="17" s="1"/>
  <c r="C157" i="17"/>
  <c r="D170" i="17"/>
  <c r="J174" i="17"/>
  <c r="N16" i="16"/>
  <c r="B126" i="16"/>
  <c r="L129" i="16"/>
  <c r="D131" i="16"/>
  <c r="B134" i="16"/>
  <c r="L134" i="16"/>
  <c r="N134" i="16" s="1"/>
  <c r="D135" i="16"/>
  <c r="E135" i="16" s="1"/>
  <c r="C147" i="16"/>
  <c r="N65" i="16"/>
  <c r="D148" i="16"/>
  <c r="B150" i="16"/>
  <c r="D152" i="16"/>
  <c r="W153" i="16"/>
  <c r="W154" i="16"/>
  <c r="J115" i="26"/>
  <c r="D116" i="26"/>
  <c r="D117" i="26"/>
  <c r="C120" i="26"/>
  <c r="H124" i="26"/>
  <c r="H125" i="26"/>
  <c r="J128" i="26"/>
  <c r="N42" i="26"/>
  <c r="B146" i="26"/>
  <c r="C147" i="11"/>
  <c r="L153" i="11"/>
  <c r="L154" i="11"/>
  <c r="L155" i="11"/>
  <c r="J156" i="11"/>
  <c r="N47" i="11"/>
  <c r="N53" i="11"/>
  <c r="L163" i="11"/>
  <c r="L164" i="11"/>
  <c r="D166" i="11"/>
  <c r="C167" i="11"/>
  <c r="H172" i="11"/>
  <c r="C152" i="9"/>
  <c r="J165" i="9"/>
  <c r="N67" i="9"/>
  <c r="N73" i="9"/>
  <c r="J181" i="9"/>
  <c r="H185" i="9"/>
  <c r="N91" i="9"/>
  <c r="B200" i="9"/>
  <c r="D138" i="21"/>
  <c r="J175" i="21"/>
  <c r="C183" i="21"/>
  <c r="C184" i="21"/>
  <c r="L160" i="19"/>
  <c r="D162" i="19"/>
  <c r="L170" i="19"/>
  <c r="C173" i="19"/>
  <c r="C186" i="19"/>
  <c r="J157" i="18"/>
  <c r="J158" i="18"/>
  <c r="N51" i="18"/>
  <c r="N64" i="18"/>
  <c r="N100" i="18"/>
  <c r="L187" i="18"/>
  <c r="W143" i="18"/>
  <c r="W156" i="18"/>
  <c r="J136" i="17"/>
  <c r="J137" i="17"/>
  <c r="H121" i="16"/>
  <c r="J122" i="16"/>
  <c r="C126" i="16"/>
  <c r="N26" i="16"/>
  <c r="D147" i="16"/>
  <c r="H142" i="26"/>
  <c r="L147" i="26"/>
  <c r="L148" i="26"/>
  <c r="J149" i="26"/>
  <c r="W122" i="26"/>
  <c r="W148" i="26"/>
  <c r="N19" i="25"/>
  <c r="L165" i="25"/>
  <c r="H166" i="25"/>
  <c r="C172" i="25"/>
  <c r="L173" i="25"/>
  <c r="W140" i="25"/>
  <c r="N17" i="24"/>
  <c r="E140" i="24"/>
  <c r="N21" i="24"/>
  <c r="B141" i="24"/>
  <c r="D164" i="24"/>
  <c r="J171" i="24"/>
  <c r="D172" i="24"/>
  <c r="D178" i="24"/>
  <c r="J149" i="23"/>
  <c r="D171" i="23"/>
  <c r="C172" i="23"/>
  <c r="N91" i="23"/>
  <c r="H177" i="23"/>
  <c r="C186" i="23"/>
  <c r="W147" i="23"/>
  <c r="W158" i="23"/>
  <c r="W187" i="23"/>
  <c r="B161" i="22"/>
  <c r="D166" i="22"/>
  <c r="N64" i="22"/>
  <c r="N88" i="22"/>
  <c r="N93" i="22"/>
  <c r="N95" i="22"/>
  <c r="N97" i="22"/>
  <c r="N100" i="22"/>
  <c r="W201" i="15"/>
  <c r="W173" i="15"/>
  <c r="W157" i="15"/>
  <c r="W184" i="14"/>
  <c r="W174" i="14"/>
  <c r="W152" i="14"/>
  <c r="W144" i="14"/>
  <c r="C171" i="13"/>
  <c r="N114" i="10"/>
  <c r="J195" i="22"/>
  <c r="D113" i="35"/>
  <c r="N34" i="35"/>
  <c r="N38" i="35"/>
  <c r="D119" i="35"/>
  <c r="L118" i="35"/>
  <c r="L116" i="35"/>
  <c r="J114" i="35"/>
  <c r="J111" i="35"/>
  <c r="C81" i="29"/>
  <c r="W81" i="32"/>
  <c r="W89" i="32"/>
  <c r="C142" i="3"/>
  <c r="B149" i="15"/>
  <c r="N7" i="21"/>
  <c r="T144" i="8"/>
  <c r="D193" i="11"/>
  <c r="N78" i="26"/>
  <c r="C103" i="37"/>
  <c r="C155" i="20"/>
  <c r="W127" i="20"/>
  <c r="W153" i="20"/>
  <c r="W199" i="8"/>
  <c r="L204" i="15"/>
  <c r="W98" i="32"/>
  <c r="W194" i="11"/>
  <c r="N102" i="20"/>
  <c r="N62" i="37"/>
  <c r="W188" i="25"/>
  <c r="W115" i="26"/>
  <c r="B166" i="25"/>
  <c r="D176" i="25"/>
  <c r="L141" i="24"/>
  <c r="C150" i="24"/>
  <c r="B156" i="24"/>
  <c r="B164" i="24"/>
  <c r="J178" i="24"/>
  <c r="D179" i="24"/>
  <c r="N103" i="24"/>
  <c r="C182" i="24"/>
  <c r="C146" i="23"/>
  <c r="N31" i="23"/>
  <c r="N33" i="23"/>
  <c r="N35" i="23"/>
  <c r="B150" i="23"/>
  <c r="L150" i="23"/>
  <c r="L151" i="23"/>
  <c r="N66" i="23"/>
  <c r="H179" i="23"/>
  <c r="N99" i="23"/>
  <c r="L182" i="23"/>
  <c r="D184" i="23"/>
  <c r="W153" i="23"/>
  <c r="N26" i="22"/>
  <c r="C175" i="22"/>
  <c r="C189" i="22"/>
  <c r="D190" i="22"/>
  <c r="N123" i="22"/>
  <c r="W178" i="15"/>
  <c r="W172" i="15"/>
  <c r="W164" i="15"/>
  <c r="B171" i="13"/>
  <c r="J177" i="22"/>
  <c r="L169" i="22"/>
  <c r="H162" i="22"/>
  <c r="H159" i="22"/>
  <c r="L152" i="22"/>
  <c r="W162" i="22"/>
  <c r="S84" i="37"/>
  <c r="W84" i="37" s="1"/>
  <c r="N47" i="35"/>
  <c r="N46" i="35"/>
  <c r="C127" i="35"/>
  <c r="W75" i="31"/>
  <c r="W75" i="32"/>
  <c r="L92" i="34"/>
  <c r="N60" i="35"/>
  <c r="W112" i="35"/>
  <c r="D144" i="8"/>
  <c r="C149" i="15"/>
  <c r="H137" i="14"/>
  <c r="N137" i="14" s="1"/>
  <c r="H144" i="8"/>
  <c r="N6" i="23"/>
  <c r="D147" i="22"/>
  <c r="N116" i="7"/>
  <c r="B198" i="8"/>
  <c r="J203" i="13"/>
  <c r="W193" i="11"/>
  <c r="J203" i="9"/>
  <c r="W189" i="23"/>
  <c r="N50" i="31"/>
  <c r="B103" i="37"/>
  <c r="N82" i="35"/>
  <c r="N33" i="20"/>
  <c r="N47" i="20"/>
  <c r="D146" i="20"/>
  <c r="C147" i="20"/>
  <c r="D155" i="20"/>
  <c r="N80" i="20"/>
  <c r="N82" i="20"/>
  <c r="N91" i="20"/>
  <c r="N93" i="20"/>
  <c r="N95" i="20"/>
  <c r="N97" i="20"/>
  <c r="N99" i="20"/>
  <c r="N62" i="29"/>
  <c r="N128" i="15"/>
  <c r="N56" i="34"/>
  <c r="D195" i="19"/>
  <c r="H188" i="25"/>
  <c r="N73" i="26"/>
  <c r="N8" i="25"/>
  <c r="L139" i="25"/>
  <c r="H140" i="25"/>
  <c r="J141" i="25"/>
  <c r="B144" i="25"/>
  <c r="N42" i="25"/>
  <c r="N50" i="25"/>
  <c r="B162" i="25"/>
  <c r="J176" i="25"/>
  <c r="B180" i="25"/>
  <c r="H146" i="24"/>
  <c r="D151" i="24"/>
  <c r="B158" i="24"/>
  <c r="H179" i="24"/>
  <c r="W146" i="24"/>
  <c r="N16" i="23"/>
  <c r="N60" i="23"/>
  <c r="N81" i="23"/>
  <c r="H175" i="23"/>
  <c r="H183" i="23"/>
  <c r="D172" i="22"/>
  <c r="C182" i="22"/>
  <c r="D183" i="22"/>
  <c r="C185" i="22"/>
  <c r="N108" i="22"/>
  <c r="N109" i="22"/>
  <c r="N117" i="22"/>
  <c r="W174" i="22"/>
  <c r="W170" i="8"/>
  <c r="W146" i="8"/>
  <c r="L198" i="22"/>
  <c r="H170" i="22"/>
  <c r="L150" i="22"/>
  <c r="W202" i="9"/>
  <c r="W93" i="37"/>
  <c r="W98" i="37"/>
  <c r="C126" i="35"/>
  <c r="N70" i="35"/>
  <c r="C122" i="35"/>
  <c r="E122" i="35" s="1"/>
  <c r="D122" i="35"/>
  <c r="D120" i="35"/>
  <c r="U110" i="35"/>
  <c r="W110" i="35" s="1"/>
  <c r="W127" i="35"/>
  <c r="H79" i="34"/>
  <c r="J83" i="33"/>
  <c r="N36" i="33"/>
  <c r="B92" i="29"/>
  <c r="D87" i="29"/>
  <c r="B86" i="29"/>
  <c r="C84" i="29"/>
  <c r="D83" i="29"/>
  <c r="B82" i="29"/>
  <c r="W81" i="28"/>
  <c r="W83" i="32"/>
  <c r="H112" i="35"/>
  <c r="N7" i="8"/>
  <c r="L147" i="22"/>
  <c r="W133" i="25"/>
  <c r="W147" i="22"/>
  <c r="N115" i="7"/>
  <c r="W188" i="7"/>
  <c r="C203" i="13"/>
  <c r="L193" i="11"/>
  <c r="W199" i="9"/>
  <c r="L188" i="17"/>
  <c r="N85" i="16"/>
  <c r="B102" i="29"/>
  <c r="H128" i="35"/>
  <c r="N37" i="20"/>
  <c r="N42" i="20"/>
  <c r="N73" i="20"/>
  <c r="W125" i="20"/>
  <c r="W135" i="20"/>
  <c r="N58" i="32"/>
  <c r="N117" i="21"/>
  <c r="W202" i="22"/>
  <c r="N85" i="35"/>
  <c r="N87" i="35"/>
  <c r="H151" i="26"/>
  <c r="W124" i="26"/>
  <c r="N18" i="25"/>
  <c r="C146" i="25"/>
  <c r="B148" i="25"/>
  <c r="N66" i="25"/>
  <c r="L184" i="25"/>
  <c r="L185" i="25"/>
  <c r="W166" i="25"/>
  <c r="N13" i="24"/>
  <c r="N34" i="24"/>
  <c r="H151" i="24"/>
  <c r="S163" i="24"/>
  <c r="B165" i="24"/>
  <c r="B166" i="24"/>
  <c r="L168" i="24"/>
  <c r="J170" i="24"/>
  <c r="B174" i="24"/>
  <c r="H176" i="24"/>
  <c r="L182" i="24"/>
  <c r="H155" i="23"/>
  <c r="C161" i="23"/>
  <c r="H163" i="23"/>
  <c r="L164" i="23"/>
  <c r="J176" i="23"/>
  <c r="C178" i="23"/>
  <c r="B180" i="23"/>
  <c r="N107" i="23"/>
  <c r="B186" i="23"/>
  <c r="N113" i="23"/>
  <c r="W137" i="23"/>
  <c r="W157" i="23"/>
  <c r="W188" i="23"/>
  <c r="C148" i="22"/>
  <c r="D148" i="22"/>
  <c r="B157" i="22"/>
  <c r="C166" i="22"/>
  <c r="C168" i="22"/>
  <c r="B194" i="22"/>
  <c r="N113" i="22"/>
  <c r="N116" i="22"/>
  <c r="W180" i="22"/>
  <c r="D167" i="13"/>
  <c r="N20" i="13"/>
  <c r="W90" i="37"/>
  <c r="J119" i="35"/>
  <c r="B78" i="33"/>
  <c r="C82" i="34"/>
  <c r="L91" i="34"/>
  <c r="L149" i="15"/>
  <c r="C137" i="14"/>
  <c r="H138" i="18"/>
  <c r="N176" i="22"/>
  <c r="L200" i="22"/>
  <c r="W193" i="22"/>
  <c r="E148" i="22"/>
  <c r="N10" i="22"/>
  <c r="C151" i="22"/>
  <c r="N17" i="22"/>
  <c r="N22" i="22"/>
  <c r="C155" i="22"/>
  <c r="D156" i="22"/>
  <c r="C157" i="22"/>
  <c r="D158" i="22"/>
  <c r="N40" i="22"/>
  <c r="S161" i="22"/>
  <c r="N50" i="22"/>
  <c r="N57" i="22"/>
  <c r="N67" i="22"/>
  <c r="D185" i="22"/>
  <c r="C195" i="22"/>
  <c r="J193" i="22"/>
  <c r="N185" i="22"/>
  <c r="U163" i="22"/>
  <c r="L159" i="22"/>
  <c r="W190" i="22"/>
  <c r="N38" i="22"/>
  <c r="N72" i="22"/>
  <c r="L192" i="22"/>
  <c r="L188" i="22"/>
  <c r="L196" i="22"/>
  <c r="N74" i="22"/>
  <c r="J163" i="22"/>
  <c r="N48" i="22"/>
  <c r="J199" i="22"/>
  <c r="N199" i="22" s="1"/>
  <c r="H152" i="22"/>
  <c r="N25" i="22"/>
  <c r="N27" i="22"/>
  <c r="N31" i="22"/>
  <c r="D171" i="22"/>
  <c r="B179" i="22"/>
  <c r="N91" i="22"/>
  <c r="N96" i="22"/>
  <c r="N98" i="22"/>
  <c r="W152" i="22"/>
  <c r="W170" i="22"/>
  <c r="L175" i="22"/>
  <c r="S177" i="22"/>
  <c r="N9" i="22"/>
  <c r="N51" i="22"/>
  <c r="N58" i="22"/>
  <c r="B169" i="22"/>
  <c r="B178" i="22"/>
  <c r="C179" i="22"/>
  <c r="C186" i="22"/>
  <c r="D198" i="22"/>
  <c r="D200" i="22"/>
  <c r="L186" i="22"/>
  <c r="D194" i="22"/>
  <c r="J200" i="22"/>
  <c r="L165" i="22"/>
  <c r="C196" i="22"/>
  <c r="N198" i="22"/>
  <c r="H167" i="22"/>
  <c r="J152" i="22"/>
  <c r="N34" i="22"/>
  <c r="U161" i="22"/>
  <c r="N43" i="22"/>
  <c r="B165" i="22"/>
  <c r="C177" i="22"/>
  <c r="B191" i="22"/>
  <c r="B195" i="22"/>
  <c r="W171" i="22"/>
  <c r="U167" i="23"/>
  <c r="C139" i="23"/>
  <c r="N63" i="23"/>
  <c r="B167" i="23"/>
  <c r="N177" i="23"/>
  <c r="D150" i="23"/>
  <c r="N39" i="23"/>
  <c r="N45" i="23"/>
  <c r="L156" i="23"/>
  <c r="L157" i="23"/>
  <c r="N61" i="23"/>
  <c r="D163" i="23"/>
  <c r="C164" i="23"/>
  <c r="B166" i="23"/>
  <c r="B171" i="23"/>
  <c r="J171" i="23"/>
  <c r="N84" i="23"/>
  <c r="J175" i="23"/>
  <c r="N93" i="23"/>
  <c r="E162" i="23"/>
  <c r="H150" i="23"/>
  <c r="D152" i="23"/>
  <c r="B159" i="23"/>
  <c r="N56" i="23"/>
  <c r="L163" i="23"/>
  <c r="H166" i="23"/>
  <c r="L170" i="23"/>
  <c r="N102" i="23"/>
  <c r="N112" i="23"/>
  <c r="N105" i="23"/>
  <c r="B137" i="23"/>
  <c r="D141" i="23"/>
  <c r="C143" i="23"/>
  <c r="C144" i="23"/>
  <c r="B147" i="23"/>
  <c r="H151" i="23"/>
  <c r="N151" i="23" s="1"/>
  <c r="C156" i="23"/>
  <c r="H164" i="23"/>
  <c r="L165" i="23"/>
  <c r="D166" i="23"/>
  <c r="N88" i="23"/>
  <c r="B139" i="23"/>
  <c r="J141" i="23"/>
  <c r="H142" i="23"/>
  <c r="H153" i="23"/>
  <c r="J154" i="23"/>
  <c r="L155" i="23"/>
  <c r="D156" i="23"/>
  <c r="E156" i="23" s="1"/>
  <c r="N73" i="23"/>
  <c r="L171" i="23"/>
  <c r="W136" i="23"/>
  <c r="D137" i="23"/>
  <c r="B140" i="23"/>
  <c r="N19" i="23"/>
  <c r="B142" i="23"/>
  <c r="L143" i="23"/>
  <c r="H144" i="23"/>
  <c r="L145" i="23"/>
  <c r="L146" i="23"/>
  <c r="D180" i="23"/>
  <c r="N108" i="23"/>
  <c r="D186" i="23"/>
  <c r="W164" i="23"/>
  <c r="B149" i="23"/>
  <c r="W186" i="23"/>
  <c r="J136" i="23"/>
  <c r="H138" i="23"/>
  <c r="C141" i="23"/>
  <c r="B144" i="23"/>
  <c r="H147" i="23"/>
  <c r="N50" i="23"/>
  <c r="N57" i="23"/>
  <c r="N85" i="23"/>
  <c r="N87" i="23"/>
  <c r="N90" i="23"/>
  <c r="N94" i="23"/>
  <c r="W179" i="23"/>
  <c r="J180" i="23"/>
  <c r="J185" i="23"/>
  <c r="E190" i="23"/>
  <c r="W180" i="24"/>
  <c r="N8" i="24"/>
  <c r="N10" i="24"/>
  <c r="N14" i="24"/>
  <c r="E139" i="24"/>
  <c r="N31" i="24"/>
  <c r="H157" i="24"/>
  <c r="N62" i="24"/>
  <c r="U168" i="24"/>
  <c r="J187" i="24"/>
  <c r="D153" i="24"/>
  <c r="D141" i="24"/>
  <c r="H177" i="24"/>
  <c r="D169" i="24"/>
  <c r="E169" i="24" s="1"/>
  <c r="C137" i="24"/>
  <c r="C145" i="24"/>
  <c r="C153" i="24"/>
  <c r="C164" i="24"/>
  <c r="J165" i="24"/>
  <c r="H153" i="24"/>
  <c r="H175" i="24"/>
  <c r="C134" i="24"/>
  <c r="C135" i="24"/>
  <c r="C147" i="24"/>
  <c r="C148" i="24"/>
  <c r="B152" i="24"/>
  <c r="D156" i="24"/>
  <c r="N104" i="24"/>
  <c r="J153" i="24"/>
  <c r="J175" i="24"/>
  <c r="L178" i="24"/>
  <c r="L153" i="24"/>
  <c r="N97" i="24"/>
  <c r="U153" i="24"/>
  <c r="S153" i="24"/>
  <c r="N182" i="24"/>
  <c r="W155" i="24"/>
  <c r="W135" i="24"/>
  <c r="W148" i="24"/>
  <c r="W159" i="24"/>
  <c r="U170" i="25"/>
  <c r="L141" i="25"/>
  <c r="D151" i="25"/>
  <c r="E151" i="25" s="1"/>
  <c r="L149" i="25"/>
  <c r="N35" i="25"/>
  <c r="L151" i="25"/>
  <c r="N52" i="25"/>
  <c r="H157" i="25"/>
  <c r="N157" i="25" s="1"/>
  <c r="N81" i="25"/>
  <c r="N95" i="25"/>
  <c r="N100" i="25"/>
  <c r="C184" i="25"/>
  <c r="W148" i="25"/>
  <c r="H185" i="25"/>
  <c r="W172" i="25"/>
  <c r="N104" i="25"/>
  <c r="H134" i="25"/>
  <c r="D135" i="25"/>
  <c r="D137" i="25"/>
  <c r="J165" i="25"/>
  <c r="W139" i="25"/>
  <c r="H177" i="25"/>
  <c r="J184" i="25"/>
  <c r="J166" i="25"/>
  <c r="J159" i="25"/>
  <c r="H184" i="25"/>
  <c r="J177" i="25"/>
  <c r="H160" i="25"/>
  <c r="L166" i="25"/>
  <c r="N13" i="25"/>
  <c r="N15" i="25"/>
  <c r="J174" i="25"/>
  <c r="L177" i="25"/>
  <c r="H178" i="25"/>
  <c r="B184" i="25"/>
  <c r="J185" i="25"/>
  <c r="L186" i="25"/>
  <c r="W136" i="25"/>
  <c r="W187" i="25"/>
  <c r="J178" i="25"/>
  <c r="N178" i="25" s="1"/>
  <c r="J173" i="25"/>
  <c r="E182" i="25"/>
  <c r="J162" i="25"/>
  <c r="C170" i="25"/>
  <c r="B171" i="25"/>
  <c r="B173" i="25"/>
  <c r="N89" i="25"/>
  <c r="C188" i="25"/>
  <c r="C138" i="25"/>
  <c r="N25" i="25"/>
  <c r="N34" i="25"/>
  <c r="N36" i="25"/>
  <c r="N55" i="25"/>
  <c r="H164" i="25"/>
  <c r="C168" i="25"/>
  <c r="L169" i="25"/>
  <c r="D170" i="25"/>
  <c r="C171" i="25"/>
  <c r="J172" i="25"/>
  <c r="D188" i="25"/>
  <c r="H161" i="25"/>
  <c r="H136" i="25"/>
  <c r="D140" i="25"/>
  <c r="D148" i="25"/>
  <c r="E148" i="25" s="1"/>
  <c r="D149" i="25"/>
  <c r="D150" i="25"/>
  <c r="N46" i="25"/>
  <c r="C156" i="25"/>
  <c r="N59" i="25"/>
  <c r="D165" i="25"/>
  <c r="N91" i="25"/>
  <c r="J144" i="26"/>
  <c r="N17" i="26"/>
  <c r="B120" i="26"/>
  <c r="J123" i="26"/>
  <c r="C124" i="26"/>
  <c r="N28" i="26"/>
  <c r="C127" i="26"/>
  <c r="N35" i="26"/>
  <c r="N37" i="26"/>
  <c r="H131" i="26"/>
  <c r="D144" i="26"/>
  <c r="N68" i="26"/>
  <c r="N70" i="26"/>
  <c r="L143" i="26"/>
  <c r="N8" i="26"/>
  <c r="N10" i="26"/>
  <c r="L116" i="26"/>
  <c r="J117" i="26"/>
  <c r="D119" i="26"/>
  <c r="L126" i="26"/>
  <c r="H146" i="26"/>
  <c r="J137" i="26"/>
  <c r="H143" i="26"/>
  <c r="C116" i="26"/>
  <c r="N12" i="26"/>
  <c r="B118" i="26"/>
  <c r="N29" i="26"/>
  <c r="H134" i="26"/>
  <c r="D135" i="26"/>
  <c r="B136" i="26"/>
  <c r="D136" i="26"/>
  <c r="N55" i="26"/>
  <c r="U139" i="26"/>
  <c r="N58" i="26"/>
  <c r="N60" i="26"/>
  <c r="J141" i="26"/>
  <c r="N65" i="26"/>
  <c r="C144" i="26"/>
  <c r="N69" i="26"/>
  <c r="S146" i="26"/>
  <c r="W120" i="26"/>
  <c r="T143" i="26"/>
  <c r="J147" i="26"/>
  <c r="L131" i="26"/>
  <c r="W134" i="26"/>
  <c r="J140" i="26"/>
  <c r="B142" i="26"/>
  <c r="D143" i="26"/>
  <c r="H147" i="26"/>
  <c r="T137" i="26"/>
  <c r="W119" i="26"/>
  <c r="B135" i="26"/>
  <c r="J143" i="26"/>
  <c r="H138" i="26"/>
  <c r="H115" i="26"/>
  <c r="L137" i="26"/>
  <c r="H144" i="26"/>
  <c r="T131" i="26"/>
  <c r="W142" i="26"/>
  <c r="D129" i="26"/>
  <c r="N40" i="26"/>
  <c r="L132" i="26"/>
  <c r="D137" i="26"/>
  <c r="W116" i="26"/>
  <c r="L121" i="26"/>
  <c r="N121" i="26" s="1"/>
  <c r="N31" i="26"/>
  <c r="B127" i="26"/>
  <c r="C132" i="26"/>
  <c r="W144" i="26"/>
  <c r="L150" i="26"/>
  <c r="D151" i="26"/>
  <c r="L78" i="38"/>
  <c r="H78" i="38"/>
  <c r="B104" i="37"/>
  <c r="B82" i="37"/>
  <c r="W81" i="37"/>
  <c r="B96" i="37"/>
  <c r="N14" i="37"/>
  <c r="N7" i="37"/>
  <c r="W83" i="37"/>
  <c r="W92" i="37"/>
  <c r="B85" i="37"/>
  <c r="D86" i="37"/>
  <c r="N9" i="37"/>
  <c r="N57" i="37"/>
  <c r="D81" i="37"/>
  <c r="J88" i="37"/>
  <c r="C99" i="37"/>
  <c r="E99" i="37" s="1"/>
  <c r="W91" i="37"/>
  <c r="N26" i="37"/>
  <c r="H96" i="37"/>
  <c r="N84" i="37"/>
  <c r="N17" i="37"/>
  <c r="J81" i="37"/>
  <c r="W103" i="37"/>
  <c r="D105" i="36"/>
  <c r="L104" i="36"/>
  <c r="N71" i="36"/>
  <c r="J109" i="36"/>
  <c r="B146" i="16"/>
  <c r="E146" i="16" s="1"/>
  <c r="W149" i="16"/>
  <c r="H127" i="16"/>
  <c r="J126" i="16"/>
  <c r="W123" i="16"/>
  <c r="N27" i="16"/>
  <c r="W151" i="16"/>
  <c r="N18" i="16"/>
  <c r="B125" i="16"/>
  <c r="N62" i="16"/>
  <c r="S147" i="16"/>
  <c r="W147" i="16" s="1"/>
  <c r="D125" i="16"/>
  <c r="D137" i="16"/>
  <c r="U137" i="16"/>
  <c r="H137" i="16"/>
  <c r="B123" i="16"/>
  <c r="L125" i="16"/>
  <c r="B127" i="16"/>
  <c r="H131" i="16"/>
  <c r="H135" i="16"/>
  <c r="J140" i="16"/>
  <c r="N140" i="16" s="1"/>
  <c r="N57" i="16"/>
  <c r="W140" i="16"/>
  <c r="N120" i="16"/>
  <c r="W124" i="16"/>
  <c r="L126" i="16"/>
  <c r="L137" i="16"/>
  <c r="L127" i="16"/>
  <c r="N127" i="16" s="1"/>
  <c r="U146" i="16"/>
  <c r="T146" i="16"/>
  <c r="D134" i="16"/>
  <c r="J137" i="16"/>
  <c r="H150" i="16"/>
  <c r="H155" i="16"/>
  <c r="N135" i="16"/>
  <c r="D146" i="16"/>
  <c r="T125" i="16"/>
  <c r="B148" i="16"/>
  <c r="U125" i="16"/>
  <c r="L146" i="16"/>
  <c r="L147" i="16"/>
  <c r="N81" i="16"/>
  <c r="W121" i="16"/>
  <c r="H118" i="35"/>
  <c r="N118" i="35" s="1"/>
  <c r="H116" i="35"/>
  <c r="N45" i="35"/>
  <c r="L125" i="35"/>
  <c r="N61" i="35"/>
  <c r="J116" i="35"/>
  <c r="N110" i="35"/>
  <c r="W116" i="35"/>
  <c r="H122" i="35"/>
  <c r="C116" i="35"/>
  <c r="C124" i="35"/>
  <c r="E124" i="35" s="1"/>
  <c r="N25" i="35"/>
  <c r="N24" i="35"/>
  <c r="N58" i="35"/>
  <c r="D129" i="35"/>
  <c r="L128" i="35"/>
  <c r="B120" i="35"/>
  <c r="H120" i="35"/>
  <c r="S120" i="35"/>
  <c r="B118" i="35"/>
  <c r="E118" i="35" s="1"/>
  <c r="J122" i="35"/>
  <c r="H109" i="35"/>
  <c r="N86" i="35"/>
  <c r="L114" i="35"/>
  <c r="N115" i="35"/>
  <c r="H114" i="35"/>
  <c r="N76" i="35"/>
  <c r="E113" i="35"/>
  <c r="J106" i="35"/>
  <c r="C111" i="35"/>
  <c r="J112" i="35"/>
  <c r="W118" i="35"/>
  <c r="D128" i="35"/>
  <c r="U120" i="35"/>
  <c r="L112" i="35"/>
  <c r="H111" i="35"/>
  <c r="E127" i="35"/>
  <c r="N15" i="35"/>
  <c r="D111" i="35"/>
  <c r="H106" i="35"/>
  <c r="W122" i="35"/>
  <c r="H125" i="35"/>
  <c r="N125" i="35" s="1"/>
  <c r="T171" i="17"/>
  <c r="W171" i="17" s="1"/>
  <c r="U171" i="17"/>
  <c r="S156" i="17"/>
  <c r="W145" i="17"/>
  <c r="J156" i="17"/>
  <c r="H184" i="17"/>
  <c r="U156" i="17"/>
  <c r="H183" i="17"/>
  <c r="W179" i="17"/>
  <c r="C188" i="17"/>
  <c r="N78" i="17"/>
  <c r="D175" i="17"/>
  <c r="N109" i="17"/>
  <c r="N22" i="17"/>
  <c r="N34" i="17"/>
  <c r="N69" i="17"/>
  <c r="B182" i="17"/>
  <c r="W177" i="17"/>
  <c r="W137" i="17"/>
  <c r="D144" i="17"/>
  <c r="D145" i="17"/>
  <c r="D149" i="17"/>
  <c r="B153" i="17"/>
  <c r="B154" i="17"/>
  <c r="L172" i="17"/>
  <c r="N86" i="17"/>
  <c r="T151" i="17"/>
  <c r="J142" i="17"/>
  <c r="L135" i="17"/>
  <c r="B173" i="17"/>
  <c r="C135" i="17"/>
  <c r="N16" i="17"/>
  <c r="T173" i="17"/>
  <c r="H145" i="17"/>
  <c r="H174" i="17"/>
  <c r="N21" i="17"/>
  <c r="L145" i="17"/>
  <c r="J164" i="17"/>
  <c r="W189" i="17"/>
  <c r="B179" i="17"/>
  <c r="D159" i="17"/>
  <c r="J184" i="17"/>
  <c r="J186" i="17"/>
  <c r="H187" i="17"/>
  <c r="N84" i="17"/>
  <c r="N20" i="17"/>
  <c r="C183" i="17"/>
  <c r="C187" i="17"/>
  <c r="B137" i="17"/>
  <c r="E137" i="17" s="1"/>
  <c r="B139" i="17"/>
  <c r="D143" i="17"/>
  <c r="D146" i="17"/>
  <c r="D148" i="17"/>
  <c r="H154" i="17"/>
  <c r="C162" i="17"/>
  <c r="W143" i="17"/>
  <c r="T188" i="17"/>
  <c r="E189" i="17"/>
  <c r="D136" i="17"/>
  <c r="C140" i="17"/>
  <c r="D142" i="17"/>
  <c r="N97" i="17"/>
  <c r="H180" i="17"/>
  <c r="L181" i="17"/>
  <c r="W157" i="17"/>
  <c r="W163" i="17"/>
  <c r="N10" i="17"/>
  <c r="L136" i="17"/>
  <c r="D140" i="17"/>
  <c r="N26" i="17"/>
  <c r="N28" i="17"/>
  <c r="N32" i="17"/>
  <c r="N38" i="17"/>
  <c r="L152" i="17"/>
  <c r="N47" i="17"/>
  <c r="N49" i="17"/>
  <c r="B156" i="17"/>
  <c r="E156" i="17" s="1"/>
  <c r="H164" i="17"/>
  <c r="N81" i="17"/>
  <c r="H173" i="17"/>
  <c r="B180" i="17"/>
  <c r="D188" i="17"/>
  <c r="J140" i="17"/>
  <c r="L166" i="17"/>
  <c r="N103" i="17"/>
  <c r="N115" i="17"/>
  <c r="B188" i="17"/>
  <c r="J187" i="18"/>
  <c r="D139" i="18"/>
  <c r="N18" i="18"/>
  <c r="H144" i="18"/>
  <c r="N27" i="18"/>
  <c r="B149" i="18"/>
  <c r="L152" i="18"/>
  <c r="B178" i="18"/>
  <c r="J179" i="18"/>
  <c r="N96" i="18"/>
  <c r="J183" i="18"/>
  <c r="W179" i="18"/>
  <c r="N119" i="18"/>
  <c r="W162" i="18"/>
  <c r="N24" i="18"/>
  <c r="N35" i="18"/>
  <c r="N37" i="18"/>
  <c r="T184" i="18"/>
  <c r="J153" i="18"/>
  <c r="N41" i="18"/>
  <c r="H159" i="18"/>
  <c r="N159" i="18" s="1"/>
  <c r="N91" i="18"/>
  <c r="D185" i="18"/>
  <c r="D186" i="18"/>
  <c r="C138" i="18"/>
  <c r="N13" i="18"/>
  <c r="C143" i="18"/>
  <c r="N19" i="18"/>
  <c r="H147" i="18"/>
  <c r="C150" i="18"/>
  <c r="C151" i="18"/>
  <c r="N34" i="18"/>
  <c r="C153" i="18"/>
  <c r="J154" i="18"/>
  <c r="D155" i="18"/>
  <c r="D156" i="18"/>
  <c r="B179" i="18"/>
  <c r="L184" i="18"/>
  <c r="J185" i="18"/>
  <c r="H186" i="18"/>
  <c r="D138" i="18"/>
  <c r="B139" i="18"/>
  <c r="L140" i="18"/>
  <c r="J141" i="18"/>
  <c r="N25" i="18"/>
  <c r="D149" i="18"/>
  <c r="E149" i="18" s="1"/>
  <c r="H155" i="18"/>
  <c r="D170" i="18"/>
  <c r="C179" i="18"/>
  <c r="D181" i="18"/>
  <c r="J188" i="18"/>
  <c r="L190" i="18"/>
  <c r="L180" i="18"/>
  <c r="C139" i="18"/>
  <c r="N10" i="18"/>
  <c r="C147" i="18"/>
  <c r="J148" i="18"/>
  <c r="J151" i="18"/>
  <c r="D152" i="18"/>
  <c r="B155" i="18"/>
  <c r="C180" i="18"/>
  <c r="B181" i="18"/>
  <c r="H181" i="18"/>
  <c r="D182" i="18"/>
  <c r="D183" i="18"/>
  <c r="C185" i="18"/>
  <c r="E185" i="18" s="1"/>
  <c r="B188" i="18"/>
  <c r="B190" i="18"/>
  <c r="N115" i="18"/>
  <c r="W152" i="18"/>
  <c r="W186" i="19"/>
  <c r="N10" i="19"/>
  <c r="S175" i="19"/>
  <c r="C168" i="19"/>
  <c r="N67" i="19"/>
  <c r="H179" i="19"/>
  <c r="N40" i="19"/>
  <c r="T175" i="19"/>
  <c r="D151" i="19"/>
  <c r="E151" i="19" s="1"/>
  <c r="N46" i="19"/>
  <c r="B186" i="19"/>
  <c r="D191" i="19"/>
  <c r="N90" i="19"/>
  <c r="J160" i="19"/>
  <c r="C141" i="19"/>
  <c r="J150" i="19"/>
  <c r="D141" i="19"/>
  <c r="D153" i="19"/>
  <c r="H193" i="19"/>
  <c r="J159" i="19"/>
  <c r="L161" i="19"/>
  <c r="N113" i="19"/>
  <c r="N117" i="19"/>
  <c r="N37" i="19"/>
  <c r="H178" i="19"/>
  <c r="N88" i="19"/>
  <c r="H184" i="19"/>
  <c r="N12" i="19"/>
  <c r="N29" i="19"/>
  <c r="C158" i="19"/>
  <c r="C165" i="19"/>
  <c r="D166" i="19"/>
  <c r="B169" i="19"/>
  <c r="H188" i="19"/>
  <c r="W155" i="19"/>
  <c r="N8" i="19"/>
  <c r="C153" i="19"/>
  <c r="N49" i="19"/>
  <c r="J166" i="19"/>
  <c r="J171" i="19"/>
  <c r="D172" i="19"/>
  <c r="N75" i="19"/>
  <c r="D175" i="19"/>
  <c r="W175" i="19"/>
  <c r="D145" i="19"/>
  <c r="H146" i="19"/>
  <c r="N26" i="19"/>
  <c r="H151" i="19"/>
  <c r="N42" i="19"/>
  <c r="C161" i="19"/>
  <c r="C163" i="19"/>
  <c r="N55" i="19"/>
  <c r="L165" i="19"/>
  <c r="B171" i="19"/>
  <c r="C174" i="19"/>
  <c r="N77" i="19"/>
  <c r="N11" i="19"/>
  <c r="D147" i="19"/>
  <c r="L167" i="19"/>
  <c r="C175" i="19"/>
  <c r="N79" i="19"/>
  <c r="D187" i="19"/>
  <c r="W141" i="19"/>
  <c r="W164" i="19"/>
  <c r="N13" i="19"/>
  <c r="L147" i="19"/>
  <c r="B153" i="19"/>
  <c r="D185" i="19"/>
  <c r="D190" i="19"/>
  <c r="J157" i="19"/>
  <c r="N157" i="19" s="1"/>
  <c r="J175" i="19"/>
  <c r="L190" i="19"/>
  <c r="N101" i="19"/>
  <c r="N49" i="20"/>
  <c r="N51" i="20"/>
  <c r="N55" i="20"/>
  <c r="N69" i="20"/>
  <c r="N71" i="20"/>
  <c r="W123" i="20"/>
  <c r="W133" i="20"/>
  <c r="D148" i="20"/>
  <c r="N68" i="20"/>
  <c r="N77" i="20"/>
  <c r="C119" i="20"/>
  <c r="H134" i="20"/>
  <c r="N50" i="20"/>
  <c r="H143" i="20"/>
  <c r="D119" i="20"/>
  <c r="J137" i="20"/>
  <c r="L119" i="20"/>
  <c r="N65" i="20"/>
  <c r="N45" i="20"/>
  <c r="J119" i="20"/>
  <c r="N22" i="20"/>
  <c r="N85" i="20"/>
  <c r="D166" i="20"/>
  <c r="W141" i="20"/>
  <c r="B161" i="21"/>
  <c r="J171" i="21"/>
  <c r="C140" i="21"/>
  <c r="D142" i="21"/>
  <c r="H164" i="21"/>
  <c r="C174" i="21"/>
  <c r="B175" i="21"/>
  <c r="D176" i="21"/>
  <c r="J179" i="21"/>
  <c r="D181" i="21"/>
  <c r="N114" i="21"/>
  <c r="H174" i="21"/>
  <c r="C133" i="21"/>
  <c r="C134" i="21"/>
  <c r="J137" i="21"/>
  <c r="L139" i="21"/>
  <c r="H145" i="21"/>
  <c r="D146" i="21"/>
  <c r="E146" i="21" s="1"/>
  <c r="C147" i="21"/>
  <c r="B148" i="21"/>
  <c r="J165" i="21"/>
  <c r="H166" i="21"/>
  <c r="C167" i="21"/>
  <c r="B168" i="21"/>
  <c r="C170" i="21"/>
  <c r="D172" i="21"/>
  <c r="D173" i="21"/>
  <c r="N51" i="21"/>
  <c r="D133" i="21"/>
  <c r="D134" i="21"/>
  <c r="B138" i="21"/>
  <c r="C163" i="21"/>
  <c r="D167" i="21"/>
  <c r="J169" i="21"/>
  <c r="J183" i="21"/>
  <c r="W161" i="21"/>
  <c r="S170" i="21"/>
  <c r="B158" i="21"/>
  <c r="N60" i="21"/>
  <c r="B162" i="21"/>
  <c r="L162" i="21"/>
  <c r="D163" i="21"/>
  <c r="N80" i="21"/>
  <c r="N82" i="21"/>
  <c r="J170" i="21"/>
  <c r="B170" i="21"/>
  <c r="N108" i="21"/>
  <c r="N26" i="21"/>
  <c r="L148" i="21"/>
  <c r="D157" i="21"/>
  <c r="C160" i="21"/>
  <c r="C161" i="21"/>
  <c r="N68" i="21"/>
  <c r="H163" i="21"/>
  <c r="C169" i="21"/>
  <c r="J176" i="21"/>
  <c r="C185" i="21"/>
  <c r="W165" i="21"/>
  <c r="J146" i="21"/>
  <c r="N138" i="21"/>
  <c r="N41" i="21"/>
  <c r="N70" i="21"/>
  <c r="N86" i="21"/>
  <c r="W135" i="21"/>
  <c r="W156" i="21"/>
  <c r="W180" i="21"/>
  <c r="N115" i="21"/>
  <c r="S162" i="21"/>
  <c r="L170" i="21"/>
  <c r="N19" i="21"/>
  <c r="N32" i="21"/>
  <c r="N49" i="21"/>
  <c r="B177" i="21"/>
  <c r="W139" i="21"/>
  <c r="W160" i="21"/>
  <c r="N18" i="33"/>
  <c r="N26" i="33"/>
  <c r="H82" i="33"/>
  <c r="N10" i="33"/>
  <c r="C85" i="33"/>
  <c r="N47" i="9"/>
  <c r="N58" i="9"/>
  <c r="N60" i="9"/>
  <c r="L193" i="9"/>
  <c r="D201" i="9"/>
  <c r="L179" i="9"/>
  <c r="J186" i="9"/>
  <c r="N29" i="9"/>
  <c r="B168" i="9"/>
  <c r="J174" i="9"/>
  <c r="B178" i="9"/>
  <c r="D150" i="9"/>
  <c r="D154" i="9"/>
  <c r="J155" i="9"/>
  <c r="J156" i="9"/>
  <c r="J157" i="9"/>
  <c r="D158" i="9"/>
  <c r="D160" i="9"/>
  <c r="C161" i="9"/>
  <c r="B174" i="9"/>
  <c r="C178" i="9"/>
  <c r="B150" i="9"/>
  <c r="C153" i="9"/>
  <c r="B155" i="9"/>
  <c r="B187" i="9"/>
  <c r="N11" i="9"/>
  <c r="H151" i="9"/>
  <c r="L152" i="9"/>
  <c r="L186" i="9"/>
  <c r="N13" i="9"/>
  <c r="J201" i="9"/>
  <c r="J192" i="9"/>
  <c r="N110" i="9"/>
  <c r="L198" i="9"/>
  <c r="E176" i="11"/>
  <c r="N114" i="11"/>
  <c r="J183" i="11"/>
  <c r="C146" i="11"/>
  <c r="J141" i="11"/>
  <c r="S146" i="11"/>
  <c r="H179" i="11"/>
  <c r="C159" i="11"/>
  <c r="E159" i="11" s="1"/>
  <c r="H142" i="11"/>
  <c r="N142" i="11" s="1"/>
  <c r="H164" i="11"/>
  <c r="N164" i="11" s="1"/>
  <c r="B183" i="11"/>
  <c r="L156" i="11"/>
  <c r="W159" i="11"/>
  <c r="L147" i="11"/>
  <c r="B140" i="11"/>
  <c r="B150" i="11"/>
  <c r="H152" i="11"/>
  <c r="N49" i="11"/>
  <c r="T169" i="11"/>
  <c r="L179" i="11"/>
  <c r="B182" i="11"/>
  <c r="D139" i="11"/>
  <c r="S172" i="11"/>
  <c r="U146" i="11"/>
  <c r="W146" i="11" s="1"/>
  <c r="H173" i="11"/>
  <c r="D169" i="11"/>
  <c r="H154" i="11"/>
  <c r="J184" i="11"/>
  <c r="N184" i="11" s="1"/>
  <c r="J153" i="11"/>
  <c r="N19" i="11"/>
  <c r="N23" i="11"/>
  <c r="L176" i="11"/>
  <c r="N176" i="11" s="1"/>
  <c r="W140" i="11"/>
  <c r="W188" i="11"/>
  <c r="T172" i="11"/>
  <c r="E144" i="11"/>
  <c r="J173" i="11"/>
  <c r="H169" i="11"/>
  <c r="J154" i="11"/>
  <c r="N25" i="11"/>
  <c r="W144" i="11"/>
  <c r="W156" i="11"/>
  <c r="U172" i="11"/>
  <c r="C188" i="11"/>
  <c r="E188" i="11" s="1"/>
  <c r="N157" i="11"/>
  <c r="W149" i="11"/>
  <c r="J169" i="11"/>
  <c r="E143" i="11"/>
  <c r="B169" i="11"/>
  <c r="H146" i="11"/>
  <c r="U141" i="11"/>
  <c r="W141" i="11" s="1"/>
  <c r="N18" i="11"/>
  <c r="D146" i="11"/>
  <c r="N57" i="11"/>
  <c r="N81" i="11"/>
  <c r="D185" i="11"/>
  <c r="L192" i="11"/>
  <c r="N192" i="11" s="1"/>
  <c r="W150" i="11"/>
  <c r="C172" i="11"/>
  <c r="C189" i="11"/>
  <c r="H155" i="11"/>
  <c r="N24" i="11"/>
  <c r="H163" i="11"/>
  <c r="H170" i="11"/>
  <c r="L169" i="11"/>
  <c r="L146" i="11"/>
  <c r="C160" i="11"/>
  <c r="J155" i="11"/>
  <c r="U179" i="11"/>
  <c r="E142" i="11"/>
  <c r="J163" i="11"/>
  <c r="J170" i="11"/>
  <c r="H156" i="11"/>
  <c r="H147" i="11"/>
  <c r="N13" i="11"/>
  <c r="D160" i="11"/>
  <c r="E160" i="11" s="1"/>
  <c r="N52" i="11"/>
  <c r="H180" i="11"/>
  <c r="N92" i="11"/>
  <c r="H186" i="11"/>
  <c r="N116" i="11"/>
  <c r="S169" i="11"/>
  <c r="E184" i="11"/>
  <c r="E148" i="11"/>
  <c r="D152" i="11"/>
  <c r="E152" i="11" s="1"/>
  <c r="N43" i="11"/>
  <c r="N72" i="11"/>
  <c r="D179" i="11"/>
  <c r="S173" i="12"/>
  <c r="B180" i="12"/>
  <c r="C188" i="12"/>
  <c r="N162" i="12"/>
  <c r="B149" i="12"/>
  <c r="T173" i="12"/>
  <c r="U173" i="12"/>
  <c r="B144" i="12"/>
  <c r="N66" i="12"/>
  <c r="D175" i="12"/>
  <c r="N9" i="12"/>
  <c r="N44" i="12"/>
  <c r="N68" i="12"/>
  <c r="B170" i="12"/>
  <c r="N114" i="12"/>
  <c r="W140" i="12"/>
  <c r="W152" i="12"/>
  <c r="W172" i="12"/>
  <c r="N117" i="12"/>
  <c r="J76" i="32"/>
  <c r="N12" i="32"/>
  <c r="D87" i="32"/>
  <c r="T97" i="32"/>
  <c r="H86" i="32"/>
  <c r="D91" i="32"/>
  <c r="D97" i="32"/>
  <c r="S97" i="32"/>
  <c r="J80" i="32"/>
  <c r="N87" i="32"/>
  <c r="C83" i="32"/>
  <c r="C93" i="32"/>
  <c r="J88" i="32"/>
  <c r="L88" i="32"/>
  <c r="H81" i="32"/>
  <c r="W94" i="32"/>
  <c r="C74" i="32"/>
  <c r="E74" i="32" s="1"/>
  <c r="D75" i="32"/>
  <c r="B78" i="32"/>
  <c r="C79" i="32"/>
  <c r="D80" i="32"/>
  <c r="N26" i="32"/>
  <c r="N41" i="32"/>
  <c r="C92" i="32"/>
  <c r="J94" i="32"/>
  <c r="J91" i="32"/>
  <c r="N91" i="32" s="1"/>
  <c r="L80" i="32"/>
  <c r="N14" i="32"/>
  <c r="W92" i="32"/>
  <c r="H83" i="32"/>
  <c r="N89" i="32"/>
  <c r="B75" i="32"/>
  <c r="E75" i="32" s="1"/>
  <c r="L90" i="32"/>
  <c r="H192" i="13"/>
  <c r="L178" i="13"/>
  <c r="B152" i="13"/>
  <c r="B153" i="13"/>
  <c r="C151" i="13"/>
  <c r="J183" i="13"/>
  <c r="C175" i="13"/>
  <c r="N74" i="13"/>
  <c r="W171" i="13"/>
  <c r="D202" i="13"/>
  <c r="C169" i="13"/>
  <c r="W150" i="13"/>
  <c r="N14" i="14"/>
  <c r="D157" i="14"/>
  <c r="D174" i="14"/>
  <c r="E174" i="14" s="1"/>
  <c r="L148" i="14"/>
  <c r="N83" i="14"/>
  <c r="E172" i="14"/>
  <c r="C183" i="14"/>
  <c r="L183" i="14"/>
  <c r="C171" i="14"/>
  <c r="J144" i="14"/>
  <c r="N47" i="14"/>
  <c r="E181" i="14"/>
  <c r="H144" i="14"/>
  <c r="N86" i="14"/>
  <c r="S171" i="14"/>
  <c r="B178" i="14"/>
  <c r="N33" i="14"/>
  <c r="D145" i="14"/>
  <c r="E145" i="14" s="1"/>
  <c r="L160" i="14"/>
  <c r="N160" i="14" s="1"/>
  <c r="W148" i="14"/>
  <c r="N138" i="14"/>
  <c r="N60" i="14"/>
  <c r="N174" i="14"/>
  <c r="J187" i="14"/>
  <c r="J155" i="14"/>
  <c r="H171" i="14"/>
  <c r="B163" i="14"/>
  <c r="D180" i="14"/>
  <c r="E180" i="14" s="1"/>
  <c r="D182" i="14"/>
  <c r="B189" i="14"/>
  <c r="C164" i="14"/>
  <c r="D155" i="14"/>
  <c r="E155" i="14" s="1"/>
  <c r="C152" i="14"/>
  <c r="L155" i="14"/>
  <c r="N155" i="14" s="1"/>
  <c r="N68" i="14"/>
  <c r="N188" i="14"/>
  <c r="H187" i="14"/>
  <c r="L163" i="14"/>
  <c r="L171" i="14"/>
  <c r="D154" i="14"/>
  <c r="E154" i="14" s="1"/>
  <c r="W169" i="14"/>
  <c r="H148" i="14"/>
  <c r="N148" i="14" s="1"/>
  <c r="D152" i="14"/>
  <c r="C163" i="14"/>
  <c r="D161" i="14"/>
  <c r="E161" i="14" s="1"/>
  <c r="N57" i="14"/>
  <c r="N37" i="14"/>
  <c r="H163" i="14"/>
  <c r="E138" i="14"/>
  <c r="L167" i="14"/>
  <c r="D185" i="14"/>
  <c r="E185" i="14" s="1"/>
  <c r="L137" i="14"/>
  <c r="J141" i="14"/>
  <c r="N141" i="14" s="1"/>
  <c r="T171" i="14"/>
  <c r="J167" i="14"/>
  <c r="L175" i="14"/>
  <c r="C158" i="14"/>
  <c r="E158" i="14" s="1"/>
  <c r="H175" i="14"/>
  <c r="D178" i="14"/>
  <c r="N99" i="14"/>
  <c r="D187" i="14"/>
  <c r="D139" i="14"/>
  <c r="E156" i="14"/>
  <c r="N93" i="14"/>
  <c r="D148" i="14"/>
  <c r="D141" i="14"/>
  <c r="E141" i="14" s="1"/>
  <c r="W157" i="14"/>
  <c r="W141" i="14"/>
  <c r="N42" i="14"/>
  <c r="N170" i="14"/>
  <c r="W180" i="14"/>
  <c r="D168" i="14"/>
  <c r="B171" i="14"/>
  <c r="N80" i="14"/>
  <c r="C173" i="14"/>
  <c r="D175" i="14"/>
  <c r="U181" i="14"/>
  <c r="W181" i="14" s="1"/>
  <c r="C184" i="14"/>
  <c r="E184" i="14" s="1"/>
  <c r="D186" i="14"/>
  <c r="H142" i="14"/>
  <c r="W192" i="14"/>
  <c r="N37" i="34"/>
  <c r="S82" i="34"/>
  <c r="W82" i="34" s="1"/>
  <c r="N9" i="34"/>
  <c r="H77" i="34"/>
  <c r="N77" i="34" s="1"/>
  <c r="C81" i="34"/>
  <c r="J74" i="34"/>
  <c r="N74" i="34" s="1"/>
  <c r="W93" i="34"/>
  <c r="W88" i="34"/>
  <c r="U82" i="34"/>
  <c r="B75" i="34"/>
  <c r="D76" i="34"/>
  <c r="B85" i="34"/>
  <c r="E85" i="34" s="1"/>
  <c r="D86" i="34"/>
  <c r="D94" i="34"/>
  <c r="H74" i="34"/>
  <c r="B82" i="34"/>
  <c r="N11" i="34"/>
  <c r="N34" i="34"/>
  <c r="N53" i="34"/>
  <c r="L83" i="34"/>
  <c r="N83" i="34" s="1"/>
  <c r="J82" i="34"/>
  <c r="D75" i="34"/>
  <c r="L89" i="34"/>
  <c r="J86" i="34"/>
  <c r="H78" i="34"/>
  <c r="N110" i="6"/>
  <c r="N36" i="30"/>
  <c r="S70" i="30"/>
  <c r="N20" i="30"/>
  <c r="C78" i="30"/>
  <c r="U70" i="30"/>
  <c r="L68" i="30"/>
  <c r="C79" i="30"/>
  <c r="T78" i="30"/>
  <c r="D81" i="30"/>
  <c r="N13" i="30"/>
  <c r="D71" i="30"/>
  <c r="N22" i="30"/>
  <c r="B78" i="30"/>
  <c r="D79" i="30"/>
  <c r="D186" i="7"/>
  <c r="J188" i="7"/>
  <c r="H183" i="7"/>
  <c r="H167" i="7"/>
  <c r="J183" i="7"/>
  <c r="J163" i="7"/>
  <c r="B165" i="7"/>
  <c r="H159" i="7"/>
  <c r="L176" i="7"/>
  <c r="B137" i="7"/>
  <c r="J137" i="7"/>
  <c r="B176" i="7"/>
  <c r="W167" i="7"/>
  <c r="D167" i="7"/>
  <c r="D184" i="7"/>
  <c r="C137" i="7"/>
  <c r="D138" i="7"/>
  <c r="J136" i="7"/>
  <c r="C134" i="7"/>
  <c r="W187" i="7"/>
  <c r="L171" i="7"/>
  <c r="J167" i="7"/>
  <c r="J176" i="7"/>
  <c r="N176" i="7" s="1"/>
  <c r="D164" i="7"/>
  <c r="N111" i="7"/>
  <c r="B187" i="7"/>
  <c r="C136" i="7"/>
  <c r="H138" i="7"/>
  <c r="H171" i="7"/>
  <c r="D171" i="7"/>
  <c r="J139" i="7"/>
  <c r="W134" i="7"/>
  <c r="H87" i="31"/>
  <c r="N16" i="31"/>
  <c r="B78" i="31"/>
  <c r="D79" i="31"/>
  <c r="B82" i="31"/>
  <c r="D87" i="31"/>
  <c r="E92" i="31"/>
  <c r="H91" i="31"/>
  <c r="N40" i="31"/>
  <c r="J79" i="31"/>
  <c r="N49" i="31"/>
  <c r="L91" i="31"/>
  <c r="N83" i="31"/>
  <c r="L92" i="31"/>
  <c r="N92" i="31" s="1"/>
  <c r="W89" i="31"/>
  <c r="N47" i="31"/>
  <c r="D72" i="31"/>
  <c r="C75" i="31"/>
  <c r="D82" i="31"/>
  <c r="C88" i="31"/>
  <c r="W77" i="31"/>
  <c r="N45" i="31"/>
  <c r="N32" i="31"/>
  <c r="D80" i="31"/>
  <c r="J74" i="31"/>
  <c r="W73" i="31"/>
  <c r="H76" i="31"/>
  <c r="J87" i="31"/>
  <c r="N23" i="31"/>
  <c r="E202" i="22"/>
  <c r="U93" i="38"/>
  <c r="H87" i="38"/>
  <c r="J83" i="37"/>
  <c r="H88" i="37"/>
  <c r="B97" i="37"/>
  <c r="C97" i="37"/>
  <c r="L81" i="37"/>
  <c r="N11" i="37"/>
  <c r="D83" i="37"/>
  <c r="H83" i="37"/>
  <c r="B83" i="37"/>
  <c r="D98" i="37"/>
  <c r="N56" i="37"/>
  <c r="N32" i="37"/>
  <c r="N40" i="37"/>
  <c r="N80" i="37"/>
  <c r="N20" i="37"/>
  <c r="N30" i="37"/>
  <c r="N35" i="37"/>
  <c r="E101" i="37"/>
  <c r="N89" i="37"/>
  <c r="E96" i="37"/>
  <c r="E100" i="37"/>
  <c r="B86" i="37"/>
  <c r="N37" i="37"/>
  <c r="N86" i="37"/>
  <c r="D92" i="37"/>
  <c r="B93" i="37"/>
  <c r="E93" i="37" s="1"/>
  <c r="N58" i="37"/>
  <c r="L87" i="37"/>
  <c r="N48" i="37"/>
  <c r="H102" i="37"/>
  <c r="L95" i="37"/>
  <c r="H87" i="37"/>
  <c r="J82" i="37"/>
  <c r="N59" i="37"/>
  <c r="H95" i="37"/>
  <c r="N23" i="37"/>
  <c r="D84" i="37"/>
  <c r="D87" i="37"/>
  <c r="L82" i="37"/>
  <c r="C86" i="37"/>
  <c r="N24" i="37"/>
  <c r="H101" i="37"/>
  <c r="N55" i="37"/>
  <c r="C85" i="37"/>
  <c r="C94" i="37"/>
  <c r="E102" i="37"/>
  <c r="N27" i="37"/>
  <c r="B84" i="37"/>
  <c r="D94" i="37"/>
  <c r="N47" i="37"/>
  <c r="N42" i="37"/>
  <c r="J99" i="37"/>
  <c r="W107" i="36"/>
  <c r="N20" i="36"/>
  <c r="N63" i="36"/>
  <c r="B109" i="36"/>
  <c r="N27" i="36"/>
  <c r="N29" i="36"/>
  <c r="N67" i="36"/>
  <c r="N10" i="36"/>
  <c r="W108" i="36"/>
  <c r="B111" i="36"/>
  <c r="L113" i="36"/>
  <c r="B103" i="36"/>
  <c r="J146" i="16"/>
  <c r="E138" i="16"/>
  <c r="H133" i="16"/>
  <c r="H151" i="16"/>
  <c r="L155" i="16"/>
  <c r="N155" i="16" s="1"/>
  <c r="N31" i="16"/>
  <c r="N87" i="16"/>
  <c r="H142" i="16"/>
  <c r="D139" i="16"/>
  <c r="E139" i="16" s="1"/>
  <c r="E147" i="16"/>
  <c r="H128" i="16"/>
  <c r="N128" i="16" s="1"/>
  <c r="L154" i="16"/>
  <c r="N154" i="16" s="1"/>
  <c r="B122" i="16"/>
  <c r="N13" i="16"/>
  <c r="N20" i="16"/>
  <c r="E132" i="16"/>
  <c r="N42" i="16"/>
  <c r="N49" i="16"/>
  <c r="H146" i="16"/>
  <c r="J147" i="16"/>
  <c r="N68" i="16"/>
  <c r="N77" i="16"/>
  <c r="N83" i="16"/>
  <c r="N29" i="16"/>
  <c r="J129" i="16"/>
  <c r="N8" i="16"/>
  <c r="C122" i="16"/>
  <c r="L138" i="16"/>
  <c r="N56" i="16"/>
  <c r="N145" i="16"/>
  <c r="L142" i="16"/>
  <c r="B158" i="16"/>
  <c r="J138" i="16"/>
  <c r="L121" i="16"/>
  <c r="H122" i="16"/>
  <c r="J133" i="16"/>
  <c r="J125" i="16"/>
  <c r="N75" i="16"/>
  <c r="N37" i="16"/>
  <c r="N141" i="16"/>
  <c r="E127" i="16"/>
  <c r="B137" i="16"/>
  <c r="N73" i="16"/>
  <c r="N79" i="16"/>
  <c r="L143" i="16"/>
  <c r="N7" i="16"/>
  <c r="L122" i="16"/>
  <c r="C124" i="16"/>
  <c r="N41" i="16"/>
  <c r="N53" i="16"/>
  <c r="N22" i="16"/>
  <c r="N70" i="16"/>
  <c r="C149" i="16"/>
  <c r="E149" i="16" s="1"/>
  <c r="E148" i="16"/>
  <c r="H143" i="16"/>
  <c r="C125" i="16"/>
  <c r="N15" i="16"/>
  <c r="L131" i="16"/>
  <c r="N9" i="16"/>
  <c r="N23" i="16"/>
  <c r="J139" i="16"/>
  <c r="N51" i="16"/>
  <c r="J130" i="16"/>
  <c r="N11" i="16"/>
  <c r="D140" i="16"/>
  <c r="E140" i="16" s="1"/>
  <c r="N78" i="16"/>
  <c r="N82" i="16"/>
  <c r="D158" i="16"/>
  <c r="N66" i="16"/>
  <c r="L130" i="16"/>
  <c r="D153" i="16"/>
  <c r="E153" i="16" s="1"/>
  <c r="C155" i="16"/>
  <c r="E155" i="16" s="1"/>
  <c r="N55" i="16"/>
  <c r="E143" i="16"/>
  <c r="E126" i="16"/>
  <c r="N33" i="16"/>
  <c r="H147" i="16"/>
  <c r="N147" i="16" s="1"/>
  <c r="J131" i="16"/>
  <c r="C136" i="16"/>
  <c r="J139" i="17"/>
  <c r="C163" i="17"/>
  <c r="D167" i="17"/>
  <c r="B170" i="17"/>
  <c r="C176" i="17"/>
  <c r="B177" i="17"/>
  <c r="D179" i="17"/>
  <c r="L182" i="17"/>
  <c r="J183" i="17"/>
  <c r="L164" i="17"/>
  <c r="J138" i="17"/>
  <c r="H136" i="17"/>
  <c r="L158" i="17"/>
  <c r="N63" i="17"/>
  <c r="C164" i="17"/>
  <c r="N71" i="17"/>
  <c r="L168" i="17"/>
  <c r="D169" i="17"/>
  <c r="B171" i="17"/>
  <c r="J171" i="17"/>
  <c r="J175" i="17"/>
  <c r="L178" i="17"/>
  <c r="N178" i="17" s="1"/>
  <c r="J180" i="17"/>
  <c r="N90" i="17"/>
  <c r="C170" i="17"/>
  <c r="C156" i="17"/>
  <c r="N54" i="17"/>
  <c r="N56" i="17"/>
  <c r="J159" i="17"/>
  <c r="J163" i="17"/>
  <c r="C165" i="17"/>
  <c r="B167" i="17"/>
  <c r="C173" i="17"/>
  <c r="J176" i="17"/>
  <c r="H137" i="17"/>
  <c r="C143" i="17"/>
  <c r="C144" i="17"/>
  <c r="C145" i="17"/>
  <c r="N31" i="17"/>
  <c r="C147" i="17"/>
  <c r="E147" i="17" s="1"/>
  <c r="N35" i="17"/>
  <c r="C149" i="17"/>
  <c r="C150" i="17"/>
  <c r="H153" i="17"/>
  <c r="D154" i="17"/>
  <c r="D155" i="17"/>
  <c r="N58" i="17"/>
  <c r="B163" i="17"/>
  <c r="C167" i="17"/>
  <c r="H170" i="17"/>
  <c r="B172" i="17"/>
  <c r="L177" i="17"/>
  <c r="D183" i="17"/>
  <c r="T138" i="17"/>
  <c r="S152" i="17"/>
  <c r="C136" i="17"/>
  <c r="N15" i="17"/>
  <c r="D147" i="17"/>
  <c r="N93" i="17"/>
  <c r="W182" i="17"/>
  <c r="J141" i="17"/>
  <c r="N141" i="17" s="1"/>
  <c r="L138" i="17"/>
  <c r="S151" i="17"/>
  <c r="C138" i="17"/>
  <c r="L147" i="17"/>
  <c r="N51" i="17"/>
  <c r="J158" i="17"/>
  <c r="N106" i="17"/>
  <c r="N108" i="17"/>
  <c r="N114" i="17"/>
  <c r="W185" i="17"/>
  <c r="L189" i="17"/>
  <c r="E74" i="34"/>
  <c r="N32" i="34"/>
  <c r="L81" i="34"/>
  <c r="C91" i="34"/>
  <c r="D91" i="34"/>
  <c r="S90" i="34"/>
  <c r="W90" i="34" s="1"/>
  <c r="L88" i="34"/>
  <c r="L85" i="34"/>
  <c r="W76" i="34"/>
  <c r="W92" i="34"/>
  <c r="D79" i="34"/>
  <c r="J79" i="34"/>
  <c r="N93" i="34"/>
  <c r="N47" i="34"/>
  <c r="N50" i="34"/>
  <c r="L86" i="34"/>
  <c r="L78" i="34"/>
  <c r="C78" i="34"/>
  <c r="N18" i="34"/>
  <c r="N52" i="34"/>
  <c r="N27" i="34"/>
  <c r="J81" i="34"/>
  <c r="B76" i="34"/>
  <c r="N15" i="34"/>
  <c r="C94" i="34"/>
  <c r="D95" i="34"/>
  <c r="C76" i="34"/>
  <c r="E76" i="34" s="1"/>
  <c r="H86" i="34"/>
  <c r="J89" i="34"/>
  <c r="N89" i="34" s="1"/>
  <c r="N13" i="34"/>
  <c r="D81" i="34"/>
  <c r="N44" i="34"/>
  <c r="N22" i="34"/>
  <c r="N55" i="34"/>
  <c r="B87" i="34"/>
  <c r="L89" i="33"/>
  <c r="N41" i="33"/>
  <c r="D97" i="33"/>
  <c r="N13" i="33"/>
  <c r="N15" i="33"/>
  <c r="J78" i="33"/>
  <c r="J79" i="33"/>
  <c r="H92" i="33"/>
  <c r="L95" i="33"/>
  <c r="C96" i="33"/>
  <c r="B77" i="33"/>
  <c r="C86" i="33"/>
  <c r="B198" i="10"/>
  <c r="L170" i="10"/>
  <c r="D172" i="10"/>
  <c r="S171" i="10"/>
  <c r="N58" i="10"/>
  <c r="N60" i="10"/>
  <c r="N75" i="10"/>
  <c r="D179" i="15"/>
  <c r="C189" i="15"/>
  <c r="N58" i="15"/>
  <c r="N26" i="15"/>
  <c r="H199" i="15"/>
  <c r="H176" i="15"/>
  <c r="J172" i="15"/>
  <c r="J161" i="15"/>
  <c r="H158" i="15"/>
  <c r="J154" i="15"/>
  <c r="H151" i="15"/>
  <c r="N91" i="15"/>
  <c r="D173" i="15"/>
  <c r="L161" i="15"/>
  <c r="D151" i="15"/>
  <c r="N32" i="15"/>
  <c r="D153" i="15"/>
  <c r="H184" i="15"/>
  <c r="J173" i="15"/>
  <c r="J165" i="15"/>
  <c r="J162" i="15"/>
  <c r="D194" i="15"/>
  <c r="B190" i="15"/>
  <c r="N104" i="15"/>
  <c r="N108" i="15"/>
  <c r="C202" i="15"/>
  <c r="L199" i="15"/>
  <c r="N80" i="15"/>
  <c r="C193" i="15"/>
  <c r="J195" i="15"/>
  <c r="D201" i="15"/>
  <c r="C173" i="15"/>
  <c r="N49" i="15"/>
  <c r="N41" i="15"/>
  <c r="C196" i="15"/>
  <c r="N66" i="15"/>
  <c r="N117" i="15"/>
  <c r="D174" i="15"/>
  <c r="D163" i="15"/>
  <c r="J151" i="15"/>
  <c r="L183" i="15"/>
  <c r="N52" i="15"/>
  <c r="B160" i="15"/>
  <c r="N10" i="15"/>
  <c r="J176" i="15"/>
  <c r="J191" i="15"/>
  <c r="C199" i="15"/>
  <c r="H154" i="15"/>
  <c r="D168" i="15"/>
  <c r="B177" i="15"/>
  <c r="N89" i="15"/>
  <c r="C188" i="15"/>
  <c r="J153" i="15"/>
  <c r="L172" i="15"/>
  <c r="C179" i="15"/>
  <c r="B152" i="15"/>
  <c r="B196" i="15"/>
  <c r="N43" i="15"/>
  <c r="J197" i="15"/>
  <c r="L166" i="15"/>
  <c r="H159" i="15"/>
  <c r="N103" i="15"/>
  <c r="B171" i="15"/>
  <c r="C154" i="15"/>
  <c r="N63" i="15"/>
  <c r="C165" i="15"/>
  <c r="C185" i="15"/>
  <c r="B170" i="7"/>
  <c r="D183" i="7"/>
  <c r="N74" i="7"/>
  <c r="C172" i="7"/>
  <c r="N87" i="7"/>
  <c r="C177" i="7"/>
  <c r="B140" i="7"/>
  <c r="E140" i="7" s="1"/>
  <c r="B152" i="7"/>
  <c r="J172" i="7"/>
  <c r="N72" i="7"/>
  <c r="N52" i="7"/>
  <c r="L172" i="7"/>
  <c r="N66" i="7"/>
  <c r="T176" i="7"/>
  <c r="N59" i="7"/>
  <c r="N25" i="7"/>
  <c r="S170" i="7"/>
  <c r="T170" i="7"/>
  <c r="W138" i="7"/>
  <c r="U176" i="7"/>
  <c r="C187" i="7"/>
  <c r="N80" i="7"/>
  <c r="B172" i="7"/>
  <c r="C176" i="7"/>
  <c r="C154" i="7"/>
  <c r="H150" i="7"/>
  <c r="N76" i="7"/>
  <c r="N26" i="7"/>
  <c r="N22" i="7"/>
  <c r="C148" i="7"/>
  <c r="N62" i="7"/>
  <c r="L147" i="7"/>
  <c r="L146" i="7"/>
  <c r="H186" i="7"/>
  <c r="W149" i="7"/>
  <c r="D172" i="7"/>
  <c r="N102" i="7"/>
  <c r="C183" i="7"/>
  <c r="N37" i="7"/>
  <c r="J185" i="7"/>
  <c r="W173" i="7"/>
  <c r="J165" i="7"/>
  <c r="B138" i="7"/>
  <c r="D142" i="7"/>
  <c r="D146" i="7"/>
  <c r="D154" i="7"/>
  <c r="C147" i="7"/>
  <c r="J145" i="7"/>
  <c r="H149" i="7"/>
  <c r="N48" i="7"/>
  <c r="N23" i="7"/>
  <c r="N138" i="7"/>
  <c r="J157" i="7"/>
  <c r="L153" i="7"/>
  <c r="B168" i="7"/>
  <c r="C173" i="7"/>
  <c r="N96" i="7"/>
  <c r="C184" i="7"/>
  <c r="N46" i="7"/>
  <c r="N21" i="7"/>
  <c r="N29" i="7"/>
  <c r="N77" i="7"/>
  <c r="N85" i="7"/>
  <c r="D143" i="7"/>
  <c r="B186" i="7"/>
  <c r="L181" i="7"/>
  <c r="L173" i="7"/>
  <c r="L169" i="7"/>
  <c r="L165" i="7"/>
  <c r="H161" i="7"/>
  <c r="W157" i="7"/>
  <c r="L136" i="7"/>
  <c r="N110" i="7"/>
  <c r="D170" i="7"/>
  <c r="N104" i="7"/>
  <c r="N61" i="7"/>
  <c r="J156" i="7"/>
  <c r="W136" i="7"/>
  <c r="H136" i="7"/>
  <c r="H173" i="7"/>
  <c r="B178" i="7"/>
  <c r="D156" i="7"/>
  <c r="B149" i="7"/>
  <c r="L184" i="7"/>
  <c r="C170" i="7"/>
  <c r="N53" i="7"/>
  <c r="N28" i="7"/>
  <c r="N41" i="7"/>
  <c r="D152" i="7"/>
  <c r="N14" i="7"/>
  <c r="W143" i="7"/>
  <c r="H165" i="7"/>
  <c r="W162" i="7"/>
  <c r="J154" i="7"/>
  <c r="W144" i="7"/>
  <c r="B162" i="7"/>
  <c r="H142" i="7"/>
  <c r="D188" i="7"/>
  <c r="J160" i="7"/>
  <c r="W141" i="7"/>
  <c r="H81" i="29"/>
  <c r="L88" i="29"/>
  <c r="N26" i="29"/>
  <c r="N40" i="29"/>
  <c r="N54" i="29"/>
  <c r="H91" i="29"/>
  <c r="C95" i="29"/>
  <c r="C99" i="29"/>
  <c r="D90" i="29"/>
  <c r="D80" i="29"/>
  <c r="E80" i="29" s="1"/>
  <c r="J82" i="29"/>
  <c r="B103" i="29"/>
  <c r="N58" i="29"/>
  <c r="J89" i="29"/>
  <c r="D132" i="6"/>
  <c r="D74" i="30"/>
  <c r="B77" i="30"/>
  <c r="D69" i="30"/>
  <c r="B72" i="30"/>
  <c r="D73" i="30"/>
  <c r="B76" i="30"/>
  <c r="U72" i="30"/>
  <c r="W72" i="30" s="1"/>
  <c r="N38" i="30"/>
  <c r="N29" i="30"/>
  <c r="C77" i="30"/>
  <c r="H74" i="30"/>
  <c r="L75" i="30"/>
  <c r="C70" i="30"/>
  <c r="T75" i="30"/>
  <c r="U67" i="30"/>
  <c r="C72" i="30"/>
  <c r="C76" i="30"/>
  <c r="S75" i="30"/>
  <c r="B73" i="30"/>
  <c r="C142" i="5"/>
  <c r="B147" i="5"/>
  <c r="D148" i="5"/>
  <c r="J162" i="5"/>
  <c r="L158" i="5"/>
  <c r="W143" i="5"/>
  <c r="H175" i="5"/>
  <c r="N172" i="5"/>
  <c r="B169" i="5"/>
  <c r="N92" i="5"/>
  <c r="N161" i="5"/>
  <c r="J157" i="5"/>
  <c r="L154" i="5"/>
  <c r="L150" i="5"/>
  <c r="N116" i="5"/>
  <c r="N68" i="5"/>
  <c r="N87" i="5"/>
  <c r="N91" i="5"/>
  <c r="B150" i="5"/>
  <c r="E150" i="5" s="1"/>
  <c r="C151" i="5"/>
  <c r="D152" i="5"/>
  <c r="B158" i="5"/>
  <c r="B161" i="5"/>
  <c r="D163" i="5"/>
  <c r="C144" i="5"/>
  <c r="N30" i="5"/>
  <c r="W149" i="5"/>
  <c r="D151" i="5"/>
  <c r="N47" i="5"/>
  <c r="D159" i="5"/>
  <c r="N12" i="5"/>
  <c r="C139" i="5"/>
  <c r="D144" i="5"/>
  <c r="N28" i="5"/>
  <c r="L182" i="5"/>
  <c r="H178" i="5"/>
  <c r="J174" i="5"/>
  <c r="H169" i="5"/>
  <c r="N169" i="5" s="1"/>
  <c r="B182" i="5"/>
  <c r="N7" i="5"/>
  <c r="D165" i="5"/>
  <c r="D171" i="5"/>
  <c r="B174" i="5"/>
  <c r="C179" i="5"/>
  <c r="C180" i="5"/>
  <c r="B181" i="5"/>
  <c r="D158" i="5"/>
  <c r="H156" i="5"/>
  <c r="J148" i="5"/>
  <c r="L137" i="5"/>
  <c r="J170" i="5"/>
  <c r="J166" i="5"/>
  <c r="B135" i="5"/>
  <c r="N55" i="5"/>
  <c r="N57" i="5"/>
  <c r="N60" i="5"/>
  <c r="H163" i="5"/>
  <c r="L159" i="5"/>
  <c r="J136" i="5"/>
  <c r="J181" i="5"/>
  <c r="L177" i="5"/>
  <c r="N173" i="5"/>
  <c r="H165" i="5"/>
  <c r="N103" i="5"/>
  <c r="N29" i="5"/>
  <c r="C147" i="5"/>
  <c r="N34" i="5"/>
  <c r="J159" i="5"/>
  <c r="W151" i="5"/>
  <c r="W147" i="5"/>
  <c r="H144" i="5"/>
  <c r="H140" i="5"/>
  <c r="J188" i="5"/>
  <c r="D135" i="5"/>
  <c r="N118" i="5"/>
  <c r="N51" i="5"/>
  <c r="C136" i="5"/>
  <c r="B137" i="5"/>
  <c r="D139" i="5"/>
  <c r="C141" i="5"/>
  <c r="N27" i="5"/>
  <c r="W71" i="30"/>
  <c r="N17" i="30"/>
  <c r="W69" i="30"/>
  <c r="J81" i="30"/>
  <c r="W73" i="30"/>
  <c r="H77" i="30"/>
  <c r="D72" i="30"/>
  <c r="N26" i="30"/>
  <c r="L74" i="30"/>
  <c r="D70" i="30"/>
  <c r="J74" i="30"/>
  <c r="N74" i="30" s="1"/>
  <c r="C69" i="30"/>
  <c r="N31" i="30"/>
  <c r="N14" i="30"/>
  <c r="H80" i="30"/>
  <c r="L76" i="30"/>
  <c r="D76" i="30"/>
  <c r="H72" i="30"/>
  <c r="J73" i="30"/>
  <c r="J69" i="30"/>
  <c r="B68" i="30"/>
  <c r="D75" i="30"/>
  <c r="J72" i="30"/>
  <c r="D68" i="30"/>
  <c r="J78" i="30"/>
  <c r="N78" i="30" s="1"/>
  <c r="H75" i="30"/>
  <c r="L77" i="30"/>
  <c r="B102" i="28"/>
  <c r="C90" i="28"/>
  <c r="B89" i="28"/>
  <c r="N30" i="28"/>
  <c r="N47" i="28"/>
  <c r="L103" i="28"/>
  <c r="T100" i="28"/>
  <c r="N11" i="28"/>
  <c r="N19" i="28"/>
  <c r="N36" i="28"/>
  <c r="N49" i="28"/>
  <c r="H104" i="28"/>
  <c r="S100" i="28"/>
  <c r="D81" i="28"/>
  <c r="B88" i="28"/>
  <c r="B96" i="28"/>
  <c r="N18" i="28"/>
  <c r="B82" i="28"/>
  <c r="D95" i="28"/>
  <c r="D103" i="28"/>
  <c r="L95" i="28"/>
  <c r="C94" i="28"/>
  <c r="C102" i="28"/>
  <c r="N56" i="28"/>
  <c r="H98" i="28"/>
  <c r="D86" i="28"/>
  <c r="D174" i="2"/>
  <c r="C176" i="2"/>
  <c r="N54" i="2"/>
  <c r="D140" i="2"/>
  <c r="B143" i="2"/>
  <c r="W185" i="2"/>
  <c r="W181" i="2"/>
  <c r="W177" i="2"/>
  <c r="W173" i="2"/>
  <c r="B157" i="2"/>
  <c r="D134" i="2"/>
  <c r="L132" i="2"/>
  <c r="N70" i="2"/>
  <c r="N72" i="2"/>
  <c r="D176" i="2"/>
  <c r="E176" i="2" s="1"/>
  <c r="W145" i="2"/>
  <c r="W141" i="2"/>
  <c r="C144" i="2"/>
  <c r="W172" i="2"/>
  <c r="N148" i="2"/>
  <c r="D167" i="2"/>
  <c r="D177" i="2"/>
  <c r="N17" i="1"/>
  <c r="D160" i="1"/>
  <c r="L176" i="1"/>
  <c r="W184" i="1"/>
  <c r="N49" i="1"/>
  <c r="L154" i="1"/>
  <c r="C177" i="1"/>
  <c r="C166" i="1"/>
  <c r="H178" i="1"/>
  <c r="C164" i="1"/>
  <c r="D143" i="1"/>
  <c r="N117" i="1"/>
  <c r="N92" i="1"/>
  <c r="N90" i="1"/>
  <c r="D190" i="1"/>
  <c r="C143" i="1"/>
  <c r="N58" i="1"/>
  <c r="B143" i="1"/>
  <c r="H158" i="1"/>
  <c r="H140" i="1"/>
  <c r="N140" i="1" s="1"/>
  <c r="W90" i="33"/>
  <c r="J76" i="33"/>
  <c r="H83" i="33"/>
  <c r="D85" i="33"/>
  <c r="D88" i="33"/>
  <c r="N38" i="33"/>
  <c r="C90" i="33"/>
  <c r="C91" i="33"/>
  <c r="C93" i="33"/>
  <c r="C95" i="33"/>
  <c r="B84" i="33"/>
  <c r="N9" i="33"/>
  <c r="H90" i="33"/>
  <c r="H94" i="33"/>
  <c r="W87" i="33"/>
  <c r="N52" i="33"/>
  <c r="W91" i="33"/>
  <c r="J77" i="33"/>
  <c r="H78" i="33"/>
  <c r="L79" i="33"/>
  <c r="H80" i="33"/>
  <c r="D90" i="33"/>
  <c r="D91" i="33"/>
  <c r="D92" i="33"/>
  <c r="D93" i="33"/>
  <c r="D94" i="33"/>
  <c r="D95" i="33"/>
  <c r="J80" i="33"/>
  <c r="S183" i="9"/>
  <c r="D178" i="9"/>
  <c r="B154" i="9"/>
  <c r="B183" i="9"/>
  <c r="B196" i="9"/>
  <c r="L171" i="9"/>
  <c r="N76" i="9"/>
  <c r="L197" i="9"/>
  <c r="D192" i="9"/>
  <c r="L157" i="9"/>
  <c r="U170" i="9"/>
  <c r="U179" i="9"/>
  <c r="N27" i="9"/>
  <c r="B161" i="9"/>
  <c r="N34" i="9"/>
  <c r="H163" i="9"/>
  <c r="B179" i="9"/>
  <c r="N72" i="9"/>
  <c r="L189" i="9"/>
  <c r="J168" i="9"/>
  <c r="L174" i="9"/>
  <c r="T188" i="9"/>
  <c r="U154" i="9"/>
  <c r="N10" i="9"/>
  <c r="B152" i="9"/>
  <c r="H154" i="9"/>
  <c r="D157" i="9"/>
  <c r="C159" i="9"/>
  <c r="B163" i="9"/>
  <c r="L183" i="9"/>
  <c r="D184" i="9"/>
  <c r="N94" i="9"/>
  <c r="N119" i="9"/>
  <c r="N122" i="9"/>
  <c r="N126" i="9"/>
  <c r="N128" i="9"/>
  <c r="W151" i="9"/>
  <c r="W203" i="9"/>
  <c r="C204" i="9"/>
  <c r="T196" i="9"/>
  <c r="J163" i="9"/>
  <c r="U192" i="9"/>
  <c r="T181" i="9"/>
  <c r="S179" i="9"/>
  <c r="W179" i="9" s="1"/>
  <c r="D159" i="9"/>
  <c r="L161" i="9"/>
  <c r="D164" i="9"/>
  <c r="L165" i="9"/>
  <c r="L166" i="9"/>
  <c r="D167" i="9"/>
  <c r="D168" i="9"/>
  <c r="B170" i="9"/>
  <c r="H170" i="9"/>
  <c r="J171" i="9"/>
  <c r="D172" i="9"/>
  <c r="N59" i="9"/>
  <c r="D176" i="9"/>
  <c r="H177" i="9"/>
  <c r="D179" i="9"/>
  <c r="J180" i="9"/>
  <c r="N77" i="9"/>
  <c r="W163" i="9"/>
  <c r="D149" i="9"/>
  <c r="N87" i="9"/>
  <c r="U183" i="9"/>
  <c r="L154" i="9"/>
  <c r="L160" i="9"/>
  <c r="C183" i="9"/>
  <c r="J193" i="9"/>
  <c r="N112" i="9"/>
  <c r="W200" i="9"/>
  <c r="L156" i="9"/>
  <c r="D161" i="9"/>
  <c r="C168" i="9"/>
  <c r="B173" i="9"/>
  <c r="D177" i="9"/>
  <c r="C179" i="9"/>
  <c r="B182" i="9"/>
  <c r="C185" i="9"/>
  <c r="J196" i="9"/>
  <c r="T170" i="9"/>
  <c r="J151" i="9"/>
  <c r="N17" i="9"/>
  <c r="N32" i="9"/>
  <c r="L162" i="9"/>
  <c r="L167" i="9"/>
  <c r="D169" i="9"/>
  <c r="B171" i="9"/>
  <c r="N54" i="9"/>
  <c r="L172" i="9"/>
  <c r="B176" i="9"/>
  <c r="B177" i="9"/>
  <c r="H179" i="9"/>
  <c r="N179" i="9" s="1"/>
  <c r="D182" i="9"/>
  <c r="N93" i="9"/>
  <c r="N109" i="9"/>
  <c r="W197" i="9"/>
  <c r="J198" i="9"/>
  <c r="N118" i="9"/>
  <c r="N120" i="9"/>
  <c r="W159" i="9"/>
  <c r="N95" i="9"/>
  <c r="N47" i="22"/>
  <c r="B163" i="22"/>
  <c r="W181" i="22"/>
  <c r="H164" i="22"/>
  <c r="J164" i="22"/>
  <c r="N12" i="22"/>
  <c r="N13" i="22"/>
  <c r="B150" i="22"/>
  <c r="N18" i="22"/>
  <c r="B152" i="22"/>
  <c r="D153" i="22"/>
  <c r="N35" i="22"/>
  <c r="B158" i="22"/>
  <c r="W161" i="22"/>
  <c r="H179" i="22"/>
  <c r="L179" i="22"/>
  <c r="J175" i="22"/>
  <c r="N175" i="22" s="1"/>
  <c r="L171" i="22"/>
  <c r="J171" i="22"/>
  <c r="N171" i="22" s="1"/>
  <c r="H171" i="22"/>
  <c r="H161" i="22"/>
  <c r="H157" i="22"/>
  <c r="J157" i="22"/>
  <c r="H151" i="22"/>
  <c r="C197" i="22"/>
  <c r="B167" i="22"/>
  <c r="N180" i="22"/>
  <c r="B174" i="22"/>
  <c r="T149" i="22"/>
  <c r="H149" i="22"/>
  <c r="U149" i="22"/>
  <c r="S149" i="22"/>
  <c r="C154" i="22"/>
  <c r="J194" i="22"/>
  <c r="H190" i="22"/>
  <c r="L190" i="22"/>
  <c r="J190" i="22"/>
  <c r="J186" i="22"/>
  <c r="H182" i="22"/>
  <c r="L178" i="22"/>
  <c r="H178" i="22"/>
  <c r="H174" i="22"/>
  <c r="L174" i="22"/>
  <c r="H163" i="22"/>
  <c r="L153" i="22"/>
  <c r="J151" i="22"/>
  <c r="N191" i="22"/>
  <c r="U197" i="22"/>
  <c r="N8" i="22"/>
  <c r="H186" i="22"/>
  <c r="J182" i="22"/>
  <c r="B197" i="22"/>
  <c r="C199" i="22"/>
  <c r="N121" i="22"/>
  <c r="W164" i="22"/>
  <c r="W188" i="22"/>
  <c r="J178" i="22"/>
  <c r="L170" i="22"/>
  <c r="H156" i="22"/>
  <c r="H153" i="22"/>
  <c r="T165" i="22"/>
  <c r="S165" i="22"/>
  <c r="W165" i="22" s="1"/>
  <c r="H165" i="22"/>
  <c r="N105" i="22"/>
  <c r="D191" i="22"/>
  <c r="D160" i="22"/>
  <c r="N39" i="22"/>
  <c r="N61" i="22"/>
  <c r="U173" i="22"/>
  <c r="W173" i="22" s="1"/>
  <c r="L173" i="22"/>
  <c r="L183" i="22"/>
  <c r="H183" i="22"/>
  <c r="J183" i="22"/>
  <c r="J173" i="22"/>
  <c r="J179" i="22"/>
  <c r="S197" i="22"/>
  <c r="C161" i="22"/>
  <c r="E166" i="22"/>
  <c r="J170" i="22"/>
  <c r="N170" i="22" s="1"/>
  <c r="D161" i="22"/>
  <c r="D181" i="22"/>
  <c r="N84" i="22"/>
  <c r="T183" i="22"/>
  <c r="W183" i="22" s="1"/>
  <c r="U183" i="22"/>
  <c r="S189" i="22"/>
  <c r="W189" i="22" s="1"/>
  <c r="T189" i="22"/>
  <c r="N103" i="22"/>
  <c r="B190" i="22"/>
  <c r="L148" i="22"/>
  <c r="J148" i="22"/>
  <c r="L197" i="22"/>
  <c r="J197" i="22"/>
  <c r="H197" i="22"/>
  <c r="J189" i="22"/>
  <c r="N76" i="22"/>
  <c r="B177" i="22"/>
  <c r="N85" i="22"/>
  <c r="B181" i="22"/>
  <c r="S167" i="22"/>
  <c r="W167" i="22" s="1"/>
  <c r="U167" i="22"/>
  <c r="C173" i="22"/>
  <c r="L164" i="22"/>
  <c r="N193" i="22"/>
  <c r="L161" i="22"/>
  <c r="J174" i="22"/>
  <c r="N174" i="22" s="1"/>
  <c r="N54" i="22"/>
  <c r="N66" i="22"/>
  <c r="B172" i="22"/>
  <c r="D174" i="22"/>
  <c r="N70" i="22"/>
  <c r="U182" i="22"/>
  <c r="S182" i="22"/>
  <c r="W182" i="22" s="1"/>
  <c r="B196" i="22"/>
  <c r="N115" i="22"/>
  <c r="D197" i="22"/>
  <c r="N122" i="22"/>
  <c r="B199" i="22"/>
  <c r="H173" i="22"/>
  <c r="J165" i="22"/>
  <c r="J149" i="22"/>
  <c r="D154" i="22"/>
  <c r="L157" i="22"/>
  <c r="D162" i="22"/>
  <c r="D163" i="22"/>
  <c r="C165" i="22"/>
  <c r="D168" i="22"/>
  <c r="E168" i="22" s="1"/>
  <c r="W159" i="22"/>
  <c r="J196" i="22"/>
  <c r="N196" i="22" s="1"/>
  <c r="J192" i="22"/>
  <c r="N192" i="22" s="1"/>
  <c r="J188" i="22"/>
  <c r="N188" i="22" s="1"/>
  <c r="J159" i="22"/>
  <c r="T163" i="22"/>
  <c r="W163" i="22" s="1"/>
  <c r="L149" i="22"/>
  <c r="H189" i="22"/>
  <c r="N33" i="22"/>
  <c r="D165" i="22"/>
  <c r="N60" i="22"/>
  <c r="C170" i="22"/>
  <c r="D177" i="22"/>
  <c r="C191" i="22"/>
  <c r="C193" i="22"/>
  <c r="N30" i="22"/>
  <c r="W185" i="22"/>
  <c r="B171" i="22"/>
  <c r="E171" i="22" s="1"/>
  <c r="D180" i="22"/>
  <c r="E180" i="22" s="1"/>
  <c r="C184" i="22"/>
  <c r="N90" i="22"/>
  <c r="T157" i="22"/>
  <c r="W157" i="22" s="1"/>
  <c r="D175" i="22"/>
  <c r="C183" i="22"/>
  <c r="D184" i="22"/>
  <c r="D192" i="22"/>
  <c r="B201" i="22"/>
  <c r="E160" i="22"/>
  <c r="N168" i="22"/>
  <c r="B182" i="22"/>
  <c r="E182" i="22" s="1"/>
  <c r="C194" i="22"/>
  <c r="E194" i="22" s="1"/>
  <c r="C201" i="22"/>
  <c r="N86" i="22"/>
  <c r="N65" i="22"/>
  <c r="C150" i="22"/>
  <c r="N15" i="22"/>
  <c r="C162" i="22"/>
  <c r="E162" i="22" s="1"/>
  <c r="B164" i="22"/>
  <c r="C174" i="22"/>
  <c r="N79" i="22"/>
  <c r="C181" i="22"/>
  <c r="H195" i="22"/>
  <c r="N195" i="22" s="1"/>
  <c r="W194" i="22"/>
  <c r="E144" i="23"/>
  <c r="N18" i="23"/>
  <c r="H182" i="23"/>
  <c r="E184" i="23"/>
  <c r="J182" i="23"/>
  <c r="J142" i="23"/>
  <c r="N142" i="23" s="1"/>
  <c r="L179" i="23"/>
  <c r="L169" i="23"/>
  <c r="J163" i="23"/>
  <c r="N163" i="23" s="1"/>
  <c r="N53" i="23"/>
  <c r="D167" i="23"/>
  <c r="N55" i="23"/>
  <c r="H140" i="23"/>
  <c r="H160" i="23"/>
  <c r="N24" i="23"/>
  <c r="U139" i="23"/>
  <c r="J145" i="23"/>
  <c r="L173" i="23"/>
  <c r="J183" i="23"/>
  <c r="T180" i="23"/>
  <c r="S173" i="23"/>
  <c r="W173" i="23" s="1"/>
  <c r="J188" i="23"/>
  <c r="H176" i="23"/>
  <c r="H157" i="23"/>
  <c r="S142" i="23"/>
  <c r="H146" i="23"/>
  <c r="W175" i="23"/>
  <c r="N77" i="23"/>
  <c r="D168" i="23"/>
  <c r="C142" i="23"/>
  <c r="C163" i="23"/>
  <c r="U169" i="23"/>
  <c r="N79" i="23"/>
  <c r="L183" i="23"/>
  <c r="D140" i="23"/>
  <c r="N21" i="23"/>
  <c r="H149" i="23"/>
  <c r="D177" i="23"/>
  <c r="C187" i="23"/>
  <c r="C188" i="23"/>
  <c r="D178" i="23"/>
  <c r="H156" i="23"/>
  <c r="J161" i="23"/>
  <c r="N28" i="23"/>
  <c r="J169" i="23"/>
  <c r="J156" i="23"/>
  <c r="N156" i="23" s="1"/>
  <c r="L149" i="23"/>
  <c r="N149" i="23" s="1"/>
  <c r="B179" i="23"/>
  <c r="J173" i="23"/>
  <c r="N69" i="23"/>
  <c r="E182" i="23"/>
  <c r="J179" i="23"/>
  <c r="C166" i="23"/>
  <c r="L176" i="23"/>
  <c r="J157" i="23"/>
  <c r="J146" i="23"/>
  <c r="B164" i="23"/>
  <c r="J167" i="23"/>
  <c r="C147" i="23"/>
  <c r="C153" i="23"/>
  <c r="D187" i="23"/>
  <c r="B173" i="23"/>
  <c r="T178" i="23"/>
  <c r="N111" i="23"/>
  <c r="T152" i="23"/>
  <c r="J147" i="23"/>
  <c r="J155" i="23"/>
  <c r="N155" i="23" s="1"/>
  <c r="J165" i="23"/>
  <c r="H167" i="23"/>
  <c r="U142" i="23"/>
  <c r="J139" i="23"/>
  <c r="T150" i="23"/>
  <c r="H170" i="23"/>
  <c r="N170" i="23" s="1"/>
  <c r="L167" i="23"/>
  <c r="B172" i="23"/>
  <c r="B163" i="23"/>
  <c r="N97" i="23"/>
  <c r="H174" i="23"/>
  <c r="N174" i="23" s="1"/>
  <c r="S169" i="23"/>
  <c r="D139" i="23"/>
  <c r="E139" i="23" s="1"/>
  <c r="C140" i="23"/>
  <c r="E140" i="23" s="1"/>
  <c r="B141" i="23"/>
  <c r="D146" i="23"/>
  <c r="D147" i="23"/>
  <c r="C149" i="23"/>
  <c r="N37" i="23"/>
  <c r="D164" i="23"/>
  <c r="E164" i="23" s="1"/>
  <c r="L166" i="23"/>
  <c r="B185" i="23"/>
  <c r="W160" i="23"/>
  <c r="W185" i="23"/>
  <c r="T167" i="23"/>
  <c r="N22" i="23"/>
  <c r="H180" i="23"/>
  <c r="W174" i="23"/>
  <c r="E169" i="23"/>
  <c r="D179" i="23"/>
  <c r="L161" i="23"/>
  <c r="T139" i="23"/>
  <c r="W139" i="23" s="1"/>
  <c r="B138" i="23"/>
  <c r="T142" i="23"/>
  <c r="D151" i="23"/>
  <c r="C167" i="23"/>
  <c r="H185" i="23"/>
  <c r="D173" i="23"/>
  <c r="U178" i="23"/>
  <c r="L185" i="23"/>
  <c r="U152" i="23"/>
  <c r="T168" i="23"/>
  <c r="W168" i="23" s="1"/>
  <c r="L147" i="23"/>
  <c r="S159" i="23"/>
  <c r="W159" i="23" s="1"/>
  <c r="L139" i="23"/>
  <c r="B175" i="23"/>
  <c r="U150" i="23"/>
  <c r="N44" i="23"/>
  <c r="J138" i="23"/>
  <c r="H139" i="23"/>
  <c r="N20" i="23"/>
  <c r="B146" i="23"/>
  <c r="E146" i="23" s="1"/>
  <c r="D158" i="23"/>
  <c r="C159" i="23"/>
  <c r="E159" i="23" s="1"/>
  <c r="D165" i="23"/>
  <c r="N75" i="23"/>
  <c r="N92" i="23"/>
  <c r="W143" i="23"/>
  <c r="W161" i="23"/>
  <c r="J179" i="24"/>
  <c r="H171" i="24"/>
  <c r="J161" i="24"/>
  <c r="N58" i="24"/>
  <c r="L157" i="24"/>
  <c r="N9" i="24"/>
  <c r="B134" i="24"/>
  <c r="E134" i="24" s="1"/>
  <c r="N11" i="24"/>
  <c r="B135" i="24"/>
  <c r="H138" i="24"/>
  <c r="L138" i="24"/>
  <c r="N36" i="24"/>
  <c r="B148" i="24"/>
  <c r="L149" i="24"/>
  <c r="H149" i="24"/>
  <c r="J149" i="24"/>
  <c r="L150" i="24"/>
  <c r="H150" i="24"/>
  <c r="J150" i="24"/>
  <c r="B157" i="24"/>
  <c r="L162" i="24"/>
  <c r="J162" i="24"/>
  <c r="L163" i="24"/>
  <c r="J163" i="24"/>
  <c r="E164" i="24"/>
  <c r="D167" i="24"/>
  <c r="B168" i="24"/>
  <c r="J181" i="24"/>
  <c r="U181" i="24"/>
  <c r="S181" i="24"/>
  <c r="C186" i="24"/>
  <c r="N112" i="24"/>
  <c r="S173" i="24"/>
  <c r="J173" i="24"/>
  <c r="W182" i="24"/>
  <c r="W186" i="24"/>
  <c r="H156" i="24"/>
  <c r="L156" i="24"/>
  <c r="D158" i="24"/>
  <c r="N56" i="24"/>
  <c r="C162" i="24"/>
  <c r="N64" i="24"/>
  <c r="N78" i="24"/>
  <c r="E174" i="24"/>
  <c r="U175" i="24"/>
  <c r="S175" i="24"/>
  <c r="C181" i="24"/>
  <c r="D175" i="24"/>
  <c r="T175" i="24"/>
  <c r="J134" i="24"/>
  <c r="H134" i="24"/>
  <c r="L135" i="24"/>
  <c r="J135" i="24"/>
  <c r="L137" i="24"/>
  <c r="H137" i="24"/>
  <c r="J137" i="24"/>
  <c r="L147" i="24"/>
  <c r="J147" i="24"/>
  <c r="H147" i="24"/>
  <c r="L148" i="24"/>
  <c r="H148" i="24"/>
  <c r="N39" i="24"/>
  <c r="T157" i="24"/>
  <c r="W157" i="24" s="1"/>
  <c r="U157" i="24"/>
  <c r="C167" i="24"/>
  <c r="J169" i="24"/>
  <c r="H169" i="24"/>
  <c r="L169" i="24"/>
  <c r="B175" i="24"/>
  <c r="B176" i="24"/>
  <c r="S176" i="24"/>
  <c r="N100" i="24"/>
  <c r="B180" i="24"/>
  <c r="J177" i="24"/>
  <c r="N177" i="24" s="1"/>
  <c r="S168" i="24"/>
  <c r="W168" i="24" s="1"/>
  <c r="H135" i="24"/>
  <c r="J160" i="24"/>
  <c r="L161" i="24"/>
  <c r="J184" i="24"/>
  <c r="J167" i="24"/>
  <c r="N92" i="24"/>
  <c r="J148" i="24"/>
  <c r="C149" i="24"/>
  <c r="C165" i="24"/>
  <c r="H167" i="24"/>
  <c r="W150" i="24"/>
  <c r="H170" i="24"/>
  <c r="J157" i="24"/>
  <c r="T176" i="24"/>
  <c r="L167" i="24"/>
  <c r="L145" i="24"/>
  <c r="D146" i="24"/>
  <c r="H164" i="24"/>
  <c r="L155" i="24"/>
  <c r="N155" i="24" s="1"/>
  <c r="C168" i="24"/>
  <c r="L173" i="24"/>
  <c r="D182" i="24"/>
  <c r="H145" i="24"/>
  <c r="B183" i="24"/>
  <c r="E183" i="24" s="1"/>
  <c r="B154" i="24"/>
  <c r="B155" i="24"/>
  <c r="D166" i="24"/>
  <c r="D168" i="24"/>
  <c r="N84" i="24"/>
  <c r="C173" i="24"/>
  <c r="U145" i="24"/>
  <c r="W174" i="24"/>
  <c r="E159" i="24"/>
  <c r="N51" i="24"/>
  <c r="B167" i="24"/>
  <c r="B172" i="24"/>
  <c r="D147" i="24"/>
  <c r="D180" i="24"/>
  <c r="J145" i="24"/>
  <c r="H181" i="24"/>
  <c r="B163" i="24"/>
  <c r="B177" i="24"/>
  <c r="N35" i="24"/>
  <c r="C154" i="24"/>
  <c r="J166" i="24"/>
  <c r="N166" i="24" s="1"/>
  <c r="N74" i="24"/>
  <c r="L172" i="24"/>
  <c r="N172" i="24" s="1"/>
  <c r="B184" i="24"/>
  <c r="B185" i="24"/>
  <c r="L185" i="24"/>
  <c r="W162" i="24"/>
  <c r="D148" i="24"/>
  <c r="D170" i="24"/>
  <c r="D155" i="24"/>
  <c r="H173" i="24"/>
  <c r="B138" i="24"/>
  <c r="D143" i="24"/>
  <c r="D154" i="24"/>
  <c r="C160" i="24"/>
  <c r="C172" i="24"/>
  <c r="N94" i="24"/>
  <c r="W134" i="24"/>
  <c r="B186" i="25"/>
  <c r="B176" i="25"/>
  <c r="E176" i="25" s="1"/>
  <c r="N92" i="25"/>
  <c r="N93" i="25"/>
  <c r="J179" i="25"/>
  <c r="T179" i="25"/>
  <c r="W179" i="25" s="1"/>
  <c r="H180" i="25"/>
  <c r="J180" i="25"/>
  <c r="W164" i="25"/>
  <c r="L167" i="25"/>
  <c r="C179" i="25"/>
  <c r="H167" i="25"/>
  <c r="B170" i="25"/>
  <c r="E170" i="25" s="1"/>
  <c r="N80" i="25"/>
  <c r="H173" i="25"/>
  <c r="N173" i="25" s="1"/>
  <c r="T173" i="25"/>
  <c r="W173" i="25" s="1"/>
  <c r="C173" i="25"/>
  <c r="L175" i="25"/>
  <c r="N184" i="25"/>
  <c r="B137" i="25"/>
  <c r="E137" i="25" s="1"/>
  <c r="N14" i="25"/>
  <c r="B138" i="25"/>
  <c r="N16" i="25"/>
  <c r="W174" i="25"/>
  <c r="L171" i="25"/>
  <c r="J171" i="25"/>
  <c r="H171" i="25"/>
  <c r="N161" i="25"/>
  <c r="B165" i="25"/>
  <c r="E165" i="25" s="1"/>
  <c r="H154" i="25"/>
  <c r="L154" i="25"/>
  <c r="J154" i="25"/>
  <c r="B177" i="25"/>
  <c r="U143" i="25"/>
  <c r="S143" i="25"/>
  <c r="T143" i="25"/>
  <c r="L144" i="25"/>
  <c r="H144" i="25"/>
  <c r="N144" i="25" s="1"/>
  <c r="B152" i="25"/>
  <c r="N44" i="25"/>
  <c r="L159" i="25"/>
  <c r="U159" i="25"/>
  <c r="W159" i="25" s="1"/>
  <c r="H159" i="25"/>
  <c r="T159" i="25"/>
  <c r="B167" i="25"/>
  <c r="W154" i="25"/>
  <c r="B135" i="25"/>
  <c r="E135" i="25" s="1"/>
  <c r="L135" i="25"/>
  <c r="J135" i="25"/>
  <c r="H135" i="25"/>
  <c r="J137" i="25"/>
  <c r="H137" i="25"/>
  <c r="T144" i="25"/>
  <c r="U144" i="25"/>
  <c r="L145" i="25"/>
  <c r="J145" i="25"/>
  <c r="J146" i="25"/>
  <c r="L146" i="25"/>
  <c r="L147" i="25"/>
  <c r="J147" i="25"/>
  <c r="H147" i="25"/>
  <c r="R47" i="25"/>
  <c r="H153" i="25" s="1"/>
  <c r="L160" i="25"/>
  <c r="J160" i="25"/>
  <c r="C167" i="25"/>
  <c r="E168" i="25"/>
  <c r="L179" i="25"/>
  <c r="H175" i="25"/>
  <c r="T147" i="25"/>
  <c r="E150" i="25"/>
  <c r="N172" i="25"/>
  <c r="J140" i="25"/>
  <c r="H139" i="25"/>
  <c r="U168" i="25"/>
  <c r="D171" i="25"/>
  <c r="E171" i="25" s="1"/>
  <c r="L187" i="25"/>
  <c r="J175" i="25"/>
  <c r="S160" i="25"/>
  <c r="S169" i="25"/>
  <c r="W169" i="25" s="1"/>
  <c r="L140" i="25"/>
  <c r="H179" i="25"/>
  <c r="J139" i="25"/>
  <c r="H169" i="25"/>
  <c r="H174" i="25"/>
  <c r="H162" i="25"/>
  <c r="N162" i="25" s="1"/>
  <c r="L136" i="25"/>
  <c r="N136" i="25" s="1"/>
  <c r="C147" i="25"/>
  <c r="H170" i="25"/>
  <c r="N86" i="25"/>
  <c r="N109" i="25"/>
  <c r="N113" i="25"/>
  <c r="W161" i="25"/>
  <c r="W183" i="25"/>
  <c r="B172" i="25"/>
  <c r="W135" i="25"/>
  <c r="E136" i="25"/>
  <c r="H181" i="25"/>
  <c r="S147" i="25"/>
  <c r="W147" i="25" s="1"/>
  <c r="T160" i="25"/>
  <c r="J169" i="25"/>
  <c r="H165" i="25"/>
  <c r="J151" i="25"/>
  <c r="N151" i="25" s="1"/>
  <c r="J181" i="25"/>
  <c r="B156" i="25"/>
  <c r="J134" i="25"/>
  <c r="B174" i="25"/>
  <c r="T134" i="25"/>
  <c r="H141" i="25"/>
  <c r="N84" i="25"/>
  <c r="C144" i="25"/>
  <c r="N49" i="25"/>
  <c r="B155" i="25"/>
  <c r="L156" i="25"/>
  <c r="D157" i="25"/>
  <c r="D158" i="25"/>
  <c r="E158" i="25" s="1"/>
  <c r="D159" i="25"/>
  <c r="N63" i="25"/>
  <c r="C162" i="25"/>
  <c r="E162" i="25" s="1"/>
  <c r="B163" i="25"/>
  <c r="N69" i="25"/>
  <c r="D166" i="25"/>
  <c r="J182" i="25"/>
  <c r="W181" i="25"/>
  <c r="B187" i="25"/>
  <c r="C187" i="25"/>
  <c r="W138" i="25"/>
  <c r="B139" i="25"/>
  <c r="B149" i="25"/>
  <c r="E149" i="25" s="1"/>
  <c r="D152" i="25"/>
  <c r="N47" i="25"/>
  <c r="C160" i="25"/>
  <c r="C180" i="25"/>
  <c r="N106" i="25"/>
  <c r="N108" i="25"/>
  <c r="W185" i="25"/>
  <c r="N147" i="26"/>
  <c r="C141" i="26"/>
  <c r="H140" i="26"/>
  <c r="L139" i="26"/>
  <c r="C125" i="26"/>
  <c r="C131" i="26"/>
  <c r="U133" i="26"/>
  <c r="B119" i="26"/>
  <c r="J116" i="26"/>
  <c r="L145" i="26"/>
  <c r="N50" i="26"/>
  <c r="B123" i="26"/>
  <c r="B128" i="26"/>
  <c r="H135" i="26"/>
  <c r="E124" i="26"/>
  <c r="L127" i="26"/>
  <c r="N38" i="26"/>
  <c r="L149" i="26"/>
  <c r="H145" i="26"/>
  <c r="H148" i="26"/>
  <c r="J139" i="26"/>
  <c r="J146" i="26"/>
  <c r="S133" i="26"/>
  <c r="H133" i="26"/>
  <c r="H117" i="26"/>
  <c r="L134" i="26"/>
  <c r="U145" i="26"/>
  <c r="J136" i="26"/>
  <c r="B122" i="26"/>
  <c r="T123" i="26"/>
  <c r="B132" i="26"/>
  <c r="D123" i="26"/>
  <c r="N26" i="26"/>
  <c r="B125" i="26"/>
  <c r="H127" i="26"/>
  <c r="C129" i="26"/>
  <c r="E129" i="26" s="1"/>
  <c r="N72" i="26"/>
  <c r="C150" i="26"/>
  <c r="W150" i="26"/>
  <c r="J145" i="26"/>
  <c r="N19" i="26"/>
  <c r="L135" i="26"/>
  <c r="N62" i="26"/>
  <c r="H139" i="26"/>
  <c r="B134" i="26"/>
  <c r="C148" i="26"/>
  <c r="E148" i="26" s="1"/>
  <c r="H149" i="26"/>
  <c r="N149" i="26" s="1"/>
  <c r="H123" i="26"/>
  <c r="N123" i="26" s="1"/>
  <c r="B138" i="26"/>
  <c r="J126" i="26"/>
  <c r="J142" i="26"/>
  <c r="L128" i="26"/>
  <c r="L123" i="26"/>
  <c r="S123" i="26"/>
  <c r="D127" i="26"/>
  <c r="J134" i="26"/>
  <c r="N134" i="26" s="1"/>
  <c r="D118" i="26"/>
  <c r="E118" i="26" s="1"/>
  <c r="C143" i="26"/>
  <c r="B144" i="26"/>
  <c r="E144" i="26" s="1"/>
  <c r="N79" i="26"/>
  <c r="D133" i="26"/>
  <c r="N30" i="26"/>
  <c r="T128" i="26"/>
  <c r="H128" i="26"/>
  <c r="U128" i="26"/>
  <c r="D139" i="26"/>
  <c r="E139" i="26" s="1"/>
  <c r="U127" i="26"/>
  <c r="W127" i="26" s="1"/>
  <c r="T139" i="26"/>
  <c r="W139" i="26" s="1"/>
  <c r="C130" i="26"/>
  <c r="J132" i="26"/>
  <c r="L142" i="26"/>
  <c r="N142" i="26" s="1"/>
  <c r="N36" i="26"/>
  <c r="J118" i="26"/>
  <c r="B137" i="26"/>
  <c r="H116" i="26"/>
  <c r="L118" i="26"/>
  <c r="C119" i="26"/>
  <c r="N18" i="26"/>
  <c r="U132" i="26"/>
  <c r="N49" i="26"/>
  <c r="E116" i="26"/>
  <c r="N119" i="26"/>
  <c r="C145" i="26"/>
  <c r="E145" i="26" s="1"/>
  <c r="C134" i="26"/>
  <c r="D132" i="26"/>
  <c r="C149" i="26"/>
  <c r="E149" i="26" s="1"/>
  <c r="U140" i="26"/>
  <c r="C140" i="26"/>
  <c r="E140" i="26" s="1"/>
  <c r="T145" i="26"/>
  <c r="J127" i="26"/>
  <c r="N7" i="26"/>
  <c r="N9" i="26"/>
  <c r="N11" i="26"/>
  <c r="C121" i="26"/>
  <c r="L129" i="26"/>
  <c r="S132" i="26"/>
  <c r="N61" i="26"/>
  <c r="C142" i="26"/>
  <c r="S85" i="38"/>
  <c r="J88" i="38"/>
  <c r="W80" i="38"/>
  <c r="T93" i="38"/>
  <c r="S98" i="38"/>
  <c r="U85" i="38"/>
  <c r="W83" i="38"/>
  <c r="W86" i="38"/>
  <c r="N25" i="38"/>
  <c r="W92" i="38"/>
  <c r="T97" i="38"/>
  <c r="E99" i="38"/>
  <c r="H79" i="38"/>
  <c r="J97" i="38"/>
  <c r="H94" i="38"/>
  <c r="J87" i="38"/>
  <c r="C114" i="36"/>
  <c r="B98" i="36"/>
  <c r="B113" i="36"/>
  <c r="C116" i="36"/>
  <c r="J99" i="36"/>
  <c r="J104" i="36"/>
  <c r="T100" i="36"/>
  <c r="T112" i="36"/>
  <c r="N72" i="36"/>
  <c r="N52" i="36"/>
  <c r="N58" i="36"/>
  <c r="N53" i="36"/>
  <c r="N60" i="36"/>
  <c r="H118" i="36"/>
  <c r="L110" i="36"/>
  <c r="J100" i="36"/>
  <c r="H103" i="36"/>
  <c r="H114" i="36"/>
  <c r="U112" i="36"/>
  <c r="H113" i="36"/>
  <c r="S100" i="36"/>
  <c r="N12" i="36"/>
  <c r="N40" i="36"/>
  <c r="J117" i="36"/>
  <c r="D108" i="36"/>
  <c r="T119" i="36"/>
  <c r="H100" i="36"/>
  <c r="C118" i="36"/>
  <c r="N8" i="36"/>
  <c r="N16" i="36"/>
  <c r="C102" i="36"/>
  <c r="N28" i="36"/>
  <c r="N36" i="36"/>
  <c r="N39" i="36"/>
  <c r="D114" i="36"/>
  <c r="D112" i="36"/>
  <c r="N56" i="36"/>
  <c r="J116" i="36"/>
  <c r="L109" i="36"/>
  <c r="J105" i="36"/>
  <c r="W103" i="36"/>
  <c r="W96" i="36"/>
  <c r="B119" i="36"/>
  <c r="J103" i="36"/>
  <c r="L103" i="36"/>
  <c r="N14" i="36"/>
  <c r="D103" i="36"/>
  <c r="E103" i="36" s="1"/>
  <c r="D107" i="36"/>
  <c r="C110" i="36"/>
  <c r="N42" i="36"/>
  <c r="D113" i="36"/>
  <c r="N55" i="36"/>
  <c r="D117" i="36"/>
  <c r="N50" i="36"/>
  <c r="N57" i="36"/>
  <c r="D118" i="36"/>
  <c r="L115" i="36"/>
  <c r="H112" i="36"/>
  <c r="L108" i="36"/>
  <c r="L102" i="36"/>
  <c r="N64" i="36"/>
  <c r="T118" i="36"/>
  <c r="W99" i="36"/>
  <c r="B104" i="36"/>
  <c r="C108" i="36"/>
  <c r="C104" i="36"/>
  <c r="N68" i="36"/>
  <c r="N74" i="36"/>
  <c r="J110" i="36"/>
  <c r="U105" i="36"/>
  <c r="D100" i="36"/>
  <c r="H116" i="36"/>
  <c r="L96" i="36"/>
  <c r="U115" i="36"/>
  <c r="C99" i="36"/>
  <c r="B115" i="36"/>
  <c r="L116" i="36"/>
  <c r="W111" i="36"/>
  <c r="H109" i="36"/>
  <c r="U116" i="36"/>
  <c r="W116" i="36" s="1"/>
  <c r="B118" i="36"/>
  <c r="L118" i="36"/>
  <c r="W109" i="36"/>
  <c r="N25" i="36"/>
  <c r="N45" i="36"/>
  <c r="N65" i="36"/>
  <c r="N69" i="36"/>
  <c r="N73" i="36"/>
  <c r="U106" i="36"/>
  <c r="H101" i="36"/>
  <c r="N61" i="36"/>
  <c r="J113" i="36"/>
  <c r="N113" i="36" s="1"/>
  <c r="D97" i="36"/>
  <c r="B100" i="36"/>
  <c r="B108" i="36"/>
  <c r="E108" i="36" s="1"/>
  <c r="N24" i="36"/>
  <c r="N34" i="36"/>
  <c r="C113" i="36"/>
  <c r="E113" i="36" s="1"/>
  <c r="N66" i="36"/>
  <c r="N70" i="36"/>
  <c r="N59" i="36"/>
  <c r="E96" i="36"/>
  <c r="C101" i="36"/>
  <c r="N31" i="36"/>
  <c r="B114" i="36"/>
  <c r="C117" i="36"/>
  <c r="H117" i="36"/>
  <c r="H115" i="36"/>
  <c r="L117" i="36"/>
  <c r="U101" i="36"/>
  <c r="N15" i="36"/>
  <c r="D101" i="36"/>
  <c r="N38" i="36"/>
  <c r="L101" i="36"/>
  <c r="L97" i="36"/>
  <c r="J119" i="36"/>
  <c r="S101" i="36"/>
  <c r="C100" i="36"/>
  <c r="E100" i="36" s="1"/>
  <c r="N18" i="36"/>
  <c r="S117" i="36"/>
  <c r="J97" i="36"/>
  <c r="J115" i="36"/>
  <c r="S97" i="36"/>
  <c r="L112" i="36"/>
  <c r="N37" i="36"/>
  <c r="H97" i="36"/>
  <c r="C97" i="36"/>
  <c r="B105" i="36"/>
  <c r="H106" i="36"/>
  <c r="B102" i="36"/>
  <c r="J112" i="36"/>
  <c r="U119" i="36"/>
  <c r="L105" i="36"/>
  <c r="J118" i="36"/>
  <c r="T115" i="36"/>
  <c r="D98" i="36"/>
  <c r="E98" i="36" s="1"/>
  <c r="L106" i="36"/>
  <c r="U98" i="36"/>
  <c r="W98" i="36" s="1"/>
  <c r="H104" i="36"/>
  <c r="C105" i="36"/>
  <c r="J106" i="36"/>
  <c r="B112" i="36"/>
  <c r="J102" i="36"/>
  <c r="N47" i="36"/>
  <c r="U117" i="36"/>
  <c r="B116" i="36"/>
  <c r="E109" i="36"/>
  <c r="H111" i="36"/>
  <c r="N111" i="36" s="1"/>
  <c r="H107" i="36"/>
  <c r="N32" i="36"/>
  <c r="S104" i="36"/>
  <c r="N17" i="36"/>
  <c r="N7" i="36"/>
  <c r="B110" i="36"/>
  <c r="N30" i="36"/>
  <c r="J107" i="36"/>
  <c r="N44" i="36"/>
  <c r="B107" i="36"/>
  <c r="L98" i="36"/>
  <c r="S118" i="36"/>
  <c r="T104" i="36"/>
  <c r="H110" i="36"/>
  <c r="J101" i="36"/>
  <c r="C111" i="36"/>
  <c r="E111" i="36" s="1"/>
  <c r="T97" i="36"/>
  <c r="H119" i="36"/>
  <c r="H102" i="36"/>
  <c r="D110" i="36"/>
  <c r="W113" i="36"/>
  <c r="B106" i="36"/>
  <c r="H108" i="36"/>
  <c r="L119" i="36"/>
  <c r="N48" i="36"/>
  <c r="C119" i="36"/>
  <c r="S110" i="36"/>
  <c r="W110" i="36" s="1"/>
  <c r="J96" i="36"/>
  <c r="N43" i="36"/>
  <c r="H105" i="36"/>
  <c r="L100" i="36"/>
  <c r="U165" i="17"/>
  <c r="H159" i="17"/>
  <c r="N33" i="17"/>
  <c r="N29" i="17"/>
  <c r="W135" i="17"/>
  <c r="W151" i="17"/>
  <c r="B144" i="17"/>
  <c r="B175" i="17"/>
  <c r="J182" i="17"/>
  <c r="D187" i="17"/>
  <c r="T169" i="17"/>
  <c r="S168" i="17"/>
  <c r="B147" i="17"/>
  <c r="L142" i="17"/>
  <c r="N142" i="17" s="1"/>
  <c r="J153" i="17"/>
  <c r="L146" i="17"/>
  <c r="N8" i="17"/>
  <c r="H171" i="17"/>
  <c r="L165" i="17"/>
  <c r="D135" i="17"/>
  <c r="E135" i="17" s="1"/>
  <c r="L153" i="17"/>
  <c r="C155" i="17"/>
  <c r="N60" i="17"/>
  <c r="D162" i="17"/>
  <c r="L171" i="17"/>
  <c r="N91" i="17"/>
  <c r="C178" i="17"/>
  <c r="D184" i="17"/>
  <c r="W153" i="17"/>
  <c r="H189" i="17"/>
  <c r="B183" i="17"/>
  <c r="W167" i="17"/>
  <c r="B164" i="17"/>
  <c r="N99" i="17"/>
  <c r="S172" i="17"/>
  <c r="H135" i="17"/>
  <c r="N135" i="17" s="1"/>
  <c r="H176" i="17"/>
  <c r="H182" i="17"/>
  <c r="L186" i="17"/>
  <c r="H152" i="17"/>
  <c r="N25" i="17"/>
  <c r="H166" i="17"/>
  <c r="T147" i="17"/>
  <c r="B143" i="17"/>
  <c r="B157" i="17"/>
  <c r="S144" i="17"/>
  <c r="S146" i="17"/>
  <c r="H181" i="17"/>
  <c r="B138" i="17"/>
  <c r="D150" i="17"/>
  <c r="N42" i="17"/>
  <c r="B152" i="17"/>
  <c r="L159" i="17"/>
  <c r="D163" i="17"/>
  <c r="J167" i="17"/>
  <c r="C169" i="17"/>
  <c r="D178" i="17"/>
  <c r="C179" i="17"/>
  <c r="L185" i="17"/>
  <c r="L187" i="17"/>
  <c r="L173" i="17"/>
  <c r="H165" i="17"/>
  <c r="N92" i="17"/>
  <c r="J165" i="17"/>
  <c r="T172" i="17"/>
  <c r="W172" i="17" s="1"/>
  <c r="S175" i="17"/>
  <c r="W175" i="17" s="1"/>
  <c r="J152" i="17"/>
  <c r="J166" i="17"/>
  <c r="J148" i="17"/>
  <c r="H158" i="17"/>
  <c r="N158" i="17" s="1"/>
  <c r="S147" i="17"/>
  <c r="J181" i="17"/>
  <c r="D139" i="17"/>
  <c r="C152" i="17"/>
  <c r="C153" i="17"/>
  <c r="E153" i="17" s="1"/>
  <c r="H155" i="17"/>
  <c r="D156" i="17"/>
  <c r="D157" i="17"/>
  <c r="B159" i="17"/>
  <c r="N61" i="17"/>
  <c r="N65" i="17"/>
  <c r="D165" i="17"/>
  <c r="N74" i="17"/>
  <c r="N76" i="17"/>
  <c r="D177" i="17"/>
  <c r="N102" i="17"/>
  <c r="N107" i="17"/>
  <c r="W149" i="17"/>
  <c r="W181" i="17"/>
  <c r="W186" i="17"/>
  <c r="N27" i="17"/>
  <c r="N17" i="17"/>
  <c r="N80" i="17"/>
  <c r="J173" i="17"/>
  <c r="B178" i="17"/>
  <c r="J187" i="17"/>
  <c r="T146" i="17"/>
  <c r="C168" i="17"/>
  <c r="L163" i="17"/>
  <c r="T168" i="17"/>
  <c r="B165" i="17"/>
  <c r="J172" i="17"/>
  <c r="W141" i="17"/>
  <c r="S173" i="17"/>
  <c r="U144" i="17"/>
  <c r="L137" i="17"/>
  <c r="N137" i="17" s="1"/>
  <c r="H139" i="17"/>
  <c r="N50" i="17"/>
  <c r="D166" i="17"/>
  <c r="L169" i="17"/>
  <c r="N83" i="17"/>
  <c r="C185" i="17"/>
  <c r="W139" i="17"/>
  <c r="B134" i="17"/>
  <c r="S188" i="17"/>
  <c r="N45" i="18"/>
  <c r="J181" i="18"/>
  <c r="L158" i="18"/>
  <c r="N44" i="18"/>
  <c r="B162" i="18"/>
  <c r="H177" i="18"/>
  <c r="S177" i="18"/>
  <c r="T177" i="18"/>
  <c r="L178" i="18"/>
  <c r="J178" i="18"/>
  <c r="J175" i="18"/>
  <c r="D141" i="18"/>
  <c r="N79" i="18"/>
  <c r="N68" i="18"/>
  <c r="C170" i="18"/>
  <c r="J170" i="18"/>
  <c r="H170" i="18"/>
  <c r="L170" i="18"/>
  <c r="T170" i="18"/>
  <c r="L171" i="18"/>
  <c r="J171" i="18"/>
  <c r="H171" i="18"/>
  <c r="J172" i="18"/>
  <c r="H172" i="18"/>
  <c r="L172" i="18"/>
  <c r="N77" i="18"/>
  <c r="T178" i="18"/>
  <c r="E179" i="18"/>
  <c r="N99" i="18"/>
  <c r="N101" i="18"/>
  <c r="C184" i="18"/>
  <c r="J189" i="18"/>
  <c r="H189" i="18"/>
  <c r="J174" i="18"/>
  <c r="H183" i="18"/>
  <c r="J167" i="18"/>
  <c r="H145" i="18"/>
  <c r="D145" i="18"/>
  <c r="S145" i="18"/>
  <c r="J145" i="18"/>
  <c r="H146" i="18"/>
  <c r="J146" i="18"/>
  <c r="L146" i="18"/>
  <c r="S153" i="18"/>
  <c r="U153" i="18"/>
  <c r="T153" i="18"/>
  <c r="W190" i="18"/>
  <c r="C183" i="18"/>
  <c r="D177" i="18"/>
  <c r="B177" i="18"/>
  <c r="U177" i="18"/>
  <c r="N190" i="18"/>
  <c r="E189" i="18"/>
  <c r="J139" i="18"/>
  <c r="H139" i="18"/>
  <c r="B145" i="18"/>
  <c r="N23" i="18"/>
  <c r="D151" i="18"/>
  <c r="E151" i="18" s="1"/>
  <c r="U154" i="18"/>
  <c r="B154" i="18"/>
  <c r="W155" i="18"/>
  <c r="W159" i="18"/>
  <c r="N50" i="18"/>
  <c r="B159" i="18"/>
  <c r="S160" i="18"/>
  <c r="U160" i="18"/>
  <c r="T160" i="18"/>
  <c r="N70" i="18"/>
  <c r="C169" i="18"/>
  <c r="N65" i="18"/>
  <c r="E156" i="18"/>
  <c r="B160" i="18"/>
  <c r="H163" i="18"/>
  <c r="L163" i="18"/>
  <c r="N59" i="18"/>
  <c r="D164" i="18"/>
  <c r="B168" i="18"/>
  <c r="N67" i="18"/>
  <c r="T172" i="18"/>
  <c r="U172" i="18"/>
  <c r="W172" i="18" s="1"/>
  <c r="C172" i="18"/>
  <c r="T175" i="18"/>
  <c r="S175" i="18"/>
  <c r="U175" i="18"/>
  <c r="N7" i="18"/>
  <c r="B138" i="18"/>
  <c r="E138" i="18" s="1"/>
  <c r="H167" i="18"/>
  <c r="L153" i="18"/>
  <c r="H153" i="18"/>
  <c r="C160" i="18"/>
  <c r="T163" i="18"/>
  <c r="S163" i="18"/>
  <c r="U163" i="18"/>
  <c r="H164" i="18"/>
  <c r="J164" i="18"/>
  <c r="L165" i="18"/>
  <c r="J165" i="18"/>
  <c r="H165" i="18"/>
  <c r="J166" i="18"/>
  <c r="H166" i="18"/>
  <c r="L166" i="18"/>
  <c r="C175" i="18"/>
  <c r="U183" i="18"/>
  <c r="L183" i="18"/>
  <c r="W182" i="18"/>
  <c r="B172" i="18"/>
  <c r="J168" i="18"/>
  <c r="J160" i="18"/>
  <c r="N12" i="18"/>
  <c r="B141" i="18"/>
  <c r="B142" i="18"/>
  <c r="N14" i="18"/>
  <c r="H142" i="18"/>
  <c r="L142" i="18"/>
  <c r="J150" i="18"/>
  <c r="H150" i="18"/>
  <c r="L156" i="18"/>
  <c r="N108" i="18"/>
  <c r="N110" i="18"/>
  <c r="N112" i="18"/>
  <c r="W150" i="18"/>
  <c r="T183" i="18"/>
  <c r="W183" i="18" s="1"/>
  <c r="N82" i="18"/>
  <c r="W142" i="18"/>
  <c r="N26" i="18"/>
  <c r="N39" i="18"/>
  <c r="H158" i="18"/>
  <c r="N158" i="18" s="1"/>
  <c r="N83" i="18"/>
  <c r="L188" i="18"/>
  <c r="W141" i="18"/>
  <c r="W189" i="18"/>
  <c r="N109" i="18"/>
  <c r="N187" i="18"/>
  <c r="L174" i="18"/>
  <c r="T168" i="18"/>
  <c r="W168" i="18" s="1"/>
  <c r="C141" i="18"/>
  <c r="H152" i="18"/>
  <c r="B158" i="18"/>
  <c r="D171" i="18"/>
  <c r="N95" i="18"/>
  <c r="C186" i="18"/>
  <c r="D168" i="18"/>
  <c r="B182" i="18"/>
  <c r="D153" i="18"/>
  <c r="E153" i="18" s="1"/>
  <c r="B191" i="18"/>
  <c r="J144" i="18"/>
  <c r="N144" i="18" s="1"/>
  <c r="U157" i="18"/>
  <c r="W157" i="18" s="1"/>
  <c r="S173" i="18"/>
  <c r="W173" i="18" s="1"/>
  <c r="H156" i="18"/>
  <c r="N156" i="18" s="1"/>
  <c r="C144" i="18"/>
  <c r="D147" i="18"/>
  <c r="B152" i="18"/>
  <c r="C155" i="18"/>
  <c r="E155" i="18" s="1"/>
  <c r="L160" i="18"/>
  <c r="D162" i="18"/>
  <c r="C163" i="18"/>
  <c r="C164" i="18"/>
  <c r="E164" i="18" s="1"/>
  <c r="C165" i="18"/>
  <c r="B173" i="18"/>
  <c r="D175" i="18"/>
  <c r="N86" i="18"/>
  <c r="J177" i="18"/>
  <c r="C182" i="18"/>
  <c r="N98" i="18"/>
  <c r="D187" i="18"/>
  <c r="C188" i="18"/>
  <c r="W138" i="18"/>
  <c r="N118" i="18"/>
  <c r="D166" i="18"/>
  <c r="B169" i="18"/>
  <c r="H188" i="18"/>
  <c r="H140" i="18"/>
  <c r="D143" i="18"/>
  <c r="E143" i="18" s="1"/>
  <c r="C145" i="18"/>
  <c r="N22" i="18"/>
  <c r="B147" i="18"/>
  <c r="N31" i="18"/>
  <c r="D158" i="18"/>
  <c r="D159" i="18"/>
  <c r="N53" i="18"/>
  <c r="L161" i="18"/>
  <c r="C173" i="18"/>
  <c r="H175" i="18"/>
  <c r="N175" i="18" s="1"/>
  <c r="J186" i="18"/>
  <c r="N186" i="18" s="1"/>
  <c r="D188" i="18"/>
  <c r="W165" i="18"/>
  <c r="L192" i="18"/>
  <c r="D144" i="19"/>
  <c r="N14" i="19"/>
  <c r="C147" i="19"/>
  <c r="N20" i="19"/>
  <c r="C149" i="19"/>
  <c r="N24" i="19"/>
  <c r="L152" i="19"/>
  <c r="H152" i="19"/>
  <c r="C189" i="19"/>
  <c r="N109" i="19"/>
  <c r="J152" i="19"/>
  <c r="W143" i="19"/>
  <c r="L151" i="19"/>
  <c r="N151" i="19" s="1"/>
  <c r="N83" i="19"/>
  <c r="B178" i="19"/>
  <c r="J182" i="19"/>
  <c r="H182" i="19"/>
  <c r="T182" i="19"/>
  <c r="S182" i="19"/>
  <c r="U182" i="19"/>
  <c r="L183" i="19"/>
  <c r="H183" i="19"/>
  <c r="B187" i="19"/>
  <c r="N104" i="19"/>
  <c r="H143" i="19"/>
  <c r="N16" i="19"/>
  <c r="D156" i="19"/>
  <c r="H185" i="19"/>
  <c r="J185" i="19"/>
  <c r="J186" i="19"/>
  <c r="E143" i="19"/>
  <c r="L143" i="19"/>
  <c r="J184" i="19"/>
  <c r="N28" i="19"/>
  <c r="N100" i="19"/>
  <c r="H176" i="19"/>
  <c r="L176" i="19"/>
  <c r="J177" i="19"/>
  <c r="L177" i="19"/>
  <c r="H177" i="19"/>
  <c r="J146" i="19"/>
  <c r="N146" i="19" s="1"/>
  <c r="U154" i="19"/>
  <c r="H154" i="19"/>
  <c r="J154" i="19"/>
  <c r="J163" i="19"/>
  <c r="H163" i="19"/>
  <c r="L163" i="19"/>
  <c r="B168" i="19"/>
  <c r="N64" i="19"/>
  <c r="B173" i="19"/>
  <c r="N73" i="19"/>
  <c r="J173" i="19"/>
  <c r="L173" i="19"/>
  <c r="L182" i="19"/>
  <c r="E163" i="19"/>
  <c r="B159" i="19"/>
  <c r="N45" i="19"/>
  <c r="U162" i="19"/>
  <c r="T162" i="19"/>
  <c r="N62" i="19"/>
  <c r="C167" i="19"/>
  <c r="C170" i="19"/>
  <c r="J170" i="19"/>
  <c r="U170" i="19"/>
  <c r="B170" i="19"/>
  <c r="T170" i="19"/>
  <c r="J174" i="19"/>
  <c r="H174" i="19"/>
  <c r="W165" i="19"/>
  <c r="J165" i="19"/>
  <c r="N85" i="19"/>
  <c r="B175" i="19"/>
  <c r="E175" i="19" s="1"/>
  <c r="U171" i="19"/>
  <c r="W171" i="19" s="1"/>
  <c r="W156" i="19"/>
  <c r="J148" i="19"/>
  <c r="N25" i="19"/>
  <c r="W151" i="19"/>
  <c r="N30" i="19"/>
  <c r="N35" i="19"/>
  <c r="N59" i="19"/>
  <c r="N108" i="19"/>
  <c r="B158" i="19"/>
  <c r="J147" i="19"/>
  <c r="H165" i="19"/>
  <c r="J164" i="19"/>
  <c r="N164" i="19" s="1"/>
  <c r="H189" i="19"/>
  <c r="S163" i="19"/>
  <c r="W163" i="19" s="1"/>
  <c r="J168" i="19"/>
  <c r="H166" i="19"/>
  <c r="S148" i="19"/>
  <c r="B164" i="19"/>
  <c r="N145" i="19"/>
  <c r="C159" i="19"/>
  <c r="D164" i="19"/>
  <c r="C171" i="19"/>
  <c r="B172" i="19"/>
  <c r="B181" i="19"/>
  <c r="D188" i="19"/>
  <c r="N114" i="19"/>
  <c r="N116" i="19"/>
  <c r="N118" i="19"/>
  <c r="T146" i="19"/>
  <c r="W146" i="19" s="1"/>
  <c r="W152" i="19"/>
  <c r="H147" i="19"/>
  <c r="N147" i="19" s="1"/>
  <c r="J167" i="19"/>
  <c r="N167" i="19" s="1"/>
  <c r="H160" i="19"/>
  <c r="N160" i="19" s="1"/>
  <c r="S172" i="19"/>
  <c r="J172" i="19"/>
  <c r="S187" i="19"/>
  <c r="H156" i="19"/>
  <c r="S147" i="19"/>
  <c r="J155" i="19"/>
  <c r="N155" i="19" s="1"/>
  <c r="B144" i="19"/>
  <c r="C146" i="19"/>
  <c r="D150" i="19"/>
  <c r="S153" i="19"/>
  <c r="W153" i="19" s="1"/>
  <c r="C160" i="19"/>
  <c r="D161" i="19"/>
  <c r="N54" i="19"/>
  <c r="N56" i="19"/>
  <c r="D168" i="19"/>
  <c r="E168" i="19" s="1"/>
  <c r="L171" i="19"/>
  <c r="N76" i="19"/>
  <c r="D192" i="19"/>
  <c r="W169" i="19"/>
  <c r="W192" i="19"/>
  <c r="N122" i="19"/>
  <c r="L158" i="19"/>
  <c r="H148" i="19"/>
  <c r="C142" i="19"/>
  <c r="B146" i="19"/>
  <c r="D146" i="19"/>
  <c r="B160" i="19"/>
  <c r="D165" i="19"/>
  <c r="C169" i="19"/>
  <c r="E169" i="19" s="1"/>
  <c r="D171" i="19"/>
  <c r="D176" i="19"/>
  <c r="D180" i="19"/>
  <c r="C193" i="19"/>
  <c r="W150" i="19"/>
  <c r="H158" i="19"/>
  <c r="L172" i="19"/>
  <c r="U147" i="19"/>
  <c r="D160" i="19"/>
  <c r="L168" i="19"/>
  <c r="L169" i="19"/>
  <c r="H170" i="19"/>
  <c r="N69" i="19"/>
  <c r="C185" i="19"/>
  <c r="N105" i="19"/>
  <c r="B188" i="19"/>
  <c r="H192" i="19"/>
  <c r="N39" i="20"/>
  <c r="N56" i="20"/>
  <c r="N70" i="20"/>
  <c r="N72" i="20"/>
  <c r="N79" i="20"/>
  <c r="W121" i="20"/>
  <c r="W162" i="20"/>
  <c r="D134" i="20"/>
  <c r="D123" i="20"/>
  <c r="C125" i="20"/>
  <c r="C127" i="20"/>
  <c r="N28" i="20"/>
  <c r="B131" i="20"/>
  <c r="B139" i="20"/>
  <c r="N58" i="20"/>
  <c r="N74" i="20"/>
  <c r="W128" i="20"/>
  <c r="T156" i="20"/>
  <c r="C152" i="20"/>
  <c r="D152" i="20"/>
  <c r="D139" i="20"/>
  <c r="B125" i="20"/>
  <c r="B128" i="20"/>
  <c r="B129" i="20"/>
  <c r="H130" i="20"/>
  <c r="L140" i="20"/>
  <c r="D126" i="20"/>
  <c r="N34" i="20"/>
  <c r="C146" i="20"/>
  <c r="B147" i="20"/>
  <c r="N83" i="20"/>
  <c r="L159" i="20"/>
  <c r="D160" i="20"/>
  <c r="D161" i="20"/>
  <c r="C162" i="20"/>
  <c r="C164" i="20"/>
  <c r="C165" i="20"/>
  <c r="C166" i="20"/>
  <c r="H119" i="20"/>
  <c r="U156" i="20"/>
  <c r="B151" i="21"/>
  <c r="N45" i="21"/>
  <c r="T152" i="21"/>
  <c r="H152" i="21"/>
  <c r="C152" i="21"/>
  <c r="B152" i="21"/>
  <c r="J152" i="21"/>
  <c r="L152" i="21"/>
  <c r="J154" i="21"/>
  <c r="H154" i="21"/>
  <c r="L154" i="21"/>
  <c r="C187" i="21"/>
  <c r="L140" i="21"/>
  <c r="U140" i="21"/>
  <c r="J140" i="21"/>
  <c r="S140" i="21"/>
  <c r="T140" i="21"/>
  <c r="H141" i="21"/>
  <c r="L141" i="21"/>
  <c r="J142" i="21"/>
  <c r="H142" i="21"/>
  <c r="N142" i="21" s="1"/>
  <c r="L142" i="21"/>
  <c r="C143" i="21"/>
  <c r="N28" i="21"/>
  <c r="H178" i="21"/>
  <c r="L178" i="21"/>
  <c r="J178" i="21"/>
  <c r="C179" i="21"/>
  <c r="N100" i="21"/>
  <c r="N104" i="21"/>
  <c r="B181" i="21"/>
  <c r="E181" i="21" s="1"/>
  <c r="L133" i="21"/>
  <c r="H133" i="21"/>
  <c r="H134" i="21"/>
  <c r="J134" i="21"/>
  <c r="L134" i="21"/>
  <c r="J135" i="21"/>
  <c r="L135" i="21"/>
  <c r="H136" i="21"/>
  <c r="L136" i="21"/>
  <c r="C173" i="21"/>
  <c r="N88" i="21"/>
  <c r="S164" i="21"/>
  <c r="U164" i="21"/>
  <c r="L164" i="21"/>
  <c r="L161" i="21"/>
  <c r="J161" i="21"/>
  <c r="H161" i="21"/>
  <c r="B164" i="21"/>
  <c r="D152" i="21"/>
  <c r="B160" i="21"/>
  <c r="N62" i="21"/>
  <c r="C164" i="21"/>
  <c r="N107" i="21"/>
  <c r="L168" i="21"/>
  <c r="N91" i="21"/>
  <c r="H179" i="21"/>
  <c r="J167" i="21"/>
  <c r="L179" i="21"/>
  <c r="J156" i="21"/>
  <c r="J155" i="21"/>
  <c r="N155" i="21" s="1"/>
  <c r="J162" i="21"/>
  <c r="H156" i="21"/>
  <c r="C136" i="21"/>
  <c r="D140" i="21"/>
  <c r="E140" i="21" s="1"/>
  <c r="D151" i="21"/>
  <c r="C153" i="21"/>
  <c r="C178" i="21"/>
  <c r="W145" i="21"/>
  <c r="W185" i="21"/>
  <c r="L171" i="21"/>
  <c r="H157" i="21"/>
  <c r="J163" i="21"/>
  <c r="H182" i="21"/>
  <c r="C142" i="21"/>
  <c r="B153" i="21"/>
  <c r="W162" i="21"/>
  <c r="T157" i="21"/>
  <c r="W157" i="21" s="1"/>
  <c r="J145" i="21"/>
  <c r="H137" i="21"/>
  <c r="D135" i="21"/>
  <c r="B143" i="21"/>
  <c r="N39" i="21"/>
  <c r="J150" i="21"/>
  <c r="N150" i="21" s="1"/>
  <c r="D154" i="21"/>
  <c r="E154" i="21" s="1"/>
  <c r="N52" i="21"/>
  <c r="N69" i="21"/>
  <c r="N79" i="21"/>
  <c r="N83" i="21"/>
  <c r="W138" i="21"/>
  <c r="W153" i="21"/>
  <c r="L182" i="21"/>
  <c r="N85" i="21"/>
  <c r="L169" i="21"/>
  <c r="L137" i="21"/>
  <c r="N47" i="21"/>
  <c r="D164" i="21"/>
  <c r="B171" i="21"/>
  <c r="D187" i="21"/>
  <c r="U167" i="21"/>
  <c r="J144" i="21"/>
  <c r="N144" i="21" s="1"/>
  <c r="J164" i="21"/>
  <c r="N14" i="21"/>
  <c r="S167" i="21"/>
  <c r="L163" i="21"/>
  <c r="J168" i="21"/>
  <c r="C138" i="21"/>
  <c r="H140" i="21"/>
  <c r="D147" i="21"/>
  <c r="N57" i="21"/>
  <c r="N59" i="21"/>
  <c r="H165" i="21"/>
  <c r="B173" i="21"/>
  <c r="E173" i="21" s="1"/>
  <c r="U174" i="21"/>
  <c r="W136" i="21"/>
  <c r="W148" i="21"/>
  <c r="W158" i="21"/>
  <c r="C132" i="21"/>
  <c r="N116" i="21"/>
  <c r="N78" i="21"/>
  <c r="B134" i="21"/>
  <c r="E134" i="21" s="1"/>
  <c r="N23" i="21"/>
  <c r="H175" i="21"/>
  <c r="T142" i="21"/>
  <c r="N106" i="21"/>
  <c r="T170" i="21"/>
  <c r="W170" i="21" s="1"/>
  <c r="S142" i="21"/>
  <c r="C139" i="21"/>
  <c r="E139" i="21" s="1"/>
  <c r="B141" i="21"/>
  <c r="B142" i="21"/>
  <c r="D149" i="21"/>
  <c r="H169" i="21"/>
  <c r="N169" i="21" s="1"/>
  <c r="H170" i="21"/>
  <c r="N170" i="21" s="1"/>
  <c r="D183" i="21"/>
  <c r="D184" i="21"/>
  <c r="E184" i="21" s="1"/>
  <c r="W141" i="21"/>
  <c r="D132" i="21"/>
  <c r="N34" i="33"/>
  <c r="W83" i="33"/>
  <c r="H77" i="33"/>
  <c r="N40" i="33"/>
  <c r="J82" i="33"/>
  <c r="W76" i="33"/>
  <c r="W84" i="33"/>
  <c r="W95" i="33"/>
  <c r="L76" i="33"/>
  <c r="N76" i="33" s="1"/>
  <c r="N37" i="33"/>
  <c r="N39" i="33"/>
  <c r="N16" i="33"/>
  <c r="N21" i="33"/>
  <c r="N57" i="33"/>
  <c r="N24" i="33"/>
  <c r="W79" i="33"/>
  <c r="H84" i="33"/>
  <c r="B81" i="33"/>
  <c r="N27" i="33"/>
  <c r="N19" i="33"/>
  <c r="N20" i="33"/>
  <c r="W81" i="33"/>
  <c r="B169" i="9"/>
  <c r="N48" i="9"/>
  <c r="J169" i="9"/>
  <c r="L169" i="9"/>
  <c r="C172" i="9"/>
  <c r="N55" i="9"/>
  <c r="S174" i="9"/>
  <c r="U174" i="9"/>
  <c r="T174" i="9"/>
  <c r="R60" i="9"/>
  <c r="H175" i="9" s="1"/>
  <c r="S175" i="9"/>
  <c r="W175" i="9" s="1"/>
  <c r="S176" i="9"/>
  <c r="W176" i="9" s="1"/>
  <c r="R62" i="9"/>
  <c r="H176" i="9" s="1"/>
  <c r="J158" i="9"/>
  <c r="H158" i="9"/>
  <c r="L158" i="9"/>
  <c r="N171" i="9"/>
  <c r="H150" i="9"/>
  <c r="J150" i="9"/>
  <c r="D153" i="9"/>
  <c r="U153" i="9"/>
  <c r="T153" i="9"/>
  <c r="S153" i="9"/>
  <c r="L153" i="9"/>
  <c r="D155" i="9"/>
  <c r="N19" i="9"/>
  <c r="B160" i="9"/>
  <c r="C162" i="9"/>
  <c r="U195" i="9"/>
  <c r="S195" i="9"/>
  <c r="T195" i="9"/>
  <c r="L196" i="9"/>
  <c r="H196" i="9"/>
  <c r="C198" i="9"/>
  <c r="N113" i="9"/>
  <c r="N115" i="9"/>
  <c r="B199" i="9"/>
  <c r="J161" i="9"/>
  <c r="H161" i="9"/>
  <c r="B153" i="9"/>
  <c r="N90" i="9"/>
  <c r="C188" i="9"/>
  <c r="N92" i="9"/>
  <c r="C189" i="9"/>
  <c r="D180" i="9"/>
  <c r="H164" i="9"/>
  <c r="J170" i="9"/>
  <c r="B188" i="9"/>
  <c r="H186" i="9"/>
  <c r="L201" i="9"/>
  <c r="N201" i="9" s="1"/>
  <c r="L155" i="9"/>
  <c r="S154" i="9"/>
  <c r="B159" i="9"/>
  <c r="E159" i="9" s="1"/>
  <c r="J189" i="9"/>
  <c r="D152" i="9"/>
  <c r="H156" i="9"/>
  <c r="L164" i="9"/>
  <c r="C169" i="9"/>
  <c r="J178" i="9"/>
  <c r="N178" i="9" s="1"/>
  <c r="H204" i="9"/>
  <c r="B157" i="9"/>
  <c r="L170" i="9"/>
  <c r="J160" i="9"/>
  <c r="B192" i="9"/>
  <c r="H191" i="9"/>
  <c r="H162" i="9"/>
  <c r="T154" i="9"/>
  <c r="B180" i="9"/>
  <c r="N79" i="9"/>
  <c r="J172" i="9"/>
  <c r="J152" i="9"/>
  <c r="N35" i="9"/>
  <c r="C165" i="9"/>
  <c r="N42" i="9"/>
  <c r="N53" i="9"/>
  <c r="H174" i="9"/>
  <c r="W188" i="9"/>
  <c r="N12" i="9"/>
  <c r="W161" i="9"/>
  <c r="H197" i="9"/>
  <c r="N197" i="9" s="1"/>
  <c r="U164" i="9"/>
  <c r="N57" i="9"/>
  <c r="W169" i="9"/>
  <c r="J173" i="9"/>
  <c r="H200" i="9"/>
  <c r="J177" i="9"/>
  <c r="S189" i="9"/>
  <c r="J183" i="9"/>
  <c r="C177" i="9"/>
  <c r="E177" i="9" s="1"/>
  <c r="H189" i="9"/>
  <c r="N50" i="9"/>
  <c r="L173" i="9"/>
  <c r="S150" i="9"/>
  <c r="W150" i="9" s="1"/>
  <c r="J185" i="9"/>
  <c r="T168" i="9"/>
  <c r="H155" i="9"/>
  <c r="S162" i="9"/>
  <c r="W162" i="9" s="1"/>
  <c r="W187" i="9"/>
  <c r="S180" i="9"/>
  <c r="W180" i="9" s="1"/>
  <c r="S191" i="9"/>
  <c r="C151" i="9"/>
  <c r="N18" i="9"/>
  <c r="C156" i="9"/>
  <c r="N36" i="9"/>
  <c r="D165" i="9"/>
  <c r="D171" i="9"/>
  <c r="C173" i="9"/>
  <c r="D190" i="9"/>
  <c r="D197" i="9"/>
  <c r="W155" i="9"/>
  <c r="B149" i="9"/>
  <c r="D203" i="9"/>
  <c r="U196" i="9"/>
  <c r="B195" i="9"/>
  <c r="E195" i="9" s="1"/>
  <c r="N96" i="9"/>
  <c r="C157" i="9"/>
  <c r="D170" i="9"/>
  <c r="T189" i="9"/>
  <c r="U157" i="9"/>
  <c r="B189" i="9"/>
  <c r="B151" i="9"/>
  <c r="B172" i="9"/>
  <c r="E172" i="9" s="1"/>
  <c r="T192" i="9"/>
  <c r="W192" i="9" s="1"/>
  <c r="W183" i="9"/>
  <c r="U168" i="9"/>
  <c r="N31" i="9"/>
  <c r="C174" i="9"/>
  <c r="E174" i="9" s="1"/>
  <c r="N74" i="9"/>
  <c r="N88" i="9"/>
  <c r="C168" i="10"/>
  <c r="U191" i="10"/>
  <c r="H156" i="10"/>
  <c r="B172" i="10"/>
  <c r="N77" i="10"/>
  <c r="L195" i="10"/>
  <c r="B199" i="10"/>
  <c r="N110" i="10"/>
  <c r="J204" i="10"/>
  <c r="S173" i="10"/>
  <c r="T174" i="10"/>
  <c r="W174" i="10" s="1"/>
  <c r="N16" i="10"/>
  <c r="L167" i="10"/>
  <c r="B173" i="10"/>
  <c r="N21" i="10"/>
  <c r="B167" i="10"/>
  <c r="H168" i="10"/>
  <c r="W202" i="10"/>
  <c r="N83" i="10"/>
  <c r="N85" i="10"/>
  <c r="N117" i="10"/>
  <c r="S201" i="10"/>
  <c r="N26" i="10"/>
  <c r="H201" i="10"/>
  <c r="T192" i="10"/>
  <c r="T187" i="10"/>
  <c r="B159" i="10"/>
  <c r="C161" i="10"/>
  <c r="U158" i="10"/>
  <c r="U175" i="10"/>
  <c r="U167" i="10"/>
  <c r="C160" i="10"/>
  <c r="B162" i="10"/>
  <c r="C166" i="10"/>
  <c r="D173" i="10"/>
  <c r="N53" i="10"/>
  <c r="C179" i="10"/>
  <c r="B191" i="10"/>
  <c r="C194" i="10"/>
  <c r="N116" i="10"/>
  <c r="N118" i="10"/>
  <c r="N122" i="10"/>
  <c r="W162" i="10"/>
  <c r="C154" i="10"/>
  <c r="T175" i="10"/>
  <c r="S155" i="10"/>
  <c r="S163" i="10"/>
  <c r="N36" i="10"/>
  <c r="L172" i="10"/>
  <c r="J173" i="10"/>
  <c r="D180" i="10"/>
  <c r="C186" i="10"/>
  <c r="J189" i="10"/>
  <c r="C196" i="10"/>
  <c r="L200" i="10"/>
  <c r="T163" i="10"/>
  <c r="S158" i="10"/>
  <c r="J167" i="10"/>
  <c r="C170" i="10"/>
  <c r="T157" i="10"/>
  <c r="W157" i="10" s="1"/>
  <c r="H161" i="10"/>
  <c r="H192" i="10"/>
  <c r="B196" i="10"/>
  <c r="W170" i="10"/>
  <c r="T182" i="10"/>
  <c r="L171" i="10"/>
  <c r="B176" i="10"/>
  <c r="T203" i="10"/>
  <c r="C159" i="10"/>
  <c r="N27" i="10"/>
  <c r="L173" i="10"/>
  <c r="T197" i="10"/>
  <c r="U171" i="10"/>
  <c r="W171" i="10" s="1"/>
  <c r="L197" i="10"/>
  <c r="N106" i="10"/>
  <c r="C200" i="10"/>
  <c r="B201" i="10"/>
  <c r="W160" i="10"/>
  <c r="S154" i="10"/>
  <c r="C191" i="10"/>
  <c r="U182" i="10"/>
  <c r="S197" i="10"/>
  <c r="N98" i="10"/>
  <c r="L194" i="10"/>
  <c r="L201" i="10"/>
  <c r="H202" i="10"/>
  <c r="H193" i="10"/>
  <c r="J198" i="10"/>
  <c r="D204" i="10"/>
  <c r="U177" i="10"/>
  <c r="N8" i="10"/>
  <c r="L157" i="10"/>
  <c r="N17" i="10"/>
  <c r="N33" i="10"/>
  <c r="C173" i="10"/>
  <c r="H176" i="10"/>
  <c r="C181" i="10"/>
  <c r="L182" i="10"/>
  <c r="N78" i="10"/>
  <c r="N89" i="10"/>
  <c r="N100" i="10"/>
  <c r="J196" i="10"/>
  <c r="D197" i="10"/>
  <c r="N111" i="10"/>
  <c r="N115" i="10"/>
  <c r="N70" i="10"/>
  <c r="N79" i="10"/>
  <c r="N103" i="10"/>
  <c r="C206" i="10"/>
  <c r="U198" i="10"/>
  <c r="H167" i="10"/>
  <c r="U206" i="10"/>
  <c r="T167" i="10"/>
  <c r="W167" i="10" s="1"/>
  <c r="U195" i="10"/>
  <c r="L158" i="10"/>
  <c r="H160" i="10"/>
  <c r="L161" i="10"/>
  <c r="N30" i="10"/>
  <c r="J166" i="10"/>
  <c r="D167" i="10"/>
  <c r="N43" i="10"/>
  <c r="B171" i="10"/>
  <c r="H172" i="10"/>
  <c r="N56" i="10"/>
  <c r="L177" i="10"/>
  <c r="N73" i="10"/>
  <c r="C201" i="10"/>
  <c r="N125" i="10"/>
  <c r="W172" i="10"/>
  <c r="J170" i="10"/>
  <c r="B155" i="10"/>
  <c r="J193" i="10"/>
  <c r="N12" i="10"/>
  <c r="C164" i="10"/>
  <c r="C198" i="10"/>
  <c r="H170" i="10"/>
  <c r="N128" i="10"/>
  <c r="T164" i="10"/>
  <c r="L181" i="10"/>
  <c r="S164" i="10"/>
  <c r="H190" i="10"/>
  <c r="H189" i="10"/>
  <c r="L164" i="10"/>
  <c r="H182" i="10"/>
  <c r="U159" i="10"/>
  <c r="W159" i="10" s="1"/>
  <c r="C156" i="10"/>
  <c r="C157" i="10"/>
  <c r="C185" i="10"/>
  <c r="D186" i="10"/>
  <c r="D187" i="10"/>
  <c r="D188" i="10"/>
  <c r="C189" i="10"/>
  <c r="N90" i="10"/>
  <c r="N101" i="10"/>
  <c r="U186" i="10"/>
  <c r="J190" i="10"/>
  <c r="S198" i="10"/>
  <c r="H173" i="10"/>
  <c r="B163" i="10"/>
  <c r="S199" i="10"/>
  <c r="T177" i="10"/>
  <c r="W177" i="10" s="1"/>
  <c r="T155" i="10"/>
  <c r="T199" i="10"/>
  <c r="S207" i="10"/>
  <c r="H196" i="10"/>
  <c r="D156" i="10"/>
  <c r="D157" i="10"/>
  <c r="N22" i="10"/>
  <c r="N48" i="10"/>
  <c r="N50" i="10"/>
  <c r="N52" i="10"/>
  <c r="D174" i="10"/>
  <c r="N57" i="10"/>
  <c r="N59" i="10"/>
  <c r="L180" i="10"/>
  <c r="D182" i="10"/>
  <c r="N74" i="10"/>
  <c r="B183" i="10"/>
  <c r="N81" i="10"/>
  <c r="L187" i="10"/>
  <c r="D189" i="10"/>
  <c r="C190" i="10"/>
  <c r="L192" i="10"/>
  <c r="D193" i="10"/>
  <c r="H198" i="10"/>
  <c r="B203" i="10"/>
  <c r="N120" i="10"/>
  <c r="H166" i="10"/>
  <c r="S186" i="10"/>
  <c r="T189" i="10"/>
  <c r="S189" i="10"/>
  <c r="L198" i="10"/>
  <c r="N198" i="10" s="1"/>
  <c r="U185" i="10"/>
  <c r="S191" i="10"/>
  <c r="U192" i="10"/>
  <c r="L156" i="10"/>
  <c r="C162" i="10"/>
  <c r="J164" i="10"/>
  <c r="N42" i="10"/>
  <c r="N64" i="10"/>
  <c r="N66" i="10"/>
  <c r="N68" i="10"/>
  <c r="J194" i="10"/>
  <c r="D196" i="10"/>
  <c r="C197" i="10"/>
  <c r="C202" i="10"/>
  <c r="C205" i="10"/>
  <c r="N135" i="10"/>
  <c r="H164" i="10"/>
  <c r="W168" i="10"/>
  <c r="T207" i="10"/>
  <c r="T206" i="10"/>
  <c r="H177" i="10"/>
  <c r="T198" i="10"/>
  <c r="U200" i="10"/>
  <c r="U181" i="10"/>
  <c r="N10" i="10"/>
  <c r="S185" i="10"/>
  <c r="B197" i="10"/>
  <c r="N109" i="10"/>
  <c r="D206" i="10"/>
  <c r="T173" i="10"/>
  <c r="J182" i="10"/>
  <c r="H157" i="10"/>
  <c r="J159" i="10"/>
  <c r="J160" i="10"/>
  <c r="D161" i="10"/>
  <c r="B185" i="10"/>
  <c r="D185" i="10"/>
  <c r="C187" i="10"/>
  <c r="C188" i="10"/>
  <c r="L189" i="10"/>
  <c r="N91" i="10"/>
  <c r="D191" i="10"/>
  <c r="H195" i="10"/>
  <c r="N108" i="10"/>
  <c r="B200" i="10"/>
  <c r="N127" i="10"/>
  <c r="B207" i="10"/>
  <c r="J201" i="10"/>
  <c r="N136" i="10"/>
  <c r="N82" i="10"/>
  <c r="J169" i="10"/>
  <c r="L169" i="10"/>
  <c r="N46" i="10"/>
  <c r="D171" i="10"/>
  <c r="T178" i="10"/>
  <c r="U178" i="10"/>
  <c r="S178" i="10"/>
  <c r="L178" i="10"/>
  <c r="J178" i="10"/>
  <c r="N39" i="10"/>
  <c r="B168" i="10"/>
  <c r="B174" i="10"/>
  <c r="N54" i="10"/>
  <c r="N24" i="10"/>
  <c r="D162" i="10"/>
  <c r="C169" i="10"/>
  <c r="N65" i="10"/>
  <c r="J180" i="10"/>
  <c r="C204" i="10"/>
  <c r="N19" i="10"/>
  <c r="J161" i="10"/>
  <c r="T161" i="10"/>
  <c r="S161" i="10"/>
  <c r="U161" i="10"/>
  <c r="L163" i="10"/>
  <c r="H163" i="10"/>
  <c r="N34" i="10"/>
  <c r="B166" i="10"/>
  <c r="C175" i="10"/>
  <c r="C182" i="10"/>
  <c r="L202" i="10"/>
  <c r="J202" i="10"/>
  <c r="H204" i="10"/>
  <c r="H205" i="10"/>
  <c r="J205" i="10"/>
  <c r="L205" i="10"/>
  <c r="N126" i="10"/>
  <c r="N130" i="10"/>
  <c r="D201" i="10"/>
  <c r="J155" i="10"/>
  <c r="L155" i="10"/>
  <c r="S183" i="10"/>
  <c r="J183" i="10"/>
  <c r="H183" i="10"/>
  <c r="U183" i="10"/>
  <c r="L183" i="10"/>
  <c r="H184" i="10"/>
  <c r="L184" i="10"/>
  <c r="J184" i="10"/>
  <c r="H185" i="10"/>
  <c r="J185" i="10"/>
  <c r="J191" i="10"/>
  <c r="L191" i="10"/>
  <c r="H191" i="10"/>
  <c r="D170" i="10"/>
  <c r="N44" i="10"/>
  <c r="H174" i="10"/>
  <c r="J174" i="10"/>
  <c r="L174" i="10"/>
  <c r="N63" i="10"/>
  <c r="B177" i="10"/>
  <c r="H179" i="10"/>
  <c r="J179" i="10"/>
  <c r="H186" i="10"/>
  <c r="J186" i="10"/>
  <c r="L186" i="10"/>
  <c r="H188" i="10"/>
  <c r="L188" i="10"/>
  <c r="B192" i="10"/>
  <c r="N94" i="10"/>
  <c r="W209" i="10"/>
  <c r="N37" i="10"/>
  <c r="C167" i="10"/>
  <c r="B169" i="10"/>
  <c r="N41" i="10"/>
  <c r="S169" i="10"/>
  <c r="T169" i="10"/>
  <c r="J171" i="10"/>
  <c r="H171" i="10"/>
  <c r="H175" i="10"/>
  <c r="L175" i="10"/>
  <c r="U184" i="10"/>
  <c r="T184" i="10"/>
  <c r="N7" i="10"/>
  <c r="B154" i="10"/>
  <c r="B209" i="10"/>
  <c r="N134" i="10"/>
  <c r="H180" i="10"/>
  <c r="D176" i="10"/>
  <c r="J181" i="10"/>
  <c r="U169" i="10"/>
  <c r="N32" i="10"/>
  <c r="B165" i="10"/>
  <c r="B170" i="10"/>
  <c r="N45" i="10"/>
  <c r="U176" i="10"/>
  <c r="S176" i="10"/>
  <c r="B194" i="10"/>
  <c r="L209" i="10"/>
  <c r="T204" i="10"/>
  <c r="D178" i="10"/>
  <c r="J188" i="10"/>
  <c r="T183" i="10"/>
  <c r="N72" i="10"/>
  <c r="B190" i="10"/>
  <c r="L179" i="10"/>
  <c r="N18" i="10"/>
  <c r="N23" i="10"/>
  <c r="B161" i="10"/>
  <c r="H169" i="10"/>
  <c r="B184" i="10"/>
  <c r="N102" i="10"/>
  <c r="N119" i="10"/>
  <c r="N123" i="10"/>
  <c r="B205" i="10"/>
  <c r="S205" i="10"/>
  <c r="T205" i="10"/>
  <c r="D205" i="10"/>
  <c r="B156" i="10"/>
  <c r="N11" i="10"/>
  <c r="N13" i="10"/>
  <c r="B157" i="10"/>
  <c r="H158" i="10"/>
  <c r="J158" i="10"/>
  <c r="C163" i="10"/>
  <c r="B164" i="10"/>
  <c r="J165" i="10"/>
  <c r="J175" i="10"/>
  <c r="N95" i="10"/>
  <c r="T193" i="10"/>
  <c r="L193" i="10"/>
  <c r="S193" i="10"/>
  <c r="J199" i="10"/>
  <c r="L199" i="10"/>
  <c r="U204" i="10"/>
  <c r="L176" i="10"/>
  <c r="B186" i="10"/>
  <c r="C184" i="10"/>
  <c r="L154" i="10"/>
  <c r="T181" i="10"/>
  <c r="D181" i="10"/>
  <c r="S181" i="10"/>
  <c r="L204" i="10"/>
  <c r="C176" i="10"/>
  <c r="H181" i="10"/>
  <c r="H187" i="10"/>
  <c r="U154" i="10"/>
  <c r="L166" i="10"/>
  <c r="N88" i="10"/>
  <c r="B189" i="10"/>
  <c r="N97" i="10"/>
  <c r="B193" i="10"/>
  <c r="U194" i="10"/>
  <c r="T194" i="10"/>
  <c r="D203" i="10"/>
  <c r="C155" i="10"/>
  <c r="N47" i="10"/>
  <c r="N67" i="10"/>
  <c r="L196" i="10"/>
  <c r="J197" i="10"/>
  <c r="J154" i="10"/>
  <c r="C171" i="10"/>
  <c r="J192" i="10"/>
  <c r="L160" i="10"/>
  <c r="B180" i="10"/>
  <c r="D166" i="10"/>
  <c r="N71" i="10"/>
  <c r="C183" i="10"/>
  <c r="L185" i="10"/>
  <c r="D194" i="10"/>
  <c r="N129" i="10"/>
  <c r="T201" i="10"/>
  <c r="N6" i="10"/>
  <c r="W208" i="10"/>
  <c r="D158" i="10"/>
  <c r="L162" i="10"/>
  <c r="J163" i="10"/>
  <c r="D164" i="10"/>
  <c r="C165" i="10"/>
  <c r="D177" i="10"/>
  <c r="B181" i="10"/>
  <c r="C193" i="10"/>
  <c r="H194" i="10"/>
  <c r="B202" i="10"/>
  <c r="S196" i="10"/>
  <c r="S187" i="10"/>
  <c r="J157" i="10"/>
  <c r="J176" i="10"/>
  <c r="J187" i="10"/>
  <c r="N105" i="10"/>
  <c r="N113" i="10"/>
  <c r="H199" i="10"/>
  <c r="D154" i="10"/>
  <c r="D160" i="10"/>
  <c r="H165" i="10"/>
  <c r="H154" i="10"/>
  <c r="T188" i="10"/>
  <c r="U188" i="10"/>
  <c r="L168" i="10"/>
  <c r="H203" i="10"/>
  <c r="B188" i="10"/>
  <c r="H197" i="10"/>
  <c r="T196" i="10"/>
  <c r="J168" i="10"/>
  <c r="C174" i="10"/>
  <c r="N61" i="10"/>
  <c r="D179" i="10"/>
  <c r="N84" i="10"/>
  <c r="N86" i="10"/>
  <c r="C192" i="10"/>
  <c r="B206" i="10"/>
  <c r="N133" i="10"/>
  <c r="N91" i="12"/>
  <c r="B187" i="12"/>
  <c r="N168" i="12"/>
  <c r="U187" i="12"/>
  <c r="N118" i="12"/>
  <c r="H186" i="12"/>
  <c r="J164" i="12"/>
  <c r="N50" i="12"/>
  <c r="L164" i="12"/>
  <c r="N16" i="12"/>
  <c r="N18" i="12"/>
  <c r="N20" i="12"/>
  <c r="N22" i="12"/>
  <c r="L143" i="12"/>
  <c r="N143" i="12" s="1"/>
  <c r="J171" i="12"/>
  <c r="L177" i="12"/>
  <c r="N177" i="12" s="1"/>
  <c r="H164" i="12"/>
  <c r="N30" i="12"/>
  <c r="N39" i="12"/>
  <c r="N78" i="12"/>
  <c r="U175" i="12"/>
  <c r="D176" i="12"/>
  <c r="N94" i="12"/>
  <c r="C184" i="12"/>
  <c r="N109" i="12"/>
  <c r="W138" i="12"/>
  <c r="N141" i="12"/>
  <c r="N149" i="12"/>
  <c r="N157" i="12"/>
  <c r="W158" i="12"/>
  <c r="H187" i="12"/>
  <c r="N6" i="12"/>
  <c r="T143" i="12"/>
  <c r="L171" i="12"/>
  <c r="S164" i="12"/>
  <c r="N11" i="12"/>
  <c r="N36" i="12"/>
  <c r="N49" i="12"/>
  <c r="B157" i="12"/>
  <c r="B158" i="12"/>
  <c r="D162" i="12"/>
  <c r="C164" i="12"/>
  <c r="D182" i="12"/>
  <c r="W181" i="12"/>
  <c r="J187" i="12"/>
  <c r="N84" i="12"/>
  <c r="S154" i="12"/>
  <c r="C137" i="12"/>
  <c r="C138" i="12"/>
  <c r="N17" i="12"/>
  <c r="B142" i="12"/>
  <c r="B153" i="12"/>
  <c r="N55" i="12"/>
  <c r="L187" i="12"/>
  <c r="H155" i="12"/>
  <c r="B145" i="12"/>
  <c r="N34" i="12"/>
  <c r="C152" i="12"/>
  <c r="D188" i="12"/>
  <c r="N145" i="12"/>
  <c r="H160" i="15"/>
  <c r="W197" i="15"/>
  <c r="W190" i="15"/>
  <c r="W174" i="15"/>
  <c r="W170" i="15"/>
  <c r="W166" i="15"/>
  <c r="W162" i="15"/>
  <c r="W158" i="15"/>
  <c r="N33" i="15"/>
  <c r="B161" i="15"/>
  <c r="N17" i="15"/>
  <c r="C192" i="15"/>
  <c r="B181" i="15"/>
  <c r="N88" i="15"/>
  <c r="H187" i="15"/>
  <c r="U187" i="15"/>
  <c r="J187" i="15"/>
  <c r="L187" i="15"/>
  <c r="T187" i="15"/>
  <c r="C191" i="15"/>
  <c r="D195" i="15"/>
  <c r="N115" i="15"/>
  <c r="D199" i="15"/>
  <c r="U200" i="15"/>
  <c r="B200" i="15"/>
  <c r="N64" i="15"/>
  <c r="N45" i="15"/>
  <c r="C166" i="15"/>
  <c r="N40" i="15"/>
  <c r="L197" i="15"/>
  <c r="W154" i="15"/>
  <c r="B187" i="15"/>
  <c r="H197" i="15"/>
  <c r="N75" i="15"/>
  <c r="B186" i="15"/>
  <c r="N106" i="15"/>
  <c r="N110" i="15"/>
  <c r="N19" i="15"/>
  <c r="D200" i="15"/>
  <c r="C171" i="15"/>
  <c r="B169" i="15"/>
  <c r="D193" i="15"/>
  <c r="J175" i="15"/>
  <c r="L175" i="15"/>
  <c r="N14" i="15"/>
  <c r="D152" i="15"/>
  <c r="H198" i="15"/>
  <c r="J198" i="15"/>
  <c r="L198" i="15"/>
  <c r="H175" i="15"/>
  <c r="S187" i="15"/>
  <c r="W187" i="15" s="1"/>
  <c r="B192" i="15"/>
  <c r="C184" i="15"/>
  <c r="B154" i="15"/>
  <c r="C178" i="15"/>
  <c r="J184" i="15"/>
  <c r="L152" i="15"/>
  <c r="S191" i="15"/>
  <c r="D181" i="15"/>
  <c r="C194" i="15"/>
  <c r="E194" i="15" s="1"/>
  <c r="D196" i="15"/>
  <c r="B173" i="15"/>
  <c r="E173" i="15" s="1"/>
  <c r="D171" i="15"/>
  <c r="B170" i="15"/>
  <c r="C168" i="15"/>
  <c r="E168" i="15" s="1"/>
  <c r="D167" i="15"/>
  <c r="N36" i="15"/>
  <c r="C160" i="15"/>
  <c r="C151" i="15"/>
  <c r="E151" i="15" s="1"/>
  <c r="H165" i="15"/>
  <c r="N165" i="15" s="1"/>
  <c r="L151" i="15"/>
  <c r="N151" i="15" s="1"/>
  <c r="W156" i="15"/>
  <c r="W199" i="15"/>
  <c r="S181" i="15"/>
  <c r="W181" i="15" s="1"/>
  <c r="N92" i="15"/>
  <c r="N93" i="15"/>
  <c r="D191" i="15"/>
  <c r="N99" i="15"/>
  <c r="N102" i="15"/>
  <c r="N62" i="15"/>
  <c r="N59" i="15"/>
  <c r="B172" i="15"/>
  <c r="J164" i="15"/>
  <c r="J158" i="15"/>
  <c r="N96" i="15"/>
  <c r="N98" i="15"/>
  <c r="N53" i="15"/>
  <c r="L174" i="15"/>
  <c r="L156" i="15"/>
  <c r="J152" i="15"/>
  <c r="B180" i="15"/>
  <c r="N81" i="15"/>
  <c r="N86" i="15"/>
  <c r="C187" i="15"/>
  <c r="C159" i="15"/>
  <c r="N24" i="15"/>
  <c r="N21" i="15"/>
  <c r="D154" i="15"/>
  <c r="N16" i="15"/>
  <c r="L188" i="15"/>
  <c r="L170" i="15"/>
  <c r="N170" i="15" s="1"/>
  <c r="J159" i="15"/>
  <c r="N155" i="15"/>
  <c r="N118" i="15"/>
  <c r="N39" i="15"/>
  <c r="N29" i="15"/>
  <c r="C158" i="15"/>
  <c r="N18" i="15"/>
  <c r="B153" i="15"/>
  <c r="N13" i="15"/>
  <c r="B150" i="15"/>
  <c r="L176" i="15"/>
  <c r="N176" i="15" s="1"/>
  <c r="D177" i="15"/>
  <c r="N76" i="15"/>
  <c r="B182" i="15"/>
  <c r="D185" i="15"/>
  <c r="N87" i="15"/>
  <c r="N90" i="15"/>
  <c r="D175" i="15"/>
  <c r="D159" i="15"/>
  <c r="B158" i="15"/>
  <c r="D156" i="15"/>
  <c r="B155" i="15"/>
  <c r="C153" i="15"/>
  <c r="E153" i="15" s="1"/>
  <c r="C152" i="15"/>
  <c r="N9" i="15"/>
  <c r="J194" i="15"/>
  <c r="J186" i="15"/>
  <c r="L178" i="15"/>
  <c r="L168" i="15"/>
  <c r="L157" i="15"/>
  <c r="L153" i="15"/>
  <c r="B179" i="12"/>
  <c r="B186" i="12"/>
  <c r="H146" i="12"/>
  <c r="N15" i="12"/>
  <c r="N19" i="12"/>
  <c r="N56" i="12"/>
  <c r="N72" i="12"/>
  <c r="N97" i="12"/>
  <c r="N99" i="12"/>
  <c r="N142" i="12"/>
  <c r="S182" i="12"/>
  <c r="N27" i="12"/>
  <c r="N51" i="12"/>
  <c r="N25" i="12"/>
  <c r="C148" i="12"/>
  <c r="C149" i="12"/>
  <c r="B151" i="12"/>
  <c r="C170" i="12"/>
  <c r="N81" i="12"/>
  <c r="B173" i="12"/>
  <c r="N88" i="12"/>
  <c r="C177" i="12"/>
  <c r="B178" i="12"/>
  <c r="B183" i="12"/>
  <c r="B184" i="12"/>
  <c r="W151" i="12"/>
  <c r="D136" i="12"/>
  <c r="D152" i="12"/>
  <c r="B168" i="12"/>
  <c r="N107" i="12"/>
  <c r="W188" i="12"/>
  <c r="J155" i="12"/>
  <c r="U154" i="12"/>
  <c r="B175" i="12"/>
  <c r="E175" i="12" s="1"/>
  <c r="U139" i="12"/>
  <c r="T175" i="12"/>
  <c r="H173" i="12"/>
  <c r="D145" i="12"/>
  <c r="C146" i="12"/>
  <c r="N33" i="12"/>
  <c r="C154" i="12"/>
  <c r="B169" i="12"/>
  <c r="L170" i="12"/>
  <c r="N170" i="12" s="1"/>
  <c r="N87" i="12"/>
  <c r="B176" i="12"/>
  <c r="N98" i="12"/>
  <c r="N152" i="12"/>
  <c r="N160" i="12"/>
  <c r="W162" i="12"/>
  <c r="S146" i="12"/>
  <c r="T154" i="12"/>
  <c r="S139" i="12"/>
  <c r="S155" i="12"/>
  <c r="J173" i="12"/>
  <c r="N173" i="12" s="1"/>
  <c r="D139" i="12"/>
  <c r="C147" i="12"/>
  <c r="N41" i="12"/>
  <c r="W141" i="12"/>
  <c r="W148" i="12"/>
  <c r="W187" i="12"/>
  <c r="D144" i="12"/>
  <c r="D151" i="12"/>
  <c r="B154" i="12"/>
  <c r="C186" i="12"/>
  <c r="B188" i="12"/>
  <c r="N116" i="12"/>
  <c r="U146" i="12"/>
  <c r="L154" i="12"/>
  <c r="L139" i="12"/>
  <c r="C144" i="12"/>
  <c r="N26" i="12"/>
  <c r="N28" i="12"/>
  <c r="D155" i="12"/>
  <c r="N104" i="12"/>
  <c r="W136" i="12"/>
  <c r="N158" i="12"/>
  <c r="D174" i="12"/>
  <c r="T174" i="12"/>
  <c r="J174" i="12"/>
  <c r="N174" i="12" s="1"/>
  <c r="L174" i="12"/>
  <c r="S174" i="12"/>
  <c r="T159" i="12"/>
  <c r="U159" i="12"/>
  <c r="S159" i="12"/>
  <c r="J159" i="12"/>
  <c r="H159" i="12"/>
  <c r="J167" i="12"/>
  <c r="N167" i="12" s="1"/>
  <c r="L167" i="12"/>
  <c r="T167" i="12"/>
  <c r="S167" i="12"/>
  <c r="U167" i="12"/>
  <c r="N90" i="12"/>
  <c r="B171" i="12"/>
  <c r="H147" i="12"/>
  <c r="U147" i="12"/>
  <c r="D147" i="12"/>
  <c r="L147" i="12"/>
  <c r="J147" i="12"/>
  <c r="S147" i="12"/>
  <c r="N57" i="12"/>
  <c r="B160" i="12"/>
  <c r="B167" i="12"/>
  <c r="U169" i="12"/>
  <c r="J169" i="12"/>
  <c r="H169" i="12"/>
  <c r="T169" i="12"/>
  <c r="C169" i="12"/>
  <c r="D169" i="12"/>
  <c r="L169" i="12"/>
  <c r="S169" i="12"/>
  <c r="C174" i="12"/>
  <c r="D177" i="12"/>
  <c r="C178" i="12"/>
  <c r="E178" i="12" s="1"/>
  <c r="N31" i="12"/>
  <c r="B147" i="12"/>
  <c r="S150" i="12"/>
  <c r="H150" i="12"/>
  <c r="T150" i="12"/>
  <c r="C159" i="12"/>
  <c r="W142" i="12"/>
  <c r="D137" i="12"/>
  <c r="N10" i="12"/>
  <c r="S185" i="12"/>
  <c r="U185" i="12"/>
  <c r="J185" i="12"/>
  <c r="H185" i="12"/>
  <c r="D187" i="12"/>
  <c r="N111" i="12"/>
  <c r="L159" i="12"/>
  <c r="U179" i="12"/>
  <c r="H179" i="12"/>
  <c r="T179" i="12"/>
  <c r="L179" i="12"/>
  <c r="N106" i="12"/>
  <c r="C185" i="12"/>
  <c r="B185" i="12"/>
  <c r="N112" i="12"/>
  <c r="L175" i="12"/>
  <c r="H180" i="12"/>
  <c r="N14" i="12"/>
  <c r="N40" i="12"/>
  <c r="N47" i="12"/>
  <c r="C156" i="12"/>
  <c r="D157" i="12"/>
  <c r="N60" i="12"/>
  <c r="N62" i="12"/>
  <c r="N79" i="12"/>
  <c r="B172" i="12"/>
  <c r="N100" i="12"/>
  <c r="N153" i="12"/>
  <c r="N161" i="12"/>
  <c r="N113" i="12"/>
  <c r="U178" i="12"/>
  <c r="H175" i="12"/>
  <c r="N175" i="12" s="1"/>
  <c r="C139" i="12"/>
  <c r="D146" i="12"/>
  <c r="D149" i="12"/>
  <c r="E149" i="12" s="1"/>
  <c r="C151" i="12"/>
  <c r="N64" i="12"/>
  <c r="D170" i="12"/>
  <c r="N136" i="12"/>
  <c r="W157" i="12"/>
  <c r="N93" i="12"/>
  <c r="N140" i="12"/>
  <c r="S186" i="12"/>
  <c r="T186" i="12"/>
  <c r="W166" i="12"/>
  <c r="N71" i="12"/>
  <c r="N108" i="12"/>
  <c r="N92" i="12"/>
  <c r="W146" i="12"/>
  <c r="W170" i="12"/>
  <c r="L180" i="12"/>
  <c r="N24" i="12"/>
  <c r="D167" i="12"/>
  <c r="N75" i="12"/>
  <c r="C173" i="12"/>
  <c r="W161" i="12"/>
  <c r="C135" i="12"/>
  <c r="B143" i="12"/>
  <c r="S143" i="12"/>
  <c r="W143" i="12" s="1"/>
  <c r="S178" i="12"/>
  <c r="S175" i="12"/>
  <c r="D180" i="12"/>
  <c r="T180" i="12"/>
  <c r="T164" i="12"/>
  <c r="W164" i="12" s="1"/>
  <c r="C140" i="12"/>
  <c r="C145" i="12"/>
  <c r="D166" i="12"/>
  <c r="D172" i="12"/>
  <c r="D173" i="12"/>
  <c r="U177" i="12"/>
  <c r="W177" i="12" s="1"/>
  <c r="D181" i="12"/>
  <c r="N137" i="12"/>
  <c r="W190" i="12"/>
  <c r="B146" i="12"/>
  <c r="E146" i="12" s="1"/>
  <c r="T178" i="12"/>
  <c r="B182" i="12"/>
  <c r="C143" i="12"/>
  <c r="B150" i="12"/>
  <c r="C157" i="12"/>
  <c r="B165" i="12"/>
  <c r="C167" i="12"/>
  <c r="N86" i="12"/>
  <c r="N148" i="12"/>
  <c r="W168" i="12"/>
  <c r="N188" i="12"/>
  <c r="D189" i="12"/>
  <c r="N190" i="12"/>
  <c r="L176" i="13"/>
  <c r="J175" i="13"/>
  <c r="B187" i="13"/>
  <c r="D190" i="13"/>
  <c r="N75" i="13"/>
  <c r="L165" i="13"/>
  <c r="J155" i="13"/>
  <c r="N15" i="13"/>
  <c r="H168" i="13"/>
  <c r="T189" i="13"/>
  <c r="N68" i="13"/>
  <c r="H170" i="13"/>
  <c r="S181" i="13"/>
  <c r="L199" i="13"/>
  <c r="J195" i="13"/>
  <c r="L191" i="13"/>
  <c r="L169" i="13"/>
  <c r="W186" i="13"/>
  <c r="W202" i="13"/>
  <c r="H155" i="13"/>
  <c r="N129" i="13"/>
  <c r="H204" i="13"/>
  <c r="S187" i="13"/>
  <c r="D196" i="13"/>
  <c r="B198" i="13"/>
  <c r="B176" i="13"/>
  <c r="J197" i="13"/>
  <c r="L189" i="13"/>
  <c r="L179" i="13"/>
  <c r="L168" i="13"/>
  <c r="W177" i="13"/>
  <c r="N62" i="13"/>
  <c r="N104" i="13"/>
  <c r="C193" i="13"/>
  <c r="L202" i="13"/>
  <c r="J164" i="13"/>
  <c r="U189" i="13"/>
  <c r="J165" i="13"/>
  <c r="B178" i="13"/>
  <c r="N85" i="13"/>
  <c r="B195" i="13"/>
  <c r="N121" i="13"/>
  <c r="N80" i="13"/>
  <c r="H189" i="13"/>
  <c r="N112" i="13"/>
  <c r="D198" i="13"/>
  <c r="B201" i="13"/>
  <c r="C156" i="13"/>
  <c r="U187" i="13"/>
  <c r="N105" i="13"/>
  <c r="N93" i="13"/>
  <c r="H194" i="13"/>
  <c r="H176" i="13"/>
  <c r="J170" i="13"/>
  <c r="D173" i="13"/>
  <c r="C194" i="13"/>
  <c r="D184" i="13"/>
  <c r="L183" i="13"/>
  <c r="H173" i="13"/>
  <c r="J169" i="13"/>
  <c r="H166" i="13"/>
  <c r="N28" i="13"/>
  <c r="D193" i="13"/>
  <c r="W166" i="13"/>
  <c r="N50" i="13"/>
  <c r="B155" i="13"/>
  <c r="L193" i="13"/>
  <c r="H186" i="13"/>
  <c r="L182" i="13"/>
  <c r="L172" i="13"/>
  <c r="N60" i="13"/>
  <c r="C164" i="13"/>
  <c r="D150" i="13"/>
  <c r="S183" i="13"/>
  <c r="J202" i="13"/>
  <c r="N123" i="13"/>
  <c r="L175" i="13"/>
  <c r="D174" i="13"/>
  <c r="J189" i="13"/>
  <c r="N189" i="13" s="1"/>
  <c r="D191" i="13"/>
  <c r="N108" i="13"/>
  <c r="H167" i="13"/>
  <c r="B156" i="13"/>
  <c r="C153" i="13"/>
  <c r="J166" i="13"/>
  <c r="J172" i="13"/>
  <c r="D178" i="13"/>
  <c r="B199" i="13"/>
  <c r="J167" i="13"/>
  <c r="B170" i="13"/>
  <c r="C184" i="13"/>
  <c r="W190" i="13"/>
  <c r="N47" i="13"/>
  <c r="L166" i="13"/>
  <c r="L186" i="13"/>
  <c r="N45" i="13"/>
  <c r="L164" i="13"/>
  <c r="J192" i="13"/>
  <c r="H188" i="13"/>
  <c r="H180" i="13"/>
  <c r="H178" i="13"/>
  <c r="L170" i="13"/>
  <c r="B154" i="13"/>
  <c r="N12" i="13"/>
  <c r="J182" i="13"/>
  <c r="T184" i="13"/>
  <c r="N94" i="13"/>
  <c r="N92" i="13"/>
  <c r="C196" i="13"/>
  <c r="H197" i="13"/>
  <c r="D199" i="13"/>
  <c r="H199" i="13"/>
  <c r="L195" i="13"/>
  <c r="J187" i="13"/>
  <c r="J184" i="13"/>
  <c r="H177" i="13"/>
  <c r="N125" i="13"/>
  <c r="C157" i="13"/>
  <c r="T197" i="13"/>
  <c r="J171" i="13"/>
  <c r="N171" i="13" s="1"/>
  <c r="J180" i="13"/>
  <c r="H185" i="13"/>
  <c r="H174" i="13"/>
  <c r="N21" i="13"/>
  <c r="N16" i="13"/>
  <c r="D152" i="13"/>
  <c r="J199" i="13"/>
  <c r="S197" i="13"/>
  <c r="J193" i="13"/>
  <c r="L180" i="13"/>
  <c r="L174" i="13"/>
  <c r="L197" i="13"/>
  <c r="C178" i="13"/>
  <c r="N77" i="13"/>
  <c r="D180" i="13"/>
  <c r="N82" i="13"/>
  <c r="D183" i="13"/>
  <c r="N98" i="13"/>
  <c r="N100" i="13"/>
  <c r="C176" i="13"/>
  <c r="N52" i="13"/>
  <c r="N26" i="13"/>
  <c r="D155" i="13"/>
  <c r="J204" i="13"/>
  <c r="S185" i="13"/>
  <c r="N11" i="13"/>
  <c r="B183" i="13"/>
  <c r="J185" i="13"/>
  <c r="D186" i="13"/>
  <c r="U185" i="13"/>
  <c r="N55" i="13"/>
  <c r="N63" i="13"/>
  <c r="N96" i="13"/>
  <c r="N67" i="13"/>
  <c r="C154" i="13"/>
  <c r="L184" i="13"/>
  <c r="L152" i="13"/>
  <c r="H184" i="13"/>
  <c r="H182" i="13"/>
  <c r="L185" i="13"/>
  <c r="B186" i="13"/>
  <c r="U197" i="13"/>
  <c r="T191" i="13"/>
  <c r="N73" i="13"/>
  <c r="N122" i="13"/>
  <c r="D201" i="13"/>
  <c r="J198" i="13"/>
  <c r="N198" i="13" s="1"/>
  <c r="J190" i="13"/>
  <c r="J176" i="13"/>
  <c r="D170" i="13"/>
  <c r="W151" i="13"/>
  <c r="J188" i="13"/>
  <c r="D168" i="13"/>
  <c r="H195" i="13"/>
  <c r="J177" i="13"/>
  <c r="L177" i="13"/>
  <c r="J174" i="13"/>
  <c r="L187" i="13"/>
  <c r="J186" i="13"/>
  <c r="D177" i="13"/>
  <c r="W173" i="13"/>
  <c r="W180" i="13"/>
  <c r="W199" i="13"/>
  <c r="W198" i="13"/>
  <c r="C172" i="13"/>
  <c r="C155" i="13"/>
  <c r="N17" i="13"/>
  <c r="D149" i="13"/>
  <c r="T183" i="13"/>
  <c r="C177" i="13"/>
  <c r="C185" i="13"/>
  <c r="H196" i="13"/>
  <c r="L190" i="13"/>
  <c r="S184" i="13"/>
  <c r="W184" i="13" s="1"/>
  <c r="H169" i="13"/>
  <c r="C173" i="13"/>
  <c r="C182" i="13"/>
  <c r="B185" i="13"/>
  <c r="D189" i="13"/>
  <c r="B197" i="13"/>
  <c r="C199" i="13"/>
  <c r="J196" i="13"/>
  <c r="J178" i="13"/>
  <c r="W174" i="13"/>
  <c r="W182" i="13"/>
  <c r="W201" i="13"/>
  <c r="D169" i="13"/>
  <c r="N178" i="15"/>
  <c r="L164" i="15"/>
  <c r="N109" i="15"/>
  <c r="H149" i="15"/>
  <c r="N50" i="15"/>
  <c r="H168" i="15"/>
  <c r="N168" i="15" s="1"/>
  <c r="N61" i="15"/>
  <c r="N48" i="15"/>
  <c r="C195" i="15"/>
  <c r="B157" i="15"/>
  <c r="H204" i="15"/>
  <c r="U179" i="15"/>
  <c r="W179" i="15" s="1"/>
  <c r="H190" i="15"/>
  <c r="H152" i="15"/>
  <c r="N152" i="15" s="1"/>
  <c r="J149" i="15"/>
  <c r="N56" i="15"/>
  <c r="J190" i="15"/>
  <c r="D160" i="15"/>
  <c r="L184" i="15"/>
  <c r="N184" i="15" s="1"/>
  <c r="N107" i="15"/>
  <c r="N68" i="15"/>
  <c r="L195" i="15"/>
  <c r="D164" i="15"/>
  <c r="N30" i="15"/>
  <c r="N27" i="15"/>
  <c r="L150" i="15"/>
  <c r="J204" i="15"/>
  <c r="H164" i="15"/>
  <c r="N113" i="15"/>
  <c r="W168" i="15"/>
  <c r="H202" i="15"/>
  <c r="L158" i="15"/>
  <c r="L182" i="15"/>
  <c r="N57" i="15"/>
  <c r="N69" i="15"/>
  <c r="J201" i="15"/>
  <c r="H172" i="15"/>
  <c r="B183" i="15"/>
  <c r="N12" i="15"/>
  <c r="N105" i="15"/>
  <c r="N28" i="15"/>
  <c r="N6" i="15"/>
  <c r="N82" i="15"/>
  <c r="N94" i="15"/>
  <c r="N97" i="15"/>
  <c r="N101" i="15"/>
  <c r="S195" i="15"/>
  <c r="N70" i="15"/>
  <c r="B175" i="15"/>
  <c r="D172" i="15"/>
  <c r="N55" i="15"/>
  <c r="C170" i="15"/>
  <c r="N42" i="15"/>
  <c r="J171" i="15"/>
  <c r="W161" i="15"/>
  <c r="W153" i="15"/>
  <c r="H194" i="15"/>
  <c r="L159" i="15"/>
  <c r="N20" i="15"/>
  <c r="H201" i="15"/>
  <c r="N201" i="15" s="1"/>
  <c r="S200" i="15"/>
  <c r="H182" i="15"/>
  <c r="N182" i="15" s="1"/>
  <c r="J179" i="15"/>
  <c r="D183" i="15"/>
  <c r="U195" i="15"/>
  <c r="B176" i="15"/>
  <c r="N72" i="15"/>
  <c r="B198" i="15"/>
  <c r="C156" i="15"/>
  <c r="E156" i="15" s="1"/>
  <c r="J199" i="15"/>
  <c r="N199" i="15" s="1"/>
  <c r="N202" i="15"/>
  <c r="C200" i="15"/>
  <c r="H173" i="15"/>
  <c r="N173" i="15" s="1"/>
  <c r="H186" i="15"/>
  <c r="N186" i="15" s="1"/>
  <c r="L179" i="15"/>
  <c r="J183" i="15"/>
  <c r="N183" i="15" s="1"/>
  <c r="H179" i="15"/>
  <c r="E182" i="15"/>
  <c r="C183" i="15"/>
  <c r="N83" i="15"/>
  <c r="N84" i="15"/>
  <c r="C198" i="15"/>
  <c r="E198" i="15" s="1"/>
  <c r="N34" i="15"/>
  <c r="H166" i="15"/>
  <c r="N119" i="15"/>
  <c r="D192" i="15"/>
  <c r="T183" i="15"/>
  <c r="W183" i="15" s="1"/>
  <c r="H195" i="15"/>
  <c r="B184" i="15"/>
  <c r="N121" i="15"/>
  <c r="J166" i="15"/>
  <c r="T195" i="15"/>
  <c r="D186" i="15"/>
  <c r="B195" i="15"/>
  <c r="N114" i="15"/>
  <c r="D162" i="15"/>
  <c r="C161" i="15"/>
  <c r="L154" i="15"/>
  <c r="N154" i="15" s="1"/>
  <c r="D204" i="15"/>
  <c r="C178" i="7"/>
  <c r="H168" i="7"/>
  <c r="C168" i="7"/>
  <c r="T168" i="7"/>
  <c r="S174" i="7"/>
  <c r="T174" i="7"/>
  <c r="U174" i="7"/>
  <c r="B179" i="7"/>
  <c r="B180" i="7"/>
  <c r="S180" i="7"/>
  <c r="N106" i="7"/>
  <c r="N65" i="7"/>
  <c r="B163" i="7"/>
  <c r="B159" i="7"/>
  <c r="N58" i="7"/>
  <c r="N33" i="7"/>
  <c r="B147" i="7"/>
  <c r="W181" i="7"/>
  <c r="H177" i="7"/>
  <c r="H169" i="7"/>
  <c r="N117" i="7"/>
  <c r="B189" i="7"/>
  <c r="H139" i="7"/>
  <c r="N75" i="7"/>
  <c r="B181" i="7"/>
  <c r="T180" i="7"/>
  <c r="N70" i="7"/>
  <c r="B167" i="7"/>
  <c r="N81" i="7"/>
  <c r="L135" i="7"/>
  <c r="L180" i="7"/>
  <c r="W168" i="7"/>
  <c r="U169" i="7"/>
  <c r="D182" i="7"/>
  <c r="B166" i="7"/>
  <c r="D168" i="7"/>
  <c r="N83" i="7"/>
  <c r="N93" i="7"/>
  <c r="C135" i="7"/>
  <c r="L134" i="7"/>
  <c r="J134" i="7"/>
  <c r="H185" i="7"/>
  <c r="N113" i="7"/>
  <c r="S168" i="7"/>
  <c r="H162" i="7"/>
  <c r="L162" i="7"/>
  <c r="J162" i="7"/>
  <c r="H158" i="7"/>
  <c r="L158" i="7"/>
  <c r="W158" i="7"/>
  <c r="J158" i="7"/>
  <c r="L154" i="7"/>
  <c r="B155" i="7"/>
  <c r="N50" i="7"/>
  <c r="B158" i="7"/>
  <c r="N55" i="7"/>
  <c r="N35" i="7"/>
  <c r="B148" i="7"/>
  <c r="W169" i="7"/>
  <c r="S169" i="7"/>
  <c r="U168" i="7"/>
  <c r="N172" i="7"/>
  <c r="N92" i="7"/>
  <c r="W151" i="7"/>
  <c r="H151" i="7"/>
  <c r="H181" i="7"/>
  <c r="B169" i="7"/>
  <c r="N19" i="7"/>
  <c r="L168" i="7"/>
  <c r="W139" i="7"/>
  <c r="N97" i="7"/>
  <c r="N73" i="7"/>
  <c r="B161" i="7"/>
  <c r="N109" i="7"/>
  <c r="C185" i="7"/>
  <c r="B154" i="7"/>
  <c r="N47" i="7"/>
  <c r="N49" i="7"/>
  <c r="D155" i="7"/>
  <c r="C156" i="7"/>
  <c r="E156" i="7" s="1"/>
  <c r="N27" i="7"/>
  <c r="B144" i="7"/>
  <c r="N32" i="7"/>
  <c r="C149" i="7"/>
  <c r="N45" i="7"/>
  <c r="N13" i="7"/>
  <c r="J178" i="7"/>
  <c r="L178" i="7"/>
  <c r="L174" i="7"/>
  <c r="H174" i="7"/>
  <c r="H170" i="7"/>
  <c r="L170" i="7"/>
  <c r="J170" i="7"/>
  <c r="L166" i="7"/>
  <c r="J166" i="7"/>
  <c r="H163" i="7"/>
  <c r="L163" i="7"/>
  <c r="L150" i="7"/>
  <c r="W164" i="7"/>
  <c r="S136" i="7"/>
  <c r="J181" i="7"/>
  <c r="J142" i="7"/>
  <c r="N79" i="7"/>
  <c r="W165" i="7"/>
  <c r="L160" i="7"/>
  <c r="W177" i="7"/>
  <c r="J168" i="7"/>
  <c r="W180" i="7"/>
  <c r="U173" i="7"/>
  <c r="J180" i="7"/>
  <c r="C175" i="7"/>
  <c r="D180" i="7"/>
  <c r="B182" i="7"/>
  <c r="D160" i="7"/>
  <c r="B143" i="7"/>
  <c r="D144" i="7"/>
  <c r="C151" i="7"/>
  <c r="D135" i="7"/>
  <c r="W153" i="7"/>
  <c r="L149" i="7"/>
  <c r="B134" i="7"/>
  <c r="E134" i="7" s="1"/>
  <c r="C189" i="7"/>
  <c r="H188" i="7"/>
  <c r="D174" i="7"/>
  <c r="D161" i="7"/>
  <c r="L139" i="7"/>
  <c r="W176" i="7"/>
  <c r="J177" i="7"/>
  <c r="C160" i="7"/>
  <c r="J164" i="7"/>
  <c r="H164" i="7"/>
  <c r="N183" i="7"/>
  <c r="J153" i="7"/>
  <c r="W142" i="7"/>
  <c r="H160" i="7"/>
  <c r="N160" i="7" s="1"/>
  <c r="J169" i="7"/>
  <c r="D173" i="7"/>
  <c r="W150" i="7"/>
  <c r="D166" i="7"/>
  <c r="N78" i="7"/>
  <c r="C153" i="7"/>
  <c r="B157" i="7"/>
  <c r="D148" i="7"/>
  <c r="B150" i="7"/>
  <c r="H187" i="7"/>
  <c r="N118" i="7"/>
  <c r="D175" i="7"/>
  <c r="C180" i="7"/>
  <c r="W135" i="7"/>
  <c r="W189" i="7"/>
  <c r="L142" i="7"/>
  <c r="L188" i="7"/>
  <c r="N82" i="7"/>
  <c r="C182" i="7"/>
  <c r="H184" i="7"/>
  <c r="J189" i="7"/>
  <c r="J184" i="7"/>
  <c r="N63" i="7"/>
  <c r="C163" i="7"/>
  <c r="E163" i="7" s="1"/>
  <c r="C167" i="7"/>
  <c r="B175" i="7"/>
  <c r="C179" i="7"/>
  <c r="N112" i="7"/>
  <c r="C161" i="7"/>
  <c r="D153" i="7"/>
  <c r="C155" i="7"/>
  <c r="C157" i="7"/>
  <c r="C145" i="7"/>
  <c r="J175" i="7"/>
  <c r="J159" i="7"/>
  <c r="N159" i="7" s="1"/>
  <c r="W155" i="7"/>
  <c r="E76" i="30"/>
  <c r="S67" i="30"/>
  <c r="N8" i="30"/>
  <c r="B74" i="30"/>
  <c r="B67" i="30"/>
  <c r="J67" i="30"/>
  <c r="H69" i="30"/>
  <c r="C67" i="30"/>
  <c r="C71" i="30"/>
  <c r="L72" i="30"/>
  <c r="D67" i="30"/>
  <c r="C81" i="30"/>
  <c r="J75" i="30"/>
  <c r="B75" i="30"/>
  <c r="N30" i="30"/>
  <c r="C80" i="30"/>
  <c r="N7" i="30"/>
  <c r="H67" i="30"/>
  <c r="N12" i="30"/>
  <c r="L67" i="30"/>
  <c r="B71" i="30"/>
  <c r="S68" i="30"/>
  <c r="W68" i="30" s="1"/>
  <c r="E151" i="5"/>
  <c r="E158" i="5"/>
  <c r="W178" i="5"/>
  <c r="D181" i="5"/>
  <c r="B189" i="5"/>
  <c r="S151" i="5"/>
  <c r="L148" i="5"/>
  <c r="U178" i="5"/>
  <c r="C182" i="5"/>
  <c r="E182" i="5" s="1"/>
  <c r="B146" i="5"/>
  <c r="S137" i="5"/>
  <c r="N63" i="5"/>
  <c r="L136" i="5"/>
  <c r="H170" i="5"/>
  <c r="L157" i="5"/>
  <c r="N157" i="5" s="1"/>
  <c r="W141" i="5"/>
  <c r="J185" i="5"/>
  <c r="N185" i="5" s="1"/>
  <c r="H159" i="5"/>
  <c r="N159" i="5" s="1"/>
  <c r="W186" i="5"/>
  <c r="B187" i="5"/>
  <c r="N45" i="5"/>
  <c r="C156" i="5"/>
  <c r="J151" i="5"/>
  <c r="W176" i="5"/>
  <c r="W173" i="5"/>
  <c r="T189" i="5"/>
  <c r="N119" i="5"/>
  <c r="S167" i="5"/>
  <c r="W137" i="5"/>
  <c r="B148" i="5"/>
  <c r="L164" i="5"/>
  <c r="J160" i="5"/>
  <c r="T137" i="5"/>
  <c r="N46" i="5"/>
  <c r="B159" i="5"/>
  <c r="C176" i="5"/>
  <c r="N23" i="5"/>
  <c r="N162" i="5"/>
  <c r="J164" i="5"/>
  <c r="N164" i="5" s="1"/>
  <c r="W160" i="5"/>
  <c r="N105" i="5"/>
  <c r="N39" i="5"/>
  <c r="H148" i="5"/>
  <c r="N148" i="5" s="1"/>
  <c r="B178" i="5"/>
  <c r="W182" i="5"/>
  <c r="H182" i="5"/>
  <c r="T171" i="5"/>
  <c r="J154" i="5"/>
  <c r="N154" i="5" s="1"/>
  <c r="B162" i="5"/>
  <c r="E162" i="5" s="1"/>
  <c r="J158" i="5"/>
  <c r="B145" i="5"/>
  <c r="C178" i="5"/>
  <c r="H141" i="5"/>
  <c r="N37" i="5"/>
  <c r="J177" i="5"/>
  <c r="L156" i="5"/>
  <c r="N156" i="5" s="1"/>
  <c r="W157" i="5"/>
  <c r="W184" i="5"/>
  <c r="H155" i="5"/>
  <c r="N155" i="5" s="1"/>
  <c r="T167" i="5"/>
  <c r="N86" i="5"/>
  <c r="N81" i="5"/>
  <c r="N85" i="5"/>
  <c r="N38" i="5"/>
  <c r="B157" i="5"/>
  <c r="D141" i="5"/>
  <c r="E141" i="5" s="1"/>
  <c r="N22" i="5"/>
  <c r="J150" i="5"/>
  <c r="N150" i="5" s="1"/>
  <c r="H146" i="5"/>
  <c r="W179" i="5"/>
  <c r="U179" i="5"/>
  <c r="H152" i="5"/>
  <c r="E139" i="5"/>
  <c r="L179" i="5"/>
  <c r="L152" i="5"/>
  <c r="T166" i="5"/>
  <c r="H137" i="5"/>
  <c r="C167" i="5"/>
  <c r="N176" i="5"/>
  <c r="H167" i="5"/>
  <c r="H160" i="5"/>
  <c r="N160" i="5" s="1"/>
  <c r="J179" i="5"/>
  <c r="L189" i="5"/>
  <c r="J152" i="5"/>
  <c r="W158" i="5"/>
  <c r="J137" i="5"/>
  <c r="T179" i="5"/>
  <c r="J140" i="5"/>
  <c r="H180" i="5"/>
  <c r="W180" i="5"/>
  <c r="N114" i="5"/>
  <c r="H181" i="5"/>
  <c r="W156" i="5"/>
  <c r="J139" i="5"/>
  <c r="T182" i="5"/>
  <c r="W152" i="5"/>
  <c r="B168" i="5"/>
  <c r="C171" i="5"/>
  <c r="N82" i="5"/>
  <c r="B180" i="5"/>
  <c r="B184" i="5"/>
  <c r="N108" i="5"/>
  <c r="B154" i="5"/>
  <c r="E154" i="5" s="1"/>
  <c r="D155" i="5"/>
  <c r="N8" i="5"/>
  <c r="C137" i="5"/>
  <c r="D138" i="5"/>
  <c r="B142" i="5"/>
  <c r="D143" i="5"/>
  <c r="C148" i="5"/>
  <c r="W136" i="5"/>
  <c r="W161" i="5"/>
  <c r="W189" i="5"/>
  <c r="J189" i="5"/>
  <c r="H158" i="5"/>
  <c r="L180" i="5"/>
  <c r="J171" i="5"/>
  <c r="W144" i="5"/>
  <c r="B177" i="5"/>
  <c r="S182" i="5"/>
  <c r="U171" i="5"/>
  <c r="W167" i="5"/>
  <c r="N110" i="5"/>
  <c r="S181" i="5"/>
  <c r="U167" i="5"/>
  <c r="N107" i="5"/>
  <c r="C185" i="5"/>
  <c r="B136" i="5"/>
  <c r="E136" i="5" s="1"/>
  <c r="D140" i="5"/>
  <c r="N31" i="5"/>
  <c r="W135" i="5"/>
  <c r="W86" i="28"/>
  <c r="C92" i="28"/>
  <c r="B86" i="28"/>
  <c r="W90" i="28"/>
  <c r="N62" i="28"/>
  <c r="D85" i="28"/>
  <c r="N27" i="28"/>
  <c r="N35" i="28"/>
  <c r="H89" i="28"/>
  <c r="H102" i="28"/>
  <c r="D82" i="28"/>
  <c r="H100" i="28"/>
  <c r="W82" i="28"/>
  <c r="W94" i="28"/>
  <c r="B171" i="2"/>
  <c r="D175" i="2"/>
  <c r="C177" i="2"/>
  <c r="E177" i="2" s="1"/>
  <c r="N10" i="2"/>
  <c r="W143" i="2"/>
  <c r="W135" i="2"/>
  <c r="N58" i="2"/>
  <c r="N182" i="2"/>
  <c r="W159" i="2"/>
  <c r="W139" i="2"/>
  <c r="N157" i="2"/>
  <c r="C161" i="2"/>
  <c r="N93" i="2"/>
  <c r="D183" i="2"/>
  <c r="N183" i="2"/>
  <c r="C185" i="2"/>
  <c r="C157" i="2"/>
  <c r="W158" i="2"/>
  <c r="W154" i="2"/>
  <c r="W150" i="2"/>
  <c r="W146" i="2"/>
  <c r="N134" i="2"/>
  <c r="N173" i="2"/>
  <c r="S132" i="2"/>
  <c r="D179" i="2"/>
  <c r="D181" i="2"/>
  <c r="B187" i="2"/>
  <c r="D132" i="2"/>
  <c r="B165" i="2"/>
  <c r="D169" i="2"/>
  <c r="C172" i="2"/>
  <c r="B174" i="2"/>
  <c r="E174" i="2" s="1"/>
  <c r="D185" i="2"/>
  <c r="B160" i="2"/>
  <c r="B152" i="2"/>
  <c r="D138" i="2"/>
  <c r="D142" i="2"/>
  <c r="B186" i="2"/>
  <c r="N170" i="2"/>
  <c r="B161" i="2"/>
  <c r="B134" i="2"/>
  <c r="B138" i="2"/>
  <c r="N26" i="2"/>
  <c r="B146" i="2"/>
  <c r="D147" i="2"/>
  <c r="N39" i="2"/>
  <c r="W155" i="2"/>
  <c r="W151" i="2"/>
  <c r="W147" i="2"/>
  <c r="W184" i="2"/>
  <c r="W180" i="2"/>
  <c r="W176" i="2"/>
  <c r="W168" i="2"/>
  <c r="W164" i="2"/>
  <c r="N137" i="2"/>
  <c r="N7" i="2"/>
  <c r="N184" i="2"/>
  <c r="N179" i="2"/>
  <c r="N60" i="2"/>
  <c r="H132" i="2"/>
  <c r="D184" i="2"/>
  <c r="N53" i="2"/>
  <c r="N16" i="2"/>
  <c r="U132" i="2"/>
  <c r="N69" i="2"/>
  <c r="N79" i="2"/>
  <c r="C180" i="2"/>
  <c r="B181" i="2"/>
  <c r="B140" i="2"/>
  <c r="W157" i="2"/>
  <c r="C178" i="2"/>
  <c r="D180" i="2"/>
  <c r="C181" i="2"/>
  <c r="D157" i="2"/>
  <c r="N138" i="2"/>
  <c r="N112" i="2"/>
  <c r="N17" i="2"/>
  <c r="B132" i="2"/>
  <c r="N185" i="2"/>
  <c r="N15" i="2"/>
  <c r="N133" i="2"/>
  <c r="C164" i="2"/>
  <c r="C165" i="2"/>
  <c r="B166" i="2"/>
  <c r="D171" i="2"/>
  <c r="D172" i="2"/>
  <c r="N89" i="2"/>
  <c r="B175" i="2"/>
  <c r="N176" i="2"/>
  <c r="C158" i="2"/>
  <c r="D137" i="2"/>
  <c r="B142" i="2"/>
  <c r="N175" i="2"/>
  <c r="D161" i="2"/>
  <c r="W187" i="2"/>
  <c r="N174" i="2"/>
  <c r="N172" i="2"/>
  <c r="B162" i="2"/>
  <c r="D168" i="2"/>
  <c r="N85" i="2"/>
  <c r="N102" i="2"/>
  <c r="N105" i="2"/>
  <c r="N107" i="2"/>
  <c r="W183" i="2"/>
  <c r="W175" i="2"/>
  <c r="W171" i="2"/>
  <c r="N136" i="2"/>
  <c r="N169" i="2"/>
  <c r="C132" i="2"/>
  <c r="W186" i="2"/>
  <c r="N187" i="2"/>
  <c r="N34" i="2"/>
  <c r="C162" i="2"/>
  <c r="N86" i="2"/>
  <c r="C149" i="2"/>
  <c r="N45" i="2"/>
  <c r="N90" i="2"/>
  <c r="N64" i="2"/>
  <c r="N78" i="2"/>
  <c r="N48" i="2"/>
  <c r="C154" i="2"/>
  <c r="E154" i="2" s="1"/>
  <c r="B156" i="2"/>
  <c r="N9" i="2"/>
  <c r="N11" i="2"/>
  <c r="C138" i="2"/>
  <c r="N24" i="2"/>
  <c r="C142" i="2"/>
  <c r="N38" i="2"/>
  <c r="W182" i="2"/>
  <c r="W178" i="2"/>
  <c r="W170" i="2"/>
  <c r="W166" i="2"/>
  <c r="C186" i="2"/>
  <c r="C182" i="2"/>
  <c r="N62" i="2"/>
  <c r="N41" i="2"/>
  <c r="C156" i="2"/>
  <c r="B135" i="2"/>
  <c r="D136" i="2"/>
  <c r="B137" i="2"/>
  <c r="C140" i="2"/>
  <c r="N25" i="2"/>
  <c r="C148" i="2"/>
  <c r="E148" i="2" s="1"/>
  <c r="B133" i="2"/>
  <c r="S186" i="2"/>
  <c r="N28" i="2"/>
  <c r="B164" i="2"/>
  <c r="N92" i="2"/>
  <c r="N44" i="2"/>
  <c r="N67" i="2"/>
  <c r="D164" i="2"/>
  <c r="C166" i="2"/>
  <c r="B183" i="2"/>
  <c r="C150" i="2"/>
  <c r="W140" i="2"/>
  <c r="N143" i="2"/>
  <c r="N158" i="2"/>
  <c r="N149" i="2"/>
  <c r="N165" i="2"/>
  <c r="N177" i="2"/>
  <c r="N96" i="2"/>
  <c r="C173" i="2"/>
  <c r="W161" i="2"/>
  <c r="N163" i="2"/>
  <c r="N178" i="2"/>
  <c r="N108" i="2"/>
  <c r="N12" i="2"/>
  <c r="W174" i="2"/>
  <c r="T186" i="2"/>
  <c r="C169" i="2"/>
  <c r="E169" i="2" s="1"/>
  <c r="N87" i="2"/>
  <c r="N113" i="2"/>
  <c r="N63" i="2"/>
  <c r="N52" i="2"/>
  <c r="W160" i="2"/>
  <c r="N159" i="2"/>
  <c r="H186" i="2"/>
  <c r="B149" i="2"/>
  <c r="C183" i="2"/>
  <c r="W169" i="2"/>
  <c r="J132" i="2"/>
  <c r="N19" i="2"/>
  <c r="N83" i="2"/>
  <c r="N100" i="2"/>
  <c r="D135" i="2"/>
  <c r="C137" i="2"/>
  <c r="D146" i="2"/>
  <c r="N144" i="2"/>
  <c r="N155" i="2"/>
  <c r="C170" i="2"/>
  <c r="E159" i="2"/>
  <c r="C168" i="2"/>
  <c r="E168" i="2" s="1"/>
  <c r="N84" i="2"/>
  <c r="D182" i="2"/>
  <c r="W165" i="2"/>
  <c r="J186" i="2"/>
  <c r="N97" i="2"/>
  <c r="C155" i="2"/>
  <c r="C163" i="2"/>
  <c r="E163" i="2" s="1"/>
  <c r="N168" i="2"/>
  <c r="D170" i="2"/>
  <c r="B150" i="2"/>
  <c r="E150" i="2" s="1"/>
  <c r="D155" i="2"/>
  <c r="D133" i="2"/>
  <c r="B136" i="2"/>
  <c r="C141" i="2"/>
  <c r="D143" i="2"/>
  <c r="E143" i="2" s="1"/>
  <c r="W162" i="2"/>
  <c r="N135" i="2"/>
  <c r="N181" i="2"/>
  <c r="C195" i="1"/>
  <c r="D182" i="1"/>
  <c r="C183" i="1"/>
  <c r="D185" i="1"/>
  <c r="H143" i="1"/>
  <c r="W165" i="1"/>
  <c r="U143" i="1"/>
  <c r="S144" i="1"/>
  <c r="N44" i="1"/>
  <c r="C152" i="1"/>
  <c r="N23" i="1"/>
  <c r="B144" i="1"/>
  <c r="N11" i="1"/>
  <c r="N38" i="1"/>
  <c r="N120" i="1"/>
  <c r="S160" i="1"/>
  <c r="W171" i="1"/>
  <c r="U170" i="1"/>
  <c r="D172" i="1"/>
  <c r="D186" i="1"/>
  <c r="H142" i="1"/>
  <c r="H145" i="1"/>
  <c r="U148" i="1"/>
  <c r="U164" i="1"/>
  <c r="T144" i="1"/>
  <c r="S171" i="1"/>
  <c r="B165" i="1"/>
  <c r="N46" i="1"/>
  <c r="N55" i="1"/>
  <c r="L160" i="1"/>
  <c r="H156" i="1"/>
  <c r="H182" i="1"/>
  <c r="T154" i="1"/>
  <c r="N93" i="1"/>
  <c r="N69" i="1"/>
  <c r="C155" i="1"/>
  <c r="N13" i="1"/>
  <c r="B142" i="1"/>
  <c r="H94" i="34"/>
  <c r="J94" i="34"/>
  <c r="L94" i="34"/>
  <c r="J160" i="17"/>
  <c r="H160" i="17"/>
  <c r="N32" i="25"/>
  <c r="B146" i="25"/>
  <c r="B160" i="25"/>
  <c r="N60" i="25"/>
  <c r="N90" i="37"/>
  <c r="U166" i="21"/>
  <c r="S166" i="21"/>
  <c r="T166" i="21"/>
  <c r="E103" i="37"/>
  <c r="W144" i="16"/>
  <c r="W163" i="21"/>
  <c r="B176" i="18"/>
  <c r="E176" i="18" s="1"/>
  <c r="B164" i="25"/>
  <c r="J142" i="24"/>
  <c r="H142" i="24"/>
  <c r="E108" i="35"/>
  <c r="W120" i="16"/>
  <c r="D177" i="21"/>
  <c r="B148" i="18"/>
  <c r="L124" i="26"/>
  <c r="N48" i="24"/>
  <c r="B173" i="5"/>
  <c r="E173" i="5" s="1"/>
  <c r="N84" i="5"/>
  <c r="C201" i="13"/>
  <c r="N124" i="13"/>
  <c r="C168" i="13"/>
  <c r="N53" i="13"/>
  <c r="J98" i="36"/>
  <c r="N31" i="10"/>
  <c r="N20" i="10"/>
  <c r="N15" i="10"/>
  <c r="T190" i="10"/>
  <c r="N126" i="35"/>
  <c r="N78" i="38"/>
  <c r="W137" i="16"/>
  <c r="N99" i="22"/>
  <c r="B135" i="21"/>
  <c r="J158" i="21"/>
  <c r="H159" i="21"/>
  <c r="N159" i="21" s="1"/>
  <c r="W176" i="18"/>
  <c r="W160" i="18"/>
  <c r="W191" i="14"/>
  <c r="N150" i="14"/>
  <c r="N168" i="14"/>
  <c r="N184" i="14"/>
  <c r="N178" i="14"/>
  <c r="E163" i="14"/>
  <c r="N109" i="14"/>
  <c r="E174" i="15"/>
  <c r="W70" i="30"/>
  <c r="W175" i="22"/>
  <c r="W133" i="16"/>
  <c r="E146" i="26"/>
  <c r="J124" i="26"/>
  <c r="E157" i="12"/>
  <c r="N154" i="11"/>
  <c r="E159" i="17"/>
  <c r="N56" i="25"/>
  <c r="U155" i="25"/>
  <c r="C186" i="7"/>
  <c r="U180" i="15"/>
  <c r="S180" i="15"/>
  <c r="D180" i="15"/>
  <c r="T180" i="15"/>
  <c r="J180" i="15"/>
  <c r="H180" i="15"/>
  <c r="C180" i="15"/>
  <c r="L180" i="15"/>
  <c r="N95" i="15"/>
  <c r="D190" i="15"/>
  <c r="T193" i="15"/>
  <c r="U193" i="15"/>
  <c r="S193" i="15"/>
  <c r="N78" i="5"/>
  <c r="C170" i="5"/>
  <c r="D183" i="5"/>
  <c r="D142" i="5"/>
  <c r="N21" i="5"/>
  <c r="D145" i="5"/>
  <c r="E145" i="5" s="1"/>
  <c r="H188" i="5"/>
  <c r="L188" i="5"/>
  <c r="C150" i="7"/>
  <c r="N39" i="7"/>
  <c r="N42" i="7"/>
  <c r="B151" i="7"/>
  <c r="J171" i="7"/>
  <c r="N171" i="7" s="1"/>
  <c r="W171" i="7"/>
  <c r="B162" i="15"/>
  <c r="E162" i="15" s="1"/>
  <c r="N35" i="15"/>
  <c r="J162" i="14"/>
  <c r="L162" i="14"/>
  <c r="H162" i="14"/>
  <c r="N11" i="30"/>
  <c r="B69" i="30"/>
  <c r="E163" i="5"/>
  <c r="U148" i="19"/>
  <c r="T148" i="19"/>
  <c r="C148" i="19"/>
  <c r="J162" i="17"/>
  <c r="H162" i="17"/>
  <c r="N30" i="25"/>
  <c r="B145" i="25"/>
  <c r="N50" i="24"/>
  <c r="C155" i="24"/>
  <c r="W132" i="2"/>
  <c r="N182" i="18"/>
  <c r="H163" i="25"/>
  <c r="H181" i="13"/>
  <c r="J181" i="13"/>
  <c r="D181" i="13"/>
  <c r="T181" i="13"/>
  <c r="W181" i="13" s="1"/>
  <c r="W175" i="5"/>
  <c r="U175" i="5"/>
  <c r="J175" i="5"/>
  <c r="T175" i="5"/>
  <c r="S175" i="5"/>
  <c r="J102" i="37"/>
  <c r="L102" i="37"/>
  <c r="C194" i="9"/>
  <c r="D194" i="9"/>
  <c r="J194" i="9"/>
  <c r="H194" i="9"/>
  <c r="U194" i="9"/>
  <c r="L194" i="9"/>
  <c r="L154" i="17"/>
  <c r="J154" i="17"/>
  <c r="L156" i="17"/>
  <c r="H156" i="17"/>
  <c r="N57" i="17"/>
  <c r="B158" i="17"/>
  <c r="L142" i="25"/>
  <c r="D142" i="25"/>
  <c r="C142" i="25"/>
  <c r="U142" i="25"/>
  <c r="T142" i="25"/>
  <c r="S142" i="25"/>
  <c r="B172" i="21"/>
  <c r="U177" i="21"/>
  <c r="B194" i="9"/>
  <c r="L181" i="13"/>
  <c r="L162" i="17"/>
  <c r="J156" i="25"/>
  <c r="T174" i="5"/>
  <c r="S174" i="5"/>
  <c r="H174" i="5"/>
  <c r="D174" i="5"/>
  <c r="W174" i="5"/>
  <c r="D200" i="13"/>
  <c r="L79" i="30"/>
  <c r="H79" i="30"/>
  <c r="N101" i="9"/>
  <c r="B193" i="9"/>
  <c r="B151" i="17"/>
  <c r="N41" i="17"/>
  <c r="J130" i="26"/>
  <c r="L130" i="26"/>
  <c r="J141" i="24"/>
  <c r="H141" i="24"/>
  <c r="H154" i="24"/>
  <c r="L154" i="24"/>
  <c r="J154" i="24"/>
  <c r="W108" i="35"/>
  <c r="T156" i="12"/>
  <c r="E186" i="23"/>
  <c r="N107" i="7"/>
  <c r="D175" i="5"/>
  <c r="T183" i="5"/>
  <c r="S183" i="5"/>
  <c r="C200" i="13"/>
  <c r="N54" i="11"/>
  <c r="B162" i="11"/>
  <c r="E162" i="11" s="1"/>
  <c r="D178" i="11"/>
  <c r="N85" i="11"/>
  <c r="N30" i="9"/>
  <c r="C160" i="9"/>
  <c r="E160" i="9" s="1"/>
  <c r="H160" i="21"/>
  <c r="L160" i="21"/>
  <c r="H98" i="36"/>
  <c r="N29" i="10"/>
  <c r="B179" i="10"/>
  <c r="N66" i="2"/>
  <c r="N81" i="2"/>
  <c r="E115" i="35"/>
  <c r="N117" i="35"/>
  <c r="B156" i="16"/>
  <c r="W141" i="16"/>
  <c r="E125" i="16"/>
  <c r="E131" i="16"/>
  <c r="N182" i="22"/>
  <c r="N158" i="22"/>
  <c r="N90" i="21"/>
  <c r="L158" i="21"/>
  <c r="B166" i="21"/>
  <c r="C177" i="21"/>
  <c r="L177" i="21"/>
  <c r="N76" i="21"/>
  <c r="N183" i="21"/>
  <c r="U148" i="18"/>
  <c r="J184" i="18"/>
  <c r="D148" i="18"/>
  <c r="N145" i="14"/>
  <c r="N144" i="14"/>
  <c r="C184" i="5"/>
  <c r="N86" i="13"/>
  <c r="N119" i="22"/>
  <c r="N177" i="9"/>
  <c r="W157" i="9"/>
  <c r="W146" i="26"/>
  <c r="W137" i="21"/>
  <c r="B160" i="17"/>
  <c r="N139" i="24"/>
  <c r="B173" i="14"/>
  <c r="E173" i="14" s="1"/>
  <c r="N77" i="15"/>
  <c r="C181" i="15"/>
  <c r="B185" i="15"/>
  <c r="D189" i="15"/>
  <c r="B118" i="6"/>
  <c r="U166" i="5"/>
  <c r="W166" i="5"/>
  <c r="L166" i="5"/>
  <c r="S166" i="5"/>
  <c r="H166" i="5"/>
  <c r="D169" i="5"/>
  <c r="N79" i="5"/>
  <c r="B172" i="2"/>
  <c r="N106" i="3"/>
  <c r="H153" i="3"/>
  <c r="W153" i="3"/>
  <c r="N48" i="5"/>
  <c r="B155" i="5"/>
  <c r="T145" i="5"/>
  <c r="S145" i="5"/>
  <c r="U145" i="5"/>
  <c r="D157" i="7"/>
  <c r="N54" i="7"/>
  <c r="C159" i="7"/>
  <c r="N57" i="7"/>
  <c r="D147" i="7"/>
  <c r="N34" i="7"/>
  <c r="E170" i="15"/>
  <c r="B167" i="15"/>
  <c r="E167" i="15" s="1"/>
  <c r="N47" i="15"/>
  <c r="N44" i="15"/>
  <c r="D166" i="15"/>
  <c r="B163" i="15"/>
  <c r="N37" i="15"/>
  <c r="H167" i="15"/>
  <c r="L167" i="15"/>
  <c r="J167" i="15"/>
  <c r="L163" i="15"/>
  <c r="H163" i="15"/>
  <c r="J163" i="15"/>
  <c r="L160" i="15"/>
  <c r="J160" i="15"/>
  <c r="H156" i="15"/>
  <c r="J156" i="15"/>
  <c r="L185" i="14"/>
  <c r="N185" i="14" s="1"/>
  <c r="J181" i="14"/>
  <c r="N181" i="14" s="1"/>
  <c r="J177" i="14"/>
  <c r="H177" i="14"/>
  <c r="L169" i="14"/>
  <c r="H169" i="14"/>
  <c r="J165" i="14"/>
  <c r="H158" i="14"/>
  <c r="N158" i="14" s="1"/>
  <c r="N11" i="31"/>
  <c r="C73" i="31"/>
  <c r="N164" i="22"/>
  <c r="U161" i="17"/>
  <c r="S161" i="17"/>
  <c r="B161" i="17"/>
  <c r="H161" i="17"/>
  <c r="J186" i="24"/>
  <c r="H186" i="24"/>
  <c r="H156" i="25"/>
  <c r="H200" i="13"/>
  <c r="J200" i="13"/>
  <c r="T200" i="13"/>
  <c r="S200" i="13"/>
  <c r="B138" i="12"/>
  <c r="N12" i="12"/>
  <c r="L156" i="12"/>
  <c r="J156" i="12"/>
  <c r="H156" i="12"/>
  <c r="U156" i="12"/>
  <c r="B156" i="12"/>
  <c r="D156" i="12"/>
  <c r="D159" i="12"/>
  <c r="N54" i="12"/>
  <c r="L195" i="9"/>
  <c r="H195" i="9"/>
  <c r="C180" i="19"/>
  <c r="N87" i="19"/>
  <c r="D178" i="18"/>
  <c r="E178" i="18" s="1"/>
  <c r="U178" i="18"/>
  <c r="S178" i="18"/>
  <c r="H178" i="18"/>
  <c r="N178" i="18" s="1"/>
  <c r="L155" i="17"/>
  <c r="J155" i="17"/>
  <c r="H129" i="26"/>
  <c r="J129" i="26"/>
  <c r="J143" i="25"/>
  <c r="H143" i="25"/>
  <c r="L183" i="24"/>
  <c r="J183" i="24"/>
  <c r="N183" i="24" s="1"/>
  <c r="M8" i="35"/>
  <c r="D107" i="35" s="1"/>
  <c r="E107" i="35" s="1"/>
  <c r="N93" i="32"/>
  <c r="W143" i="16"/>
  <c r="D166" i="21"/>
  <c r="N173" i="14"/>
  <c r="B181" i="13"/>
  <c r="D182" i="13"/>
  <c r="N84" i="13"/>
  <c r="C172" i="5"/>
  <c r="E172" i="5" s="1"/>
  <c r="N83" i="5"/>
  <c r="N42" i="34"/>
  <c r="C90" i="34"/>
  <c r="D162" i="9"/>
  <c r="N33" i="9"/>
  <c r="B184" i="9"/>
  <c r="N80" i="9"/>
  <c r="B150" i="17"/>
  <c r="E150" i="17" s="1"/>
  <c r="N39" i="17"/>
  <c r="C128" i="26"/>
  <c r="N34" i="26"/>
  <c r="C138" i="24"/>
  <c r="E138" i="24" s="1"/>
  <c r="N16" i="24"/>
  <c r="C141" i="24"/>
  <c r="E141" i="24" s="1"/>
  <c r="N22" i="24"/>
  <c r="H144" i="24"/>
  <c r="J144" i="24"/>
  <c r="N105" i="24"/>
  <c r="B182" i="24"/>
  <c r="N114" i="35"/>
  <c r="S148" i="18"/>
  <c r="W173" i="14"/>
  <c r="N188" i="5"/>
  <c r="L148" i="19"/>
  <c r="H150" i="19"/>
  <c r="J180" i="11"/>
  <c r="L180" i="11"/>
  <c r="J159" i="9"/>
  <c r="L159" i="9"/>
  <c r="H159" i="9"/>
  <c r="H191" i="19"/>
  <c r="L191" i="19"/>
  <c r="J191" i="19"/>
  <c r="D155" i="23"/>
  <c r="N47" i="23"/>
  <c r="N14" i="13"/>
  <c r="C152" i="13"/>
  <c r="J188" i="25"/>
  <c r="L188" i="25"/>
  <c r="B195" i="10"/>
  <c r="J162" i="10"/>
  <c r="C195" i="10"/>
  <c r="S195" i="10"/>
  <c r="S190" i="10"/>
  <c r="W113" i="35"/>
  <c r="N108" i="35"/>
  <c r="E154" i="16"/>
  <c r="E141" i="16"/>
  <c r="E133" i="16"/>
  <c r="D179" i="22"/>
  <c r="C168" i="21"/>
  <c r="J177" i="21"/>
  <c r="N92" i="21"/>
  <c r="L177" i="18"/>
  <c r="H160" i="18"/>
  <c r="N160" i="18" s="1"/>
  <c r="L148" i="18"/>
  <c r="N148" i="18" s="1"/>
  <c r="L176" i="18"/>
  <c r="N183" i="18"/>
  <c r="N115" i="14"/>
  <c r="U183" i="5"/>
  <c r="H73" i="30"/>
  <c r="N183" i="9"/>
  <c r="S194" i="9"/>
  <c r="N140" i="26"/>
  <c r="L125" i="26"/>
  <c r="L161" i="17"/>
  <c r="N101" i="8"/>
  <c r="B180" i="11"/>
  <c r="E180" i="11" s="1"/>
  <c r="J160" i="21"/>
  <c r="N72" i="19"/>
  <c r="J147" i="17"/>
  <c r="H147" i="17"/>
  <c r="C161" i="17"/>
  <c r="L148" i="17"/>
  <c r="H148" i="17"/>
  <c r="T160" i="17"/>
  <c r="J143" i="17"/>
  <c r="H143" i="17"/>
  <c r="L143" i="17"/>
  <c r="J150" i="25"/>
  <c r="L150" i="25"/>
  <c r="H150" i="25"/>
  <c r="H185" i="24"/>
  <c r="N74" i="14"/>
  <c r="C169" i="14"/>
  <c r="E169" i="14" s="1"/>
  <c r="N80" i="2"/>
  <c r="N115" i="13"/>
  <c r="N124" i="15"/>
  <c r="B202" i="15"/>
  <c r="E202" i="15" s="1"/>
  <c r="S167" i="1"/>
  <c r="H167" i="1"/>
  <c r="N167" i="1" s="1"/>
  <c r="B167" i="1"/>
  <c r="N51" i="2"/>
  <c r="C145" i="2"/>
  <c r="N32" i="2"/>
  <c r="C157" i="3"/>
  <c r="N36" i="3"/>
  <c r="W187" i="5"/>
  <c r="J187" i="5"/>
  <c r="L187" i="5"/>
  <c r="H187" i="5"/>
  <c r="W183" i="5"/>
  <c r="H183" i="5"/>
  <c r="J183" i="5"/>
  <c r="N30" i="7"/>
  <c r="B145" i="7"/>
  <c r="N11" i="7"/>
  <c r="B136" i="7"/>
  <c r="E138" i="7"/>
  <c r="J174" i="7"/>
  <c r="W174" i="7"/>
  <c r="B168" i="8"/>
  <c r="N60" i="8"/>
  <c r="N28" i="8"/>
  <c r="B154" i="8"/>
  <c r="E154" i="8" s="1"/>
  <c r="D155" i="8"/>
  <c r="N31" i="8"/>
  <c r="N60" i="15"/>
  <c r="N8" i="15"/>
  <c r="C150" i="15"/>
  <c r="L200" i="15"/>
  <c r="H200" i="15"/>
  <c r="H196" i="15"/>
  <c r="J196" i="15"/>
  <c r="C146" i="14"/>
  <c r="N26" i="14"/>
  <c r="D144" i="14"/>
  <c r="E144" i="14" s="1"/>
  <c r="N23" i="14"/>
  <c r="C142" i="14"/>
  <c r="E142" i="14" s="1"/>
  <c r="N18" i="14"/>
  <c r="C139" i="14"/>
  <c r="E139" i="14" s="1"/>
  <c r="N10" i="14"/>
  <c r="N141" i="2"/>
  <c r="N175" i="5"/>
  <c r="N64" i="13"/>
  <c r="C174" i="13"/>
  <c r="H165" i="12"/>
  <c r="T165" i="12"/>
  <c r="L165" i="12"/>
  <c r="J165" i="12"/>
  <c r="D165" i="12"/>
  <c r="C155" i="25"/>
  <c r="H155" i="25"/>
  <c r="T155" i="25"/>
  <c r="L155" i="25"/>
  <c r="J155" i="25"/>
  <c r="S155" i="25"/>
  <c r="U163" i="25"/>
  <c r="T163" i="25"/>
  <c r="S163" i="25"/>
  <c r="D163" i="25"/>
  <c r="L163" i="25"/>
  <c r="H167" i="17"/>
  <c r="D155" i="25"/>
  <c r="C164" i="7"/>
  <c r="E164" i="7" s="1"/>
  <c r="L120" i="15"/>
  <c r="C201" i="15" s="1"/>
  <c r="B201" i="15"/>
  <c r="N102" i="9"/>
  <c r="C193" i="9"/>
  <c r="N8" i="21"/>
  <c r="B133" i="21"/>
  <c r="E133" i="21" s="1"/>
  <c r="T172" i="21"/>
  <c r="U172" i="21"/>
  <c r="L172" i="21"/>
  <c r="J172" i="21"/>
  <c r="D144" i="25"/>
  <c r="E144" i="25" s="1"/>
  <c r="N28" i="25"/>
  <c r="N56" i="2"/>
  <c r="J174" i="21"/>
  <c r="N90" i="18"/>
  <c r="N147" i="14"/>
  <c r="D152" i="19"/>
  <c r="E152" i="19" s="1"/>
  <c r="W178" i="22"/>
  <c r="L150" i="19"/>
  <c r="L167" i="17"/>
  <c r="J163" i="25"/>
  <c r="N118" i="13"/>
  <c r="C198" i="13"/>
  <c r="H184" i="9"/>
  <c r="J184" i="9"/>
  <c r="L151" i="17"/>
  <c r="H151" i="17"/>
  <c r="J151" i="17"/>
  <c r="L143" i="24"/>
  <c r="J143" i="24"/>
  <c r="H143" i="24"/>
  <c r="N109" i="2"/>
  <c r="N126" i="16"/>
  <c r="N8" i="18"/>
  <c r="N122" i="15"/>
  <c r="E178" i="22"/>
  <c r="B142" i="25"/>
  <c r="N166" i="2"/>
  <c r="N78" i="13"/>
  <c r="N25" i="9"/>
  <c r="C158" i="9"/>
  <c r="N47" i="18"/>
  <c r="C158" i="18"/>
  <c r="H181" i="23"/>
  <c r="L181" i="23"/>
  <c r="J181" i="23"/>
  <c r="N181" i="23" s="1"/>
  <c r="D171" i="13"/>
  <c r="N58" i="13"/>
  <c r="J209" i="10"/>
  <c r="H209" i="10"/>
  <c r="J120" i="36"/>
  <c r="L120" i="36"/>
  <c r="H120" i="36"/>
  <c r="H162" i="10"/>
  <c r="N62" i="10"/>
  <c r="J195" i="10"/>
  <c r="N167" i="7"/>
  <c r="D165" i="7"/>
  <c r="N174" i="7"/>
  <c r="N155" i="3"/>
  <c r="W146" i="16"/>
  <c r="W135" i="16"/>
  <c r="E124" i="16"/>
  <c r="N186" i="22"/>
  <c r="S177" i="21"/>
  <c r="H177" i="21"/>
  <c r="N71" i="21"/>
  <c r="L166" i="21"/>
  <c r="N169" i="18"/>
  <c r="T148" i="18"/>
  <c r="N183" i="14"/>
  <c r="E140" i="14"/>
  <c r="N140" i="5"/>
  <c r="L183" i="5"/>
  <c r="N137" i="5"/>
  <c r="N61" i="13"/>
  <c r="T194" i="9"/>
  <c r="W182" i="9"/>
  <c r="L184" i="9"/>
  <c r="E168" i="9"/>
  <c r="N186" i="9"/>
  <c r="B130" i="26"/>
  <c r="N146" i="26"/>
  <c r="S156" i="12"/>
  <c r="W156" i="12" s="1"/>
  <c r="N189" i="11"/>
  <c r="N187" i="11"/>
  <c r="T177" i="21"/>
  <c r="T161" i="17"/>
  <c r="D161" i="17"/>
  <c r="N141" i="25"/>
  <c r="J185" i="24"/>
  <c r="N110" i="24"/>
  <c r="N175" i="23"/>
  <c r="H187" i="23"/>
  <c r="N187" i="23" s="1"/>
  <c r="D162" i="2"/>
  <c r="C189" i="13"/>
  <c r="S193" i="13"/>
  <c r="T193" i="13"/>
  <c r="U193" i="13"/>
  <c r="H193" i="13"/>
  <c r="N73" i="14"/>
  <c r="N75" i="14"/>
  <c r="N77" i="14"/>
  <c r="T172" i="14"/>
  <c r="S172" i="14"/>
  <c r="W172" i="14" s="1"/>
  <c r="H172" i="14"/>
  <c r="N172" i="14" s="1"/>
  <c r="N89" i="14"/>
  <c r="U179" i="14"/>
  <c r="W179" i="14" s="1"/>
  <c r="H179" i="14"/>
  <c r="J179" i="14"/>
  <c r="N179" i="14" s="1"/>
  <c r="N76" i="2"/>
  <c r="B167" i="2"/>
  <c r="D189" i="14"/>
  <c r="N114" i="14"/>
  <c r="D190" i="14"/>
  <c r="E190" i="14" s="1"/>
  <c r="B150" i="1"/>
  <c r="N24" i="1"/>
  <c r="D149" i="2"/>
  <c r="N40" i="2"/>
  <c r="N14" i="2"/>
  <c r="N30" i="2"/>
  <c r="B144" i="2"/>
  <c r="W167" i="2"/>
  <c r="W163" i="2"/>
  <c r="H193" i="3"/>
  <c r="H145" i="5"/>
  <c r="N145" i="5" s="1"/>
  <c r="W142" i="5"/>
  <c r="H142" i="5"/>
  <c r="N142" i="5" s="1"/>
  <c r="H138" i="5"/>
  <c r="L138" i="5"/>
  <c r="W138" i="5"/>
  <c r="J138" i="5"/>
  <c r="N189" i="18"/>
  <c r="E188" i="12"/>
  <c r="W191" i="15"/>
  <c r="W149" i="15"/>
  <c r="N158" i="3"/>
  <c r="E148" i="5"/>
  <c r="N165" i="5"/>
  <c r="N152" i="9"/>
  <c r="N144" i="26"/>
  <c r="E135" i="26"/>
  <c r="E126" i="26"/>
  <c r="W162" i="11"/>
  <c r="H149" i="19"/>
  <c r="J149" i="19"/>
  <c r="W179" i="19"/>
  <c r="E174" i="25"/>
  <c r="N175" i="24"/>
  <c r="N165" i="23"/>
  <c r="N153" i="23"/>
  <c r="N167" i="2"/>
  <c r="N89" i="13"/>
  <c r="C187" i="13"/>
  <c r="N95" i="13"/>
  <c r="D194" i="13"/>
  <c r="C176" i="14"/>
  <c r="N91" i="14"/>
  <c r="D177" i="8"/>
  <c r="C178" i="8"/>
  <c r="N83" i="8"/>
  <c r="N85" i="8"/>
  <c r="N89" i="8"/>
  <c r="C171" i="7"/>
  <c r="E171" i="7" s="1"/>
  <c r="N91" i="7"/>
  <c r="C177" i="3"/>
  <c r="N85" i="3"/>
  <c r="B180" i="3"/>
  <c r="N93" i="3"/>
  <c r="N97" i="3"/>
  <c r="B186" i="3"/>
  <c r="B183" i="14"/>
  <c r="E183" i="14" s="1"/>
  <c r="N103" i="14"/>
  <c r="N114" i="13"/>
  <c r="N22" i="2"/>
  <c r="L186" i="12"/>
  <c r="J186" i="12"/>
  <c r="N41" i="11"/>
  <c r="C156" i="11"/>
  <c r="N41" i="9"/>
  <c r="B165" i="9"/>
  <c r="S166" i="9"/>
  <c r="W166" i="9" s="1"/>
  <c r="C166" i="9"/>
  <c r="J167" i="9"/>
  <c r="H167" i="9"/>
  <c r="E150" i="14"/>
  <c r="N163" i="14"/>
  <c r="N168" i="5"/>
  <c r="N171" i="5"/>
  <c r="E171" i="5"/>
  <c r="W101" i="37"/>
  <c r="E153" i="9"/>
  <c r="W172" i="9"/>
  <c r="N177" i="11"/>
  <c r="N156" i="11"/>
  <c r="W149" i="19"/>
  <c r="H140" i="17"/>
  <c r="L140" i="17"/>
  <c r="W147" i="17"/>
  <c r="W176" i="17"/>
  <c r="N146" i="24"/>
  <c r="B184" i="13"/>
  <c r="N88" i="13"/>
  <c r="J191" i="13"/>
  <c r="H191" i="13"/>
  <c r="S191" i="13"/>
  <c r="C169" i="7"/>
  <c r="B170" i="5"/>
  <c r="N81" i="3"/>
  <c r="N82" i="3"/>
  <c r="N95" i="3"/>
  <c r="C190" i="8"/>
  <c r="B191" i="1"/>
  <c r="N114" i="3"/>
  <c r="C187" i="5"/>
  <c r="N20" i="2"/>
  <c r="B139" i="2"/>
  <c r="B147" i="2"/>
  <c r="N36" i="2"/>
  <c r="N37" i="11"/>
  <c r="D154" i="11"/>
  <c r="N69" i="11"/>
  <c r="D170" i="11"/>
  <c r="E170" i="11" s="1"/>
  <c r="J171" i="11"/>
  <c r="H171" i="11"/>
  <c r="N84" i="11"/>
  <c r="B177" i="11"/>
  <c r="H178" i="11"/>
  <c r="N178" i="11" s="1"/>
  <c r="B178" i="11"/>
  <c r="S200" i="10"/>
  <c r="J200" i="10"/>
  <c r="N20" i="9"/>
  <c r="C155" i="9"/>
  <c r="E153" i="14"/>
  <c r="N151" i="5"/>
  <c r="N177" i="5"/>
  <c r="W154" i="12"/>
  <c r="W75" i="30"/>
  <c r="E176" i="9"/>
  <c r="W147" i="26"/>
  <c r="W140" i="26"/>
  <c r="W128" i="26"/>
  <c r="N167" i="11"/>
  <c r="L153" i="19"/>
  <c r="E147" i="19"/>
  <c r="W187" i="19"/>
  <c r="J158" i="19"/>
  <c r="N158" i="19" s="1"/>
  <c r="W145" i="18"/>
  <c r="L160" i="17"/>
  <c r="W175" i="24"/>
  <c r="C177" i="8"/>
  <c r="W172" i="7"/>
  <c r="N94" i="7"/>
  <c r="N77" i="5"/>
  <c r="T170" i="5"/>
  <c r="W170" i="5"/>
  <c r="B175" i="5"/>
  <c r="N77" i="3"/>
  <c r="N82" i="2"/>
  <c r="B170" i="2"/>
  <c r="N88" i="2"/>
  <c r="N120" i="13"/>
  <c r="B88" i="31"/>
  <c r="N42" i="31"/>
  <c r="B139" i="12"/>
  <c r="E159" i="5"/>
  <c r="N150" i="16"/>
  <c r="E181" i="23"/>
  <c r="E199" i="9"/>
  <c r="N126" i="26"/>
  <c r="E127" i="26"/>
  <c r="N145" i="11"/>
  <c r="W182" i="11"/>
  <c r="W178" i="11"/>
  <c r="E153" i="19"/>
  <c r="N190" i="19"/>
  <c r="H146" i="17"/>
  <c r="J146" i="17"/>
  <c r="N136" i="24"/>
  <c r="N81" i="13"/>
  <c r="E167" i="14"/>
  <c r="N98" i="14"/>
  <c r="B193" i="15"/>
  <c r="E193" i="15" s="1"/>
  <c r="B174" i="8"/>
  <c r="W178" i="1"/>
  <c r="N113" i="3"/>
  <c r="N111" i="5"/>
  <c r="D186" i="5"/>
  <c r="E186" i="5" s="1"/>
  <c r="U166" i="1"/>
  <c r="S166" i="1"/>
  <c r="T150" i="1"/>
  <c r="S150" i="1"/>
  <c r="U150" i="1"/>
  <c r="N48" i="1"/>
  <c r="N18" i="2"/>
  <c r="E167" i="8"/>
  <c r="B174" i="13"/>
  <c r="N65" i="13"/>
  <c r="B85" i="28"/>
  <c r="N16" i="28"/>
  <c r="N26" i="31"/>
  <c r="L91" i="29"/>
  <c r="H83" i="29"/>
  <c r="N23" i="12"/>
  <c r="N21" i="11"/>
  <c r="B146" i="11"/>
  <c r="E146" i="11" s="1"/>
  <c r="N136" i="17"/>
  <c r="W181" i="18"/>
  <c r="E173" i="8"/>
  <c r="N149" i="11"/>
  <c r="E185" i="19"/>
  <c r="W169" i="17"/>
  <c r="W142" i="17"/>
  <c r="W138" i="26"/>
  <c r="N185" i="25"/>
  <c r="W162" i="25"/>
  <c r="W165" i="25"/>
  <c r="W172" i="24"/>
  <c r="N167" i="24"/>
  <c r="N159" i="23"/>
  <c r="B177" i="14"/>
  <c r="E177" i="14" s="1"/>
  <c r="D187" i="15"/>
  <c r="C190" i="15"/>
  <c r="N79" i="8"/>
  <c r="B181" i="8"/>
  <c r="D178" i="7"/>
  <c r="D177" i="5"/>
  <c r="E177" i="5" s="1"/>
  <c r="D178" i="5"/>
  <c r="E178" i="5" s="1"/>
  <c r="N96" i="5"/>
  <c r="N70" i="3"/>
  <c r="N73" i="3"/>
  <c r="C174" i="3"/>
  <c r="E174" i="3" s="1"/>
  <c r="T176" i="3"/>
  <c r="N88" i="3"/>
  <c r="N101" i="1"/>
  <c r="N105" i="1"/>
  <c r="N180" i="2"/>
  <c r="N105" i="7"/>
  <c r="C193" i="3"/>
  <c r="C195" i="8"/>
  <c r="D187" i="5"/>
  <c r="N119" i="13"/>
  <c r="B160" i="1"/>
  <c r="C153" i="2"/>
  <c r="B155" i="3"/>
  <c r="D156" i="3"/>
  <c r="N51" i="3"/>
  <c r="J148" i="1"/>
  <c r="L196" i="15"/>
  <c r="N145" i="2"/>
  <c r="S181" i="9"/>
  <c r="W181" i="9" s="1"/>
  <c r="L187" i="9"/>
  <c r="N187" i="9" s="1"/>
  <c r="N98" i="9"/>
  <c r="B191" i="9"/>
  <c r="C151" i="21"/>
  <c r="N44" i="21"/>
  <c r="N40" i="16"/>
  <c r="E156" i="11"/>
  <c r="W167" i="11"/>
  <c r="W160" i="9"/>
  <c r="N182" i="19"/>
  <c r="N145" i="17"/>
  <c r="N183" i="25"/>
  <c r="N165" i="25"/>
  <c r="W134" i="25"/>
  <c r="W152" i="25"/>
  <c r="N169" i="23"/>
  <c r="N145" i="23"/>
  <c r="N110" i="13"/>
  <c r="C186" i="13"/>
  <c r="B176" i="14"/>
  <c r="D176" i="15"/>
  <c r="N72" i="8"/>
  <c r="D181" i="8"/>
  <c r="D183" i="8"/>
  <c r="D184" i="8"/>
  <c r="C187" i="8"/>
  <c r="D169" i="7"/>
  <c r="W170" i="7"/>
  <c r="N89" i="7"/>
  <c r="N98" i="7"/>
  <c r="D169" i="3"/>
  <c r="N76" i="3"/>
  <c r="D178" i="3"/>
  <c r="N73" i="2"/>
  <c r="C167" i="2"/>
  <c r="N95" i="2"/>
  <c r="N100" i="7"/>
  <c r="D195" i="13"/>
  <c r="N103" i="1"/>
  <c r="N100" i="1"/>
  <c r="B179" i="2"/>
  <c r="C197" i="15"/>
  <c r="D197" i="13"/>
  <c r="D189" i="1"/>
  <c r="D141" i="1"/>
  <c r="B141" i="2"/>
  <c r="N43" i="8"/>
  <c r="J150" i="15"/>
  <c r="N26" i="28"/>
  <c r="N34" i="28"/>
  <c r="N20" i="32"/>
  <c r="J114" i="36"/>
  <c r="L114" i="36"/>
  <c r="N98" i="21"/>
  <c r="B178" i="21"/>
  <c r="B148" i="19"/>
  <c r="C171" i="18"/>
  <c r="N73" i="18"/>
  <c r="B208" i="10"/>
  <c r="N131" i="10"/>
  <c r="N39" i="30"/>
  <c r="J103" i="29"/>
  <c r="H103" i="29"/>
  <c r="L103" i="29"/>
  <c r="N141" i="11"/>
  <c r="W174" i="11"/>
  <c r="W181" i="11"/>
  <c r="E167" i="11"/>
  <c r="N147" i="11"/>
  <c r="W167" i="19"/>
  <c r="J161" i="17"/>
  <c r="W165" i="17"/>
  <c r="N177" i="25"/>
  <c r="W170" i="25"/>
  <c r="E186" i="25"/>
  <c r="W146" i="23"/>
  <c r="N182" i="23"/>
  <c r="W187" i="22"/>
  <c r="C181" i="13"/>
  <c r="N91" i="13"/>
  <c r="N106" i="13"/>
  <c r="D175" i="8"/>
  <c r="N76" i="8"/>
  <c r="C166" i="7"/>
  <c r="C174" i="7"/>
  <c r="N95" i="7"/>
  <c r="N67" i="5"/>
  <c r="N72" i="5"/>
  <c r="N80" i="5"/>
  <c r="C174" i="5"/>
  <c r="C175" i="5"/>
  <c r="B170" i="3"/>
  <c r="N65" i="2"/>
  <c r="N77" i="2"/>
  <c r="N97" i="1"/>
  <c r="C195" i="13"/>
  <c r="C197" i="13"/>
  <c r="B183" i="7"/>
  <c r="B192" i="3"/>
  <c r="D185" i="5"/>
  <c r="B199" i="15"/>
  <c r="N116" i="15"/>
  <c r="N55" i="2"/>
  <c r="B145" i="2"/>
  <c r="C163" i="3"/>
  <c r="C167" i="3"/>
  <c r="C145" i="3"/>
  <c r="H143" i="3"/>
  <c r="N29" i="28"/>
  <c r="N21" i="34"/>
  <c r="B92" i="34"/>
  <c r="N48" i="34"/>
  <c r="N9" i="36"/>
  <c r="C186" i="11"/>
  <c r="N33" i="19"/>
  <c r="C129" i="16"/>
  <c r="E129" i="16" s="1"/>
  <c r="S129" i="16"/>
  <c r="W129" i="16" s="1"/>
  <c r="N165" i="11"/>
  <c r="N144" i="11"/>
  <c r="W175" i="11"/>
  <c r="W182" i="19"/>
  <c r="W157" i="19"/>
  <c r="W145" i="19"/>
  <c r="W152" i="17"/>
  <c r="N149" i="25"/>
  <c r="E156" i="24"/>
  <c r="N138" i="24"/>
  <c r="E166" i="23"/>
  <c r="N72" i="13"/>
  <c r="C180" i="13"/>
  <c r="D187" i="13"/>
  <c r="B194" i="13"/>
  <c r="N101" i="14"/>
  <c r="N78" i="15"/>
  <c r="C186" i="15"/>
  <c r="B175" i="8"/>
  <c r="E175" i="8" s="1"/>
  <c r="N67" i="7"/>
  <c r="N84" i="7"/>
  <c r="N90" i="7"/>
  <c r="B169" i="3"/>
  <c r="C170" i="3"/>
  <c r="E170" i="3" s="1"/>
  <c r="D171" i="3"/>
  <c r="D186" i="3"/>
  <c r="C187" i="3"/>
  <c r="N71" i="2"/>
  <c r="C171" i="2"/>
  <c r="N91" i="2"/>
  <c r="D181" i="1"/>
  <c r="C182" i="1"/>
  <c r="D190" i="8"/>
  <c r="N98" i="2"/>
  <c r="B189" i="3"/>
  <c r="B185" i="7"/>
  <c r="E185" i="7" s="1"/>
  <c r="N113" i="14"/>
  <c r="B200" i="13"/>
  <c r="N112" i="5"/>
  <c r="N118" i="3"/>
  <c r="C154" i="1"/>
  <c r="B152" i="1"/>
  <c r="N19" i="1"/>
  <c r="C145" i="1"/>
  <c r="C134" i="2"/>
  <c r="D141" i="2"/>
  <c r="N27" i="2"/>
  <c r="D163" i="3"/>
  <c r="N50" i="5"/>
  <c r="B156" i="5"/>
  <c r="W177" i="5"/>
  <c r="L156" i="7"/>
  <c r="W156" i="7"/>
  <c r="B165" i="15"/>
  <c r="N19" i="30"/>
  <c r="N28" i="30"/>
  <c r="S93" i="28"/>
  <c r="T93" i="28"/>
  <c r="N39" i="11"/>
  <c r="S157" i="11"/>
  <c r="B157" i="11"/>
  <c r="T183" i="11"/>
  <c r="U183" i="11"/>
  <c r="N14" i="9"/>
  <c r="N46" i="9"/>
  <c r="W159" i="21"/>
  <c r="N53" i="17"/>
  <c r="N55" i="17"/>
  <c r="S170" i="17"/>
  <c r="J170" i="17"/>
  <c r="N170" i="17" s="1"/>
  <c r="U170" i="17"/>
  <c r="C172" i="17"/>
  <c r="B141" i="1"/>
  <c r="D151" i="2"/>
  <c r="N50" i="2"/>
  <c r="D158" i="3"/>
  <c r="D160" i="3"/>
  <c r="E160" i="3" s="1"/>
  <c r="C162" i="3"/>
  <c r="D151" i="3"/>
  <c r="C153" i="3"/>
  <c r="E153" i="3" s="1"/>
  <c r="L155" i="1"/>
  <c r="L151" i="1"/>
  <c r="J144" i="1"/>
  <c r="W153" i="2"/>
  <c r="W134" i="2"/>
  <c r="H189" i="3"/>
  <c r="W159" i="5"/>
  <c r="L141" i="5"/>
  <c r="J186" i="7"/>
  <c r="J182" i="7"/>
  <c r="L148" i="7"/>
  <c r="B148" i="8"/>
  <c r="N54" i="15"/>
  <c r="H157" i="15"/>
  <c r="N157" i="15" s="1"/>
  <c r="H153" i="15"/>
  <c r="N69" i="13"/>
  <c r="N24" i="28"/>
  <c r="B93" i="28"/>
  <c r="N15" i="31"/>
  <c r="N34" i="31"/>
  <c r="N35" i="34"/>
  <c r="N11" i="36"/>
  <c r="E82" i="37"/>
  <c r="N28" i="37"/>
  <c r="N50" i="37"/>
  <c r="J99" i="28"/>
  <c r="J79" i="30"/>
  <c r="C101" i="29"/>
  <c r="N41" i="36"/>
  <c r="J201" i="13"/>
  <c r="H201" i="13"/>
  <c r="N65" i="12"/>
  <c r="N70" i="12"/>
  <c r="N73" i="12"/>
  <c r="N76" i="12"/>
  <c r="W160" i="12"/>
  <c r="W184" i="12"/>
  <c r="B153" i="11"/>
  <c r="N34" i="11"/>
  <c r="C178" i="11"/>
  <c r="E178" i="11" s="1"/>
  <c r="N94" i="11"/>
  <c r="N93" i="10"/>
  <c r="N96" i="10"/>
  <c r="D196" i="9"/>
  <c r="N50" i="21"/>
  <c r="C157" i="18"/>
  <c r="N49" i="18"/>
  <c r="D160" i="18"/>
  <c r="N54" i="18"/>
  <c r="L149" i="16"/>
  <c r="N149" i="16" s="1"/>
  <c r="W183" i="24"/>
  <c r="S124" i="20"/>
  <c r="U124" i="20"/>
  <c r="T124" i="20"/>
  <c r="N116" i="2"/>
  <c r="B199" i="8"/>
  <c r="B195" i="19"/>
  <c r="N121" i="19"/>
  <c r="N61" i="37"/>
  <c r="D104" i="37"/>
  <c r="E104" i="37" s="1"/>
  <c r="N114" i="7"/>
  <c r="N36" i="1"/>
  <c r="N15" i="1"/>
  <c r="C151" i="2"/>
  <c r="D139" i="2"/>
  <c r="J187" i="1"/>
  <c r="W183" i="1"/>
  <c r="H175" i="1"/>
  <c r="W152" i="2"/>
  <c r="W137" i="2"/>
  <c r="E144" i="5"/>
  <c r="D137" i="7"/>
  <c r="E137" i="7" s="1"/>
  <c r="N16" i="7"/>
  <c r="B166" i="8"/>
  <c r="E168" i="8"/>
  <c r="C153" i="8"/>
  <c r="B155" i="8"/>
  <c r="N51" i="15"/>
  <c r="J192" i="15"/>
  <c r="N35" i="30"/>
  <c r="C81" i="31"/>
  <c r="N11" i="32"/>
  <c r="B86" i="32"/>
  <c r="N19" i="37"/>
  <c r="N19" i="38"/>
  <c r="J95" i="28"/>
  <c r="J87" i="28"/>
  <c r="N87" i="28" s="1"/>
  <c r="H78" i="32"/>
  <c r="J78" i="34"/>
  <c r="N78" i="34" s="1"/>
  <c r="N29" i="12"/>
  <c r="N58" i="12"/>
  <c r="W149" i="12"/>
  <c r="N71" i="11"/>
  <c r="B171" i="11"/>
  <c r="T177" i="11"/>
  <c r="U177" i="11"/>
  <c r="N91" i="11"/>
  <c r="S185" i="11"/>
  <c r="U185" i="11"/>
  <c r="D186" i="11"/>
  <c r="N107" i="9"/>
  <c r="C166" i="19"/>
  <c r="E166" i="19" s="1"/>
  <c r="N94" i="19"/>
  <c r="N96" i="19"/>
  <c r="N75" i="18"/>
  <c r="T174" i="18"/>
  <c r="W174" i="18" s="1"/>
  <c r="D174" i="18"/>
  <c r="E174" i="18" s="1"/>
  <c r="H176" i="18"/>
  <c r="N13" i="17"/>
  <c r="N46" i="17"/>
  <c r="N79" i="17"/>
  <c r="N24" i="16"/>
  <c r="N35" i="16"/>
  <c r="N20" i="24"/>
  <c r="N43" i="24"/>
  <c r="W136" i="24"/>
  <c r="W151" i="24"/>
  <c r="D188" i="14"/>
  <c r="D196" i="8"/>
  <c r="B185" i="2"/>
  <c r="N116" i="14"/>
  <c r="N127" i="13"/>
  <c r="N43" i="2"/>
  <c r="N46" i="2"/>
  <c r="D153" i="2"/>
  <c r="N8" i="2"/>
  <c r="D144" i="2"/>
  <c r="B143" i="3"/>
  <c r="N11" i="3"/>
  <c r="C146" i="3"/>
  <c r="N35" i="3"/>
  <c r="H149" i="1"/>
  <c r="W133" i="2"/>
  <c r="L157" i="3"/>
  <c r="N44" i="5"/>
  <c r="N54" i="5"/>
  <c r="H139" i="5"/>
  <c r="N139" i="5" s="1"/>
  <c r="W139" i="5"/>
  <c r="W169" i="5"/>
  <c r="D162" i="7"/>
  <c r="N18" i="7"/>
  <c r="B141" i="7"/>
  <c r="D166" i="8"/>
  <c r="D151" i="8"/>
  <c r="E151" i="8" s="1"/>
  <c r="C169" i="15"/>
  <c r="E169" i="15" s="1"/>
  <c r="B149" i="14"/>
  <c r="B146" i="14"/>
  <c r="D100" i="28"/>
  <c r="B103" i="28"/>
  <c r="B70" i="30"/>
  <c r="E70" i="30" s="1"/>
  <c r="C75" i="30"/>
  <c r="N33" i="31"/>
  <c r="N48" i="31"/>
  <c r="N29" i="32"/>
  <c r="N49" i="32"/>
  <c r="C77" i="34"/>
  <c r="B78" i="34"/>
  <c r="C89" i="37"/>
  <c r="N49" i="37"/>
  <c r="B98" i="37"/>
  <c r="N51" i="37"/>
  <c r="H84" i="29"/>
  <c r="J88" i="31"/>
  <c r="L84" i="31"/>
  <c r="C96" i="32"/>
  <c r="H94" i="32"/>
  <c r="L94" i="32"/>
  <c r="L96" i="37"/>
  <c r="N96" i="37" s="1"/>
  <c r="N21" i="12"/>
  <c r="D154" i="12"/>
  <c r="E154" i="12" s="1"/>
  <c r="N66" i="11"/>
  <c r="C168" i="11"/>
  <c r="L181" i="9"/>
  <c r="H181" i="9"/>
  <c r="L191" i="9"/>
  <c r="N93" i="21"/>
  <c r="N74" i="19"/>
  <c r="J179" i="19"/>
  <c r="N179" i="19" s="1"/>
  <c r="N92" i="19"/>
  <c r="N106" i="18"/>
  <c r="N19" i="16"/>
  <c r="H176" i="25"/>
  <c r="N176" i="25" s="1"/>
  <c r="W186" i="25"/>
  <c r="H152" i="1"/>
  <c r="L163" i="3"/>
  <c r="W150" i="3"/>
  <c r="H146" i="3"/>
  <c r="N52" i="5"/>
  <c r="N24" i="7"/>
  <c r="W145" i="7"/>
  <c r="N56" i="8"/>
  <c r="L151" i="14"/>
  <c r="N151" i="14" s="1"/>
  <c r="N150" i="2"/>
  <c r="N56" i="29"/>
  <c r="N22" i="32"/>
  <c r="B101" i="36"/>
  <c r="C83" i="37"/>
  <c r="L173" i="13"/>
  <c r="J173" i="13"/>
  <c r="N35" i="11"/>
  <c r="N102" i="11"/>
  <c r="U191" i="9"/>
  <c r="C191" i="9"/>
  <c r="N27" i="21"/>
  <c r="D174" i="21"/>
  <c r="E174" i="21" s="1"/>
  <c r="N95" i="21"/>
  <c r="D178" i="21"/>
  <c r="N60" i="19"/>
  <c r="D170" i="19"/>
  <c r="E170" i="19" s="1"/>
  <c r="B182" i="19"/>
  <c r="N91" i="19"/>
  <c r="W168" i="19"/>
  <c r="B131" i="26"/>
  <c r="U131" i="26"/>
  <c r="W131" i="26" s="1"/>
  <c r="C166" i="25"/>
  <c r="E166" i="25" s="1"/>
  <c r="N72" i="25"/>
  <c r="D164" i="5"/>
  <c r="N40" i="5"/>
  <c r="C143" i="5"/>
  <c r="N26" i="5"/>
  <c r="C158" i="7"/>
  <c r="C144" i="7"/>
  <c r="D149" i="7"/>
  <c r="E149" i="7" s="1"/>
  <c r="B153" i="7"/>
  <c r="N12" i="7"/>
  <c r="D153" i="8"/>
  <c r="C155" i="8"/>
  <c r="D158" i="8"/>
  <c r="C156" i="8"/>
  <c r="B164" i="15"/>
  <c r="J169" i="15"/>
  <c r="N169" i="15" s="1"/>
  <c r="L162" i="15"/>
  <c r="N162" i="15" s="1"/>
  <c r="D159" i="14"/>
  <c r="D149" i="14"/>
  <c r="H165" i="14"/>
  <c r="N165" i="14" s="1"/>
  <c r="N156" i="2"/>
  <c r="D83" i="28"/>
  <c r="B84" i="28"/>
  <c r="N21" i="28"/>
  <c r="D89" i="28"/>
  <c r="E89" i="28" s="1"/>
  <c r="N41" i="28"/>
  <c r="N51" i="28"/>
  <c r="D102" i="28"/>
  <c r="E102" i="28" s="1"/>
  <c r="N42" i="29"/>
  <c r="C97" i="29"/>
  <c r="N50" i="29"/>
  <c r="D99" i="29"/>
  <c r="N9" i="30"/>
  <c r="N18" i="30"/>
  <c r="D78" i="30"/>
  <c r="E78" i="30" s="1"/>
  <c r="D78" i="31"/>
  <c r="E78" i="31" s="1"/>
  <c r="N36" i="31"/>
  <c r="C76" i="32"/>
  <c r="B79" i="32"/>
  <c r="D82" i="32"/>
  <c r="N32" i="32"/>
  <c r="B88" i="32"/>
  <c r="C89" i="32"/>
  <c r="D92" i="32"/>
  <c r="B84" i="34"/>
  <c r="N40" i="34"/>
  <c r="C93" i="34"/>
  <c r="C110" i="35"/>
  <c r="N18" i="35"/>
  <c r="D106" i="36"/>
  <c r="C87" i="37"/>
  <c r="E87" i="37" s="1"/>
  <c r="N43" i="37"/>
  <c r="N52" i="37"/>
  <c r="N38" i="38"/>
  <c r="D93" i="38"/>
  <c r="B101" i="28"/>
  <c r="N24" i="30"/>
  <c r="L94" i="28"/>
  <c r="H90" i="28"/>
  <c r="J83" i="28"/>
  <c r="D101" i="29"/>
  <c r="H86" i="29"/>
  <c r="B74" i="31"/>
  <c r="D96" i="32"/>
  <c r="J108" i="36"/>
  <c r="J101" i="37"/>
  <c r="N101" i="37" s="1"/>
  <c r="H98" i="37"/>
  <c r="N98" i="37" s="1"/>
  <c r="H165" i="13"/>
  <c r="B155" i="12"/>
  <c r="N67" i="12"/>
  <c r="D171" i="12"/>
  <c r="N9" i="11"/>
  <c r="N30" i="11"/>
  <c r="D172" i="11"/>
  <c r="C174" i="11"/>
  <c r="E174" i="11" s="1"/>
  <c r="C179" i="11"/>
  <c r="C182" i="11"/>
  <c r="N117" i="11"/>
  <c r="N24" i="9"/>
  <c r="N38" i="9"/>
  <c r="C164" i="9"/>
  <c r="N45" i="9"/>
  <c r="L168" i="9"/>
  <c r="N168" i="9" s="1"/>
  <c r="L188" i="9"/>
  <c r="N188" i="9" s="1"/>
  <c r="N103" i="9"/>
  <c r="N43" i="21"/>
  <c r="N109" i="21"/>
  <c r="N111" i="21"/>
  <c r="N113" i="21"/>
  <c r="W184" i="21"/>
  <c r="N51" i="19"/>
  <c r="N89" i="19"/>
  <c r="C182" i="19"/>
  <c r="B189" i="19"/>
  <c r="E189" i="19" s="1"/>
  <c r="D150" i="18"/>
  <c r="E150" i="18" s="1"/>
  <c r="L181" i="18"/>
  <c r="N181" i="18" s="1"/>
  <c r="N114" i="18"/>
  <c r="B142" i="17"/>
  <c r="N24" i="17"/>
  <c r="C123" i="16"/>
  <c r="C134" i="16"/>
  <c r="N108" i="24"/>
  <c r="U102" i="36"/>
  <c r="S102" i="36"/>
  <c r="L188" i="3"/>
  <c r="H184" i="3"/>
  <c r="L181" i="3"/>
  <c r="L177" i="3"/>
  <c r="W173" i="3"/>
  <c r="N43" i="5"/>
  <c r="D157" i="5"/>
  <c r="C160" i="5"/>
  <c r="N64" i="5"/>
  <c r="D137" i="5"/>
  <c r="E137" i="5" s="1"/>
  <c r="C140" i="5"/>
  <c r="J144" i="5"/>
  <c r="N144" i="5" s="1"/>
  <c r="D158" i="7"/>
  <c r="D141" i="7"/>
  <c r="L161" i="7"/>
  <c r="H157" i="7"/>
  <c r="H143" i="7"/>
  <c r="C161" i="8"/>
  <c r="E161" i="8" s="1"/>
  <c r="N57" i="8"/>
  <c r="C170" i="8"/>
  <c r="E170" i="8" s="1"/>
  <c r="C171" i="8"/>
  <c r="D157" i="8"/>
  <c r="N22" i="15"/>
  <c r="C159" i="14"/>
  <c r="C149" i="14"/>
  <c r="H180" i="14"/>
  <c r="N180" i="14" s="1"/>
  <c r="N142" i="2"/>
  <c r="N153" i="2"/>
  <c r="N151" i="2"/>
  <c r="N147" i="2"/>
  <c r="N139" i="2"/>
  <c r="D175" i="13"/>
  <c r="N12" i="28"/>
  <c r="N25" i="28"/>
  <c r="D97" i="28"/>
  <c r="C98" i="28"/>
  <c r="N54" i="28"/>
  <c r="B96" i="29"/>
  <c r="D97" i="29"/>
  <c r="N10" i="30"/>
  <c r="N27" i="30"/>
  <c r="C72" i="31"/>
  <c r="D74" i="31"/>
  <c r="N19" i="31"/>
  <c r="B81" i="31"/>
  <c r="C83" i="31"/>
  <c r="N8" i="32"/>
  <c r="N10" i="32"/>
  <c r="D76" i="32"/>
  <c r="D77" i="34"/>
  <c r="N31" i="34"/>
  <c r="B109" i="35"/>
  <c r="D110" i="35"/>
  <c r="B97" i="36"/>
  <c r="N54" i="36"/>
  <c r="N12" i="37"/>
  <c r="B90" i="37"/>
  <c r="D91" i="37"/>
  <c r="C92" i="37"/>
  <c r="E92" i="37" s="1"/>
  <c r="N20" i="38"/>
  <c r="N31" i="38"/>
  <c r="C92" i="38"/>
  <c r="D77" i="30"/>
  <c r="E77" i="30" s="1"/>
  <c r="J101" i="29"/>
  <c r="H76" i="32"/>
  <c r="N76" i="32" s="1"/>
  <c r="N43" i="34"/>
  <c r="H94" i="37"/>
  <c r="D138" i="12"/>
  <c r="C155" i="12"/>
  <c r="C168" i="12"/>
  <c r="N82" i="12"/>
  <c r="J150" i="11"/>
  <c r="H150" i="11"/>
  <c r="C158" i="10"/>
  <c r="C180" i="10"/>
  <c r="N69" i="10"/>
  <c r="J154" i="9"/>
  <c r="N154" i="9" s="1"/>
  <c r="H172" i="9"/>
  <c r="N172" i="9" s="1"/>
  <c r="B181" i="9"/>
  <c r="D191" i="9"/>
  <c r="D136" i="21"/>
  <c r="C165" i="21"/>
  <c r="D175" i="21"/>
  <c r="E160" i="19"/>
  <c r="U176" i="19"/>
  <c r="T176" i="19"/>
  <c r="S176" i="19"/>
  <c r="H187" i="19"/>
  <c r="J187" i="19"/>
  <c r="C191" i="19"/>
  <c r="H149" i="18"/>
  <c r="N149" i="18" s="1"/>
  <c r="C166" i="18"/>
  <c r="B183" i="18"/>
  <c r="B186" i="18"/>
  <c r="E186" i="18" s="1"/>
  <c r="N116" i="18"/>
  <c r="W167" i="18"/>
  <c r="N113" i="17"/>
  <c r="S172" i="23"/>
  <c r="U172" i="23"/>
  <c r="J151" i="13"/>
  <c r="L151" i="13"/>
  <c r="W158" i="1"/>
  <c r="J188" i="3"/>
  <c r="W165" i="3"/>
  <c r="N66" i="5"/>
  <c r="D156" i="5"/>
  <c r="C157" i="5"/>
  <c r="D160" i="5"/>
  <c r="N19" i="5"/>
  <c r="N64" i="7"/>
  <c r="N51" i="7"/>
  <c r="N56" i="7"/>
  <c r="B142" i="7"/>
  <c r="C143" i="7"/>
  <c r="N38" i="7"/>
  <c r="J187" i="7"/>
  <c r="N187" i="7" s="1"/>
  <c r="N40" i="8"/>
  <c r="B145" i="8"/>
  <c r="B149" i="8"/>
  <c r="N36" i="8"/>
  <c r="C172" i="15"/>
  <c r="D165" i="15"/>
  <c r="B162" i="14"/>
  <c r="E162" i="14" s="1"/>
  <c r="B159" i="14"/>
  <c r="N30" i="14"/>
  <c r="J153" i="14"/>
  <c r="D176" i="13"/>
  <c r="C93" i="28"/>
  <c r="N38" i="28"/>
  <c r="N42" i="28"/>
  <c r="B100" i="28"/>
  <c r="N38" i="29"/>
  <c r="N16" i="30"/>
  <c r="N34" i="30"/>
  <c r="N20" i="31"/>
  <c r="D83" i="31"/>
  <c r="N24" i="32"/>
  <c r="D85" i="32"/>
  <c r="E85" i="32" s="1"/>
  <c r="N33" i="32"/>
  <c r="D88" i="32"/>
  <c r="B92" i="32"/>
  <c r="B79" i="34"/>
  <c r="B80" i="34"/>
  <c r="D84" i="34"/>
  <c r="N45" i="34"/>
  <c r="C109" i="35"/>
  <c r="D99" i="36"/>
  <c r="C90" i="37"/>
  <c r="B87" i="38"/>
  <c r="D101" i="28"/>
  <c r="J93" i="28"/>
  <c r="L89" i="28"/>
  <c r="J82" i="28"/>
  <c r="J77" i="30"/>
  <c r="H71" i="30"/>
  <c r="N71" i="30" s="1"/>
  <c r="L89" i="29"/>
  <c r="N89" i="29" s="1"/>
  <c r="L90" i="31"/>
  <c r="N90" i="31" s="1"/>
  <c r="J90" i="32"/>
  <c r="N90" i="32" s="1"/>
  <c r="J86" i="32"/>
  <c r="N86" i="32" s="1"/>
  <c r="L97" i="37"/>
  <c r="N97" i="37" s="1"/>
  <c r="N75" i="5"/>
  <c r="J146" i="12"/>
  <c r="N146" i="12" s="1"/>
  <c r="U171" i="12"/>
  <c r="N80" i="12"/>
  <c r="C172" i="12"/>
  <c r="N85" i="12"/>
  <c r="N151" i="12"/>
  <c r="D168" i="11"/>
  <c r="L188" i="11"/>
  <c r="J188" i="11"/>
  <c r="W147" i="11"/>
  <c r="N99" i="10"/>
  <c r="H200" i="10"/>
  <c r="S203" i="10"/>
  <c r="N28" i="9"/>
  <c r="U184" i="9"/>
  <c r="N83" i="9"/>
  <c r="N85" i="9"/>
  <c r="C187" i="9"/>
  <c r="E187" i="9" s="1"/>
  <c r="L200" i="9"/>
  <c r="N200" i="9" s="1"/>
  <c r="C201" i="9"/>
  <c r="W158" i="9"/>
  <c r="W167" i="9"/>
  <c r="B147" i="21"/>
  <c r="D162" i="21"/>
  <c r="D165" i="21"/>
  <c r="D171" i="21"/>
  <c r="W149" i="21"/>
  <c r="W181" i="21"/>
  <c r="N68" i="19"/>
  <c r="L181" i="19"/>
  <c r="C184" i="19"/>
  <c r="N9" i="18"/>
  <c r="N11" i="18"/>
  <c r="B140" i="18"/>
  <c r="L143" i="18"/>
  <c r="H143" i="18"/>
  <c r="N40" i="18"/>
  <c r="D180" i="18"/>
  <c r="J131" i="26"/>
  <c r="N131" i="26" s="1"/>
  <c r="W138" i="23"/>
  <c r="N94" i="22"/>
  <c r="L150" i="13"/>
  <c r="J150" i="13"/>
  <c r="J152" i="13"/>
  <c r="H161" i="1"/>
  <c r="W179" i="2"/>
  <c r="W194" i="3"/>
  <c r="H187" i="3"/>
  <c r="N17" i="5"/>
  <c r="C146" i="5"/>
  <c r="L143" i="5"/>
  <c r="N143" i="5" s="1"/>
  <c r="W185" i="5"/>
  <c r="L174" i="5"/>
  <c r="C142" i="7"/>
  <c r="D150" i="7"/>
  <c r="C152" i="7"/>
  <c r="J150" i="7"/>
  <c r="N150" i="7" s="1"/>
  <c r="C159" i="8"/>
  <c r="E159" i="8" s="1"/>
  <c r="B164" i="8"/>
  <c r="E164" i="8" s="1"/>
  <c r="C166" i="8"/>
  <c r="D147" i="8"/>
  <c r="E147" i="8" s="1"/>
  <c r="C149" i="8"/>
  <c r="B157" i="8"/>
  <c r="E157" i="8" s="1"/>
  <c r="C155" i="15"/>
  <c r="C160" i="14"/>
  <c r="B157" i="14"/>
  <c r="E157" i="14" s="1"/>
  <c r="N29" i="14"/>
  <c r="H156" i="14"/>
  <c r="N156" i="14" s="1"/>
  <c r="N162" i="2"/>
  <c r="N161" i="2"/>
  <c r="N154" i="2"/>
  <c r="N146" i="2"/>
  <c r="C86" i="28"/>
  <c r="E86" i="28" s="1"/>
  <c r="C91" i="28"/>
  <c r="N31" i="28"/>
  <c r="D93" i="28"/>
  <c r="B99" i="28"/>
  <c r="C100" i="28"/>
  <c r="N52" i="28"/>
  <c r="B95" i="29"/>
  <c r="N25" i="30"/>
  <c r="N9" i="31"/>
  <c r="C77" i="31"/>
  <c r="B80" i="31"/>
  <c r="E80" i="31" s="1"/>
  <c r="C87" i="31"/>
  <c r="D78" i="32"/>
  <c r="E78" i="32" s="1"/>
  <c r="N36" i="32"/>
  <c r="N38" i="32"/>
  <c r="N42" i="32"/>
  <c r="N12" i="34"/>
  <c r="C80" i="34"/>
  <c r="N29" i="34"/>
  <c r="N38" i="34"/>
  <c r="N41" i="34"/>
  <c r="D116" i="36"/>
  <c r="N13" i="37"/>
  <c r="B89" i="37"/>
  <c r="C95" i="37"/>
  <c r="E95" i="37" s="1"/>
  <c r="N46" i="37"/>
  <c r="C98" i="37"/>
  <c r="C68" i="30"/>
  <c r="L101" i="29"/>
  <c r="H101" i="29"/>
  <c r="H96" i="29"/>
  <c r="L81" i="29"/>
  <c r="N81" i="29" s="1"/>
  <c r="J92" i="32"/>
  <c r="H79" i="32"/>
  <c r="N79" i="32" s="1"/>
  <c r="N45" i="37"/>
  <c r="J100" i="37"/>
  <c r="N100" i="37" s="1"/>
  <c r="N13" i="12"/>
  <c r="W144" i="12"/>
  <c r="N11" i="11"/>
  <c r="B147" i="11"/>
  <c r="E147" i="11" s="1"/>
  <c r="D157" i="11"/>
  <c r="J168" i="11"/>
  <c r="L168" i="11"/>
  <c r="N74" i="11"/>
  <c r="C185" i="11"/>
  <c r="N110" i="11"/>
  <c r="W151" i="11"/>
  <c r="W166" i="11"/>
  <c r="N55" i="10"/>
  <c r="N107" i="10"/>
  <c r="L150" i="9"/>
  <c r="J153" i="9"/>
  <c r="N49" i="9"/>
  <c r="D181" i="9"/>
  <c r="N78" i="9"/>
  <c r="N53" i="21"/>
  <c r="S175" i="21"/>
  <c r="U175" i="21"/>
  <c r="E183" i="21"/>
  <c r="N9" i="19"/>
  <c r="L154" i="19"/>
  <c r="D155" i="19"/>
  <c r="N43" i="19"/>
  <c r="D173" i="19"/>
  <c r="E173" i="19" s="1"/>
  <c r="W173" i="19"/>
  <c r="W193" i="19"/>
  <c r="H157" i="18"/>
  <c r="N157" i="18" s="1"/>
  <c r="N56" i="18"/>
  <c r="C168" i="18"/>
  <c r="E168" i="18" s="1"/>
  <c r="N92" i="18"/>
  <c r="L174" i="17"/>
  <c r="N174" i="17" s="1"/>
  <c r="N39" i="26"/>
  <c r="N12" i="25"/>
  <c r="L170" i="25"/>
  <c r="N87" i="25"/>
  <c r="N49" i="23"/>
  <c r="N78" i="22"/>
  <c r="J93" i="37"/>
  <c r="N93" i="37" s="1"/>
  <c r="H202" i="13"/>
  <c r="N202" i="13" s="1"/>
  <c r="B141" i="12"/>
  <c r="B152" i="12"/>
  <c r="C153" i="12"/>
  <c r="H154" i="12"/>
  <c r="D164" i="12"/>
  <c r="E164" i="12" s="1"/>
  <c r="N69" i="12"/>
  <c r="C171" i="12"/>
  <c r="C176" i="12"/>
  <c r="C187" i="12"/>
  <c r="E187" i="12" s="1"/>
  <c r="N144" i="12"/>
  <c r="N181" i="12"/>
  <c r="W183" i="12"/>
  <c r="D141" i="11"/>
  <c r="E141" i="11" s="1"/>
  <c r="N15" i="11"/>
  <c r="N20" i="11"/>
  <c r="D163" i="11"/>
  <c r="E163" i="11" s="1"/>
  <c r="D171" i="11"/>
  <c r="N73" i="11"/>
  <c r="D175" i="11"/>
  <c r="E175" i="11" s="1"/>
  <c r="C177" i="11"/>
  <c r="N88" i="11"/>
  <c r="N100" i="11"/>
  <c r="W190" i="11"/>
  <c r="N28" i="10"/>
  <c r="N38" i="10"/>
  <c r="D169" i="10"/>
  <c r="C172" i="10"/>
  <c r="N51" i="10"/>
  <c r="B178" i="10"/>
  <c r="D202" i="10"/>
  <c r="C203" i="10"/>
  <c r="B204" i="10"/>
  <c r="N8" i="9"/>
  <c r="B158" i="9"/>
  <c r="N37" i="9"/>
  <c r="J164" i="9"/>
  <c r="C170" i="9"/>
  <c r="E170" i="9" s="1"/>
  <c r="N66" i="9"/>
  <c r="L180" i="9"/>
  <c r="N180" i="9" s="1"/>
  <c r="C181" i="9"/>
  <c r="N104" i="9"/>
  <c r="H198" i="9"/>
  <c r="N198" i="9" s="1"/>
  <c r="D198" i="9"/>
  <c r="W178" i="9"/>
  <c r="J133" i="21"/>
  <c r="N133" i="21" s="1"/>
  <c r="J139" i="21"/>
  <c r="D141" i="21"/>
  <c r="C155" i="21"/>
  <c r="B156" i="21"/>
  <c r="B157" i="21"/>
  <c r="C159" i="21"/>
  <c r="E159" i="21" s="1"/>
  <c r="C162" i="21"/>
  <c r="T164" i="21"/>
  <c r="W164" i="21" s="1"/>
  <c r="N77" i="21"/>
  <c r="U171" i="21"/>
  <c r="W171" i="21" s="1"/>
  <c r="C172" i="21"/>
  <c r="N97" i="21"/>
  <c r="N110" i="21"/>
  <c r="C144" i="19"/>
  <c r="N17" i="19"/>
  <c r="B149" i="19"/>
  <c r="B150" i="19"/>
  <c r="B154" i="19"/>
  <c r="B167" i="19"/>
  <c r="C172" i="19"/>
  <c r="E172" i="19" s="1"/>
  <c r="H173" i="19"/>
  <c r="C178" i="19"/>
  <c r="J183" i="19"/>
  <c r="C190" i="19"/>
  <c r="E190" i="19" s="1"/>
  <c r="J140" i="18"/>
  <c r="N140" i="18" s="1"/>
  <c r="L141" i="18"/>
  <c r="N141" i="18" s="1"/>
  <c r="D146" i="18"/>
  <c r="L150" i="18"/>
  <c r="N42" i="18"/>
  <c r="D157" i="18"/>
  <c r="C162" i="18"/>
  <c r="L168" i="18"/>
  <c r="L179" i="18"/>
  <c r="N179" i="18" s="1"/>
  <c r="H180" i="18"/>
  <c r="U140" i="17"/>
  <c r="S140" i="17"/>
  <c r="N36" i="17"/>
  <c r="B148" i="17"/>
  <c r="D172" i="17"/>
  <c r="N101" i="17"/>
  <c r="U139" i="16"/>
  <c r="T139" i="16"/>
  <c r="J152" i="16"/>
  <c r="N9" i="25"/>
  <c r="C140" i="25"/>
  <c r="E140" i="25" s="1"/>
  <c r="N33" i="25"/>
  <c r="N51" i="25"/>
  <c r="N67" i="25"/>
  <c r="N76" i="25"/>
  <c r="D172" i="25"/>
  <c r="B147" i="25"/>
  <c r="S151" i="25"/>
  <c r="W151" i="25" s="1"/>
  <c r="C146" i="24"/>
  <c r="E146" i="24" s="1"/>
  <c r="N38" i="24"/>
  <c r="U177" i="24"/>
  <c r="C177" i="24"/>
  <c r="N69" i="22"/>
  <c r="C141" i="12"/>
  <c r="C142" i="12"/>
  <c r="D158" i="12"/>
  <c r="C160" i="12"/>
  <c r="B161" i="12"/>
  <c r="B162" i="12"/>
  <c r="E162" i="12" s="1"/>
  <c r="C165" i="12"/>
  <c r="N95" i="12"/>
  <c r="W145" i="12"/>
  <c r="C150" i="11"/>
  <c r="E150" i="11" s="1"/>
  <c r="L152" i="11"/>
  <c r="C154" i="11"/>
  <c r="E154" i="11" s="1"/>
  <c r="C155" i="11"/>
  <c r="L158" i="11"/>
  <c r="N48" i="11"/>
  <c r="B173" i="11"/>
  <c r="N96" i="11"/>
  <c r="B187" i="11"/>
  <c r="L191" i="11"/>
  <c r="N191" i="11" s="1"/>
  <c r="D192" i="11"/>
  <c r="E192" i="11" s="1"/>
  <c r="J156" i="10"/>
  <c r="L165" i="10"/>
  <c r="D168" i="10"/>
  <c r="J177" i="10"/>
  <c r="B182" i="10"/>
  <c r="D190" i="10"/>
  <c r="C199" i="10"/>
  <c r="C150" i="9"/>
  <c r="E150" i="9" s="1"/>
  <c r="H157" i="9"/>
  <c r="N157" i="9" s="1"/>
  <c r="B167" i="9"/>
  <c r="D175" i="9"/>
  <c r="N65" i="9"/>
  <c r="D185" i="9"/>
  <c r="N86" i="9"/>
  <c r="N97" i="9"/>
  <c r="N100" i="9"/>
  <c r="N11" i="21"/>
  <c r="C137" i="21"/>
  <c r="E137" i="21" s="1"/>
  <c r="N21" i="21"/>
  <c r="J141" i="21"/>
  <c r="N33" i="21"/>
  <c r="C157" i="21"/>
  <c r="H172" i="21"/>
  <c r="H184" i="21"/>
  <c r="N184" i="21" s="1"/>
  <c r="J185" i="21"/>
  <c r="C145" i="19"/>
  <c r="E145" i="19" s="1"/>
  <c r="D148" i="19"/>
  <c r="C150" i="19"/>
  <c r="C154" i="19"/>
  <c r="C156" i="19"/>
  <c r="C157" i="19"/>
  <c r="N47" i="19"/>
  <c r="J161" i="19"/>
  <c r="N161" i="19" s="1"/>
  <c r="B176" i="19"/>
  <c r="N80" i="19"/>
  <c r="D178" i="19"/>
  <c r="H181" i="19"/>
  <c r="C192" i="19"/>
  <c r="W159" i="19"/>
  <c r="C148" i="18"/>
  <c r="L151" i="18"/>
  <c r="N151" i="18" s="1"/>
  <c r="C152" i="18"/>
  <c r="L154" i="18"/>
  <c r="N154" i="18" s="1"/>
  <c r="D161" i="18"/>
  <c r="E161" i="18" s="1"/>
  <c r="J163" i="18"/>
  <c r="N94" i="18"/>
  <c r="B184" i="18"/>
  <c r="L185" i="18"/>
  <c r="N185" i="18" s="1"/>
  <c r="B187" i="18"/>
  <c r="D190" i="18"/>
  <c r="E190" i="18" s="1"/>
  <c r="N30" i="17"/>
  <c r="H122" i="26"/>
  <c r="L122" i="26"/>
  <c r="U141" i="26"/>
  <c r="W141" i="26" s="1"/>
  <c r="H141" i="26"/>
  <c r="N141" i="26" s="1"/>
  <c r="D139" i="25"/>
  <c r="E139" i="25" s="1"/>
  <c r="D167" i="25"/>
  <c r="B169" i="25"/>
  <c r="B151" i="24"/>
  <c r="T165" i="24"/>
  <c r="U165" i="24"/>
  <c r="N78" i="35"/>
  <c r="D93" i="29"/>
  <c r="H103" i="37"/>
  <c r="L103" i="37"/>
  <c r="J92" i="37"/>
  <c r="N92" i="37" s="1"/>
  <c r="J194" i="13"/>
  <c r="B136" i="12"/>
  <c r="T139" i="12"/>
  <c r="W139" i="12" s="1"/>
  <c r="D140" i="12"/>
  <c r="D141" i="12"/>
  <c r="D142" i="12"/>
  <c r="D143" i="12"/>
  <c r="N35" i="12"/>
  <c r="T155" i="12"/>
  <c r="B166" i="12"/>
  <c r="C179" i="12"/>
  <c r="N31" i="11"/>
  <c r="N33" i="11"/>
  <c r="D155" i="11"/>
  <c r="N40" i="11"/>
  <c r="N45" i="11"/>
  <c r="H160" i="11"/>
  <c r="N160" i="11" s="1"/>
  <c r="N62" i="11"/>
  <c r="N70" i="11"/>
  <c r="D181" i="11"/>
  <c r="E181" i="11" s="1"/>
  <c r="D182" i="11"/>
  <c r="C183" i="11"/>
  <c r="L183" i="11"/>
  <c r="N183" i="11" s="1"/>
  <c r="C187" i="11"/>
  <c r="N111" i="11"/>
  <c r="B158" i="10"/>
  <c r="B160" i="10"/>
  <c r="N35" i="10"/>
  <c r="D175" i="10"/>
  <c r="D184" i="10"/>
  <c r="N87" i="10"/>
  <c r="D195" i="10"/>
  <c r="D151" i="9"/>
  <c r="D156" i="9"/>
  <c r="D166" i="9"/>
  <c r="C167" i="9"/>
  <c r="N63" i="9"/>
  <c r="C184" i="9"/>
  <c r="D189" i="9"/>
  <c r="C197" i="9"/>
  <c r="D200" i="9"/>
  <c r="E200" i="9" s="1"/>
  <c r="B202" i="9"/>
  <c r="N25" i="21"/>
  <c r="J143" i="21"/>
  <c r="N143" i="21" s="1"/>
  <c r="H147" i="21"/>
  <c r="N147" i="21" s="1"/>
  <c r="C149" i="21"/>
  <c r="B150" i="21"/>
  <c r="D156" i="21"/>
  <c r="N58" i="21"/>
  <c r="H162" i="21"/>
  <c r="L165" i="21"/>
  <c r="N165" i="21" s="1"/>
  <c r="J166" i="21"/>
  <c r="C182" i="21"/>
  <c r="E182" i="21" s="1"/>
  <c r="B185" i="21"/>
  <c r="E185" i="21" s="1"/>
  <c r="W133" i="21"/>
  <c r="W143" i="21"/>
  <c r="W155" i="21"/>
  <c r="B141" i="19"/>
  <c r="B142" i="19"/>
  <c r="D149" i="19"/>
  <c r="N31" i="19"/>
  <c r="D157" i="19"/>
  <c r="C176" i="19"/>
  <c r="L178" i="19"/>
  <c r="N178" i="19" s="1"/>
  <c r="B180" i="19"/>
  <c r="B184" i="19"/>
  <c r="N107" i="19"/>
  <c r="L189" i="19"/>
  <c r="N189" i="19" s="1"/>
  <c r="C140" i="18"/>
  <c r="N21" i="18"/>
  <c r="B146" i="18"/>
  <c r="J147" i="18"/>
  <c r="N33" i="18"/>
  <c r="N43" i="18"/>
  <c r="D163" i="18"/>
  <c r="B165" i="18"/>
  <c r="L173" i="18"/>
  <c r="N93" i="18"/>
  <c r="N97" i="18"/>
  <c r="N102" i="18"/>
  <c r="C187" i="18"/>
  <c r="D191" i="18"/>
  <c r="W144" i="18"/>
  <c r="S184" i="18"/>
  <c r="W184" i="18" s="1"/>
  <c r="D168" i="17"/>
  <c r="C180" i="17"/>
  <c r="U180" i="17"/>
  <c r="T180" i="17"/>
  <c r="L180" i="17"/>
  <c r="N180" i="17" s="1"/>
  <c r="C186" i="17"/>
  <c r="W162" i="17"/>
  <c r="W130" i="16"/>
  <c r="L138" i="26"/>
  <c r="N138" i="26" s="1"/>
  <c r="J148" i="26"/>
  <c r="N148" i="26" s="1"/>
  <c r="N62" i="25"/>
  <c r="D178" i="25"/>
  <c r="N25" i="24"/>
  <c r="N29" i="24"/>
  <c r="D149" i="24"/>
  <c r="N53" i="24"/>
  <c r="N60" i="24"/>
  <c r="D161" i="24"/>
  <c r="N71" i="24"/>
  <c r="N9" i="23"/>
  <c r="N11" i="23"/>
  <c r="L184" i="23"/>
  <c r="H184" i="23"/>
  <c r="L166" i="22"/>
  <c r="J166" i="22"/>
  <c r="H166" i="22"/>
  <c r="W77" i="34"/>
  <c r="T85" i="34"/>
  <c r="B194" i="19"/>
  <c r="N119" i="19"/>
  <c r="D161" i="12"/>
  <c r="N63" i="12"/>
  <c r="C166" i="12"/>
  <c r="N77" i="12"/>
  <c r="B174" i="12"/>
  <c r="D179" i="12"/>
  <c r="C181" i="12"/>
  <c r="N101" i="12"/>
  <c r="W137" i="12"/>
  <c r="W176" i="12"/>
  <c r="N184" i="12"/>
  <c r="C140" i="11"/>
  <c r="E140" i="11" s="1"/>
  <c r="D153" i="11"/>
  <c r="N50" i="11"/>
  <c r="N64" i="11"/>
  <c r="C169" i="11"/>
  <c r="E169" i="11" s="1"/>
  <c r="N82" i="11"/>
  <c r="N87" i="11"/>
  <c r="H182" i="11"/>
  <c r="N182" i="11" s="1"/>
  <c r="D183" i="11"/>
  <c r="B185" i="11"/>
  <c r="L185" i="11"/>
  <c r="N185" i="11" s="1"/>
  <c r="N109" i="11"/>
  <c r="W143" i="11"/>
  <c r="W154" i="11"/>
  <c r="W189" i="11"/>
  <c r="N9" i="10"/>
  <c r="N25" i="10"/>
  <c r="J172" i="10"/>
  <c r="D192" i="10"/>
  <c r="N104" i="10"/>
  <c r="J206" i="10"/>
  <c r="C154" i="9"/>
  <c r="E154" i="9" s="1"/>
  <c r="N39" i="9"/>
  <c r="H165" i="9"/>
  <c r="N52" i="9"/>
  <c r="N62" i="9"/>
  <c r="N69" i="9"/>
  <c r="N105" i="9"/>
  <c r="W165" i="9"/>
  <c r="J136" i="21"/>
  <c r="N136" i="21" s="1"/>
  <c r="D148" i="21"/>
  <c r="C150" i="21"/>
  <c r="L157" i="21"/>
  <c r="N157" i="21" s="1"/>
  <c r="C158" i="21"/>
  <c r="E158" i="21" s="1"/>
  <c r="B165" i="21"/>
  <c r="B167" i="21"/>
  <c r="D170" i="21"/>
  <c r="E170" i="21" s="1"/>
  <c r="W169" i="21"/>
  <c r="C155" i="19"/>
  <c r="N39" i="19"/>
  <c r="D158" i="19"/>
  <c r="E158" i="19" s="1"/>
  <c r="N53" i="19"/>
  <c r="N58" i="19"/>
  <c r="H171" i="19"/>
  <c r="H175" i="19"/>
  <c r="N175" i="19" s="1"/>
  <c r="L186" i="19"/>
  <c r="L188" i="19"/>
  <c r="N188" i="19" s="1"/>
  <c r="S144" i="19"/>
  <c r="W160" i="19"/>
  <c r="D140" i="18"/>
  <c r="D144" i="18"/>
  <c r="N61" i="18"/>
  <c r="B166" i="18"/>
  <c r="N71" i="18"/>
  <c r="B171" i="18"/>
  <c r="N76" i="18"/>
  <c r="H174" i="18"/>
  <c r="N174" i="18" s="1"/>
  <c r="B175" i="18"/>
  <c r="N85" i="18"/>
  <c r="C177" i="18"/>
  <c r="E177" i="18" s="1"/>
  <c r="H184" i="18"/>
  <c r="H191" i="18"/>
  <c r="L191" i="18"/>
  <c r="W158" i="18"/>
  <c r="N11" i="17"/>
  <c r="N64" i="17"/>
  <c r="D131" i="26"/>
  <c r="D134" i="26"/>
  <c r="E134" i="26" s="1"/>
  <c r="N23" i="25"/>
  <c r="J142" i="25"/>
  <c r="D143" i="25"/>
  <c r="E143" i="25" s="1"/>
  <c r="W145" i="25"/>
  <c r="D150" i="24"/>
  <c r="N57" i="24"/>
  <c r="D163" i="24"/>
  <c r="E163" i="24" s="1"/>
  <c r="N73" i="24"/>
  <c r="N68" i="23"/>
  <c r="B176" i="23"/>
  <c r="C179" i="23"/>
  <c r="D151" i="22"/>
  <c r="W156" i="13"/>
  <c r="H127" i="35"/>
  <c r="N127" i="35" s="1"/>
  <c r="C123" i="35"/>
  <c r="W191" i="18"/>
  <c r="S138" i="17"/>
  <c r="W138" i="17" s="1"/>
  <c r="B140" i="17"/>
  <c r="C148" i="17"/>
  <c r="N44" i="17"/>
  <c r="J157" i="17"/>
  <c r="N73" i="17"/>
  <c r="J168" i="17"/>
  <c r="D176" i="17"/>
  <c r="E176" i="17" s="1"/>
  <c r="N94" i="17"/>
  <c r="D185" i="17"/>
  <c r="B187" i="17"/>
  <c r="B128" i="16"/>
  <c r="H132" i="16"/>
  <c r="N132" i="16" s="1"/>
  <c r="B145" i="16"/>
  <c r="J148" i="16"/>
  <c r="N148" i="16" s="1"/>
  <c r="N25" i="26"/>
  <c r="H136" i="26"/>
  <c r="N136" i="26" s="1"/>
  <c r="D141" i="26"/>
  <c r="D138" i="25"/>
  <c r="E138" i="25" s="1"/>
  <c r="N37" i="25"/>
  <c r="N41" i="25"/>
  <c r="D161" i="25"/>
  <c r="N64" i="25"/>
  <c r="N70" i="25"/>
  <c r="N73" i="25"/>
  <c r="D173" i="25"/>
  <c r="C177" i="25"/>
  <c r="D183" i="25"/>
  <c r="E183" i="25" s="1"/>
  <c r="L134" i="24"/>
  <c r="N15" i="24"/>
  <c r="B143" i="24"/>
  <c r="B144" i="24"/>
  <c r="N37" i="24"/>
  <c r="C151" i="24"/>
  <c r="N46" i="24"/>
  <c r="N59" i="24"/>
  <c r="S171" i="24"/>
  <c r="U171" i="24"/>
  <c r="B181" i="24"/>
  <c r="N38" i="23"/>
  <c r="N42" i="23"/>
  <c r="N46" i="23"/>
  <c r="B154" i="23"/>
  <c r="N58" i="23"/>
  <c r="L162" i="23"/>
  <c r="N162" i="23" s="1"/>
  <c r="N72" i="23"/>
  <c r="J186" i="23"/>
  <c r="N186" i="23" s="1"/>
  <c r="C149" i="22"/>
  <c r="C156" i="22"/>
  <c r="N32" i="22"/>
  <c r="C158" i="22"/>
  <c r="N37" i="22"/>
  <c r="N68" i="22"/>
  <c r="N81" i="22"/>
  <c r="B184" i="22"/>
  <c r="D151" i="17"/>
  <c r="N48" i="17"/>
  <c r="N59" i="17"/>
  <c r="D164" i="17"/>
  <c r="D173" i="17"/>
  <c r="B174" i="17"/>
  <c r="L176" i="17"/>
  <c r="C181" i="17"/>
  <c r="E181" i="17" s="1"/>
  <c r="B184" i="17"/>
  <c r="N34" i="16"/>
  <c r="H139" i="16"/>
  <c r="H153" i="16"/>
  <c r="N153" i="16" s="1"/>
  <c r="W132" i="16"/>
  <c r="N15" i="26"/>
  <c r="D120" i="26"/>
  <c r="E120" i="26" s="1"/>
  <c r="C133" i="26"/>
  <c r="E133" i="26" s="1"/>
  <c r="N11" i="25"/>
  <c r="L138" i="25"/>
  <c r="B141" i="25"/>
  <c r="D146" i="25"/>
  <c r="C154" i="25"/>
  <c r="L158" i="25"/>
  <c r="L168" i="25"/>
  <c r="N168" i="25" s="1"/>
  <c r="L174" i="25"/>
  <c r="L182" i="25"/>
  <c r="N182" i="25" s="1"/>
  <c r="W146" i="25"/>
  <c r="D142" i="24"/>
  <c r="E142" i="24" s="1"/>
  <c r="C152" i="24"/>
  <c r="C170" i="24"/>
  <c r="D173" i="24"/>
  <c r="C137" i="23"/>
  <c r="E137" i="23" s="1"/>
  <c r="S140" i="23"/>
  <c r="U140" i="23"/>
  <c r="H141" i="23"/>
  <c r="L141" i="23"/>
  <c r="D188" i="23"/>
  <c r="H177" i="22"/>
  <c r="D193" i="22"/>
  <c r="E193" i="22" s="1"/>
  <c r="W167" i="13"/>
  <c r="N120" i="19"/>
  <c r="B126" i="20"/>
  <c r="N20" i="20"/>
  <c r="W147" i="18"/>
  <c r="L150" i="17"/>
  <c r="N150" i="17" s="1"/>
  <c r="N45" i="17"/>
  <c r="C158" i="17"/>
  <c r="N77" i="17"/>
  <c r="D180" i="17"/>
  <c r="H185" i="17"/>
  <c r="W183" i="17"/>
  <c r="C121" i="16"/>
  <c r="D128" i="16"/>
  <c r="C137" i="16"/>
  <c r="N46" i="16"/>
  <c r="D145" i="16"/>
  <c r="N61" i="16"/>
  <c r="N71" i="16"/>
  <c r="W136" i="16"/>
  <c r="W156" i="16"/>
  <c r="B115" i="26"/>
  <c r="L117" i="26"/>
  <c r="N117" i="26" s="1"/>
  <c r="J120" i="26"/>
  <c r="N120" i="26" s="1"/>
  <c r="H138" i="25"/>
  <c r="C141" i="25"/>
  <c r="N29" i="25"/>
  <c r="H146" i="25"/>
  <c r="D147" i="25"/>
  <c r="N45" i="25"/>
  <c r="D154" i="25"/>
  <c r="B157" i="25"/>
  <c r="N58" i="25"/>
  <c r="L164" i="25"/>
  <c r="N85" i="25"/>
  <c r="N90" i="25"/>
  <c r="N105" i="25"/>
  <c r="D184" i="25"/>
  <c r="E184" i="25" s="1"/>
  <c r="N110" i="25"/>
  <c r="W149" i="25"/>
  <c r="W182" i="25"/>
  <c r="B136" i="24"/>
  <c r="E136" i="24" s="1"/>
  <c r="D144" i="24"/>
  <c r="D145" i="24"/>
  <c r="N52" i="24"/>
  <c r="C158" i="24"/>
  <c r="E158" i="24" s="1"/>
  <c r="B160" i="24"/>
  <c r="N72" i="24"/>
  <c r="C166" i="24"/>
  <c r="H180" i="24"/>
  <c r="L180" i="24"/>
  <c r="J180" i="24"/>
  <c r="D181" i="24"/>
  <c r="N17" i="23"/>
  <c r="U151" i="22"/>
  <c r="S151" i="22"/>
  <c r="N45" i="22"/>
  <c r="N59" i="22"/>
  <c r="D173" i="22"/>
  <c r="W195" i="22"/>
  <c r="N100" i="15"/>
  <c r="W145" i="14"/>
  <c r="W153" i="14"/>
  <c r="W161" i="14"/>
  <c r="W188" i="14"/>
  <c r="S82" i="38"/>
  <c r="U82" i="38"/>
  <c r="J92" i="34"/>
  <c r="N92" i="34" s="1"/>
  <c r="D124" i="20"/>
  <c r="D138" i="17"/>
  <c r="C141" i="17"/>
  <c r="C146" i="17"/>
  <c r="N40" i="17"/>
  <c r="D158" i="17"/>
  <c r="N67" i="17"/>
  <c r="N85" i="17"/>
  <c r="N88" i="17"/>
  <c r="N104" i="17"/>
  <c r="W155" i="17"/>
  <c r="D121" i="16"/>
  <c r="D122" i="16"/>
  <c r="E122" i="16" s="1"/>
  <c r="N12" i="16"/>
  <c r="H125" i="16"/>
  <c r="N125" i="16" s="1"/>
  <c r="H129" i="16"/>
  <c r="B130" i="16"/>
  <c r="E130" i="16" s="1"/>
  <c r="D136" i="16"/>
  <c r="E136" i="16" s="1"/>
  <c r="D150" i="16"/>
  <c r="E150" i="16" s="1"/>
  <c r="C156" i="16"/>
  <c r="B117" i="26"/>
  <c r="E117" i="26" s="1"/>
  <c r="C122" i="26"/>
  <c r="N24" i="26"/>
  <c r="J133" i="26"/>
  <c r="N133" i="26" s="1"/>
  <c r="H137" i="26"/>
  <c r="N137" i="26" s="1"/>
  <c r="B143" i="26"/>
  <c r="N17" i="25"/>
  <c r="D141" i="25"/>
  <c r="N26" i="25"/>
  <c r="N38" i="25"/>
  <c r="S150" i="25"/>
  <c r="W150" i="25" s="1"/>
  <c r="C157" i="25"/>
  <c r="E157" i="25" s="1"/>
  <c r="D160" i="25"/>
  <c r="N65" i="25"/>
  <c r="N75" i="25"/>
  <c r="N77" i="25"/>
  <c r="C175" i="25"/>
  <c r="D179" i="25"/>
  <c r="D180" i="25"/>
  <c r="U177" i="25"/>
  <c r="D135" i="24"/>
  <c r="E135" i="24" s="1"/>
  <c r="N23" i="24"/>
  <c r="L142" i="24"/>
  <c r="L144" i="24"/>
  <c r="L151" i="24"/>
  <c r="N151" i="24" s="1"/>
  <c r="J156" i="24"/>
  <c r="N156" i="24" s="1"/>
  <c r="B161" i="24"/>
  <c r="N77" i="24"/>
  <c r="N83" i="24"/>
  <c r="W166" i="24"/>
  <c r="T171" i="24"/>
  <c r="J166" i="23"/>
  <c r="N71" i="23"/>
  <c r="D175" i="23"/>
  <c r="E175" i="23" s="1"/>
  <c r="S180" i="23"/>
  <c r="U180" i="23"/>
  <c r="L180" i="23"/>
  <c r="N101" i="23"/>
  <c r="N103" i="23"/>
  <c r="W184" i="23"/>
  <c r="N16" i="22"/>
  <c r="N42" i="22"/>
  <c r="N52" i="22"/>
  <c r="N112" i="22"/>
  <c r="W163" i="8"/>
  <c r="W196" i="15"/>
  <c r="H153" i="13"/>
  <c r="L153" i="13"/>
  <c r="J150" i="22"/>
  <c r="H150" i="22"/>
  <c r="W154" i="22"/>
  <c r="N11" i="33"/>
  <c r="N33" i="33"/>
  <c r="N9" i="20"/>
  <c r="H123" i="20"/>
  <c r="L123" i="20"/>
  <c r="N24" i="20"/>
  <c r="C128" i="20"/>
  <c r="D186" i="24"/>
  <c r="E186" i="24" s="1"/>
  <c r="S167" i="24"/>
  <c r="W178" i="24"/>
  <c r="L137" i="23"/>
  <c r="N137" i="23" s="1"/>
  <c r="H143" i="23"/>
  <c r="N30" i="23"/>
  <c r="B151" i="23"/>
  <c r="B165" i="23"/>
  <c r="J168" i="23"/>
  <c r="D183" i="23"/>
  <c r="J184" i="23"/>
  <c r="J153" i="22"/>
  <c r="N153" i="22" s="1"/>
  <c r="B175" i="22"/>
  <c r="E175" i="22" s="1"/>
  <c r="N22" i="13"/>
  <c r="N19" i="13"/>
  <c r="W152" i="13"/>
  <c r="L184" i="22"/>
  <c r="N184" i="22" s="1"/>
  <c r="J162" i="22"/>
  <c r="N162" i="22" s="1"/>
  <c r="H155" i="22"/>
  <c r="N155" i="22" s="1"/>
  <c r="H148" i="22"/>
  <c r="L93" i="38"/>
  <c r="H86" i="38"/>
  <c r="L82" i="38"/>
  <c r="W95" i="37"/>
  <c r="J109" i="35"/>
  <c r="N109" i="35" s="1"/>
  <c r="D125" i="35"/>
  <c r="C93" i="29"/>
  <c r="N31" i="29"/>
  <c r="N9" i="29"/>
  <c r="C94" i="29"/>
  <c r="C100" i="29"/>
  <c r="W203" i="15"/>
  <c r="N119" i="14"/>
  <c r="L186" i="21"/>
  <c r="T201" i="22"/>
  <c r="U201" i="22"/>
  <c r="S201" i="22"/>
  <c r="L201" i="22"/>
  <c r="W92" i="31"/>
  <c r="N54" i="32"/>
  <c r="U158" i="20"/>
  <c r="T158" i="20"/>
  <c r="W158" i="20" s="1"/>
  <c r="E188" i="24"/>
  <c r="W104" i="37"/>
  <c r="N63" i="24"/>
  <c r="N65" i="24"/>
  <c r="N99" i="24"/>
  <c r="L186" i="24"/>
  <c r="W152" i="24"/>
  <c r="U173" i="24"/>
  <c r="C136" i="23"/>
  <c r="N12" i="23"/>
  <c r="N25" i="23"/>
  <c r="B148" i="23"/>
  <c r="E148" i="23" s="1"/>
  <c r="N34" i="23"/>
  <c r="C151" i="23"/>
  <c r="N41" i="23"/>
  <c r="B153" i="23"/>
  <c r="C155" i="23"/>
  <c r="B160" i="23"/>
  <c r="E160" i="23" s="1"/>
  <c r="D172" i="23"/>
  <c r="E172" i="23" s="1"/>
  <c r="N83" i="23"/>
  <c r="L178" i="23"/>
  <c r="N110" i="23"/>
  <c r="H188" i="23"/>
  <c r="W148" i="23"/>
  <c r="D149" i="22"/>
  <c r="C152" i="22"/>
  <c r="B153" i="22"/>
  <c r="C164" i="22"/>
  <c r="B173" i="22"/>
  <c r="N73" i="22"/>
  <c r="D189" i="22"/>
  <c r="N107" i="22"/>
  <c r="W196" i="22"/>
  <c r="N102" i="8"/>
  <c r="W150" i="8"/>
  <c r="W158" i="8"/>
  <c r="W166" i="8"/>
  <c r="W177" i="8"/>
  <c r="W164" i="14"/>
  <c r="C166" i="13"/>
  <c r="N44" i="13"/>
  <c r="N112" i="10"/>
  <c r="N24" i="13"/>
  <c r="W156" i="10"/>
  <c r="N44" i="22"/>
  <c r="W85" i="37"/>
  <c r="H121" i="35"/>
  <c r="N121" i="35" s="1"/>
  <c r="N62" i="35"/>
  <c r="N37" i="29"/>
  <c r="N28" i="29"/>
  <c r="N19" i="29"/>
  <c r="L77" i="31"/>
  <c r="N77" i="31" s="1"/>
  <c r="W84" i="31"/>
  <c r="S144" i="20"/>
  <c r="U144" i="20"/>
  <c r="T144" i="20"/>
  <c r="D154" i="20"/>
  <c r="N76" i="20"/>
  <c r="C134" i="20"/>
  <c r="N96" i="34"/>
  <c r="N202" i="22"/>
  <c r="C161" i="24"/>
  <c r="N75" i="24"/>
  <c r="D171" i="24"/>
  <c r="N87" i="24"/>
  <c r="N89" i="24"/>
  <c r="J176" i="24"/>
  <c r="D177" i="24"/>
  <c r="N101" i="24"/>
  <c r="W142" i="24"/>
  <c r="W154" i="24"/>
  <c r="D136" i="23"/>
  <c r="N10" i="23"/>
  <c r="N29" i="23"/>
  <c r="N59" i="23"/>
  <c r="L172" i="23"/>
  <c r="N172" i="23" s="1"/>
  <c r="C176" i="23"/>
  <c r="C185" i="23"/>
  <c r="N114" i="23"/>
  <c r="W182" i="23"/>
  <c r="D152" i="22"/>
  <c r="N20" i="22"/>
  <c r="B156" i="22"/>
  <c r="E156" i="22" s="1"/>
  <c r="C159" i="22"/>
  <c r="D164" i="22"/>
  <c r="D176" i="22"/>
  <c r="E176" i="22" s="1"/>
  <c r="N83" i="22"/>
  <c r="B185" i="22"/>
  <c r="E185" i="22" s="1"/>
  <c r="B186" i="22"/>
  <c r="E186" i="22" s="1"/>
  <c r="C187" i="22"/>
  <c r="C192" i="22"/>
  <c r="E192" i="22" s="1"/>
  <c r="C200" i="22"/>
  <c r="W181" i="8"/>
  <c r="W196" i="8"/>
  <c r="D151" i="13"/>
  <c r="N49" i="35"/>
  <c r="L111" i="35"/>
  <c r="N111" i="35" s="1"/>
  <c r="S76" i="30"/>
  <c r="T76" i="30"/>
  <c r="H81" i="34"/>
  <c r="L120" i="35"/>
  <c r="N120" i="35" s="1"/>
  <c r="H81" i="31"/>
  <c r="J81" i="31"/>
  <c r="W85" i="31"/>
  <c r="N44" i="37"/>
  <c r="N6" i="14"/>
  <c r="B137" i="14"/>
  <c r="E137" i="14" s="1"/>
  <c r="N115" i="25"/>
  <c r="D187" i="25"/>
  <c r="E187" i="25" s="1"/>
  <c r="H189" i="23"/>
  <c r="L189" i="23"/>
  <c r="J189" i="23"/>
  <c r="H97" i="32"/>
  <c r="L97" i="32"/>
  <c r="H163" i="20"/>
  <c r="L163" i="20"/>
  <c r="H192" i="14"/>
  <c r="L192" i="14"/>
  <c r="H97" i="33"/>
  <c r="W97" i="33"/>
  <c r="N190" i="23"/>
  <c r="C209" i="10"/>
  <c r="N67" i="24"/>
  <c r="L164" i="24"/>
  <c r="N164" i="24" s="1"/>
  <c r="D165" i="24"/>
  <c r="E165" i="24" s="1"/>
  <c r="E167" i="24"/>
  <c r="J168" i="24"/>
  <c r="L170" i="24"/>
  <c r="L171" i="24"/>
  <c r="N171" i="24" s="1"/>
  <c r="L176" i="24"/>
  <c r="N98" i="24"/>
  <c r="D184" i="24"/>
  <c r="E184" i="24" s="1"/>
  <c r="N111" i="24"/>
  <c r="W184" i="24"/>
  <c r="L136" i="23"/>
  <c r="N136" i="23" s="1"/>
  <c r="D138" i="23"/>
  <c r="E138" i="23" s="1"/>
  <c r="D143" i="23"/>
  <c r="E143" i="23" s="1"/>
  <c r="D145" i="23"/>
  <c r="D149" i="23"/>
  <c r="C150" i="23"/>
  <c r="E150" i="23" s="1"/>
  <c r="L152" i="23"/>
  <c r="D157" i="23"/>
  <c r="N54" i="23"/>
  <c r="L168" i="23"/>
  <c r="N80" i="23"/>
  <c r="N100" i="23"/>
  <c r="W145" i="23"/>
  <c r="W162" i="23"/>
  <c r="B155" i="22"/>
  <c r="E155" i="22" s="1"/>
  <c r="D159" i="22"/>
  <c r="N41" i="22"/>
  <c r="D170" i="22"/>
  <c r="D187" i="22"/>
  <c r="D188" i="22"/>
  <c r="E188" i="22" s="1"/>
  <c r="N101" i="22"/>
  <c r="W150" i="22"/>
  <c r="W160" i="22"/>
  <c r="W192" i="22"/>
  <c r="N46" i="13"/>
  <c r="B165" i="13"/>
  <c r="N23" i="13"/>
  <c r="N102" i="5"/>
  <c r="J167" i="22"/>
  <c r="C117" i="35"/>
  <c r="D116" i="35"/>
  <c r="E116" i="35" s="1"/>
  <c r="B119" i="35"/>
  <c r="E119" i="35" s="1"/>
  <c r="W92" i="28"/>
  <c r="L77" i="33"/>
  <c r="N6" i="11"/>
  <c r="N7" i="23"/>
  <c r="C124" i="20"/>
  <c r="N27" i="20"/>
  <c r="N48" i="20"/>
  <c r="H155" i="20"/>
  <c r="D158" i="20"/>
  <c r="N125" i="8"/>
  <c r="D195" i="22"/>
  <c r="E195" i="22" s="1"/>
  <c r="W152" i="8"/>
  <c r="W160" i="8"/>
  <c r="W168" i="8"/>
  <c r="W185" i="8"/>
  <c r="W197" i="8"/>
  <c r="W145" i="8"/>
  <c r="W185" i="15"/>
  <c r="W156" i="14"/>
  <c r="W176" i="13"/>
  <c r="D172" i="13"/>
  <c r="N48" i="13"/>
  <c r="L189" i="22"/>
  <c r="N189" i="22" s="1"/>
  <c r="L151" i="22"/>
  <c r="N24" i="22"/>
  <c r="N111" i="22"/>
  <c r="W156" i="22"/>
  <c r="T91" i="38"/>
  <c r="W91" i="38" s="1"/>
  <c r="W94" i="38"/>
  <c r="N15" i="37"/>
  <c r="S106" i="36"/>
  <c r="W106" i="36" s="1"/>
  <c r="N41" i="35"/>
  <c r="H123" i="35"/>
  <c r="N123" i="35" s="1"/>
  <c r="W80" i="34"/>
  <c r="N8" i="33"/>
  <c r="B79" i="33"/>
  <c r="B80" i="33"/>
  <c r="H81" i="33"/>
  <c r="N28" i="33"/>
  <c r="N29" i="33"/>
  <c r="C89" i="33"/>
  <c r="B91" i="33"/>
  <c r="E91" i="33" s="1"/>
  <c r="B92" i="33"/>
  <c r="N47" i="33"/>
  <c r="N49" i="33"/>
  <c r="J95" i="33"/>
  <c r="N95" i="33" s="1"/>
  <c r="N7" i="12"/>
  <c r="L139" i="11"/>
  <c r="J139" i="11"/>
  <c r="H139" i="11"/>
  <c r="U80" i="30"/>
  <c r="T80" i="30"/>
  <c r="C141" i="20"/>
  <c r="J140" i="20"/>
  <c r="C97" i="33"/>
  <c r="W149" i="14"/>
  <c r="W194" i="13"/>
  <c r="C150" i="13"/>
  <c r="D156" i="13"/>
  <c r="D154" i="13"/>
  <c r="N18" i="13"/>
  <c r="H157" i="13"/>
  <c r="L157" i="13"/>
  <c r="N97" i="19"/>
  <c r="W88" i="38"/>
  <c r="N27" i="35"/>
  <c r="J88" i="28"/>
  <c r="W85" i="28"/>
  <c r="W84" i="34"/>
  <c r="D77" i="33"/>
  <c r="C78" i="33"/>
  <c r="C79" i="33"/>
  <c r="C80" i="33"/>
  <c r="L86" i="33"/>
  <c r="L87" i="33"/>
  <c r="H88" i="33"/>
  <c r="D89" i="33"/>
  <c r="C92" i="33"/>
  <c r="N21" i="29"/>
  <c r="W88" i="29"/>
  <c r="W96" i="29"/>
  <c r="W72" i="31"/>
  <c r="S139" i="11"/>
  <c r="T139" i="11"/>
  <c r="H133" i="25"/>
  <c r="T188" i="7"/>
  <c r="B186" i="21"/>
  <c r="L187" i="24"/>
  <c r="H187" i="24"/>
  <c r="N37" i="30"/>
  <c r="B80" i="30"/>
  <c r="L80" i="30"/>
  <c r="U128" i="35"/>
  <c r="W128" i="35" s="1"/>
  <c r="S104" i="28"/>
  <c r="U104" i="28"/>
  <c r="L204" i="13"/>
  <c r="B194" i="11"/>
  <c r="D193" i="18"/>
  <c r="N121" i="18"/>
  <c r="J189" i="17"/>
  <c r="C198" i="22"/>
  <c r="E198" i="22" s="1"/>
  <c r="W188" i="8"/>
  <c r="W202" i="15"/>
  <c r="W165" i="14"/>
  <c r="W170" i="13"/>
  <c r="W195" i="13"/>
  <c r="W169" i="13"/>
  <c r="C170" i="13"/>
  <c r="N54" i="13"/>
  <c r="C165" i="13"/>
  <c r="N25" i="13"/>
  <c r="H150" i="13"/>
  <c r="W153" i="13"/>
  <c r="W190" i="9"/>
  <c r="H181" i="22"/>
  <c r="N31" i="35"/>
  <c r="N7" i="28"/>
  <c r="B123" i="35"/>
  <c r="N53" i="35"/>
  <c r="W109" i="35"/>
  <c r="L7" i="35"/>
  <c r="H82" i="34"/>
  <c r="N82" i="34" s="1"/>
  <c r="W87" i="34"/>
  <c r="W89" i="34"/>
  <c r="D78" i="33"/>
  <c r="D79" i="33"/>
  <c r="D80" i="33"/>
  <c r="N30" i="33"/>
  <c r="N32" i="33"/>
  <c r="B88" i="33"/>
  <c r="J73" i="31"/>
  <c r="H73" i="31"/>
  <c r="W88" i="31"/>
  <c r="W90" i="31"/>
  <c r="J76" i="31"/>
  <c r="N76" i="31" s="1"/>
  <c r="N7" i="7"/>
  <c r="L144" i="8"/>
  <c r="N6" i="9"/>
  <c r="C140" i="19"/>
  <c r="H135" i="23"/>
  <c r="W142" i="3"/>
  <c r="L135" i="23"/>
  <c r="U186" i="2"/>
  <c r="C188" i="7"/>
  <c r="U188" i="7"/>
  <c r="H198" i="8"/>
  <c r="J198" i="8"/>
  <c r="W95" i="34"/>
  <c r="N67" i="20"/>
  <c r="U150" i="20"/>
  <c r="S150" i="20"/>
  <c r="N40" i="30"/>
  <c r="W204" i="15"/>
  <c r="W167" i="20"/>
  <c r="D196" i="22"/>
  <c r="W199" i="22"/>
  <c r="W147" i="8"/>
  <c r="W155" i="8"/>
  <c r="W171" i="8"/>
  <c r="W189" i="8"/>
  <c r="W196" i="13"/>
  <c r="N57" i="13"/>
  <c r="D164" i="13"/>
  <c r="N9" i="13"/>
  <c r="N27" i="13"/>
  <c r="B157" i="13"/>
  <c r="W180" i="10"/>
  <c r="L194" i="22"/>
  <c r="W86" i="37"/>
  <c r="W98" i="28"/>
  <c r="W83" i="28"/>
  <c r="N64" i="35"/>
  <c r="W117" i="35"/>
  <c r="W74" i="30"/>
  <c r="L78" i="33"/>
  <c r="H79" i="33"/>
  <c r="C87" i="33"/>
  <c r="H91" i="33"/>
  <c r="N51" i="33"/>
  <c r="L87" i="29"/>
  <c r="C92" i="29"/>
  <c r="E92" i="29" s="1"/>
  <c r="B89" i="29"/>
  <c r="E89" i="29" s="1"/>
  <c r="D88" i="29"/>
  <c r="E88" i="29" s="1"/>
  <c r="N23" i="29"/>
  <c r="C86" i="29"/>
  <c r="N15" i="29"/>
  <c r="C82" i="29"/>
  <c r="E82" i="29" s="1"/>
  <c r="E79" i="29"/>
  <c r="J92" i="29"/>
  <c r="J94" i="29"/>
  <c r="W98" i="29"/>
  <c r="W81" i="31"/>
  <c r="W77" i="32"/>
  <c r="N25" i="37"/>
  <c r="N7" i="25"/>
  <c r="C194" i="1"/>
  <c r="C189" i="5"/>
  <c r="U189" i="12"/>
  <c r="S189" i="12"/>
  <c r="D194" i="19"/>
  <c r="H150" i="26"/>
  <c r="N150" i="26" s="1"/>
  <c r="S80" i="30"/>
  <c r="B95" i="34"/>
  <c r="N31" i="20"/>
  <c r="C160" i="20"/>
  <c r="B152" i="20"/>
  <c r="C187" i="2"/>
  <c r="N127" i="15"/>
  <c r="H79" i="31"/>
  <c r="N79" i="31" s="1"/>
  <c r="W78" i="31"/>
  <c r="W76" i="31"/>
  <c r="W78" i="32"/>
  <c r="W85" i="32"/>
  <c r="W93" i="32"/>
  <c r="C84" i="33"/>
  <c r="D84" i="33"/>
  <c r="W89" i="33"/>
  <c r="W157" i="13"/>
  <c r="N7" i="1"/>
  <c r="N7" i="15"/>
  <c r="N6" i="13"/>
  <c r="J149" i="9"/>
  <c r="D134" i="17"/>
  <c r="J194" i="1"/>
  <c r="B188" i="7"/>
  <c r="N125" i="15"/>
  <c r="L191" i="14"/>
  <c r="N191" i="14" s="1"/>
  <c r="C189" i="12"/>
  <c r="H186" i="21"/>
  <c r="N117" i="18"/>
  <c r="D201" i="22"/>
  <c r="N59" i="29"/>
  <c r="C95" i="34"/>
  <c r="N60" i="29"/>
  <c r="B98" i="38"/>
  <c r="N61" i="28"/>
  <c r="C120" i="20"/>
  <c r="H121" i="20"/>
  <c r="D122" i="20"/>
  <c r="N17" i="20"/>
  <c r="N19" i="20"/>
  <c r="D128" i="20"/>
  <c r="D137" i="20"/>
  <c r="C138" i="20"/>
  <c r="C143" i="20"/>
  <c r="B149" i="20"/>
  <c r="C150" i="20"/>
  <c r="L153" i="20"/>
  <c r="B158" i="20"/>
  <c r="T146" i="20"/>
  <c r="N122" i="3"/>
  <c r="N124" i="3"/>
  <c r="N119" i="7"/>
  <c r="N52" i="31"/>
  <c r="C199" i="8"/>
  <c r="C204" i="13"/>
  <c r="D204" i="9"/>
  <c r="W96" i="34"/>
  <c r="W92" i="33"/>
  <c r="B167" i="20"/>
  <c r="C151" i="26"/>
  <c r="N109" i="6"/>
  <c r="W71" i="31"/>
  <c r="W86" i="32"/>
  <c r="N23" i="34"/>
  <c r="W114" i="35"/>
  <c r="H134" i="7"/>
  <c r="N134" i="7" s="1"/>
  <c r="D149" i="15"/>
  <c r="E149" i="15" s="1"/>
  <c r="C149" i="13"/>
  <c r="L138" i="18"/>
  <c r="D133" i="24"/>
  <c r="D198" i="8"/>
  <c r="D203" i="15"/>
  <c r="B189" i="12"/>
  <c r="D186" i="21"/>
  <c r="D150" i="26"/>
  <c r="J98" i="38"/>
  <c r="S96" i="32"/>
  <c r="D120" i="20"/>
  <c r="C121" i="20"/>
  <c r="B122" i="20"/>
  <c r="L127" i="20"/>
  <c r="D130" i="20"/>
  <c r="D131" i="20"/>
  <c r="C132" i="20"/>
  <c r="L137" i="20"/>
  <c r="D138" i="20"/>
  <c r="C139" i="20"/>
  <c r="D142" i="20"/>
  <c r="D143" i="20"/>
  <c r="C149" i="20"/>
  <c r="D150" i="20"/>
  <c r="B153" i="20"/>
  <c r="D162" i="20"/>
  <c r="U146" i="20"/>
  <c r="D197" i="3"/>
  <c r="D189" i="7"/>
  <c r="N120" i="14"/>
  <c r="B192" i="14"/>
  <c r="D204" i="13"/>
  <c r="C190" i="12"/>
  <c r="D194" i="11"/>
  <c r="L204" i="9"/>
  <c r="D209" i="10"/>
  <c r="B129" i="35"/>
  <c r="B120" i="36"/>
  <c r="W74" i="31"/>
  <c r="W80" i="31"/>
  <c r="W86" i="31"/>
  <c r="W85" i="33"/>
  <c r="N30" i="35"/>
  <c r="B139" i="11"/>
  <c r="L133" i="25"/>
  <c r="C135" i="23"/>
  <c r="J147" i="22"/>
  <c r="N147" i="22" s="1"/>
  <c r="B149" i="13"/>
  <c r="E149" i="13" s="1"/>
  <c r="B104" i="28"/>
  <c r="N60" i="28"/>
  <c r="H189" i="5"/>
  <c r="N189" i="5" s="1"/>
  <c r="S203" i="13"/>
  <c r="D192" i="18"/>
  <c r="B187" i="24"/>
  <c r="D80" i="30"/>
  <c r="J80" i="30"/>
  <c r="J96" i="33"/>
  <c r="T96" i="32"/>
  <c r="J128" i="35"/>
  <c r="N128" i="35" s="1"/>
  <c r="D121" i="20"/>
  <c r="N12" i="20"/>
  <c r="N14" i="20"/>
  <c r="N21" i="20"/>
  <c r="N23" i="20"/>
  <c r="N25" i="20"/>
  <c r="B133" i="20"/>
  <c r="B140" i="20"/>
  <c r="N61" i="20"/>
  <c r="D149" i="20"/>
  <c r="B150" i="20"/>
  <c r="N88" i="20"/>
  <c r="W139" i="20"/>
  <c r="W163" i="20"/>
  <c r="B190" i="5"/>
  <c r="B81" i="30"/>
  <c r="D93" i="31"/>
  <c r="C192" i="14"/>
  <c r="N131" i="13"/>
  <c r="D190" i="12"/>
  <c r="N133" i="9"/>
  <c r="C129" i="35"/>
  <c r="D120" i="36"/>
  <c r="N106" i="6"/>
  <c r="W82" i="31"/>
  <c r="W91" i="32"/>
  <c r="C81" i="33"/>
  <c r="B82" i="33"/>
  <c r="N22" i="33"/>
  <c r="W86" i="33"/>
  <c r="C144" i="8"/>
  <c r="C139" i="11"/>
  <c r="S144" i="8"/>
  <c r="W144" i="8" s="1"/>
  <c r="N7" i="17"/>
  <c r="N7" i="24"/>
  <c r="S133" i="24"/>
  <c r="N115" i="2"/>
  <c r="N59" i="28"/>
  <c r="D189" i="5"/>
  <c r="D203" i="13"/>
  <c r="T203" i="13"/>
  <c r="N118" i="11"/>
  <c r="C194" i="19"/>
  <c r="E194" i="19" s="1"/>
  <c r="N114" i="25"/>
  <c r="C187" i="24"/>
  <c r="H201" i="22"/>
  <c r="N53" i="33"/>
  <c r="D119" i="36"/>
  <c r="B119" i="20"/>
  <c r="B124" i="20"/>
  <c r="E124" i="20" s="1"/>
  <c r="B130" i="20"/>
  <c r="N32" i="20"/>
  <c r="N36" i="20"/>
  <c r="N43" i="20"/>
  <c r="N53" i="20"/>
  <c r="B155" i="20"/>
  <c r="C161" i="20"/>
  <c r="B164" i="20"/>
  <c r="B165" i="20"/>
  <c r="W131" i="20"/>
  <c r="W160" i="20"/>
  <c r="D187" i="2"/>
  <c r="C190" i="5"/>
  <c r="C93" i="31"/>
  <c r="E93" i="31" s="1"/>
  <c r="W93" i="31"/>
  <c r="D192" i="14"/>
  <c r="C120" i="36"/>
  <c r="L104" i="37"/>
  <c r="N17" i="28"/>
  <c r="N22" i="28"/>
  <c r="W97" i="28"/>
  <c r="C105" i="28"/>
  <c r="N44" i="28"/>
  <c r="H99" i="28"/>
  <c r="H96" i="28"/>
  <c r="C104" i="28"/>
  <c r="W91" i="28"/>
  <c r="N63" i="28"/>
  <c r="L91" i="28"/>
  <c r="H83" i="28"/>
  <c r="D91" i="28"/>
  <c r="J98" i="28"/>
  <c r="L93" i="28"/>
  <c r="L98" i="28"/>
  <c r="N8" i="28"/>
  <c r="B97" i="28"/>
  <c r="B98" i="28"/>
  <c r="D99" i="28"/>
  <c r="J103" i="28"/>
  <c r="N103" i="28" s="1"/>
  <c r="H97" i="28"/>
  <c r="W88" i="28"/>
  <c r="W101" i="28"/>
  <c r="W95" i="28"/>
  <c r="N20" i="28"/>
  <c r="D96" i="28"/>
  <c r="L96" i="28"/>
  <c r="N9" i="28"/>
  <c r="W100" i="28"/>
  <c r="T96" i="28"/>
  <c r="B90" i="28"/>
  <c r="E90" i="28" s="1"/>
  <c r="B83" i="28"/>
  <c r="E83" i="28" s="1"/>
  <c r="N15" i="28"/>
  <c r="N33" i="28"/>
  <c r="S96" i="28"/>
  <c r="D88" i="28"/>
  <c r="H95" i="28"/>
  <c r="N95" i="28" s="1"/>
  <c r="H93" i="28"/>
  <c r="C82" i="28"/>
  <c r="N13" i="28"/>
  <c r="C85" i="28"/>
  <c r="C87" i="28"/>
  <c r="N28" i="28"/>
  <c r="N48" i="28"/>
  <c r="C101" i="28"/>
  <c r="L100" i="28"/>
  <c r="B95" i="28"/>
  <c r="J101" i="28"/>
  <c r="H91" i="28"/>
  <c r="N32" i="28"/>
  <c r="L102" i="28"/>
  <c r="N45" i="28"/>
  <c r="N14" i="28"/>
  <c r="C84" i="28"/>
  <c r="E84" i="28" s="1"/>
  <c r="D87" i="28"/>
  <c r="N23" i="28"/>
  <c r="D92" i="28"/>
  <c r="D94" i="28"/>
  <c r="C97" i="28"/>
  <c r="D98" i="28"/>
  <c r="C99" i="28"/>
  <c r="C96" i="28"/>
  <c r="J102" i="28"/>
  <c r="J100" i="28"/>
  <c r="J96" i="28"/>
  <c r="W87" i="28"/>
  <c r="N58" i="28"/>
  <c r="B105" i="28"/>
  <c r="N9" i="38"/>
  <c r="N55" i="38"/>
  <c r="N35" i="38"/>
  <c r="H84" i="38"/>
  <c r="B84" i="38"/>
  <c r="C91" i="38"/>
  <c r="D81" i="38"/>
  <c r="N27" i="38"/>
  <c r="N46" i="38"/>
  <c r="H93" i="38"/>
  <c r="H91" i="38"/>
  <c r="L80" i="38"/>
  <c r="H97" i="38"/>
  <c r="H90" i="38"/>
  <c r="C79" i="38"/>
  <c r="C83" i="38"/>
  <c r="N39" i="38"/>
  <c r="C94" i="38"/>
  <c r="B86" i="38"/>
  <c r="B93" i="38"/>
  <c r="B97" i="38"/>
  <c r="D98" i="38"/>
  <c r="B95" i="38"/>
  <c r="J85" i="38"/>
  <c r="N46" i="33"/>
  <c r="W77" i="33"/>
  <c r="N55" i="33"/>
  <c r="J81" i="33"/>
  <c r="N50" i="33"/>
  <c r="N12" i="33"/>
  <c r="L96" i="33"/>
  <c r="N48" i="33"/>
  <c r="N45" i="33"/>
  <c r="L97" i="33"/>
  <c r="H96" i="33"/>
  <c r="D87" i="33"/>
  <c r="C88" i="33"/>
  <c r="W80" i="33"/>
  <c r="W88" i="33"/>
  <c r="N7" i="33"/>
  <c r="L81" i="33"/>
  <c r="L84" i="33"/>
  <c r="N14" i="33"/>
  <c r="B86" i="33"/>
  <c r="E86" i="33" s="1"/>
  <c r="B93" i="33"/>
  <c r="B95" i="33"/>
  <c r="E95" i="33" s="1"/>
  <c r="D81" i="33"/>
  <c r="N25" i="33"/>
  <c r="W82" i="33"/>
  <c r="W96" i="33"/>
  <c r="N54" i="33"/>
  <c r="N56" i="33"/>
  <c r="L80" i="33"/>
  <c r="J89" i="33"/>
  <c r="N89" i="33" s="1"/>
  <c r="N42" i="33"/>
  <c r="N44" i="33"/>
  <c r="C94" i="33"/>
  <c r="L82" i="33"/>
  <c r="C82" i="33"/>
  <c r="D83" i="33"/>
  <c r="J97" i="33"/>
  <c r="N129" i="15"/>
  <c r="N123" i="15"/>
  <c r="N47" i="29"/>
  <c r="E90" i="29"/>
  <c r="H99" i="29"/>
  <c r="J95" i="29"/>
  <c r="L79" i="29"/>
  <c r="N25" i="29"/>
  <c r="N39" i="29"/>
  <c r="J91" i="29"/>
  <c r="H85" i="29"/>
  <c r="N29" i="29"/>
  <c r="N17" i="29"/>
  <c r="H94" i="29"/>
  <c r="L84" i="29"/>
  <c r="N84" i="29" s="1"/>
  <c r="B87" i="29"/>
  <c r="E87" i="29" s="1"/>
  <c r="D84" i="29"/>
  <c r="B83" i="29"/>
  <c r="E83" i="29" s="1"/>
  <c r="W93" i="29"/>
  <c r="N61" i="29"/>
  <c r="N34" i="29"/>
  <c r="L85" i="29"/>
  <c r="N44" i="29"/>
  <c r="L82" i="29"/>
  <c r="N82" i="29" s="1"/>
  <c r="H92" i="29"/>
  <c r="N20" i="29"/>
  <c r="N30" i="29"/>
  <c r="W86" i="29"/>
  <c r="W94" i="29"/>
  <c r="T102" i="29"/>
  <c r="U102" i="29"/>
  <c r="L94" i="29"/>
  <c r="B101" i="29"/>
  <c r="L95" i="29"/>
  <c r="L98" i="29"/>
  <c r="N22" i="29"/>
  <c r="L93" i="29"/>
  <c r="J83" i="29"/>
  <c r="H80" i="29"/>
  <c r="N80" i="29" s="1"/>
  <c r="W80" i="29"/>
  <c r="H79" i="29"/>
  <c r="B100" i="29"/>
  <c r="N45" i="29"/>
  <c r="J88" i="29"/>
  <c r="N88" i="29" s="1"/>
  <c r="N49" i="29"/>
  <c r="C85" i="29"/>
  <c r="L99" i="29"/>
  <c r="J85" i="29"/>
  <c r="B94" i="29"/>
  <c r="B98" i="29"/>
  <c r="E98" i="29" s="1"/>
  <c r="D100" i="29"/>
  <c r="C91" i="29"/>
  <c r="E91" i="29" s="1"/>
  <c r="W81" i="29"/>
  <c r="D102" i="29"/>
  <c r="J98" i="29"/>
  <c r="L96" i="29"/>
  <c r="J96" i="29"/>
  <c r="N43" i="29"/>
  <c r="N7" i="29"/>
  <c r="N46" i="29"/>
  <c r="J100" i="29"/>
  <c r="N100" i="29" s="1"/>
  <c r="D86" i="29"/>
  <c r="B85" i="29"/>
  <c r="W82" i="29"/>
  <c r="W89" i="29"/>
  <c r="W97" i="29"/>
  <c r="W99" i="29"/>
  <c r="W95" i="29"/>
  <c r="W91" i="29"/>
  <c r="W87" i="29"/>
  <c r="W83" i="29"/>
  <c r="C102" i="29"/>
  <c r="C171" i="3"/>
  <c r="J193" i="3"/>
  <c r="L193" i="3"/>
  <c r="J190" i="3"/>
  <c r="W190" i="3"/>
  <c r="L186" i="3"/>
  <c r="H186" i="3"/>
  <c r="J186" i="3"/>
  <c r="L167" i="3"/>
  <c r="H167" i="3"/>
  <c r="W157" i="3"/>
  <c r="J157" i="3"/>
  <c r="N157" i="3" s="1"/>
  <c r="H142" i="3"/>
  <c r="L142" i="3"/>
  <c r="J142" i="3"/>
  <c r="C173" i="3"/>
  <c r="W167" i="3"/>
  <c r="C188" i="3"/>
  <c r="H150" i="3"/>
  <c r="N150" i="3" s="1"/>
  <c r="N63" i="3"/>
  <c r="B168" i="3"/>
  <c r="N25" i="3"/>
  <c r="B151" i="3"/>
  <c r="W163" i="3"/>
  <c r="N90" i="3"/>
  <c r="C182" i="3"/>
  <c r="C184" i="3"/>
  <c r="N94" i="3"/>
  <c r="B176" i="3"/>
  <c r="N78" i="3"/>
  <c r="B185" i="3"/>
  <c r="N103" i="3"/>
  <c r="H144" i="3"/>
  <c r="L144" i="3"/>
  <c r="J144" i="3"/>
  <c r="D142" i="3"/>
  <c r="E142" i="3" s="1"/>
  <c r="N7" i="3"/>
  <c r="N121" i="3"/>
  <c r="B196" i="3"/>
  <c r="E196" i="3" s="1"/>
  <c r="E167" i="3"/>
  <c r="E157" i="3"/>
  <c r="N65" i="3"/>
  <c r="C169" i="3"/>
  <c r="E169" i="3" s="1"/>
  <c r="N80" i="3"/>
  <c r="B184" i="3"/>
  <c r="W164" i="3"/>
  <c r="H164" i="3"/>
  <c r="J164" i="3"/>
  <c r="L164" i="3"/>
  <c r="L161" i="3"/>
  <c r="J161" i="3"/>
  <c r="W161" i="3"/>
  <c r="H161" i="3"/>
  <c r="L154" i="3"/>
  <c r="H154" i="3"/>
  <c r="W154" i="3"/>
  <c r="J154" i="3"/>
  <c r="L151" i="3"/>
  <c r="H151" i="3"/>
  <c r="J151" i="3"/>
  <c r="J147" i="3"/>
  <c r="L147" i="3"/>
  <c r="W147" i="3"/>
  <c r="J197" i="3"/>
  <c r="N99" i="3"/>
  <c r="N72" i="3"/>
  <c r="S193" i="3"/>
  <c r="T193" i="3"/>
  <c r="U193" i="3"/>
  <c r="B163" i="3"/>
  <c r="N49" i="3"/>
  <c r="D164" i="3"/>
  <c r="C165" i="3"/>
  <c r="N57" i="3"/>
  <c r="B154" i="3"/>
  <c r="E154" i="3" s="1"/>
  <c r="N30" i="3"/>
  <c r="W186" i="3"/>
  <c r="W144" i="3"/>
  <c r="N148" i="3"/>
  <c r="W193" i="3"/>
  <c r="E168" i="3"/>
  <c r="E149" i="3"/>
  <c r="B162" i="3"/>
  <c r="N47" i="3"/>
  <c r="N55" i="3"/>
  <c r="B166" i="3"/>
  <c r="E166" i="3" s="1"/>
  <c r="N58" i="3"/>
  <c r="W180" i="3"/>
  <c r="N101" i="3"/>
  <c r="N111" i="3"/>
  <c r="N75" i="3"/>
  <c r="J143" i="3"/>
  <c r="W182" i="3"/>
  <c r="L182" i="3"/>
  <c r="J178" i="3"/>
  <c r="L178" i="3"/>
  <c r="L174" i="3"/>
  <c r="H174" i="3"/>
  <c r="N174" i="3" s="1"/>
  <c r="W174" i="3"/>
  <c r="J170" i="3"/>
  <c r="L170" i="3"/>
  <c r="J163" i="3"/>
  <c r="J160" i="3"/>
  <c r="W160" i="3"/>
  <c r="H160" i="3"/>
  <c r="W146" i="3"/>
  <c r="L146" i="3"/>
  <c r="J146" i="3"/>
  <c r="J196" i="3"/>
  <c r="N123" i="3"/>
  <c r="U177" i="3"/>
  <c r="H170" i="3"/>
  <c r="T182" i="3"/>
  <c r="J182" i="3"/>
  <c r="E189" i="3"/>
  <c r="C172" i="3"/>
  <c r="H176" i="3"/>
  <c r="N176" i="3" s="1"/>
  <c r="C178" i="3"/>
  <c r="D194" i="3"/>
  <c r="D195" i="3"/>
  <c r="E195" i="3" s="1"/>
  <c r="N40" i="3"/>
  <c r="N45" i="3"/>
  <c r="N18" i="3"/>
  <c r="N28" i="3"/>
  <c r="J189" i="3"/>
  <c r="J185" i="3"/>
  <c r="N185" i="3" s="1"/>
  <c r="L166" i="3"/>
  <c r="N166" i="3" s="1"/>
  <c r="H156" i="3"/>
  <c r="N156" i="3" s="1"/>
  <c r="L153" i="3"/>
  <c r="N104" i="3"/>
  <c r="N71" i="3"/>
  <c r="N89" i="3"/>
  <c r="D191" i="3"/>
  <c r="J195" i="3"/>
  <c r="H195" i="3"/>
  <c r="W195" i="3"/>
  <c r="H192" i="3"/>
  <c r="L192" i="3"/>
  <c r="N177" i="3"/>
  <c r="W169" i="3"/>
  <c r="H169" i="3"/>
  <c r="H159" i="3"/>
  <c r="L159" i="3"/>
  <c r="J149" i="3"/>
  <c r="H149" i="3"/>
  <c r="W149" i="3"/>
  <c r="W159" i="3"/>
  <c r="J173" i="3"/>
  <c r="D177" i="3"/>
  <c r="E177" i="3" s="1"/>
  <c r="W177" i="3"/>
  <c r="H182" i="3"/>
  <c r="H178" i="3"/>
  <c r="W143" i="3"/>
  <c r="L143" i="3"/>
  <c r="D184" i="3"/>
  <c r="N91" i="3"/>
  <c r="B182" i="3"/>
  <c r="N102" i="3"/>
  <c r="D192" i="3"/>
  <c r="N115" i="3"/>
  <c r="D161" i="3"/>
  <c r="D145" i="3"/>
  <c r="E145" i="3" s="1"/>
  <c r="N13" i="3"/>
  <c r="N26" i="3"/>
  <c r="W188" i="3"/>
  <c r="H188" i="3"/>
  <c r="U176" i="3"/>
  <c r="U174" i="3"/>
  <c r="N33" i="3"/>
  <c r="T174" i="3"/>
  <c r="N145" i="3"/>
  <c r="B158" i="3"/>
  <c r="D175" i="3"/>
  <c r="T181" i="3"/>
  <c r="U181" i="3"/>
  <c r="C185" i="3"/>
  <c r="E185" i="3" s="1"/>
  <c r="B187" i="3"/>
  <c r="E187" i="3" s="1"/>
  <c r="N100" i="3"/>
  <c r="B188" i="3"/>
  <c r="U188" i="3"/>
  <c r="N108" i="3"/>
  <c r="B191" i="3"/>
  <c r="E191" i="3" s="1"/>
  <c r="C192" i="3"/>
  <c r="N117" i="3"/>
  <c r="N46" i="3"/>
  <c r="N62" i="3"/>
  <c r="D143" i="3"/>
  <c r="N14" i="3"/>
  <c r="B146" i="3"/>
  <c r="N66" i="3"/>
  <c r="N38" i="3"/>
  <c r="B159" i="3"/>
  <c r="C151" i="3"/>
  <c r="H191" i="3"/>
  <c r="W145" i="3"/>
  <c r="W162" i="3"/>
  <c r="N67" i="3"/>
  <c r="N74" i="3"/>
  <c r="N110" i="3"/>
  <c r="B194" i="3"/>
  <c r="N53" i="3"/>
  <c r="D144" i="3"/>
  <c r="E144" i="3" s="1"/>
  <c r="C147" i="3"/>
  <c r="E147" i="3" s="1"/>
  <c r="J187" i="3"/>
  <c r="H152" i="3"/>
  <c r="N152" i="3" s="1"/>
  <c r="W148" i="3"/>
  <c r="C197" i="3"/>
  <c r="L162" i="3"/>
  <c r="N162" i="3" s="1"/>
  <c r="L191" i="3"/>
  <c r="N68" i="3"/>
  <c r="N84" i="3"/>
  <c r="C186" i="3"/>
  <c r="E186" i="3" s="1"/>
  <c r="N39" i="3"/>
  <c r="D159" i="3"/>
  <c r="C150" i="3"/>
  <c r="E150" i="3" s="1"/>
  <c r="N32" i="3"/>
  <c r="H175" i="3"/>
  <c r="N175" i="3" s="1"/>
  <c r="N6" i="3"/>
  <c r="L197" i="3"/>
  <c r="H197" i="3"/>
  <c r="E152" i="1"/>
  <c r="N14" i="1"/>
  <c r="N43" i="1"/>
  <c r="U154" i="1"/>
  <c r="J158" i="1"/>
  <c r="N158" i="1" s="1"/>
  <c r="N83" i="1"/>
  <c r="N94" i="1"/>
  <c r="D188" i="1"/>
  <c r="B189" i="1"/>
  <c r="N61" i="1"/>
  <c r="N59" i="1"/>
  <c r="N57" i="1"/>
  <c r="C162" i="1"/>
  <c r="C158" i="1"/>
  <c r="C156" i="1"/>
  <c r="N37" i="1"/>
  <c r="N35" i="1"/>
  <c r="N32" i="1"/>
  <c r="B151" i="1"/>
  <c r="B145" i="1"/>
  <c r="W148" i="1"/>
  <c r="W170" i="1"/>
  <c r="J166" i="1"/>
  <c r="L162" i="1"/>
  <c r="W159" i="1"/>
  <c r="W193" i="1"/>
  <c r="T192" i="1"/>
  <c r="W194" i="1"/>
  <c r="U178" i="1"/>
  <c r="N102" i="1"/>
  <c r="N99" i="1"/>
  <c r="C149" i="1"/>
  <c r="H192" i="1"/>
  <c r="W149" i="1"/>
  <c r="H155" i="1"/>
  <c r="N80" i="1"/>
  <c r="B180" i="1"/>
  <c r="N66" i="1"/>
  <c r="N60" i="1"/>
  <c r="N56" i="1"/>
  <c r="D154" i="1"/>
  <c r="N34" i="1"/>
  <c r="D150" i="1"/>
  <c r="N25" i="1"/>
  <c r="N16" i="1"/>
  <c r="D142" i="1"/>
  <c r="W154" i="1"/>
  <c r="W147" i="1"/>
  <c r="W143" i="1"/>
  <c r="W188" i="1"/>
  <c r="J172" i="1"/>
  <c r="D195" i="1"/>
  <c r="U160" i="1"/>
  <c r="N12" i="1"/>
  <c r="C148" i="1"/>
  <c r="S172" i="1"/>
  <c r="N98" i="1"/>
  <c r="C160" i="1"/>
  <c r="E160" i="1" s="1"/>
  <c r="D159" i="1"/>
  <c r="B158" i="1"/>
  <c r="C150" i="1"/>
  <c r="N22" i="1"/>
  <c r="C142" i="1"/>
  <c r="N8" i="1"/>
  <c r="H153" i="1"/>
  <c r="J149" i="1"/>
  <c r="H164" i="1"/>
  <c r="W157" i="1"/>
  <c r="L187" i="1"/>
  <c r="W179" i="1"/>
  <c r="W175" i="1"/>
  <c r="C140" i="1"/>
  <c r="D140" i="1"/>
  <c r="B188" i="1"/>
  <c r="D170" i="1"/>
  <c r="W168" i="1"/>
  <c r="L183" i="1"/>
  <c r="H168" i="1"/>
  <c r="C173" i="1"/>
  <c r="B174" i="1"/>
  <c r="N85" i="1"/>
  <c r="N96" i="1"/>
  <c r="C187" i="1"/>
  <c r="N108" i="1"/>
  <c r="N110" i="1"/>
  <c r="D191" i="1"/>
  <c r="B192" i="1"/>
  <c r="C193" i="1"/>
  <c r="N65" i="1"/>
  <c r="D164" i="1"/>
  <c r="L140" i="1"/>
  <c r="L188" i="1"/>
  <c r="B148" i="1"/>
  <c r="B154" i="1"/>
  <c r="T194" i="1"/>
  <c r="C171" i="1"/>
  <c r="D179" i="1"/>
  <c r="N95" i="1"/>
  <c r="D180" i="1"/>
  <c r="N70" i="1"/>
  <c r="D158" i="1"/>
  <c r="D148" i="1"/>
  <c r="C147" i="1"/>
  <c r="W167" i="1"/>
  <c r="J178" i="1"/>
  <c r="W174" i="1"/>
  <c r="U192" i="1"/>
  <c r="B140" i="1"/>
  <c r="N122" i="1"/>
  <c r="D162" i="1"/>
  <c r="U162" i="1"/>
  <c r="S162" i="1"/>
  <c r="U155" i="1"/>
  <c r="S155" i="1"/>
  <c r="H150" i="1"/>
  <c r="J150" i="1"/>
  <c r="L150" i="1"/>
  <c r="W164" i="1"/>
  <c r="W162" i="1"/>
  <c r="T174" i="1"/>
  <c r="N75" i="1"/>
  <c r="B168" i="1"/>
  <c r="N91" i="1"/>
  <c r="U180" i="1"/>
  <c r="S180" i="1"/>
  <c r="U168" i="1"/>
  <c r="S168" i="1"/>
  <c r="T168" i="1"/>
  <c r="B169" i="1"/>
  <c r="N67" i="1"/>
  <c r="W155" i="1"/>
  <c r="W150" i="1"/>
  <c r="B181" i="1"/>
  <c r="L170" i="1"/>
  <c r="J154" i="1"/>
  <c r="L164" i="1"/>
  <c r="N79" i="1"/>
  <c r="L171" i="1"/>
  <c r="T171" i="1"/>
  <c r="C191" i="1"/>
  <c r="T151" i="1"/>
  <c r="U151" i="1"/>
  <c r="N40" i="1"/>
  <c r="N26" i="1"/>
  <c r="J151" i="1"/>
  <c r="W151" i="1"/>
  <c r="H151" i="1"/>
  <c r="L148" i="1"/>
  <c r="H162" i="1"/>
  <c r="J189" i="1"/>
  <c r="W189" i="1"/>
  <c r="L189" i="1"/>
  <c r="W181" i="1"/>
  <c r="L181" i="1"/>
  <c r="W177" i="1"/>
  <c r="L177" i="1"/>
  <c r="H173" i="1"/>
  <c r="J173" i="1"/>
  <c r="W173" i="1"/>
  <c r="J177" i="1"/>
  <c r="E141" i="1"/>
  <c r="L178" i="1"/>
  <c r="H179" i="1"/>
  <c r="J147" i="1"/>
  <c r="H148" i="1"/>
  <c r="L145" i="1"/>
  <c r="N54" i="1"/>
  <c r="T166" i="1"/>
  <c r="J164" i="1"/>
  <c r="U183" i="1"/>
  <c r="T183" i="1"/>
  <c r="D187" i="1"/>
  <c r="T142" i="1"/>
  <c r="U142" i="1"/>
  <c r="L144" i="1"/>
  <c r="W144" i="1"/>
  <c r="J165" i="1"/>
  <c r="L165" i="1"/>
  <c r="B178" i="1"/>
  <c r="L172" i="1"/>
  <c r="L147" i="1"/>
  <c r="H154" i="1"/>
  <c r="E142" i="1"/>
  <c r="U174" i="1"/>
  <c r="U163" i="1"/>
  <c r="T163" i="1"/>
  <c r="N68" i="1"/>
  <c r="B162" i="1"/>
  <c r="N39" i="1"/>
  <c r="H147" i="1"/>
  <c r="L157" i="1"/>
  <c r="J157" i="1"/>
  <c r="H157" i="1"/>
  <c r="N30" i="1"/>
  <c r="N114" i="1"/>
  <c r="N10" i="1"/>
  <c r="N45" i="1"/>
  <c r="C185" i="1"/>
  <c r="C163" i="1"/>
  <c r="N50" i="1"/>
  <c r="D155" i="1"/>
  <c r="N28" i="1"/>
  <c r="N18" i="1"/>
  <c r="J153" i="1"/>
  <c r="J142" i="1"/>
  <c r="L142" i="1"/>
  <c r="L168" i="1"/>
  <c r="J168" i="1"/>
  <c r="J156" i="1"/>
  <c r="L156" i="1"/>
  <c r="W191" i="1"/>
  <c r="L179" i="1"/>
  <c r="J145" i="1"/>
  <c r="H180" i="1"/>
  <c r="W156" i="1"/>
  <c r="N107" i="1"/>
  <c r="L191" i="1"/>
  <c r="N89" i="1"/>
  <c r="N53" i="1"/>
  <c r="S163" i="1"/>
  <c r="D174" i="1"/>
  <c r="C180" i="1"/>
  <c r="S178" i="1"/>
  <c r="T178" i="1"/>
  <c r="B190" i="1"/>
  <c r="E190" i="1" s="1"/>
  <c r="N109" i="1"/>
  <c r="N115" i="1"/>
  <c r="N116" i="1"/>
  <c r="B193" i="1"/>
  <c r="D165" i="1"/>
  <c r="E165" i="1" s="1"/>
  <c r="B163" i="1"/>
  <c r="B159" i="1"/>
  <c r="N33" i="1"/>
  <c r="N27" i="1"/>
  <c r="J160" i="1"/>
  <c r="L186" i="1"/>
  <c r="W186" i="1"/>
  <c r="N123" i="1"/>
  <c r="L163" i="1"/>
  <c r="B149" i="1"/>
  <c r="J191" i="1"/>
  <c r="D168" i="1"/>
  <c r="N111" i="1"/>
  <c r="B183" i="1"/>
  <c r="B171" i="1"/>
  <c r="N72" i="1"/>
  <c r="N81" i="1"/>
  <c r="B176" i="1"/>
  <c r="T179" i="1"/>
  <c r="U179" i="1"/>
  <c r="B186" i="1"/>
  <c r="N112" i="1"/>
  <c r="B147" i="1"/>
  <c r="J152" i="1"/>
  <c r="L152" i="1"/>
  <c r="W190" i="1"/>
  <c r="J190" i="1"/>
  <c r="L190" i="1"/>
  <c r="L174" i="1"/>
  <c r="D194" i="1"/>
  <c r="C174" i="1"/>
  <c r="B182" i="1"/>
  <c r="D153" i="1"/>
  <c r="N29" i="1"/>
  <c r="H169" i="1"/>
  <c r="N6" i="1"/>
  <c r="W140" i="1"/>
  <c r="H194" i="1"/>
  <c r="L182" i="1"/>
  <c r="L149" i="1"/>
  <c r="L194" i="1"/>
  <c r="J143" i="1"/>
  <c r="L143" i="1"/>
  <c r="N78" i="1"/>
  <c r="D177" i="1"/>
  <c r="N88" i="1"/>
  <c r="D183" i="1"/>
  <c r="B187" i="1"/>
  <c r="C168" i="1"/>
  <c r="D166" i="1"/>
  <c r="N9" i="1"/>
  <c r="H165" i="1"/>
  <c r="J192" i="1"/>
  <c r="H186" i="1"/>
  <c r="N119" i="1"/>
  <c r="N118" i="1"/>
  <c r="L153" i="1"/>
  <c r="J162" i="1"/>
  <c r="C186" i="1"/>
  <c r="C189" i="1"/>
  <c r="C192" i="1"/>
  <c r="N64" i="1"/>
  <c r="N47" i="1"/>
  <c r="D157" i="1"/>
  <c r="J155" i="1"/>
  <c r="N121" i="1"/>
  <c r="B195" i="1"/>
  <c r="B194" i="1"/>
  <c r="W153" i="1"/>
  <c r="B155" i="1"/>
  <c r="S170" i="1"/>
  <c r="N76" i="1"/>
  <c r="D178" i="1"/>
  <c r="B166" i="1"/>
  <c r="H183" i="1"/>
  <c r="B94" i="28"/>
  <c r="W79" i="38"/>
  <c r="L203" i="10"/>
  <c r="E187" i="7"/>
  <c r="N15" i="7"/>
  <c r="L175" i="7"/>
  <c r="N175" i="7" s="1"/>
  <c r="S177" i="7"/>
  <c r="C179" i="3"/>
  <c r="N112" i="3"/>
  <c r="N152" i="16"/>
  <c r="W175" i="14"/>
  <c r="N175" i="11"/>
  <c r="N109" i="13"/>
  <c r="C168" i="5"/>
  <c r="N73" i="5"/>
  <c r="N76" i="5"/>
  <c r="C169" i="5"/>
  <c r="E169" i="5" s="1"/>
  <c r="N71" i="1"/>
  <c r="D171" i="1"/>
  <c r="B172" i="1"/>
  <c r="N74" i="1"/>
  <c r="B184" i="2"/>
  <c r="N111" i="2"/>
  <c r="N97" i="13"/>
  <c r="D188" i="13"/>
  <c r="J185" i="15"/>
  <c r="L185" i="15"/>
  <c r="N166" i="14"/>
  <c r="B182" i="13"/>
  <c r="W163" i="5"/>
  <c r="L163" i="5"/>
  <c r="J163" i="5"/>
  <c r="L177" i="7"/>
  <c r="N74" i="31"/>
  <c r="B91" i="28"/>
  <c r="N179" i="3"/>
  <c r="D165" i="2"/>
  <c r="H92" i="32"/>
  <c r="J174" i="15"/>
  <c r="N182" i="5"/>
  <c r="N61" i="12"/>
  <c r="N37" i="28"/>
  <c r="N200" i="22"/>
  <c r="T189" i="15"/>
  <c r="B189" i="15"/>
  <c r="S189" i="15"/>
  <c r="W189" i="15" s="1"/>
  <c r="N88" i="7"/>
  <c r="D177" i="7"/>
  <c r="B178" i="3"/>
  <c r="N83" i="3"/>
  <c r="U180" i="3"/>
  <c r="S180" i="3"/>
  <c r="T180" i="3"/>
  <c r="H180" i="3"/>
  <c r="J180" i="3"/>
  <c r="L180" i="3"/>
  <c r="H181" i="3"/>
  <c r="S181" i="3"/>
  <c r="J181" i="3"/>
  <c r="B181" i="3"/>
  <c r="W181" i="3"/>
  <c r="D190" i="3"/>
  <c r="T190" i="3"/>
  <c r="S190" i="3"/>
  <c r="L190" i="3"/>
  <c r="H190" i="3"/>
  <c r="C190" i="3"/>
  <c r="U190" i="3"/>
  <c r="B180" i="2"/>
  <c r="N103" i="2"/>
  <c r="B190" i="3"/>
  <c r="C183" i="5"/>
  <c r="N104" i="5"/>
  <c r="E161" i="5"/>
  <c r="N13" i="5"/>
  <c r="B138" i="5"/>
  <c r="E142" i="5"/>
  <c r="J68" i="30"/>
  <c r="H68" i="30"/>
  <c r="H90" i="29"/>
  <c r="J90" i="29"/>
  <c r="L90" i="29"/>
  <c r="J87" i="29"/>
  <c r="H87" i="29"/>
  <c r="L92" i="32"/>
  <c r="N103" i="7"/>
  <c r="N190" i="14"/>
  <c r="H174" i="15"/>
  <c r="W86" i="34"/>
  <c r="S188" i="15"/>
  <c r="U188" i="15"/>
  <c r="T188" i="15"/>
  <c r="B188" i="15"/>
  <c r="H188" i="15"/>
  <c r="J188" i="15"/>
  <c r="N86" i="7"/>
  <c r="B173" i="7"/>
  <c r="E173" i="7" s="1"/>
  <c r="D184" i="1"/>
  <c r="C184" i="1"/>
  <c r="U184" i="1"/>
  <c r="H184" i="1"/>
  <c r="L184" i="1"/>
  <c r="S184" i="1"/>
  <c r="B178" i="2"/>
  <c r="N99" i="2"/>
  <c r="N101" i="2"/>
  <c r="C179" i="2"/>
  <c r="H163" i="1"/>
  <c r="J163" i="1"/>
  <c r="W163" i="1"/>
  <c r="H160" i="1"/>
  <c r="W160" i="1"/>
  <c r="N34" i="37"/>
  <c r="C91" i="37"/>
  <c r="H70" i="30"/>
  <c r="J70" i="30"/>
  <c r="L70" i="30"/>
  <c r="B193" i="13"/>
  <c r="N107" i="13"/>
  <c r="B182" i="2"/>
  <c r="N106" i="2"/>
  <c r="L189" i="15"/>
  <c r="J189" i="15"/>
  <c r="H171" i="15"/>
  <c r="L171" i="15"/>
  <c r="W175" i="7"/>
  <c r="N176" i="21"/>
  <c r="H185" i="15"/>
  <c r="D149" i="5"/>
  <c r="E149" i="5" s="1"/>
  <c r="N36" i="5"/>
  <c r="L182" i="7"/>
  <c r="W182" i="7"/>
  <c r="H182" i="7"/>
  <c r="L192" i="15"/>
  <c r="H192" i="15"/>
  <c r="H196" i="3"/>
  <c r="E137" i="16"/>
  <c r="E142" i="18"/>
  <c r="E143" i="14"/>
  <c r="H189" i="15"/>
  <c r="N23" i="15"/>
  <c r="H162" i="19"/>
  <c r="L162" i="19"/>
  <c r="J162" i="19"/>
  <c r="N71" i="15"/>
  <c r="D178" i="15"/>
  <c r="E178" i="15" s="1"/>
  <c r="N73" i="15"/>
  <c r="B179" i="15"/>
  <c r="B184" i="8"/>
  <c r="E184" i="8" s="1"/>
  <c r="N92" i="8"/>
  <c r="S176" i="1"/>
  <c r="T176" i="1"/>
  <c r="U176" i="1"/>
  <c r="D176" i="1"/>
  <c r="W176" i="1"/>
  <c r="C176" i="1"/>
  <c r="H176" i="1"/>
  <c r="J176" i="1"/>
  <c r="N115" i="5"/>
  <c r="D188" i="5"/>
  <c r="E188" i="5" s="1"/>
  <c r="H170" i="1"/>
  <c r="J170" i="1"/>
  <c r="L166" i="1"/>
  <c r="H166" i="1"/>
  <c r="W166" i="1"/>
  <c r="H159" i="1"/>
  <c r="L159" i="1"/>
  <c r="J159" i="1"/>
  <c r="N13" i="32"/>
  <c r="D77" i="32"/>
  <c r="E77" i="32" s="1"/>
  <c r="C112" i="35"/>
  <c r="E112" i="35" s="1"/>
  <c r="N21" i="35"/>
  <c r="L181" i="15"/>
  <c r="J181" i="15"/>
  <c r="H181" i="15"/>
  <c r="U163" i="12"/>
  <c r="T163" i="12"/>
  <c r="S163" i="12"/>
  <c r="L163" i="12"/>
  <c r="D163" i="12"/>
  <c r="B163" i="12"/>
  <c r="J163" i="12"/>
  <c r="H163" i="12"/>
  <c r="C183" i="12"/>
  <c r="E183" i="12" s="1"/>
  <c r="N102" i="12"/>
  <c r="T177" i="7"/>
  <c r="L141" i="19"/>
  <c r="H141" i="19"/>
  <c r="J141" i="19"/>
  <c r="N71" i="13"/>
  <c r="B177" i="13"/>
  <c r="C190" i="13"/>
  <c r="N101" i="13"/>
  <c r="N112" i="15"/>
  <c r="D197" i="15"/>
  <c r="L159" i="14"/>
  <c r="J159" i="14"/>
  <c r="H159" i="14"/>
  <c r="J203" i="10"/>
  <c r="B177" i="7"/>
  <c r="L196" i="3"/>
  <c r="E176" i="3"/>
  <c r="W179" i="21"/>
  <c r="N109" i="3"/>
  <c r="W126" i="35"/>
  <c r="N172" i="22"/>
  <c r="T184" i="1"/>
  <c r="N67" i="15"/>
  <c r="C177" i="15"/>
  <c r="E177" i="15" s="1"/>
  <c r="B183" i="8"/>
  <c r="N90" i="8"/>
  <c r="N98" i="5"/>
  <c r="D180" i="5"/>
  <c r="E180" i="5" s="1"/>
  <c r="N87" i="1"/>
  <c r="B179" i="1"/>
  <c r="D146" i="1"/>
  <c r="L146" i="1"/>
  <c r="H146" i="1"/>
  <c r="C146" i="1"/>
  <c r="S146" i="1"/>
  <c r="U146" i="1"/>
  <c r="J146" i="1"/>
  <c r="T146" i="1"/>
  <c r="W146" i="1"/>
  <c r="N63" i="1"/>
  <c r="C167" i="1"/>
  <c r="E167" i="1" s="1"/>
  <c r="C161" i="1"/>
  <c r="E161" i="1" s="1"/>
  <c r="N51" i="1"/>
  <c r="C152" i="2"/>
  <c r="N47" i="2"/>
  <c r="N31" i="32"/>
  <c r="C86" i="32"/>
  <c r="N111" i="14"/>
  <c r="C187" i="14"/>
  <c r="J179" i="7"/>
  <c r="W179" i="7"/>
  <c r="L179" i="7"/>
  <c r="H179" i="7"/>
  <c r="J193" i="15"/>
  <c r="L193" i="15"/>
  <c r="H193" i="15"/>
  <c r="J177" i="15"/>
  <c r="L177" i="15"/>
  <c r="H177" i="15"/>
  <c r="B191" i="13"/>
  <c r="J86" i="31"/>
  <c r="L86" i="31"/>
  <c r="H86" i="31"/>
  <c r="N194" i="3"/>
  <c r="E179" i="3"/>
  <c r="N112" i="35"/>
  <c r="N182" i="21"/>
  <c r="E175" i="14"/>
  <c r="N146" i="5"/>
  <c r="J152" i="25"/>
  <c r="H152" i="25"/>
  <c r="L152" i="25"/>
  <c r="B168" i="14"/>
  <c r="E168" i="14" s="1"/>
  <c r="N72" i="14"/>
  <c r="N88" i="14"/>
  <c r="N65" i="15"/>
  <c r="C176" i="15"/>
  <c r="B178" i="8"/>
  <c r="N80" i="8"/>
  <c r="D179" i="5"/>
  <c r="E179" i="5" s="1"/>
  <c r="N97" i="5"/>
  <c r="C172" i="1"/>
  <c r="N73" i="1"/>
  <c r="C188" i="14"/>
  <c r="E188" i="14" s="1"/>
  <c r="E161" i="19"/>
  <c r="W96" i="37"/>
  <c r="W185" i="9"/>
  <c r="E128" i="26"/>
  <c r="L156" i="19"/>
  <c r="N155" i="11"/>
  <c r="W186" i="11"/>
  <c r="W176" i="25"/>
  <c r="W168" i="25"/>
  <c r="N83" i="13"/>
  <c r="N87" i="13"/>
  <c r="N90" i="13"/>
  <c r="N103" i="13"/>
  <c r="C191" i="13"/>
  <c r="C192" i="13"/>
  <c r="N87" i="14"/>
  <c r="N91" i="8"/>
  <c r="N96" i="8"/>
  <c r="B176" i="5"/>
  <c r="E176" i="5" s="1"/>
  <c r="N87" i="3"/>
  <c r="N164" i="2"/>
  <c r="N74" i="2"/>
  <c r="B173" i="2"/>
  <c r="N77" i="1"/>
  <c r="L175" i="1"/>
  <c r="D175" i="1"/>
  <c r="E175" i="1" s="1"/>
  <c r="U175" i="1"/>
  <c r="N104" i="1"/>
  <c r="N101" i="7"/>
  <c r="C181" i="7"/>
  <c r="T192" i="8"/>
  <c r="U192" i="8"/>
  <c r="S192" i="8"/>
  <c r="C186" i="14"/>
  <c r="E186" i="14" s="1"/>
  <c r="N108" i="7"/>
  <c r="N24" i="5"/>
  <c r="W181" i="5"/>
  <c r="L181" i="5"/>
  <c r="N181" i="5" s="1"/>
  <c r="H154" i="7"/>
  <c r="W154" i="7"/>
  <c r="W146" i="7"/>
  <c r="D164" i="14"/>
  <c r="E164" i="14" s="1"/>
  <c r="N65" i="14"/>
  <c r="N13" i="36"/>
  <c r="B99" i="36"/>
  <c r="N41" i="37"/>
  <c r="D158" i="11"/>
  <c r="E158" i="11" s="1"/>
  <c r="N44" i="11"/>
  <c r="N51" i="11"/>
  <c r="B161" i="11"/>
  <c r="W191" i="22"/>
  <c r="E138" i="26"/>
  <c r="N151" i="11"/>
  <c r="W170" i="11"/>
  <c r="E177" i="11"/>
  <c r="N153" i="11"/>
  <c r="W201" i="9"/>
  <c r="E179" i="19"/>
  <c r="J156" i="19"/>
  <c r="W180" i="25"/>
  <c r="W170" i="23"/>
  <c r="W167" i="23"/>
  <c r="N183" i="23"/>
  <c r="N79" i="13"/>
  <c r="B190" i="13"/>
  <c r="N102" i="13"/>
  <c r="S183" i="8"/>
  <c r="U183" i="8"/>
  <c r="T183" i="8"/>
  <c r="C183" i="8"/>
  <c r="B174" i="7"/>
  <c r="D179" i="7"/>
  <c r="B167" i="5"/>
  <c r="E167" i="5" s="1"/>
  <c r="B173" i="3"/>
  <c r="E173" i="3" s="1"/>
  <c r="B175" i="3"/>
  <c r="S188" i="1"/>
  <c r="J188" i="1"/>
  <c r="U188" i="1"/>
  <c r="N104" i="2"/>
  <c r="B195" i="8"/>
  <c r="N116" i="8"/>
  <c r="C184" i="2"/>
  <c r="N110" i="2"/>
  <c r="N113" i="5"/>
  <c r="N41" i="1"/>
  <c r="D156" i="1"/>
  <c r="N59" i="2"/>
  <c r="D158" i="2"/>
  <c r="N20" i="3"/>
  <c r="N25" i="32"/>
  <c r="D83" i="32"/>
  <c r="E83" i="32" s="1"/>
  <c r="N39" i="34"/>
  <c r="W87" i="38"/>
  <c r="E188" i="9"/>
  <c r="J153" i="19"/>
  <c r="H153" i="19"/>
  <c r="J144" i="17"/>
  <c r="L144" i="17"/>
  <c r="N99" i="13"/>
  <c r="B189" i="13"/>
  <c r="T192" i="13"/>
  <c r="B192" i="13"/>
  <c r="S192" i="13"/>
  <c r="D188" i="15"/>
  <c r="B165" i="5"/>
  <c r="T165" i="5"/>
  <c r="C146" i="2"/>
  <c r="N35" i="2"/>
  <c r="N39" i="8"/>
  <c r="C158" i="8"/>
  <c r="E158" i="8" s="1"/>
  <c r="H196" i="8"/>
  <c r="J196" i="8"/>
  <c r="L196" i="8"/>
  <c r="H192" i="8"/>
  <c r="J192" i="8"/>
  <c r="L192" i="8"/>
  <c r="L188" i="8"/>
  <c r="H188" i="8"/>
  <c r="J188" i="8"/>
  <c r="H184" i="8"/>
  <c r="J184" i="8"/>
  <c r="L184" i="8"/>
  <c r="H180" i="8"/>
  <c r="J180" i="8"/>
  <c r="L180" i="8"/>
  <c r="J176" i="8"/>
  <c r="L176" i="8"/>
  <c r="H176" i="8"/>
  <c r="H172" i="8"/>
  <c r="L172" i="8"/>
  <c r="J172" i="8"/>
  <c r="H168" i="8"/>
  <c r="J168" i="8"/>
  <c r="L168" i="8"/>
  <c r="J147" i="8"/>
  <c r="L147" i="8"/>
  <c r="H147" i="8"/>
  <c r="L90" i="28"/>
  <c r="J90" i="28"/>
  <c r="N108" i="9"/>
  <c r="C196" i="9"/>
  <c r="B177" i="19"/>
  <c r="E177" i="19" s="1"/>
  <c r="N81" i="19"/>
  <c r="J180" i="19"/>
  <c r="H180" i="19"/>
  <c r="L180" i="19"/>
  <c r="E85" i="37"/>
  <c r="H144" i="19"/>
  <c r="J144" i="19"/>
  <c r="L144" i="19"/>
  <c r="D176" i="7"/>
  <c r="E176" i="7" s="1"/>
  <c r="L172" i="3"/>
  <c r="J172" i="3"/>
  <c r="U172" i="3"/>
  <c r="D180" i="3"/>
  <c r="C181" i="3"/>
  <c r="B184" i="1"/>
  <c r="D184" i="5"/>
  <c r="E184" i="5" s="1"/>
  <c r="N112" i="8"/>
  <c r="B193" i="8"/>
  <c r="U159" i="1"/>
  <c r="C159" i="1"/>
  <c r="T159" i="1"/>
  <c r="C146" i="7"/>
  <c r="E146" i="7" s="1"/>
  <c r="N31" i="7"/>
  <c r="C172" i="8"/>
  <c r="E172" i="8" s="1"/>
  <c r="N69" i="8"/>
  <c r="E146" i="8"/>
  <c r="N10" i="31"/>
  <c r="D73" i="31"/>
  <c r="E73" i="31" s="1"/>
  <c r="C192" i="9"/>
  <c r="N99" i="9"/>
  <c r="E75" i="31"/>
  <c r="W143" i="26"/>
  <c r="W164" i="9"/>
  <c r="W184" i="25"/>
  <c r="W156" i="25"/>
  <c r="E162" i="24"/>
  <c r="N164" i="23"/>
  <c r="C183" i="13"/>
  <c r="D185" i="13"/>
  <c r="C188" i="13"/>
  <c r="U188" i="13"/>
  <c r="T188" i="13"/>
  <c r="B188" i="13"/>
  <c r="L188" i="13"/>
  <c r="D192" i="13"/>
  <c r="C182" i="14"/>
  <c r="E182" i="14" s="1"/>
  <c r="C174" i="8"/>
  <c r="E174" i="8" s="1"/>
  <c r="D182" i="8"/>
  <c r="E182" i="8" s="1"/>
  <c r="N88" i="8"/>
  <c r="N93" i="5"/>
  <c r="N96" i="3"/>
  <c r="N99" i="7"/>
  <c r="C188" i="1"/>
  <c r="T191" i="1"/>
  <c r="S191" i="1"/>
  <c r="B196" i="8"/>
  <c r="N118" i="8"/>
  <c r="N31" i="1"/>
  <c r="C151" i="1"/>
  <c r="N31" i="2"/>
  <c r="D145" i="2"/>
  <c r="N33" i="2"/>
  <c r="E171" i="8"/>
  <c r="N21" i="30"/>
  <c r="N32" i="30"/>
  <c r="N21" i="32"/>
  <c r="D81" i="32"/>
  <c r="E81" i="32" s="1"/>
  <c r="L84" i="32"/>
  <c r="J84" i="32"/>
  <c r="H84" i="32"/>
  <c r="E136" i="26"/>
  <c r="N69" i="3"/>
  <c r="D172" i="3"/>
  <c r="N86" i="3"/>
  <c r="C180" i="3"/>
  <c r="E180" i="3" s="1"/>
  <c r="C183" i="3"/>
  <c r="E183" i="3" s="1"/>
  <c r="N75" i="2"/>
  <c r="D166" i="2"/>
  <c r="N86" i="1"/>
  <c r="B191" i="8"/>
  <c r="N108" i="8"/>
  <c r="N106" i="1"/>
  <c r="N116" i="13"/>
  <c r="N113" i="1"/>
  <c r="B156" i="1"/>
  <c r="N42" i="1"/>
  <c r="J185" i="1"/>
  <c r="W185" i="1"/>
  <c r="H185" i="1"/>
  <c r="L185" i="1"/>
  <c r="W171" i="5"/>
  <c r="N42" i="8"/>
  <c r="B160" i="8"/>
  <c r="S161" i="11"/>
  <c r="U161" i="11"/>
  <c r="C161" i="11"/>
  <c r="J161" i="11"/>
  <c r="D161" i="11"/>
  <c r="H161" i="11"/>
  <c r="L161" i="11"/>
  <c r="H162" i="11"/>
  <c r="L162" i="11"/>
  <c r="J162" i="11"/>
  <c r="B168" i="11"/>
  <c r="N65" i="11"/>
  <c r="W191" i="19"/>
  <c r="C170" i="14"/>
  <c r="E170" i="14" s="1"/>
  <c r="S174" i="8"/>
  <c r="T174" i="8"/>
  <c r="U174" i="8"/>
  <c r="B177" i="8"/>
  <c r="S182" i="8"/>
  <c r="T182" i="8"/>
  <c r="U182" i="8"/>
  <c r="D187" i="8"/>
  <c r="D188" i="8"/>
  <c r="E188" i="8" s="1"/>
  <c r="D189" i="8"/>
  <c r="C165" i="5"/>
  <c r="B177" i="1"/>
  <c r="S190" i="8"/>
  <c r="T190" i="8"/>
  <c r="U190" i="8"/>
  <c r="C191" i="8"/>
  <c r="B192" i="8"/>
  <c r="N110" i="8"/>
  <c r="D193" i="8"/>
  <c r="B194" i="8"/>
  <c r="N114" i="8"/>
  <c r="D195" i="8"/>
  <c r="D163" i="1"/>
  <c r="D144" i="1"/>
  <c r="N21" i="1"/>
  <c r="N57" i="2"/>
  <c r="N49" i="2"/>
  <c r="C158" i="3"/>
  <c r="H171" i="1"/>
  <c r="W142" i="2"/>
  <c r="W138" i="2"/>
  <c r="H173" i="3"/>
  <c r="J169" i="3"/>
  <c r="B164" i="5"/>
  <c r="N65" i="5"/>
  <c r="T163" i="5"/>
  <c r="S163" i="5"/>
  <c r="C138" i="5"/>
  <c r="U138" i="5"/>
  <c r="L151" i="7"/>
  <c r="H147" i="7"/>
  <c r="J147" i="7"/>
  <c r="W147" i="7"/>
  <c r="D148" i="8"/>
  <c r="E148" i="8" s="1"/>
  <c r="N26" i="8"/>
  <c r="L165" i="8"/>
  <c r="H165" i="8"/>
  <c r="J165" i="8"/>
  <c r="L161" i="8"/>
  <c r="H161" i="8"/>
  <c r="J161" i="8"/>
  <c r="L155" i="8"/>
  <c r="J155" i="8"/>
  <c r="H155" i="8"/>
  <c r="J151" i="8"/>
  <c r="L151" i="8"/>
  <c r="H151" i="8"/>
  <c r="J200" i="15"/>
  <c r="B152" i="14"/>
  <c r="D147" i="14"/>
  <c r="E147" i="14" s="1"/>
  <c r="J146" i="14"/>
  <c r="N146" i="14" s="1"/>
  <c r="N160" i="2"/>
  <c r="N70" i="13"/>
  <c r="B92" i="28"/>
  <c r="N53" i="28"/>
  <c r="N55" i="28"/>
  <c r="C103" i="28"/>
  <c r="D95" i="29"/>
  <c r="E95" i="29" s="1"/>
  <c r="N30" i="31"/>
  <c r="C82" i="31"/>
  <c r="E82" i="31" s="1"/>
  <c r="N37" i="31"/>
  <c r="B76" i="32"/>
  <c r="D79" i="32"/>
  <c r="E79" i="32" s="1"/>
  <c r="C82" i="32"/>
  <c r="C87" i="32"/>
  <c r="E87" i="32" s="1"/>
  <c r="N30" i="34"/>
  <c r="D87" i="34"/>
  <c r="N29" i="37"/>
  <c r="D89" i="37"/>
  <c r="D97" i="37"/>
  <c r="E97" i="37" s="1"/>
  <c r="N39" i="28"/>
  <c r="L81" i="32"/>
  <c r="N81" i="32" s="1"/>
  <c r="J76" i="34"/>
  <c r="L76" i="34"/>
  <c r="H159" i="10"/>
  <c r="L159" i="10"/>
  <c r="D159" i="10"/>
  <c r="W171" i="9"/>
  <c r="W142" i="19"/>
  <c r="S168" i="14"/>
  <c r="W168" i="14" s="1"/>
  <c r="T178" i="8"/>
  <c r="S178" i="8"/>
  <c r="U178" i="8"/>
  <c r="B117" i="6"/>
  <c r="B166" i="5"/>
  <c r="C166" i="5"/>
  <c r="N89" i="5"/>
  <c r="N106" i="8"/>
  <c r="B190" i="8"/>
  <c r="B185" i="5"/>
  <c r="N115" i="8"/>
  <c r="B193" i="3"/>
  <c r="C196" i="8"/>
  <c r="N120" i="8"/>
  <c r="B197" i="8"/>
  <c r="C160" i="2"/>
  <c r="C136" i="2"/>
  <c r="B161" i="3"/>
  <c r="H144" i="1"/>
  <c r="H187" i="1"/>
  <c r="W187" i="1"/>
  <c r="L173" i="1"/>
  <c r="J168" i="3"/>
  <c r="N168" i="3" s="1"/>
  <c r="N11" i="5"/>
  <c r="N32" i="5"/>
  <c r="N60" i="7"/>
  <c r="U136" i="7"/>
  <c r="D136" i="7"/>
  <c r="W185" i="7"/>
  <c r="L185" i="7"/>
  <c r="N63" i="8"/>
  <c r="N25" i="15"/>
  <c r="B160" i="14"/>
  <c r="N46" i="31"/>
  <c r="N34" i="32"/>
  <c r="E90" i="32"/>
  <c r="B91" i="32"/>
  <c r="E91" i="32" s="1"/>
  <c r="E93" i="32"/>
  <c r="N50" i="32"/>
  <c r="E81" i="34"/>
  <c r="N36" i="34"/>
  <c r="C92" i="34"/>
  <c r="N22" i="37"/>
  <c r="L73" i="30"/>
  <c r="L92" i="29"/>
  <c r="J86" i="29"/>
  <c r="N86" i="29" s="1"/>
  <c r="L88" i="31"/>
  <c r="L85" i="31"/>
  <c r="H95" i="32"/>
  <c r="J95" i="32"/>
  <c r="H77" i="32"/>
  <c r="L77" i="32"/>
  <c r="U182" i="12"/>
  <c r="L182" i="12"/>
  <c r="H182" i="12"/>
  <c r="D183" i="10"/>
  <c r="J199" i="9"/>
  <c r="H199" i="9"/>
  <c r="L199" i="9"/>
  <c r="T184" i="8"/>
  <c r="U184" i="8"/>
  <c r="S184" i="8"/>
  <c r="N105" i="8"/>
  <c r="J184" i="3"/>
  <c r="W184" i="3"/>
  <c r="C181" i="5"/>
  <c r="E181" i="5" s="1"/>
  <c r="N109" i="5"/>
  <c r="D169" i="1"/>
  <c r="D147" i="1"/>
  <c r="J180" i="1"/>
  <c r="W180" i="1"/>
  <c r="L180" i="1"/>
  <c r="L170" i="5"/>
  <c r="N170" i="5" s="1"/>
  <c r="D160" i="8"/>
  <c r="L191" i="15"/>
  <c r="N191" i="15" s="1"/>
  <c r="D151" i="14"/>
  <c r="E151" i="14" s="1"/>
  <c r="N25" i="14"/>
  <c r="J76" i="30"/>
  <c r="H76" i="30"/>
  <c r="D186" i="12"/>
  <c r="U179" i="8"/>
  <c r="S179" i="8"/>
  <c r="T179" i="8"/>
  <c r="B180" i="8"/>
  <c r="E180" i="8" s="1"/>
  <c r="B185" i="8"/>
  <c r="E185" i="8" s="1"/>
  <c r="B186" i="8"/>
  <c r="N104" i="8"/>
  <c r="B189" i="8"/>
  <c r="E189" i="8" s="1"/>
  <c r="D173" i="1"/>
  <c r="C178" i="1"/>
  <c r="N111" i="8"/>
  <c r="N113" i="8"/>
  <c r="N117" i="8"/>
  <c r="C197" i="8"/>
  <c r="N23" i="2"/>
  <c r="N29" i="3"/>
  <c r="B152" i="5"/>
  <c r="N41" i="5"/>
  <c r="J147" i="5"/>
  <c r="N147" i="5" s="1"/>
  <c r="D147" i="5"/>
  <c r="E147" i="5" s="1"/>
  <c r="S147" i="5"/>
  <c r="N17" i="7"/>
  <c r="J173" i="7"/>
  <c r="N173" i="7" s="1"/>
  <c r="J141" i="7"/>
  <c r="B159" i="15"/>
  <c r="B80" i="32"/>
  <c r="E80" i="32" s="1"/>
  <c r="N51" i="34"/>
  <c r="N51" i="36"/>
  <c r="D115" i="36"/>
  <c r="N53" i="37"/>
  <c r="L92" i="28"/>
  <c r="H92" i="28"/>
  <c r="J92" i="28"/>
  <c r="N94" i="32"/>
  <c r="U186" i="9"/>
  <c r="S186" i="9"/>
  <c r="T186" i="9"/>
  <c r="N145" i="21"/>
  <c r="E178" i="9"/>
  <c r="S175" i="8"/>
  <c r="U175" i="8"/>
  <c r="T175" i="8"/>
  <c r="B176" i="8"/>
  <c r="E176" i="8" s="1"/>
  <c r="T180" i="8"/>
  <c r="U180" i="8"/>
  <c r="S180" i="8"/>
  <c r="D186" i="8"/>
  <c r="T186" i="8"/>
  <c r="S186" i="8"/>
  <c r="U186" i="8"/>
  <c r="N103" i="8"/>
  <c r="T177" i="5"/>
  <c r="U177" i="5"/>
  <c r="S177" i="5"/>
  <c r="N107" i="8"/>
  <c r="N109" i="8"/>
  <c r="D192" i="8"/>
  <c r="D194" i="8"/>
  <c r="U195" i="8"/>
  <c r="S195" i="8"/>
  <c r="T195" i="8"/>
  <c r="C170" i="1"/>
  <c r="N62" i="1"/>
  <c r="B146" i="1"/>
  <c r="D165" i="3"/>
  <c r="N22" i="3"/>
  <c r="D152" i="3"/>
  <c r="E152" i="3" s="1"/>
  <c r="C156" i="3"/>
  <c r="E156" i="3" s="1"/>
  <c r="N54" i="3"/>
  <c r="W192" i="1"/>
  <c r="J179" i="1"/>
  <c r="J175" i="1"/>
  <c r="W151" i="3"/>
  <c r="C152" i="5"/>
  <c r="C162" i="7"/>
  <c r="N40" i="7"/>
  <c r="C139" i="7"/>
  <c r="E139" i="7" s="1"/>
  <c r="H180" i="7"/>
  <c r="J161" i="7"/>
  <c r="L152" i="7"/>
  <c r="H152" i="7"/>
  <c r="W152" i="7"/>
  <c r="J152" i="7"/>
  <c r="W148" i="7"/>
  <c r="H137" i="7"/>
  <c r="L137" i="7"/>
  <c r="N9" i="8"/>
  <c r="N20" i="8"/>
  <c r="C150" i="8"/>
  <c r="C157" i="15"/>
  <c r="E157" i="15" s="1"/>
  <c r="N67" i="14"/>
  <c r="N140" i="2"/>
  <c r="N46" i="28"/>
  <c r="D96" i="29"/>
  <c r="E96" i="29" s="1"/>
  <c r="C73" i="30"/>
  <c r="E73" i="30" s="1"/>
  <c r="B72" i="31"/>
  <c r="E77" i="31"/>
  <c r="N25" i="31"/>
  <c r="N23" i="32"/>
  <c r="B82" i="32"/>
  <c r="B84" i="32"/>
  <c r="E84" i="32" s="1"/>
  <c r="N27" i="32"/>
  <c r="N37" i="32"/>
  <c r="D89" i="32"/>
  <c r="D95" i="32"/>
  <c r="E95" i="32" s="1"/>
  <c r="N33" i="34"/>
  <c r="C87" i="34"/>
  <c r="N49" i="34"/>
  <c r="N36" i="35"/>
  <c r="B117" i="35"/>
  <c r="N50" i="28"/>
  <c r="L82" i="32"/>
  <c r="J82" i="32"/>
  <c r="L172" i="11"/>
  <c r="J172" i="11"/>
  <c r="N115" i="11"/>
  <c r="D200" i="10"/>
  <c r="C186" i="9"/>
  <c r="U168" i="21"/>
  <c r="S168" i="21"/>
  <c r="T168" i="21"/>
  <c r="H168" i="21"/>
  <c r="B180" i="13"/>
  <c r="T176" i="8"/>
  <c r="U176" i="8"/>
  <c r="S176" i="8"/>
  <c r="L178" i="5"/>
  <c r="N178" i="5" s="1"/>
  <c r="S178" i="5"/>
  <c r="B185" i="1"/>
  <c r="D191" i="8"/>
  <c r="C192" i="8"/>
  <c r="C194" i="8"/>
  <c r="B170" i="1"/>
  <c r="B164" i="1"/>
  <c r="D149" i="1"/>
  <c r="C135" i="2"/>
  <c r="C143" i="3"/>
  <c r="E143" i="3" s="1"/>
  <c r="N27" i="3"/>
  <c r="C164" i="3"/>
  <c r="W182" i="1"/>
  <c r="W162" i="5"/>
  <c r="U162" i="5"/>
  <c r="S162" i="5"/>
  <c r="C141" i="7"/>
  <c r="L140" i="7"/>
  <c r="J140" i="7"/>
  <c r="H140" i="7"/>
  <c r="E169" i="8"/>
  <c r="B156" i="8"/>
  <c r="E156" i="8" s="1"/>
  <c r="C164" i="15"/>
  <c r="D150" i="15"/>
  <c r="E150" i="15" s="1"/>
  <c r="N23" i="30"/>
  <c r="C74" i="30"/>
  <c r="D81" i="31"/>
  <c r="E81" i="31" s="1"/>
  <c r="N40" i="32"/>
  <c r="N20" i="34"/>
  <c r="D90" i="37"/>
  <c r="D86" i="38"/>
  <c r="C90" i="38"/>
  <c r="N37" i="38"/>
  <c r="B91" i="38"/>
  <c r="H101" i="28"/>
  <c r="L101" i="28"/>
  <c r="H82" i="28"/>
  <c r="L82" i="28"/>
  <c r="C88" i="34"/>
  <c r="E88" i="34" s="1"/>
  <c r="H187" i="13"/>
  <c r="N166" i="12"/>
  <c r="C157" i="1"/>
  <c r="D145" i="1"/>
  <c r="C155" i="3"/>
  <c r="E155" i="3" s="1"/>
  <c r="H174" i="1"/>
  <c r="H149" i="5"/>
  <c r="N149" i="5" s="1"/>
  <c r="L145" i="7"/>
  <c r="N145" i="7" s="1"/>
  <c r="L197" i="8"/>
  <c r="H197" i="8"/>
  <c r="J197" i="8"/>
  <c r="L193" i="8"/>
  <c r="H193" i="8"/>
  <c r="J193" i="8"/>
  <c r="L189" i="8"/>
  <c r="H189" i="8"/>
  <c r="J189" i="8"/>
  <c r="L185" i="8"/>
  <c r="H185" i="8"/>
  <c r="J185" i="8"/>
  <c r="L181" i="8"/>
  <c r="J181" i="8"/>
  <c r="H181" i="8"/>
  <c r="L177" i="8"/>
  <c r="J177" i="8"/>
  <c r="H177" i="8"/>
  <c r="L173" i="8"/>
  <c r="J173" i="8"/>
  <c r="H173" i="8"/>
  <c r="L169" i="8"/>
  <c r="H169" i="8"/>
  <c r="J169" i="8"/>
  <c r="J158" i="8"/>
  <c r="H158" i="8"/>
  <c r="L158" i="8"/>
  <c r="J148" i="8"/>
  <c r="L148" i="8"/>
  <c r="H148" i="8"/>
  <c r="L177" i="14"/>
  <c r="N177" i="14" s="1"/>
  <c r="H157" i="14"/>
  <c r="L157" i="14"/>
  <c r="B87" i="28"/>
  <c r="N7" i="31"/>
  <c r="B79" i="31"/>
  <c r="E79" i="31" s="1"/>
  <c r="D84" i="31"/>
  <c r="E84" i="31" s="1"/>
  <c r="N48" i="32"/>
  <c r="C84" i="34"/>
  <c r="N7" i="38"/>
  <c r="C81" i="38"/>
  <c r="N15" i="38"/>
  <c r="C89" i="38"/>
  <c r="D95" i="38"/>
  <c r="J97" i="28"/>
  <c r="L97" i="28"/>
  <c r="L88" i="28"/>
  <c r="J78" i="32"/>
  <c r="C112" i="36"/>
  <c r="H99" i="37"/>
  <c r="N99" i="37" s="1"/>
  <c r="B137" i="12"/>
  <c r="N32" i="12"/>
  <c r="N42" i="12"/>
  <c r="N45" i="12"/>
  <c r="B159" i="12"/>
  <c r="N110" i="12"/>
  <c r="N138" i="12"/>
  <c r="N172" i="12"/>
  <c r="N17" i="11"/>
  <c r="S145" i="11"/>
  <c r="C145" i="11"/>
  <c r="E145" i="11" s="1"/>
  <c r="U145" i="11"/>
  <c r="N29" i="11"/>
  <c r="D151" i="11"/>
  <c r="E151" i="11" s="1"/>
  <c r="U157" i="11"/>
  <c r="C157" i="11"/>
  <c r="T157" i="11"/>
  <c r="B166" i="11"/>
  <c r="E166" i="11" s="1"/>
  <c r="D173" i="11"/>
  <c r="E173" i="11" s="1"/>
  <c r="D190" i="11"/>
  <c r="E190" i="11" s="1"/>
  <c r="D191" i="11"/>
  <c r="W152" i="11"/>
  <c r="B175" i="10"/>
  <c r="C177" i="10"/>
  <c r="H178" i="10"/>
  <c r="N124" i="10"/>
  <c r="N16" i="9"/>
  <c r="D183" i="9"/>
  <c r="E183" i="9" s="1"/>
  <c r="B185" i="9"/>
  <c r="L185" i="9"/>
  <c r="N185" i="9" s="1"/>
  <c r="H193" i="9"/>
  <c r="N193" i="9" s="1"/>
  <c r="D193" i="9"/>
  <c r="J195" i="9"/>
  <c r="N117" i="9"/>
  <c r="W156" i="9"/>
  <c r="N9" i="21"/>
  <c r="N16" i="21"/>
  <c r="N31" i="21"/>
  <c r="B144" i="21"/>
  <c r="J151" i="21"/>
  <c r="H151" i="21"/>
  <c r="W158" i="19"/>
  <c r="L192" i="1"/>
  <c r="J171" i="1"/>
  <c r="J165" i="3"/>
  <c r="N165" i="3" s="1"/>
  <c r="B153" i="5"/>
  <c r="E153" i="5" s="1"/>
  <c r="T157" i="5"/>
  <c r="U143" i="5"/>
  <c r="H186" i="5"/>
  <c r="J186" i="5"/>
  <c r="D145" i="7"/>
  <c r="N9" i="7"/>
  <c r="L144" i="7"/>
  <c r="H144" i="7"/>
  <c r="H164" i="8"/>
  <c r="J164" i="8"/>
  <c r="L164" i="8"/>
  <c r="J157" i="8"/>
  <c r="L157" i="8"/>
  <c r="H157" i="8"/>
  <c r="J154" i="8"/>
  <c r="L154" i="8"/>
  <c r="H154" i="8"/>
  <c r="L150" i="8"/>
  <c r="J150" i="8"/>
  <c r="H150" i="8"/>
  <c r="L153" i="14"/>
  <c r="N153" i="14" s="1"/>
  <c r="C88" i="28"/>
  <c r="N40" i="28"/>
  <c r="N15" i="30"/>
  <c r="D88" i="31"/>
  <c r="E88" i="31" s="1"/>
  <c r="B91" i="31"/>
  <c r="E91" i="31" s="1"/>
  <c r="B89" i="34"/>
  <c r="N23" i="36"/>
  <c r="D104" i="36"/>
  <c r="C84" i="38"/>
  <c r="N26" i="38"/>
  <c r="C93" i="38"/>
  <c r="C97" i="38"/>
  <c r="H97" i="29"/>
  <c r="N97" i="29" s="1"/>
  <c r="N16" i="32"/>
  <c r="H85" i="34"/>
  <c r="J85" i="34"/>
  <c r="B117" i="36"/>
  <c r="H99" i="36"/>
  <c r="L99" i="36"/>
  <c r="D179" i="13"/>
  <c r="N38" i="12"/>
  <c r="N52" i="12"/>
  <c r="C158" i="12"/>
  <c r="L185" i="12"/>
  <c r="D185" i="12"/>
  <c r="T185" i="12"/>
  <c r="N183" i="12"/>
  <c r="L186" i="11"/>
  <c r="N186" i="11" s="1"/>
  <c r="U191" i="11"/>
  <c r="T191" i="11"/>
  <c r="S191" i="11"/>
  <c r="N14" i="10"/>
  <c r="B187" i="10"/>
  <c r="N121" i="10"/>
  <c r="D207" i="10"/>
  <c r="C207" i="10"/>
  <c r="N15" i="9"/>
  <c r="N22" i="9"/>
  <c r="N51" i="9"/>
  <c r="N56" i="9"/>
  <c r="D173" i="9"/>
  <c r="D186" i="9"/>
  <c r="W152" i="9"/>
  <c r="N13" i="21"/>
  <c r="N70" i="19"/>
  <c r="N143" i="18"/>
  <c r="N86" i="23"/>
  <c r="J169" i="1"/>
  <c r="L169" i="1"/>
  <c r="J184" i="1"/>
  <c r="J167" i="5"/>
  <c r="J151" i="7"/>
  <c r="L141" i="7"/>
  <c r="H195" i="8"/>
  <c r="J195" i="8"/>
  <c r="L195" i="8"/>
  <c r="J191" i="8"/>
  <c r="H191" i="8"/>
  <c r="L191" i="8"/>
  <c r="J187" i="8"/>
  <c r="L187" i="8"/>
  <c r="H187" i="8"/>
  <c r="H183" i="8"/>
  <c r="J183" i="8"/>
  <c r="L183" i="8"/>
  <c r="J179" i="8"/>
  <c r="L179" i="8"/>
  <c r="H179" i="8"/>
  <c r="J175" i="8"/>
  <c r="L175" i="8"/>
  <c r="H175" i="8"/>
  <c r="H171" i="8"/>
  <c r="J171" i="8"/>
  <c r="L171" i="8"/>
  <c r="J160" i="8"/>
  <c r="H160" i="8"/>
  <c r="L160" i="8"/>
  <c r="L149" i="8"/>
  <c r="H149" i="8"/>
  <c r="J149" i="8"/>
  <c r="L146" i="8"/>
  <c r="J146" i="8"/>
  <c r="H146" i="8"/>
  <c r="D89" i="38"/>
  <c r="J94" i="28"/>
  <c r="H94" i="28"/>
  <c r="J85" i="31"/>
  <c r="N85" i="31" s="1"/>
  <c r="D90" i="34"/>
  <c r="H88" i="34"/>
  <c r="N88" i="34" s="1"/>
  <c r="J75" i="34"/>
  <c r="H75" i="34"/>
  <c r="J174" i="1"/>
  <c r="B179" i="13"/>
  <c r="H175" i="13"/>
  <c r="H141" i="7"/>
  <c r="J135" i="7"/>
  <c r="E155" i="12"/>
  <c r="N26" i="11"/>
  <c r="C149" i="11"/>
  <c r="J148" i="11"/>
  <c r="U165" i="10"/>
  <c r="D165" i="10"/>
  <c r="S165" i="10"/>
  <c r="N102" i="21"/>
  <c r="B180" i="21"/>
  <c r="E180" i="21" s="1"/>
  <c r="N170" i="19"/>
  <c r="C153" i="1"/>
  <c r="L141" i="1"/>
  <c r="W141" i="1"/>
  <c r="H141" i="1"/>
  <c r="J186" i="1"/>
  <c r="J181" i="1"/>
  <c r="H181" i="1"/>
  <c r="H163" i="3"/>
  <c r="N163" i="3" s="1"/>
  <c r="H179" i="5"/>
  <c r="W186" i="7"/>
  <c r="W159" i="7"/>
  <c r="H148" i="7"/>
  <c r="H146" i="7"/>
  <c r="N146" i="7" s="1"/>
  <c r="N66" i="8"/>
  <c r="J167" i="8"/>
  <c r="L167" i="8"/>
  <c r="H167" i="8"/>
  <c r="H163" i="8"/>
  <c r="J163" i="8"/>
  <c r="L163" i="8"/>
  <c r="J153" i="8"/>
  <c r="L153" i="8"/>
  <c r="H153" i="8"/>
  <c r="B148" i="14"/>
  <c r="H189" i="14"/>
  <c r="J189" i="14"/>
  <c r="L189" i="14"/>
  <c r="B90" i="38"/>
  <c r="H82" i="31"/>
  <c r="L82" i="31"/>
  <c r="L78" i="32"/>
  <c r="J84" i="34"/>
  <c r="N84" i="34" s="1"/>
  <c r="H91" i="37"/>
  <c r="J91" i="37"/>
  <c r="B140" i="12"/>
  <c r="N89" i="12"/>
  <c r="N103" i="12"/>
  <c r="D149" i="11"/>
  <c r="D187" i="11"/>
  <c r="L148" i="11"/>
  <c r="W158" i="11"/>
  <c r="B175" i="9"/>
  <c r="N61" i="9"/>
  <c r="C182" i="9"/>
  <c r="N75" i="9"/>
  <c r="L140" i="24"/>
  <c r="H140" i="24"/>
  <c r="J140" i="24"/>
  <c r="B153" i="1"/>
  <c r="H193" i="1"/>
  <c r="L193" i="1"/>
  <c r="H191" i="1"/>
  <c r="H172" i="1"/>
  <c r="N49" i="5"/>
  <c r="B143" i="5"/>
  <c r="E143" i="5" s="1"/>
  <c r="L157" i="7"/>
  <c r="J155" i="7"/>
  <c r="L155" i="7"/>
  <c r="H155" i="7"/>
  <c r="D145" i="8"/>
  <c r="E145" i="8" s="1"/>
  <c r="D150" i="8"/>
  <c r="J145" i="8"/>
  <c r="H145" i="8"/>
  <c r="N145" i="8" s="1"/>
  <c r="J194" i="8"/>
  <c r="H194" i="8"/>
  <c r="L194" i="8"/>
  <c r="J190" i="8"/>
  <c r="L190" i="8"/>
  <c r="H190" i="8"/>
  <c r="J186" i="8"/>
  <c r="L186" i="8"/>
  <c r="H186" i="8"/>
  <c r="N186" i="8" s="1"/>
  <c r="J182" i="8"/>
  <c r="L182" i="8"/>
  <c r="H182" i="8"/>
  <c r="J178" i="8"/>
  <c r="L178" i="8"/>
  <c r="H178" i="8"/>
  <c r="H174" i="8"/>
  <c r="J174" i="8"/>
  <c r="L174" i="8"/>
  <c r="J170" i="8"/>
  <c r="L170" i="8"/>
  <c r="H170" i="8"/>
  <c r="N170" i="8" s="1"/>
  <c r="H159" i="8"/>
  <c r="J159" i="8"/>
  <c r="L159" i="8"/>
  <c r="L156" i="8"/>
  <c r="H156" i="8"/>
  <c r="J156" i="8"/>
  <c r="J142" i="14"/>
  <c r="N142" i="14" s="1"/>
  <c r="D78" i="34"/>
  <c r="N44" i="38"/>
  <c r="N51" i="38"/>
  <c r="H86" i="28"/>
  <c r="L86" i="28"/>
  <c r="L96" i="32"/>
  <c r="H96" i="32"/>
  <c r="J96" i="32"/>
  <c r="L87" i="34"/>
  <c r="J87" i="34"/>
  <c r="C115" i="36"/>
  <c r="J150" i="12"/>
  <c r="D150" i="12"/>
  <c r="L150" i="12"/>
  <c r="U150" i="12"/>
  <c r="J180" i="12"/>
  <c r="C180" i="12"/>
  <c r="S180" i="12"/>
  <c r="N105" i="12"/>
  <c r="W153" i="12"/>
  <c r="N176" i="12"/>
  <c r="N10" i="11"/>
  <c r="W192" i="11"/>
  <c r="D155" i="10"/>
  <c r="D163" i="10"/>
  <c r="N40" i="10"/>
  <c r="N49" i="10"/>
  <c r="C178" i="10"/>
  <c r="N76" i="10"/>
  <c r="N80" i="10"/>
  <c r="N92" i="10"/>
  <c r="C163" i="9"/>
  <c r="J166" i="9"/>
  <c r="U177" i="9"/>
  <c r="S177" i="9"/>
  <c r="B197" i="9"/>
  <c r="N111" i="9"/>
  <c r="C135" i="21"/>
  <c r="D143" i="21"/>
  <c r="D152" i="17"/>
  <c r="N96" i="25"/>
  <c r="B178" i="25"/>
  <c r="E178" i="25" s="1"/>
  <c r="D151" i="1"/>
  <c r="L161" i="1"/>
  <c r="J161" i="1"/>
  <c r="W161" i="1"/>
  <c r="H188" i="1"/>
  <c r="J183" i="1"/>
  <c r="H136" i="5"/>
  <c r="N136" i="5" s="1"/>
  <c r="H135" i="7"/>
  <c r="L186" i="7"/>
  <c r="J143" i="7"/>
  <c r="L143" i="7"/>
  <c r="N13" i="8"/>
  <c r="N18" i="8"/>
  <c r="J166" i="8"/>
  <c r="L166" i="8"/>
  <c r="H166" i="8"/>
  <c r="N166" i="8" s="1"/>
  <c r="J162" i="8"/>
  <c r="H162" i="8"/>
  <c r="L162" i="8"/>
  <c r="J152" i="8"/>
  <c r="L152" i="8"/>
  <c r="H152" i="8"/>
  <c r="B87" i="31"/>
  <c r="E87" i="31" s="1"/>
  <c r="N7" i="34"/>
  <c r="N12" i="38"/>
  <c r="D82" i="38"/>
  <c r="H93" i="29"/>
  <c r="J89" i="31"/>
  <c r="N89" i="31" s="1"/>
  <c r="J84" i="31"/>
  <c r="L75" i="32"/>
  <c r="H75" i="32"/>
  <c r="L90" i="34"/>
  <c r="L200" i="13"/>
  <c r="H183" i="13"/>
  <c r="L167" i="5"/>
  <c r="N8" i="12"/>
  <c r="C136" i="12"/>
  <c r="N53" i="12"/>
  <c r="C163" i="12"/>
  <c r="N83" i="12"/>
  <c r="C182" i="12"/>
  <c r="E182" i="12" s="1"/>
  <c r="L140" i="11"/>
  <c r="J140" i="11"/>
  <c r="N98" i="11"/>
  <c r="N104" i="11"/>
  <c r="N107" i="11"/>
  <c r="D189" i="11"/>
  <c r="E189" i="11" s="1"/>
  <c r="C191" i="11"/>
  <c r="E191" i="11" s="1"/>
  <c r="H155" i="10"/>
  <c r="D198" i="10"/>
  <c r="J182" i="9"/>
  <c r="N182" i="9" s="1"/>
  <c r="N55" i="21"/>
  <c r="C156" i="21"/>
  <c r="B192" i="19"/>
  <c r="N115" i="19"/>
  <c r="C142" i="17"/>
  <c r="N23" i="17"/>
  <c r="H130" i="26"/>
  <c r="N130" i="26" s="1"/>
  <c r="S130" i="26"/>
  <c r="W130" i="26" s="1"/>
  <c r="N94" i="25"/>
  <c r="D177" i="25"/>
  <c r="J179" i="13"/>
  <c r="N179" i="13" s="1"/>
  <c r="S171" i="12"/>
  <c r="L178" i="12"/>
  <c r="N178" i="12" s="1"/>
  <c r="T185" i="11"/>
  <c r="H206" i="10"/>
  <c r="B186" i="9"/>
  <c r="S193" i="9"/>
  <c r="W193" i="9" s="1"/>
  <c r="N46" i="21"/>
  <c r="N74" i="21"/>
  <c r="H167" i="21"/>
  <c r="N167" i="21" s="1"/>
  <c r="D168" i="21"/>
  <c r="N81" i="21"/>
  <c r="L175" i="21"/>
  <c r="C176" i="21"/>
  <c r="E176" i="21" s="1"/>
  <c r="C162" i="19"/>
  <c r="L174" i="19"/>
  <c r="U174" i="19"/>
  <c r="D174" i="19"/>
  <c r="T174" i="19"/>
  <c r="S174" i="19"/>
  <c r="U178" i="19"/>
  <c r="S178" i="19"/>
  <c r="N95" i="19"/>
  <c r="L185" i="19"/>
  <c r="D186" i="19"/>
  <c r="E186" i="19" s="1"/>
  <c r="N110" i="19"/>
  <c r="W176" i="19"/>
  <c r="J181" i="19"/>
  <c r="C146" i="18"/>
  <c r="E146" i="18" s="1"/>
  <c r="J155" i="18"/>
  <c r="N155" i="18" s="1"/>
  <c r="N52" i="18"/>
  <c r="J161" i="18"/>
  <c r="H162" i="18"/>
  <c r="J162" i="18"/>
  <c r="D167" i="18"/>
  <c r="E167" i="18" s="1"/>
  <c r="C191" i="18"/>
  <c r="W171" i="18"/>
  <c r="N18" i="17"/>
  <c r="B141" i="17"/>
  <c r="N43" i="17"/>
  <c r="L157" i="17"/>
  <c r="N157" i="17" s="1"/>
  <c r="C160" i="17"/>
  <c r="N70" i="17"/>
  <c r="B169" i="17"/>
  <c r="E169" i="17" s="1"/>
  <c r="D171" i="17"/>
  <c r="C175" i="17"/>
  <c r="N55" i="24"/>
  <c r="N66" i="24"/>
  <c r="B86" i="34"/>
  <c r="E86" i="34" s="1"/>
  <c r="J90" i="34"/>
  <c r="L94" i="37"/>
  <c r="L83" i="37"/>
  <c r="N83" i="37" s="1"/>
  <c r="U165" i="12"/>
  <c r="W165" i="12" s="1"/>
  <c r="U153" i="11"/>
  <c r="J158" i="11"/>
  <c r="N158" i="11" s="1"/>
  <c r="B172" i="11"/>
  <c r="B179" i="11"/>
  <c r="E179" i="11" s="1"/>
  <c r="S179" i="11"/>
  <c r="W179" i="11" s="1"/>
  <c r="H153" i="9"/>
  <c r="B164" i="9"/>
  <c r="T173" i="9"/>
  <c r="W173" i="9" s="1"/>
  <c r="T184" i="9"/>
  <c r="N124" i="9"/>
  <c r="N30" i="21"/>
  <c r="H153" i="21"/>
  <c r="J153" i="21"/>
  <c r="H173" i="21"/>
  <c r="L173" i="21"/>
  <c r="W151" i="21"/>
  <c r="W183" i="21"/>
  <c r="J142" i="19"/>
  <c r="N142" i="19" s="1"/>
  <c r="N19" i="19"/>
  <c r="N66" i="19"/>
  <c r="N78" i="19"/>
  <c r="N86" i="19"/>
  <c r="J142" i="18"/>
  <c r="N36" i="18"/>
  <c r="C154" i="18"/>
  <c r="H173" i="18"/>
  <c r="C181" i="18"/>
  <c r="E181" i="18" s="1"/>
  <c r="D160" i="17"/>
  <c r="U160" i="17"/>
  <c r="S160" i="17"/>
  <c r="C166" i="17"/>
  <c r="N75" i="17"/>
  <c r="H172" i="17"/>
  <c r="N89" i="17"/>
  <c r="H175" i="17"/>
  <c r="L175" i="17"/>
  <c r="N95" i="17"/>
  <c r="N112" i="17"/>
  <c r="B186" i="17"/>
  <c r="N58" i="16"/>
  <c r="S153" i="25"/>
  <c r="U153" i="25"/>
  <c r="U179" i="24"/>
  <c r="T179" i="24"/>
  <c r="S179" i="24"/>
  <c r="C179" i="24"/>
  <c r="L192" i="13"/>
  <c r="N192" i="13" s="1"/>
  <c r="J166" i="11"/>
  <c r="N166" i="11" s="1"/>
  <c r="S183" i="11"/>
  <c r="L192" i="9"/>
  <c r="N192" i="9" s="1"/>
  <c r="L146" i="21"/>
  <c r="N146" i="21" s="1"/>
  <c r="D160" i="21"/>
  <c r="E160" i="21" s="1"/>
  <c r="D169" i="21"/>
  <c r="B156" i="19"/>
  <c r="N38" i="19"/>
  <c r="C139" i="17"/>
  <c r="E139" i="17" s="1"/>
  <c r="L174" i="24"/>
  <c r="J174" i="24"/>
  <c r="H174" i="24"/>
  <c r="W166" i="23"/>
  <c r="C168" i="23"/>
  <c r="E168" i="23" s="1"/>
  <c r="N74" i="23"/>
  <c r="T147" i="12"/>
  <c r="B148" i="12"/>
  <c r="E148" i="12" s="1"/>
  <c r="N59" i="12"/>
  <c r="H139" i="12"/>
  <c r="H171" i="12"/>
  <c r="S153" i="11"/>
  <c r="D199" i="10"/>
  <c r="H166" i="9"/>
  <c r="C190" i="9"/>
  <c r="B201" i="9"/>
  <c r="C202" i="9"/>
  <c r="L181" i="21"/>
  <c r="J181" i="21"/>
  <c r="D154" i="19"/>
  <c r="L159" i="19"/>
  <c r="H159" i="19"/>
  <c r="D184" i="19"/>
  <c r="N111" i="19"/>
  <c r="B163" i="18"/>
  <c r="N58" i="18"/>
  <c r="W149" i="18"/>
  <c r="N9" i="17"/>
  <c r="L149" i="17"/>
  <c r="N149" i="17" s="1"/>
  <c r="C177" i="17"/>
  <c r="E177" i="17" s="1"/>
  <c r="L144" i="23"/>
  <c r="J144" i="23"/>
  <c r="N144" i="23" s="1"/>
  <c r="C179" i="13"/>
  <c r="N46" i="12"/>
  <c r="T153" i="11"/>
  <c r="S171" i="11"/>
  <c r="W171" i="11" s="1"/>
  <c r="L206" i="10"/>
  <c r="D202" i="9"/>
  <c r="C144" i="21"/>
  <c r="C145" i="21"/>
  <c r="E145" i="21" s="1"/>
  <c r="N61" i="21"/>
  <c r="N66" i="21"/>
  <c r="H185" i="21"/>
  <c r="N185" i="21" s="1"/>
  <c r="W146" i="21"/>
  <c r="W161" i="19"/>
  <c r="B162" i="19"/>
  <c r="D182" i="19"/>
  <c r="L184" i="19"/>
  <c r="N184" i="19" s="1"/>
  <c r="D184" i="18"/>
  <c r="T154" i="18"/>
  <c r="C154" i="17"/>
  <c r="T166" i="17"/>
  <c r="W166" i="17" s="1"/>
  <c r="C174" i="17"/>
  <c r="E174" i="17" s="1"/>
  <c r="W154" i="17"/>
  <c r="N118" i="26"/>
  <c r="B121" i="26"/>
  <c r="E121" i="26" s="1"/>
  <c r="L134" i="25"/>
  <c r="D134" i="25"/>
  <c r="C134" i="25"/>
  <c r="N36" i="38"/>
  <c r="N47" i="38"/>
  <c r="H190" i="9"/>
  <c r="J190" i="9"/>
  <c r="L190" i="9"/>
  <c r="H202" i="9"/>
  <c r="J202" i="9"/>
  <c r="L202" i="9"/>
  <c r="W147" i="21"/>
  <c r="N63" i="21"/>
  <c r="N15" i="19"/>
  <c r="N27" i="19"/>
  <c r="U184" i="19"/>
  <c r="T184" i="19"/>
  <c r="S184" i="19"/>
  <c r="W185" i="19"/>
  <c r="W190" i="19"/>
  <c r="N32" i="18"/>
  <c r="N104" i="18"/>
  <c r="W146" i="18"/>
  <c r="C151" i="17"/>
  <c r="H163" i="17"/>
  <c r="C171" i="17"/>
  <c r="J150" i="23"/>
  <c r="N150" i="23" s="1"/>
  <c r="H158" i="23"/>
  <c r="J158" i="23"/>
  <c r="T182" i="21"/>
  <c r="W182" i="21" s="1"/>
  <c r="N22" i="19"/>
  <c r="B174" i="19"/>
  <c r="U180" i="19"/>
  <c r="U188" i="19"/>
  <c r="U136" i="17"/>
  <c r="S136" i="17"/>
  <c r="B146" i="17"/>
  <c r="E146" i="17" s="1"/>
  <c r="T164" i="17"/>
  <c r="S164" i="17"/>
  <c r="J169" i="17"/>
  <c r="H169" i="17"/>
  <c r="N105" i="17"/>
  <c r="C184" i="17"/>
  <c r="B185" i="17"/>
  <c r="N110" i="17"/>
  <c r="T136" i="17"/>
  <c r="W128" i="16"/>
  <c r="N13" i="26"/>
  <c r="C123" i="26"/>
  <c r="D130" i="26"/>
  <c r="H132" i="26"/>
  <c r="C137" i="26"/>
  <c r="E137" i="26" s="1"/>
  <c r="U137" i="26"/>
  <c r="W137" i="26" s="1"/>
  <c r="D142" i="26"/>
  <c r="D153" i="25"/>
  <c r="B154" i="25"/>
  <c r="E154" i="25" s="1"/>
  <c r="C164" i="25"/>
  <c r="N82" i="25"/>
  <c r="N88" i="25"/>
  <c r="N111" i="25"/>
  <c r="U137" i="24"/>
  <c r="T137" i="24"/>
  <c r="D137" i="24"/>
  <c r="S137" i="24"/>
  <c r="N27" i="24"/>
  <c r="U149" i="24"/>
  <c r="T149" i="24"/>
  <c r="J158" i="24"/>
  <c r="L158" i="24"/>
  <c r="L159" i="24"/>
  <c r="N159" i="24" s="1"/>
  <c r="C171" i="24"/>
  <c r="E171" i="24" s="1"/>
  <c r="N82" i="24"/>
  <c r="C176" i="24"/>
  <c r="E176" i="24" s="1"/>
  <c r="H178" i="24"/>
  <c r="N178" i="24" s="1"/>
  <c r="L179" i="24"/>
  <c r="N179" i="24" s="1"/>
  <c r="W160" i="24"/>
  <c r="N40" i="23"/>
  <c r="N52" i="23"/>
  <c r="N106" i="23"/>
  <c r="B136" i="23"/>
  <c r="D169" i="22"/>
  <c r="W187" i="8"/>
  <c r="B155" i="21"/>
  <c r="S172" i="21"/>
  <c r="T174" i="21"/>
  <c r="W174" i="21" s="1"/>
  <c r="T144" i="19"/>
  <c r="N34" i="19"/>
  <c r="H169" i="19"/>
  <c r="N102" i="19"/>
  <c r="B191" i="19"/>
  <c r="B193" i="19"/>
  <c r="E193" i="19" s="1"/>
  <c r="U172" i="19"/>
  <c r="W172" i="19" s="1"/>
  <c r="N63" i="18"/>
  <c r="U170" i="18"/>
  <c r="T140" i="17"/>
  <c r="U148" i="17"/>
  <c r="S148" i="17"/>
  <c r="T158" i="17"/>
  <c r="S158" i="17"/>
  <c r="B162" i="17"/>
  <c r="B166" i="17"/>
  <c r="C182" i="17"/>
  <c r="W150" i="17"/>
  <c r="T178" i="17"/>
  <c r="W184" i="17"/>
  <c r="N60" i="16"/>
  <c r="C115" i="26"/>
  <c r="E115" i="26" s="1"/>
  <c r="N21" i="25"/>
  <c r="N61" i="25"/>
  <c r="N79" i="25"/>
  <c r="D175" i="25"/>
  <c r="W158" i="25"/>
  <c r="N33" i="24"/>
  <c r="B149" i="24"/>
  <c r="L160" i="24"/>
  <c r="N160" i="24" s="1"/>
  <c r="N81" i="24"/>
  <c r="U176" i="24"/>
  <c r="W139" i="24"/>
  <c r="W147" i="24"/>
  <c r="N14" i="23"/>
  <c r="N15" i="23"/>
  <c r="J140" i="23"/>
  <c r="N23" i="23"/>
  <c r="N27" i="23"/>
  <c r="D154" i="23"/>
  <c r="N67" i="23"/>
  <c r="C165" i="23"/>
  <c r="W191" i="8"/>
  <c r="U152" i="21"/>
  <c r="U144" i="19"/>
  <c r="N18" i="19"/>
  <c r="C181" i="19"/>
  <c r="B183" i="19"/>
  <c r="L192" i="19"/>
  <c r="N192" i="19" s="1"/>
  <c r="J152" i="18"/>
  <c r="B170" i="18"/>
  <c r="S170" i="18"/>
  <c r="B136" i="17"/>
  <c r="E136" i="17" s="1"/>
  <c r="N72" i="17"/>
  <c r="B168" i="17"/>
  <c r="U178" i="17"/>
  <c r="T134" i="16"/>
  <c r="S134" i="16"/>
  <c r="B144" i="16"/>
  <c r="E144" i="16" s="1"/>
  <c r="J151" i="16"/>
  <c r="L156" i="16"/>
  <c r="H156" i="16"/>
  <c r="J156" i="16"/>
  <c r="D156" i="25"/>
  <c r="C159" i="25"/>
  <c r="E159" i="25" s="1"/>
  <c r="C163" i="25"/>
  <c r="E163" i="25" s="1"/>
  <c r="W137" i="25"/>
  <c r="B137" i="24"/>
  <c r="N26" i="24"/>
  <c r="C143" i="24"/>
  <c r="E143" i="24" s="1"/>
  <c r="N41" i="24"/>
  <c r="C157" i="24"/>
  <c r="N54" i="24"/>
  <c r="L165" i="24"/>
  <c r="N165" i="24" s="1"/>
  <c r="S165" i="24"/>
  <c r="B173" i="24"/>
  <c r="N91" i="24"/>
  <c r="C185" i="24"/>
  <c r="E185" i="24" s="1"/>
  <c r="J152" i="23"/>
  <c r="N51" i="23"/>
  <c r="C157" i="23"/>
  <c r="N64" i="23"/>
  <c r="N70" i="23"/>
  <c r="N82" i="23"/>
  <c r="C174" i="23"/>
  <c r="E174" i="23" s="1"/>
  <c r="S176" i="23"/>
  <c r="U176" i="23"/>
  <c r="N109" i="23"/>
  <c r="D157" i="22"/>
  <c r="E157" i="22" s="1"/>
  <c r="S152" i="21"/>
  <c r="T154" i="19"/>
  <c r="C183" i="19"/>
  <c r="S154" i="19"/>
  <c r="D182" i="17"/>
  <c r="H186" i="17"/>
  <c r="N186" i="17" s="1"/>
  <c r="T114" i="26"/>
  <c r="U114" i="26"/>
  <c r="S114" i="26"/>
  <c r="C185" i="25"/>
  <c r="D152" i="24"/>
  <c r="E152" i="24" s="1"/>
  <c r="D157" i="24"/>
  <c r="E160" i="24"/>
  <c r="N96" i="24"/>
  <c r="C178" i="24"/>
  <c r="E178" i="24" s="1"/>
  <c r="B153" i="24"/>
  <c r="E153" i="24" s="1"/>
  <c r="N19" i="22"/>
  <c r="C153" i="22"/>
  <c r="S178" i="21"/>
  <c r="W178" i="21" s="1"/>
  <c r="D183" i="19"/>
  <c r="J193" i="19"/>
  <c r="N193" i="19" s="1"/>
  <c r="S180" i="19"/>
  <c r="S188" i="19"/>
  <c r="W188" i="19" s="1"/>
  <c r="N29" i="18"/>
  <c r="N19" i="17"/>
  <c r="U174" i="17"/>
  <c r="T174" i="17"/>
  <c r="J177" i="17"/>
  <c r="H177" i="17"/>
  <c r="N100" i="17"/>
  <c r="N111" i="17"/>
  <c r="W187" i="17"/>
  <c r="N22" i="26"/>
  <c r="J125" i="26"/>
  <c r="N33" i="26"/>
  <c r="W125" i="26"/>
  <c r="N27" i="25"/>
  <c r="C145" i="25"/>
  <c r="E145" i="25" s="1"/>
  <c r="B153" i="25"/>
  <c r="J158" i="25"/>
  <c r="C169" i="25"/>
  <c r="N83" i="25"/>
  <c r="U175" i="25"/>
  <c r="S175" i="25"/>
  <c r="N97" i="25"/>
  <c r="B181" i="25"/>
  <c r="E181" i="25" s="1"/>
  <c r="D185" i="25"/>
  <c r="W141" i="25"/>
  <c r="N18" i="24"/>
  <c r="N40" i="24"/>
  <c r="B150" i="24"/>
  <c r="E150" i="24" s="1"/>
  <c r="L152" i="24"/>
  <c r="N69" i="24"/>
  <c r="N90" i="24"/>
  <c r="L184" i="24"/>
  <c r="W156" i="24"/>
  <c r="N48" i="23"/>
  <c r="L160" i="23"/>
  <c r="L138" i="23"/>
  <c r="N138" i="23" s="1"/>
  <c r="N19" i="36"/>
  <c r="B155" i="19"/>
  <c r="C188" i="19"/>
  <c r="H179" i="17"/>
  <c r="L179" i="17"/>
  <c r="T148" i="17"/>
  <c r="N64" i="16"/>
  <c r="C114" i="26"/>
  <c r="N32" i="26"/>
  <c r="W118" i="26"/>
  <c r="N43" i="25"/>
  <c r="C153" i="25"/>
  <c r="N53" i="25"/>
  <c r="N57" i="25"/>
  <c r="D169" i="25"/>
  <c r="N45" i="24"/>
  <c r="C175" i="24"/>
  <c r="E175" i="24" s="1"/>
  <c r="C180" i="24"/>
  <c r="E180" i="24" s="1"/>
  <c r="W143" i="24"/>
  <c r="N26" i="23"/>
  <c r="C145" i="23"/>
  <c r="H152" i="23"/>
  <c r="T171" i="23"/>
  <c r="S171" i="23"/>
  <c r="C171" i="23"/>
  <c r="E171" i="23" s="1"/>
  <c r="U171" i="23"/>
  <c r="D176" i="23"/>
  <c r="C180" i="23"/>
  <c r="E180" i="23" s="1"/>
  <c r="S180" i="17"/>
  <c r="H114" i="26"/>
  <c r="J114" i="26"/>
  <c r="T177" i="25"/>
  <c r="T145" i="24"/>
  <c r="T173" i="24"/>
  <c r="W173" i="24" s="1"/>
  <c r="N43" i="23"/>
  <c r="U155" i="23"/>
  <c r="T155" i="23"/>
  <c r="D161" i="23"/>
  <c r="B170" i="23"/>
  <c r="E170" i="23" s="1"/>
  <c r="J178" i="23"/>
  <c r="H178" i="23"/>
  <c r="D185" i="23"/>
  <c r="W149" i="23"/>
  <c r="N11" i="22"/>
  <c r="N21" i="22"/>
  <c r="N29" i="22"/>
  <c r="C167" i="22"/>
  <c r="C169" i="22"/>
  <c r="E169" i="22" s="1"/>
  <c r="B189" i="22"/>
  <c r="N102" i="22"/>
  <c r="C190" i="22"/>
  <c r="E190" i="22" s="1"/>
  <c r="W172" i="22"/>
  <c r="W175" i="13"/>
  <c r="T114" i="36"/>
  <c r="S114" i="36"/>
  <c r="W99" i="28"/>
  <c r="B114" i="26"/>
  <c r="L115" i="26"/>
  <c r="L148" i="25"/>
  <c r="C161" i="25"/>
  <c r="E161" i="25" s="1"/>
  <c r="B175" i="25"/>
  <c r="J170" i="25"/>
  <c r="N170" i="25" s="1"/>
  <c r="J186" i="25"/>
  <c r="N186" i="25" s="1"/>
  <c r="N12" i="24"/>
  <c r="B179" i="24"/>
  <c r="E179" i="24" s="1"/>
  <c r="H152" i="24"/>
  <c r="D142" i="23"/>
  <c r="B161" i="23"/>
  <c r="T177" i="23"/>
  <c r="W177" i="23" s="1"/>
  <c r="W154" i="23"/>
  <c r="U165" i="23"/>
  <c r="W165" i="23" s="1"/>
  <c r="B151" i="22"/>
  <c r="E151" i="22" s="1"/>
  <c r="C163" i="22"/>
  <c r="E163" i="22" s="1"/>
  <c r="N63" i="22"/>
  <c r="N87" i="22"/>
  <c r="N114" i="22"/>
  <c r="W151" i="8"/>
  <c r="W159" i="8"/>
  <c r="W167" i="8"/>
  <c r="N181" i="22"/>
  <c r="E76" i="33"/>
  <c r="N114" i="2"/>
  <c r="D186" i="2"/>
  <c r="J185" i="17"/>
  <c r="N14" i="26"/>
  <c r="D147" i="26"/>
  <c r="E147" i="26" s="1"/>
  <c r="H148" i="25"/>
  <c r="H158" i="25"/>
  <c r="S167" i="25"/>
  <c r="J152" i="24"/>
  <c r="T167" i="24"/>
  <c r="T177" i="24"/>
  <c r="T181" i="24"/>
  <c r="S185" i="24"/>
  <c r="B178" i="23"/>
  <c r="E178" i="23" s="1"/>
  <c r="T183" i="23"/>
  <c r="S183" i="23"/>
  <c r="U183" i="23"/>
  <c r="N187" i="22"/>
  <c r="S131" i="16"/>
  <c r="W131" i="16" s="1"/>
  <c r="N20" i="26"/>
  <c r="U171" i="25"/>
  <c r="J138" i="25"/>
  <c r="H142" i="25"/>
  <c r="N142" i="25" s="1"/>
  <c r="T167" i="25"/>
  <c r="S161" i="24"/>
  <c r="T163" i="24"/>
  <c r="W163" i="24" s="1"/>
  <c r="T185" i="24"/>
  <c r="L154" i="23"/>
  <c r="N154" i="23" s="1"/>
  <c r="C158" i="23"/>
  <c r="E158" i="23" s="1"/>
  <c r="B188" i="23"/>
  <c r="S163" i="23"/>
  <c r="B183" i="22"/>
  <c r="E183" i="22" s="1"/>
  <c r="N54" i="25"/>
  <c r="J164" i="25"/>
  <c r="S171" i="25"/>
  <c r="T161" i="24"/>
  <c r="H168" i="24"/>
  <c r="B152" i="23"/>
  <c r="E152" i="23" s="1"/>
  <c r="B183" i="23"/>
  <c r="S155" i="23"/>
  <c r="T163" i="23"/>
  <c r="B154" i="22"/>
  <c r="N23" i="22"/>
  <c r="N36" i="22"/>
  <c r="B166" i="13"/>
  <c r="N49" i="13"/>
  <c r="H81" i="28"/>
  <c r="T75" i="34"/>
  <c r="U75" i="34"/>
  <c r="L114" i="26"/>
  <c r="D114" i="26"/>
  <c r="L148" i="23"/>
  <c r="J148" i="23"/>
  <c r="H148" i="23"/>
  <c r="D153" i="23"/>
  <c r="H171" i="23"/>
  <c r="C177" i="23"/>
  <c r="C183" i="23"/>
  <c r="B170" i="22"/>
  <c r="N62" i="22"/>
  <c r="C172" i="22"/>
  <c r="N75" i="22"/>
  <c r="W165" i="15"/>
  <c r="W186" i="15"/>
  <c r="D153" i="13"/>
  <c r="E153" i="13" s="1"/>
  <c r="W166" i="10"/>
  <c r="U183" i="19"/>
  <c r="T183" i="19"/>
  <c r="S183" i="19"/>
  <c r="W97" i="37"/>
  <c r="C125" i="35"/>
  <c r="W79" i="29"/>
  <c r="W79" i="31"/>
  <c r="W80" i="32"/>
  <c r="W194" i="15"/>
  <c r="W185" i="14"/>
  <c r="N56" i="13"/>
  <c r="W165" i="13"/>
  <c r="L167" i="22"/>
  <c r="W93" i="38"/>
  <c r="H85" i="37"/>
  <c r="N85" i="37" s="1"/>
  <c r="N75" i="35"/>
  <c r="N16" i="34"/>
  <c r="J80" i="34"/>
  <c r="H80" i="34"/>
  <c r="T78" i="34"/>
  <c r="U78" i="34"/>
  <c r="W79" i="34"/>
  <c r="L90" i="33"/>
  <c r="C107" i="36"/>
  <c r="W76" i="32"/>
  <c r="N7" i="9"/>
  <c r="N29" i="20"/>
  <c r="C130" i="20"/>
  <c r="T177" i="22"/>
  <c r="W177" i="22" s="1"/>
  <c r="W179" i="10"/>
  <c r="L177" i="22"/>
  <c r="N177" i="22" s="1"/>
  <c r="J161" i="22"/>
  <c r="N161" i="22" s="1"/>
  <c r="L81" i="28"/>
  <c r="J81" i="28"/>
  <c r="W89" i="28"/>
  <c r="L119" i="35"/>
  <c r="N119" i="35" s="1"/>
  <c r="D121" i="35"/>
  <c r="E121" i="35" s="1"/>
  <c r="N33" i="36"/>
  <c r="N26" i="36"/>
  <c r="L140" i="19"/>
  <c r="J140" i="19"/>
  <c r="H140" i="19"/>
  <c r="N49" i="22"/>
  <c r="B150" i="13"/>
  <c r="L155" i="13"/>
  <c r="L97" i="38"/>
  <c r="W87" i="37"/>
  <c r="W78" i="30"/>
  <c r="N79" i="34"/>
  <c r="B87" i="33"/>
  <c r="N31" i="33"/>
  <c r="L92" i="33"/>
  <c r="J92" i="33"/>
  <c r="L75" i="31"/>
  <c r="H75" i="31"/>
  <c r="J149" i="13"/>
  <c r="H149" i="13"/>
  <c r="W178" i="13"/>
  <c r="B151" i="13"/>
  <c r="N10" i="13"/>
  <c r="H194" i="22"/>
  <c r="H169" i="22"/>
  <c r="N169" i="22" s="1"/>
  <c r="L160" i="22"/>
  <c r="H160" i="22"/>
  <c r="L154" i="22"/>
  <c r="N154" i="22" s="1"/>
  <c r="J83" i="38"/>
  <c r="D114" i="35"/>
  <c r="E114" i="35" s="1"/>
  <c r="W102" i="28"/>
  <c r="L113" i="35"/>
  <c r="H113" i="35"/>
  <c r="C120" i="35"/>
  <c r="E120" i="35" s="1"/>
  <c r="D126" i="35"/>
  <c r="E126" i="35" s="1"/>
  <c r="W79" i="30"/>
  <c r="J91" i="34"/>
  <c r="T91" i="34"/>
  <c r="S91" i="34"/>
  <c r="N35" i="33"/>
  <c r="H93" i="33"/>
  <c r="J78" i="31"/>
  <c r="H78" i="31"/>
  <c r="N139" i="11"/>
  <c r="C193" i="11"/>
  <c r="N119" i="11"/>
  <c r="B150" i="26"/>
  <c r="W179" i="13"/>
  <c r="B167" i="13"/>
  <c r="E167" i="13" s="1"/>
  <c r="J156" i="22"/>
  <c r="N156" i="22" s="1"/>
  <c r="W84" i="38"/>
  <c r="W84" i="28"/>
  <c r="W103" i="28"/>
  <c r="N56" i="35"/>
  <c r="W85" i="34"/>
  <c r="L81" i="38"/>
  <c r="N21" i="38"/>
  <c r="C77" i="33"/>
  <c r="B90" i="33"/>
  <c r="N43" i="33"/>
  <c r="N35" i="36"/>
  <c r="W90" i="29"/>
  <c r="L71" i="31"/>
  <c r="H71" i="31"/>
  <c r="N17" i="33"/>
  <c r="N23" i="33"/>
  <c r="B85" i="33"/>
  <c r="B83" i="33"/>
  <c r="D82" i="33"/>
  <c r="N24" i="34"/>
  <c r="N46" i="36"/>
  <c r="L88" i="37"/>
  <c r="J157" i="13"/>
  <c r="H135" i="5"/>
  <c r="J135" i="5"/>
  <c r="N7" i="13"/>
  <c r="T135" i="12"/>
  <c r="S135" i="12"/>
  <c r="N6" i="21"/>
  <c r="N6" i="22"/>
  <c r="C147" i="22"/>
  <c r="E147" i="22" s="1"/>
  <c r="N10" i="20"/>
  <c r="N8" i="13"/>
  <c r="L79" i="38"/>
  <c r="U100" i="37"/>
  <c r="W100" i="37" s="1"/>
  <c r="S105" i="36"/>
  <c r="T77" i="30"/>
  <c r="W77" i="30" s="1"/>
  <c r="J85" i="33"/>
  <c r="H85" i="33"/>
  <c r="L85" i="33"/>
  <c r="B89" i="33"/>
  <c r="W87" i="31"/>
  <c r="W87" i="32"/>
  <c r="W84" i="32"/>
  <c r="W78" i="33"/>
  <c r="N25" i="34"/>
  <c r="W106" i="35"/>
  <c r="E132" i="21"/>
  <c r="C134" i="17"/>
  <c r="T133" i="24"/>
  <c r="U133" i="24"/>
  <c r="D135" i="12"/>
  <c r="D191" i="14"/>
  <c r="B136" i="20"/>
  <c r="N40" i="20"/>
  <c r="B202" i="13"/>
  <c r="E202" i="13" s="1"/>
  <c r="J156" i="13"/>
  <c r="N156" i="13" s="1"/>
  <c r="N32" i="38"/>
  <c r="L83" i="38"/>
  <c r="T83" i="34"/>
  <c r="W83" i="34" s="1"/>
  <c r="J88" i="33"/>
  <c r="J94" i="33"/>
  <c r="L94" i="33"/>
  <c r="C106" i="36"/>
  <c r="J72" i="31"/>
  <c r="N72" i="31" s="1"/>
  <c r="L72" i="31"/>
  <c r="L80" i="31"/>
  <c r="H80" i="31"/>
  <c r="W88" i="32"/>
  <c r="H91" i="34"/>
  <c r="N42" i="35"/>
  <c r="B135" i="12"/>
  <c r="S132" i="21"/>
  <c r="J132" i="21"/>
  <c r="T132" i="21"/>
  <c r="B140" i="19"/>
  <c r="N6" i="19"/>
  <c r="N84" i="35"/>
  <c r="J86" i="33"/>
  <c r="H86" i="33"/>
  <c r="J90" i="33"/>
  <c r="J93" i="33"/>
  <c r="L93" i="33"/>
  <c r="B81" i="29"/>
  <c r="E81" i="29" s="1"/>
  <c r="W83" i="31"/>
  <c r="N8" i="37"/>
  <c r="C81" i="37"/>
  <c r="E81" i="37" s="1"/>
  <c r="B144" i="8"/>
  <c r="E144" i="8" s="1"/>
  <c r="D133" i="25"/>
  <c r="N6" i="25"/>
  <c r="B133" i="24"/>
  <c r="L203" i="15"/>
  <c r="J203" i="15"/>
  <c r="B157" i="16"/>
  <c r="C129" i="20"/>
  <c r="J153" i="13"/>
  <c r="J92" i="38"/>
  <c r="L89" i="38"/>
  <c r="W95" i="38"/>
  <c r="C81" i="28"/>
  <c r="E81" i="28" s="1"/>
  <c r="L83" i="33"/>
  <c r="N83" i="33" s="1"/>
  <c r="L74" i="32"/>
  <c r="N74" i="32" s="1"/>
  <c r="W74" i="32"/>
  <c r="D82" i="34"/>
  <c r="N26" i="34"/>
  <c r="C88" i="37"/>
  <c r="E88" i="37" s="1"/>
  <c r="N6" i="5"/>
  <c r="C135" i="5"/>
  <c r="E135" i="5" s="1"/>
  <c r="L149" i="13"/>
  <c r="C149" i="9"/>
  <c r="E149" i="9" s="1"/>
  <c r="L135" i="5"/>
  <c r="U135" i="12"/>
  <c r="C133" i="24"/>
  <c r="L157" i="16"/>
  <c r="E189" i="23"/>
  <c r="W81" i="38"/>
  <c r="C85" i="38"/>
  <c r="J87" i="33"/>
  <c r="H87" i="33"/>
  <c r="L91" i="33"/>
  <c r="J91" i="33"/>
  <c r="B94" i="33"/>
  <c r="E94" i="33" s="1"/>
  <c r="N21" i="36"/>
  <c r="C83" i="33"/>
  <c r="H81" i="37"/>
  <c r="L135" i="12"/>
  <c r="J135" i="12"/>
  <c r="H135" i="12"/>
  <c r="N123" i="8"/>
  <c r="C198" i="8"/>
  <c r="E198" i="8" s="1"/>
  <c r="U157" i="16"/>
  <c r="T157" i="16"/>
  <c r="S157" i="16"/>
  <c r="T101" i="29"/>
  <c r="U101" i="29"/>
  <c r="J141" i="20"/>
  <c r="H141" i="20"/>
  <c r="L141" i="20"/>
  <c r="N6" i="7"/>
  <c r="L149" i="9"/>
  <c r="H149" i="9"/>
  <c r="D140" i="19"/>
  <c r="L134" i="17"/>
  <c r="J134" i="17"/>
  <c r="H134" i="17"/>
  <c r="C133" i="25"/>
  <c r="R6" i="24"/>
  <c r="U135" i="23"/>
  <c r="S135" i="23"/>
  <c r="T135" i="23"/>
  <c r="U139" i="11"/>
  <c r="W149" i="9"/>
  <c r="J138" i="18"/>
  <c r="N138" i="18" s="1"/>
  <c r="W134" i="17"/>
  <c r="J135" i="23"/>
  <c r="N126" i="15"/>
  <c r="N115" i="12"/>
  <c r="C186" i="21"/>
  <c r="W194" i="19"/>
  <c r="W192" i="18"/>
  <c r="J188" i="17"/>
  <c r="H188" i="17"/>
  <c r="E187" i="24"/>
  <c r="J103" i="37"/>
  <c r="B96" i="32"/>
  <c r="N13" i="20"/>
  <c r="C126" i="20"/>
  <c r="H131" i="20"/>
  <c r="J131" i="20"/>
  <c r="N41" i="20"/>
  <c r="C142" i="20"/>
  <c r="N52" i="20"/>
  <c r="L146" i="20"/>
  <c r="J146" i="20"/>
  <c r="H146" i="20"/>
  <c r="B148" i="20"/>
  <c r="S140" i="19"/>
  <c r="U140" i="19"/>
  <c r="W196" i="3"/>
  <c r="H203" i="15"/>
  <c r="C191" i="14"/>
  <c r="E191" i="14" s="1"/>
  <c r="N131" i="9"/>
  <c r="J186" i="21"/>
  <c r="N125" i="22"/>
  <c r="E119" i="20"/>
  <c r="L120" i="20"/>
  <c r="J120" i="20"/>
  <c r="H120" i="20"/>
  <c r="L138" i="20"/>
  <c r="J138" i="20"/>
  <c r="H138" i="20"/>
  <c r="B137" i="20"/>
  <c r="E152" i="20"/>
  <c r="N6" i="17"/>
  <c r="B135" i="23"/>
  <c r="J144" i="8"/>
  <c r="N144" i="8" s="1"/>
  <c r="J133" i="25"/>
  <c r="H203" i="9"/>
  <c r="L194" i="19"/>
  <c r="H157" i="16"/>
  <c r="N132" i="10"/>
  <c r="N7" i="20"/>
  <c r="L121" i="20"/>
  <c r="N26" i="20"/>
  <c r="C135" i="20"/>
  <c r="E135" i="20" s="1"/>
  <c r="N38" i="20"/>
  <c r="N81" i="20"/>
  <c r="U157" i="20"/>
  <c r="T157" i="20"/>
  <c r="S157" i="20"/>
  <c r="L158" i="20"/>
  <c r="J158" i="20"/>
  <c r="H158" i="20"/>
  <c r="N92" i="20"/>
  <c r="B162" i="20"/>
  <c r="N100" i="20"/>
  <c r="B166" i="20"/>
  <c r="H127" i="20"/>
  <c r="L73" i="31"/>
  <c r="J194" i="19"/>
  <c r="H194" i="19"/>
  <c r="B192" i="18"/>
  <c r="E192" i="18" s="1"/>
  <c r="D157" i="16"/>
  <c r="J157" i="16"/>
  <c r="L128" i="20"/>
  <c r="J128" i="20"/>
  <c r="H128" i="20"/>
  <c r="S134" i="20"/>
  <c r="U134" i="20"/>
  <c r="T134" i="20"/>
  <c r="J127" i="20"/>
  <c r="W138" i="20"/>
  <c r="N86" i="16"/>
  <c r="C158" i="16"/>
  <c r="E158" i="16" s="1"/>
  <c r="D135" i="23"/>
  <c r="T140" i="19"/>
  <c r="D104" i="28"/>
  <c r="N57" i="28"/>
  <c r="B203" i="13"/>
  <c r="N128" i="13"/>
  <c r="C203" i="9"/>
  <c r="C157" i="16"/>
  <c r="C97" i="32"/>
  <c r="B96" i="33"/>
  <c r="E96" i="33" s="1"/>
  <c r="B128" i="35"/>
  <c r="H208" i="10"/>
  <c r="J208" i="10"/>
  <c r="L208" i="10"/>
  <c r="J129" i="20"/>
  <c r="N35" i="20"/>
  <c r="H135" i="20"/>
  <c r="J135" i="20"/>
  <c r="L135" i="20"/>
  <c r="D136" i="20"/>
  <c r="N57" i="20"/>
  <c r="L145" i="20"/>
  <c r="N62" i="20"/>
  <c r="N75" i="20"/>
  <c r="L160" i="20"/>
  <c r="J160" i="20"/>
  <c r="H160" i="20"/>
  <c r="J161" i="20"/>
  <c r="H161" i="20"/>
  <c r="L161" i="20"/>
  <c r="L131" i="20"/>
  <c r="W78" i="38"/>
  <c r="H132" i="21"/>
  <c r="B133" i="25"/>
  <c r="J104" i="28"/>
  <c r="L104" i="28"/>
  <c r="H203" i="13"/>
  <c r="L203" i="13"/>
  <c r="E193" i="11"/>
  <c r="N130" i="9"/>
  <c r="T186" i="21"/>
  <c r="S186" i="21"/>
  <c r="J95" i="34"/>
  <c r="N95" i="34" s="1"/>
  <c r="C128" i="35"/>
  <c r="N8" i="20"/>
  <c r="L124" i="20"/>
  <c r="J124" i="20"/>
  <c r="H124" i="20"/>
  <c r="N18" i="20"/>
  <c r="B143" i="20"/>
  <c r="N54" i="20"/>
  <c r="U145" i="20"/>
  <c r="T145" i="20"/>
  <c r="S145" i="20"/>
  <c r="H145" i="20"/>
  <c r="S154" i="20"/>
  <c r="T154" i="20"/>
  <c r="C122" i="20"/>
  <c r="H189" i="12"/>
  <c r="L203" i="9"/>
  <c r="J201" i="22"/>
  <c r="N201" i="22" s="1"/>
  <c r="C98" i="38"/>
  <c r="U119" i="20"/>
  <c r="T119" i="20"/>
  <c r="S119" i="20"/>
  <c r="B121" i="20"/>
  <c r="D127" i="20"/>
  <c r="L130" i="20"/>
  <c r="J130" i="20"/>
  <c r="C131" i="20"/>
  <c r="B132" i="20"/>
  <c r="L134" i="20"/>
  <c r="J134" i="20"/>
  <c r="U137" i="20"/>
  <c r="W137" i="20" s="1"/>
  <c r="T137" i="20"/>
  <c r="D141" i="20"/>
  <c r="B142" i="20"/>
  <c r="D145" i="20"/>
  <c r="N60" i="20"/>
  <c r="L149" i="20"/>
  <c r="J149" i="20"/>
  <c r="H149" i="20"/>
  <c r="L157" i="20"/>
  <c r="C159" i="20"/>
  <c r="W120" i="20"/>
  <c r="J123" i="20"/>
  <c r="L129" i="20"/>
  <c r="W132" i="20"/>
  <c r="H195" i="19"/>
  <c r="J195" i="19"/>
  <c r="L195" i="19"/>
  <c r="L189" i="12"/>
  <c r="B203" i="9"/>
  <c r="H192" i="18"/>
  <c r="L102" i="29"/>
  <c r="J102" i="29"/>
  <c r="H102" i="29"/>
  <c r="N53" i="38"/>
  <c r="J97" i="32"/>
  <c r="N97" i="32" s="1"/>
  <c r="D125" i="20"/>
  <c r="D129" i="20"/>
  <c r="L132" i="20"/>
  <c r="J132" i="20"/>
  <c r="C133" i="20"/>
  <c r="H139" i="20"/>
  <c r="C140" i="20"/>
  <c r="L143" i="20"/>
  <c r="B144" i="20"/>
  <c r="C148" i="20"/>
  <c r="J151" i="20"/>
  <c r="L155" i="20"/>
  <c r="J155" i="20"/>
  <c r="B156" i="20"/>
  <c r="N87" i="20"/>
  <c r="N89" i="20"/>
  <c r="L164" i="20"/>
  <c r="J164" i="20"/>
  <c r="H164" i="20"/>
  <c r="L165" i="20"/>
  <c r="J165" i="20"/>
  <c r="J121" i="20"/>
  <c r="N121" i="20" s="1"/>
  <c r="W122" i="20"/>
  <c r="H125" i="20"/>
  <c r="W130" i="20"/>
  <c r="J133" i="20"/>
  <c r="J143" i="20"/>
  <c r="S148" i="20"/>
  <c r="N130" i="13"/>
  <c r="H98" i="32"/>
  <c r="L98" i="32"/>
  <c r="J98" i="32"/>
  <c r="W187" i="21"/>
  <c r="J129" i="35"/>
  <c r="L129" i="35"/>
  <c r="B151" i="26"/>
  <c r="N80" i="26"/>
  <c r="U189" i="5"/>
  <c r="B203" i="15"/>
  <c r="J189" i="12"/>
  <c r="H193" i="11"/>
  <c r="N193" i="11" s="1"/>
  <c r="H187" i="25"/>
  <c r="D208" i="10"/>
  <c r="N54" i="38"/>
  <c r="H98" i="38"/>
  <c r="B123" i="20"/>
  <c r="D133" i="20"/>
  <c r="E133" i="20" s="1"/>
  <c r="B134" i="20"/>
  <c r="E134" i="20" s="1"/>
  <c r="L136" i="20"/>
  <c r="J136" i="20"/>
  <c r="C137" i="20"/>
  <c r="D140" i="20"/>
  <c r="U143" i="20"/>
  <c r="T143" i="20"/>
  <c r="S143" i="20"/>
  <c r="C144" i="20"/>
  <c r="L147" i="20"/>
  <c r="U151" i="20"/>
  <c r="T151" i="20"/>
  <c r="S151" i="20"/>
  <c r="C156" i="20"/>
  <c r="B120" i="20"/>
  <c r="J125" i="20"/>
  <c r="J139" i="20"/>
  <c r="T148" i="20"/>
  <c r="S194" i="1"/>
  <c r="H193" i="18"/>
  <c r="J193" i="18"/>
  <c r="J192" i="18"/>
  <c r="J187" i="25"/>
  <c r="L122" i="20"/>
  <c r="J122" i="20"/>
  <c r="H122" i="20"/>
  <c r="C123" i="20"/>
  <c r="N16" i="20"/>
  <c r="B127" i="20"/>
  <c r="U129" i="20"/>
  <c r="T129" i="20"/>
  <c r="S129" i="20"/>
  <c r="N30" i="20"/>
  <c r="H133" i="20"/>
  <c r="N44" i="20"/>
  <c r="H140" i="20"/>
  <c r="B141" i="20"/>
  <c r="D144" i="20"/>
  <c r="L152" i="20"/>
  <c r="J152" i="20"/>
  <c r="H152" i="20"/>
  <c r="B154" i="20"/>
  <c r="D156" i="20"/>
  <c r="N101" i="20"/>
  <c r="W126" i="20"/>
  <c r="H129" i="20"/>
  <c r="H136" i="20"/>
  <c r="L139" i="20"/>
  <c r="J199" i="8"/>
  <c r="H199" i="8"/>
  <c r="L199" i="8"/>
  <c r="N126" i="8"/>
  <c r="W93" i="33"/>
  <c r="E195" i="19"/>
  <c r="C208" i="10"/>
  <c r="L126" i="20"/>
  <c r="J126" i="20"/>
  <c r="H126" i="20"/>
  <c r="H137" i="20"/>
  <c r="U140" i="20"/>
  <c r="T140" i="20"/>
  <c r="L144" i="20"/>
  <c r="J144" i="20"/>
  <c r="H144" i="20"/>
  <c r="N63" i="20"/>
  <c r="C154" i="20"/>
  <c r="N84" i="20"/>
  <c r="C158" i="20"/>
  <c r="B159" i="20"/>
  <c r="N86" i="20"/>
  <c r="H132" i="20"/>
  <c r="W136" i="20"/>
  <c r="L193" i="18"/>
  <c r="L148" i="20"/>
  <c r="J148" i="20"/>
  <c r="H148" i="20"/>
  <c r="L154" i="20"/>
  <c r="J154" i="20"/>
  <c r="H154" i="20"/>
  <c r="B161" i="20"/>
  <c r="E161" i="20" s="1"/>
  <c r="L151" i="20"/>
  <c r="J153" i="20"/>
  <c r="B160" i="20"/>
  <c r="J163" i="20"/>
  <c r="W164" i="20"/>
  <c r="H195" i="1"/>
  <c r="W195" i="1"/>
  <c r="L195" i="1"/>
  <c r="H81" i="30"/>
  <c r="L81" i="30"/>
  <c r="D199" i="8"/>
  <c r="E199" i="8" s="1"/>
  <c r="D98" i="32"/>
  <c r="J167" i="20"/>
  <c r="L167" i="20"/>
  <c r="H167" i="20"/>
  <c r="B145" i="20"/>
  <c r="D147" i="20"/>
  <c r="U149" i="20"/>
  <c r="T149" i="20"/>
  <c r="S149" i="20"/>
  <c r="B151" i="20"/>
  <c r="C153" i="20"/>
  <c r="U155" i="20"/>
  <c r="T155" i="20"/>
  <c r="S155" i="20"/>
  <c r="D159" i="20"/>
  <c r="U161" i="20"/>
  <c r="T161" i="20"/>
  <c r="S161" i="20"/>
  <c r="B163" i="20"/>
  <c r="J145" i="20"/>
  <c r="H147" i="20"/>
  <c r="T150" i="20"/>
  <c r="S152" i="20"/>
  <c r="H157" i="20"/>
  <c r="S166" i="20"/>
  <c r="L190" i="5"/>
  <c r="W190" i="5"/>
  <c r="J190" i="5"/>
  <c r="W81" i="30"/>
  <c r="D103" i="29"/>
  <c r="B190" i="12"/>
  <c r="W94" i="33"/>
  <c r="N188" i="24"/>
  <c r="C167" i="20"/>
  <c r="H104" i="37"/>
  <c r="J104" i="37"/>
  <c r="L151" i="26"/>
  <c r="C145" i="20"/>
  <c r="C151" i="20"/>
  <c r="D153" i="20"/>
  <c r="B157" i="20"/>
  <c r="C163" i="20"/>
  <c r="N96" i="20"/>
  <c r="L166" i="20"/>
  <c r="J166" i="20"/>
  <c r="H166" i="20"/>
  <c r="J147" i="20"/>
  <c r="T152" i="20"/>
  <c r="J157" i="20"/>
  <c r="H159" i="20"/>
  <c r="T166" i="20"/>
  <c r="N117" i="2"/>
  <c r="B197" i="3"/>
  <c r="E197" i="3" s="1"/>
  <c r="N121" i="14"/>
  <c r="N120" i="11"/>
  <c r="W204" i="9"/>
  <c r="W195" i="19"/>
  <c r="J158" i="16"/>
  <c r="H158" i="16"/>
  <c r="L158" i="16"/>
  <c r="N81" i="26"/>
  <c r="W151" i="26"/>
  <c r="U147" i="20"/>
  <c r="T147" i="20"/>
  <c r="S147" i="20"/>
  <c r="L150" i="20"/>
  <c r="J150" i="20"/>
  <c r="H150" i="20"/>
  <c r="L156" i="20"/>
  <c r="J156" i="20"/>
  <c r="H156" i="20"/>
  <c r="C157" i="20"/>
  <c r="L162" i="20"/>
  <c r="J162" i="20"/>
  <c r="H162" i="20"/>
  <c r="D163" i="20"/>
  <c r="B146" i="20"/>
  <c r="H151" i="20"/>
  <c r="J159" i="20"/>
  <c r="W197" i="3"/>
  <c r="B97" i="33"/>
  <c r="W190" i="23"/>
  <c r="B188" i="25"/>
  <c r="N117" i="25"/>
  <c r="L142" i="20"/>
  <c r="J142" i="20"/>
  <c r="H142" i="20"/>
  <c r="N64" i="20"/>
  <c r="N66" i="20"/>
  <c r="D151" i="20"/>
  <c r="N78" i="20"/>
  <c r="D157" i="20"/>
  <c r="U159" i="20"/>
  <c r="T159" i="20"/>
  <c r="S159" i="20"/>
  <c r="N90" i="20"/>
  <c r="N98" i="20"/>
  <c r="W142" i="20"/>
  <c r="H190" i="5"/>
  <c r="B204" i="15"/>
  <c r="C98" i="32"/>
  <c r="E98" i="32" s="1"/>
  <c r="J194" i="11"/>
  <c r="L194" i="11"/>
  <c r="H194" i="11"/>
  <c r="C194" i="11"/>
  <c r="E194" i="11" s="1"/>
  <c r="B204" i="9"/>
  <c r="N132" i="9"/>
  <c r="D96" i="34"/>
  <c r="E96" i="34" s="1"/>
  <c r="H187" i="21"/>
  <c r="J187" i="21"/>
  <c r="L187" i="21"/>
  <c r="D167" i="20"/>
  <c r="C193" i="18"/>
  <c r="W193" i="18"/>
  <c r="N116" i="25"/>
  <c r="L105" i="28"/>
  <c r="J192" i="14"/>
  <c r="J204" i="9"/>
  <c r="J151" i="26"/>
  <c r="B193" i="18"/>
  <c r="E193" i="18" s="1"/>
  <c r="N105" i="6"/>
  <c r="L189" i="7"/>
  <c r="N51" i="31"/>
  <c r="N57" i="32"/>
  <c r="H189" i="7"/>
  <c r="L120" i="6"/>
  <c r="H120" i="6"/>
  <c r="J120" i="6"/>
  <c r="N107" i="6"/>
  <c r="N112" i="6"/>
  <c r="N113" i="6"/>
  <c r="N111" i="6"/>
  <c r="N108" i="6"/>
  <c r="N115" i="6"/>
  <c r="N114" i="6"/>
  <c r="C134" i="6"/>
  <c r="J123" i="6"/>
  <c r="B132" i="6"/>
  <c r="E110" i="6"/>
  <c r="U126" i="6"/>
  <c r="N37" i="6"/>
  <c r="B131" i="6"/>
  <c r="C132" i="6"/>
  <c r="E107" i="6"/>
  <c r="E112" i="6"/>
  <c r="E109" i="6"/>
  <c r="N44" i="6"/>
  <c r="N80" i="6"/>
  <c r="B141" i="6"/>
  <c r="C131" i="6"/>
  <c r="B134" i="6"/>
  <c r="E115" i="6"/>
  <c r="E106" i="6"/>
  <c r="E116" i="6"/>
  <c r="E114" i="6"/>
  <c r="C129" i="6"/>
  <c r="C137" i="6"/>
  <c r="B140" i="6"/>
  <c r="D134" i="6"/>
  <c r="L133" i="6"/>
  <c r="J133" i="6"/>
  <c r="H133" i="6"/>
  <c r="C117" i="6"/>
  <c r="B121" i="6"/>
  <c r="J132" i="6"/>
  <c r="L132" i="6"/>
  <c r="H132" i="6"/>
  <c r="D117" i="6"/>
  <c r="D133" i="6"/>
  <c r="B136" i="6"/>
  <c r="L131" i="6"/>
  <c r="C133" i="6"/>
  <c r="B137" i="6"/>
  <c r="B138" i="6"/>
  <c r="B139" i="6"/>
  <c r="U117" i="6"/>
  <c r="T117" i="6"/>
  <c r="S117" i="6"/>
  <c r="E113" i="6"/>
  <c r="B133" i="6"/>
  <c r="B135" i="6"/>
  <c r="L134" i="6"/>
  <c r="J134" i="6"/>
  <c r="H134" i="6"/>
  <c r="E108" i="6"/>
  <c r="E111" i="6"/>
  <c r="N64" i="28"/>
  <c r="N99" i="38"/>
  <c r="W103" i="29"/>
  <c r="W105" i="28"/>
  <c r="J105" i="28"/>
  <c r="T98" i="38"/>
  <c r="L98" i="38"/>
  <c r="B78" i="38"/>
  <c r="E78" i="38" s="1"/>
  <c r="D79" i="38"/>
  <c r="N14" i="38"/>
  <c r="D83" i="38"/>
  <c r="C86" i="38"/>
  <c r="D88" i="38"/>
  <c r="H83" i="38"/>
  <c r="N22" i="38"/>
  <c r="S97" i="38"/>
  <c r="W97" i="38" s="1"/>
  <c r="S89" i="38"/>
  <c r="C82" i="38"/>
  <c r="N17" i="38"/>
  <c r="D87" i="38"/>
  <c r="N29" i="38"/>
  <c r="D90" i="38"/>
  <c r="N40" i="38"/>
  <c r="B94" i="38"/>
  <c r="C95" i="38"/>
  <c r="N49" i="38"/>
  <c r="J95" i="38"/>
  <c r="J89" i="38"/>
  <c r="J86" i="38"/>
  <c r="H80" i="38"/>
  <c r="U89" i="38"/>
  <c r="B85" i="38"/>
  <c r="H89" i="38"/>
  <c r="J91" i="38"/>
  <c r="N8" i="38"/>
  <c r="C80" i="38"/>
  <c r="N13" i="38"/>
  <c r="D85" i="38"/>
  <c r="N43" i="38"/>
  <c r="D96" i="38"/>
  <c r="J96" i="38"/>
  <c r="J93" i="38"/>
  <c r="J90" i="38"/>
  <c r="L88" i="38"/>
  <c r="H82" i="38"/>
  <c r="J94" i="38"/>
  <c r="J79" i="38"/>
  <c r="L91" i="38"/>
  <c r="N52" i="38"/>
  <c r="N10" i="38"/>
  <c r="N16" i="38"/>
  <c r="N23" i="38"/>
  <c r="D91" i="38"/>
  <c r="N41" i="38"/>
  <c r="D94" i="38"/>
  <c r="H96" i="38"/>
  <c r="L92" i="38"/>
  <c r="L84" i="38"/>
  <c r="N57" i="38"/>
  <c r="B89" i="38"/>
  <c r="U90" i="38"/>
  <c r="C87" i="38"/>
  <c r="T90" i="38"/>
  <c r="B80" i="38"/>
  <c r="D84" i="38"/>
  <c r="C88" i="38"/>
  <c r="N34" i="38"/>
  <c r="N48" i="38"/>
  <c r="D97" i="38"/>
  <c r="C96" i="38"/>
  <c r="L87" i="38"/>
  <c r="N56" i="38"/>
  <c r="H88" i="38"/>
  <c r="H85" i="38"/>
  <c r="N18" i="38"/>
  <c r="N30" i="38"/>
  <c r="B92" i="38"/>
  <c r="H95" i="38"/>
  <c r="H92" i="38"/>
  <c r="L86" i="38"/>
  <c r="B81" i="38"/>
  <c r="J81" i="38"/>
  <c r="J80" i="38"/>
  <c r="B79" i="38"/>
  <c r="D80" i="38"/>
  <c r="N33" i="38"/>
  <c r="N45" i="38"/>
  <c r="L90" i="38"/>
  <c r="L94" i="38"/>
  <c r="D92" i="38"/>
  <c r="N50" i="38"/>
  <c r="B96" i="38"/>
  <c r="L85" i="38"/>
  <c r="N28" i="38"/>
  <c r="B88" i="38"/>
  <c r="N11" i="38"/>
  <c r="N24" i="38"/>
  <c r="L96" i="38"/>
  <c r="B83" i="38"/>
  <c r="J84" i="38"/>
  <c r="B82" i="38"/>
  <c r="J82" i="38"/>
  <c r="N42" i="38"/>
  <c r="L95" i="38"/>
  <c r="T130" i="6"/>
  <c r="L139" i="6"/>
  <c r="J136" i="6"/>
  <c r="N66" i="6"/>
  <c r="S140" i="6"/>
  <c r="H141" i="6"/>
  <c r="N43" i="6"/>
  <c r="C130" i="6"/>
  <c r="N68" i="6"/>
  <c r="L122" i="6"/>
  <c r="W127" i="6"/>
  <c r="W131" i="6"/>
  <c r="B127" i="6"/>
  <c r="D131" i="6"/>
  <c r="L135" i="6"/>
  <c r="C123" i="6"/>
  <c r="S126" i="6"/>
  <c r="D136" i="6"/>
  <c r="H127" i="6"/>
  <c r="C120" i="6"/>
  <c r="H129" i="6"/>
  <c r="S121" i="6"/>
  <c r="D121" i="6"/>
  <c r="D122" i="6"/>
  <c r="H139" i="6"/>
  <c r="J128" i="6"/>
  <c r="U121" i="6"/>
  <c r="C121" i="6"/>
  <c r="S137" i="6"/>
  <c r="N50" i="6"/>
  <c r="N61" i="6"/>
  <c r="L138" i="6"/>
  <c r="H131" i="6"/>
  <c r="J127" i="6"/>
  <c r="J141" i="6"/>
  <c r="N45" i="6"/>
  <c r="B122" i="6"/>
  <c r="L137" i="6"/>
  <c r="B119" i="6"/>
  <c r="N47" i="6"/>
  <c r="J126" i="6"/>
  <c r="J122" i="6"/>
  <c r="U128" i="6"/>
  <c r="N38" i="6"/>
  <c r="T120" i="6"/>
  <c r="N46" i="6"/>
  <c r="J139" i="6"/>
  <c r="D120" i="6"/>
  <c r="T122" i="6"/>
  <c r="N48" i="6"/>
  <c r="W138" i="6"/>
  <c r="W133" i="6"/>
  <c r="W123" i="6"/>
  <c r="J140" i="6"/>
  <c r="N90" i="6"/>
  <c r="U129" i="6"/>
  <c r="U122" i="6"/>
  <c r="W122" i="6" s="1"/>
  <c r="L136" i="6"/>
  <c r="J130" i="6"/>
  <c r="H126" i="6"/>
  <c r="W119" i="6"/>
  <c r="N89" i="6"/>
  <c r="N42" i="6"/>
  <c r="H137" i="6"/>
  <c r="D138" i="6"/>
  <c r="L129" i="6"/>
  <c r="L126" i="6"/>
  <c r="T129" i="6"/>
  <c r="U130" i="6"/>
  <c r="C136" i="6"/>
  <c r="J129" i="6"/>
  <c r="H122" i="6"/>
  <c r="W135" i="6"/>
  <c r="W136" i="6"/>
  <c r="L127" i="6"/>
  <c r="C118" i="6"/>
  <c r="N40" i="6"/>
  <c r="D124" i="6"/>
  <c r="C135" i="6"/>
  <c r="L130" i="6"/>
  <c r="N36" i="6"/>
  <c r="C122" i="6"/>
  <c r="D123" i="6"/>
  <c r="B125" i="6"/>
  <c r="N70" i="6"/>
  <c r="H138" i="6"/>
  <c r="L128" i="6"/>
  <c r="H125" i="6"/>
  <c r="L121" i="6"/>
  <c r="W141" i="6"/>
  <c r="D139" i="6"/>
  <c r="N84" i="6"/>
  <c r="C139" i="6"/>
  <c r="N81" i="6"/>
  <c r="N79" i="6"/>
  <c r="N78" i="6"/>
  <c r="N74" i="6"/>
  <c r="N71" i="6"/>
  <c r="D130" i="6"/>
  <c r="B126" i="6"/>
  <c r="C126" i="6"/>
  <c r="D127" i="6"/>
  <c r="D128" i="6"/>
  <c r="B129" i="6"/>
  <c r="N65" i="6"/>
  <c r="D135" i="6"/>
  <c r="N76" i="6"/>
  <c r="D137" i="6"/>
  <c r="N75" i="6"/>
  <c r="N69" i="6"/>
  <c r="N67" i="6"/>
  <c r="B130" i="6"/>
  <c r="N62" i="6"/>
  <c r="D129" i="6"/>
  <c r="N60" i="6"/>
  <c r="N59" i="6"/>
  <c r="B128" i="6"/>
  <c r="C128" i="6"/>
  <c r="C127" i="6"/>
  <c r="N57" i="6"/>
  <c r="N55" i="6"/>
  <c r="D126" i="6"/>
  <c r="S125" i="6"/>
  <c r="J131" i="6"/>
  <c r="S128" i="6"/>
  <c r="S118" i="6"/>
  <c r="B124" i="6"/>
  <c r="N64" i="6"/>
  <c r="S120" i="6"/>
  <c r="D118" i="6"/>
  <c r="D119" i="6"/>
  <c r="N51" i="6"/>
  <c r="N53" i="6"/>
  <c r="N72" i="6"/>
  <c r="C138" i="6"/>
  <c r="H130" i="6"/>
  <c r="N130" i="6" s="1"/>
  <c r="H124" i="6"/>
  <c r="J121" i="6"/>
  <c r="H128" i="6"/>
  <c r="L125" i="6"/>
  <c r="C141" i="6"/>
  <c r="N56" i="6"/>
  <c r="N41" i="6"/>
  <c r="N52" i="6"/>
  <c r="N58" i="6"/>
  <c r="D140" i="6"/>
  <c r="L141" i="6"/>
  <c r="H136" i="6"/>
  <c r="H121" i="6"/>
  <c r="J125" i="6"/>
  <c r="U118" i="6"/>
  <c r="J137" i="6"/>
  <c r="U125" i="6"/>
  <c r="U137" i="6"/>
  <c r="N49" i="6"/>
  <c r="H123" i="6"/>
  <c r="D141" i="6"/>
  <c r="C125" i="6"/>
  <c r="W139" i="6"/>
  <c r="W134" i="6"/>
  <c r="N88" i="6"/>
  <c r="N54" i="6"/>
  <c r="N63" i="6"/>
  <c r="B120" i="6"/>
  <c r="N77" i="6"/>
  <c r="C124" i="6"/>
  <c r="T124" i="6"/>
  <c r="C140" i="6"/>
  <c r="H140" i="6"/>
  <c r="J135" i="6"/>
  <c r="H135" i="6"/>
  <c r="U124" i="6"/>
  <c r="T140" i="6"/>
  <c r="N87" i="6"/>
  <c r="N39" i="6"/>
  <c r="N86" i="6"/>
  <c r="L140" i="6"/>
  <c r="J138" i="6"/>
  <c r="N85" i="6"/>
  <c r="N83" i="6"/>
  <c r="N82" i="6"/>
  <c r="N73" i="6"/>
  <c r="J124" i="6"/>
  <c r="L124" i="6"/>
  <c r="D125" i="6"/>
  <c r="B123" i="6"/>
  <c r="L123" i="6"/>
  <c r="C119" i="6"/>
  <c r="E94" i="34" l="1"/>
  <c r="W94" i="34"/>
  <c r="N86" i="34"/>
  <c r="E89" i="34"/>
  <c r="E79" i="34"/>
  <c r="E75" i="34"/>
  <c r="N148" i="21"/>
  <c r="N171" i="21"/>
  <c r="E135" i="21"/>
  <c r="E148" i="21"/>
  <c r="N174" i="21"/>
  <c r="N140" i="21"/>
  <c r="E179" i="21"/>
  <c r="E141" i="21"/>
  <c r="E147" i="21"/>
  <c r="N154" i="21"/>
  <c r="E163" i="21"/>
  <c r="N139" i="21"/>
  <c r="E151" i="21"/>
  <c r="N164" i="18"/>
  <c r="N139" i="18"/>
  <c r="N197" i="22"/>
  <c r="N167" i="25"/>
  <c r="N159" i="25"/>
  <c r="N166" i="25"/>
  <c r="N135" i="25"/>
  <c r="N121" i="16"/>
  <c r="N131" i="16"/>
  <c r="N138" i="16"/>
  <c r="E183" i="17"/>
  <c r="E144" i="17"/>
  <c r="E168" i="17"/>
  <c r="E140" i="17"/>
  <c r="E157" i="17"/>
  <c r="N164" i="17"/>
  <c r="N156" i="17"/>
  <c r="N182" i="17"/>
  <c r="E167" i="17"/>
  <c r="E139" i="20"/>
  <c r="E155" i="20"/>
  <c r="E166" i="20"/>
  <c r="N134" i="20"/>
  <c r="N119" i="20"/>
  <c r="N81" i="34"/>
  <c r="E93" i="34"/>
  <c r="E82" i="34"/>
  <c r="N80" i="34"/>
  <c r="E84" i="34"/>
  <c r="E91" i="34"/>
  <c r="N80" i="33"/>
  <c r="N161" i="9"/>
  <c r="E179" i="9"/>
  <c r="N151" i="9"/>
  <c r="N174" i="9"/>
  <c r="E152" i="9"/>
  <c r="N181" i="9"/>
  <c r="N169" i="9"/>
  <c r="E172" i="10"/>
  <c r="W139" i="11"/>
  <c r="N180" i="11"/>
  <c r="N83" i="32"/>
  <c r="W189" i="13"/>
  <c r="N182" i="13"/>
  <c r="N195" i="13"/>
  <c r="W185" i="13"/>
  <c r="N170" i="13"/>
  <c r="E173" i="13"/>
  <c r="E157" i="13"/>
  <c r="E175" i="13"/>
  <c r="N172" i="13"/>
  <c r="E187" i="13"/>
  <c r="E171" i="13"/>
  <c r="E169" i="13"/>
  <c r="N168" i="13"/>
  <c r="E189" i="14"/>
  <c r="E148" i="14"/>
  <c r="E187" i="14"/>
  <c r="W171" i="14"/>
  <c r="N175" i="14"/>
  <c r="N159" i="8"/>
  <c r="E149" i="8"/>
  <c r="N190" i="8"/>
  <c r="E197" i="8"/>
  <c r="E196" i="8"/>
  <c r="E181" i="8"/>
  <c r="E162" i="8"/>
  <c r="N78" i="31"/>
  <c r="N188" i="7"/>
  <c r="E97" i="29"/>
  <c r="E94" i="29"/>
  <c r="E86" i="29"/>
  <c r="E84" i="29"/>
  <c r="E93" i="29"/>
  <c r="E103" i="28"/>
  <c r="E101" i="28"/>
  <c r="N147" i="3"/>
  <c r="E159" i="3"/>
  <c r="E179" i="12"/>
  <c r="N187" i="3"/>
  <c r="N150" i="11"/>
  <c r="E182" i="11"/>
  <c r="N103" i="29"/>
  <c r="W182" i="10"/>
  <c r="E142" i="21"/>
  <c r="N152" i="21"/>
  <c r="N172" i="19"/>
  <c r="E182" i="18"/>
  <c r="E159" i="18"/>
  <c r="E141" i="18"/>
  <c r="N128" i="26"/>
  <c r="E177" i="24"/>
  <c r="N185" i="23"/>
  <c r="E79" i="30"/>
  <c r="E178" i="14"/>
  <c r="W172" i="11"/>
  <c r="N179" i="11"/>
  <c r="N137" i="16"/>
  <c r="E94" i="32"/>
  <c r="N122" i="6"/>
  <c r="W161" i="20"/>
  <c r="N129" i="35"/>
  <c r="E136" i="23"/>
  <c r="W157" i="11"/>
  <c r="W179" i="8"/>
  <c r="N173" i="3"/>
  <c r="N172" i="3"/>
  <c r="W192" i="8"/>
  <c r="N195" i="3"/>
  <c r="E184" i="3"/>
  <c r="W96" i="28"/>
  <c r="E155" i="11"/>
  <c r="W139" i="16"/>
  <c r="E109" i="35"/>
  <c r="N163" i="21"/>
  <c r="N179" i="21"/>
  <c r="N177" i="18"/>
  <c r="W160" i="25"/>
  <c r="N154" i="25"/>
  <c r="E187" i="23"/>
  <c r="N161" i="15"/>
  <c r="N91" i="31"/>
  <c r="W173" i="12"/>
  <c r="N183" i="17"/>
  <c r="E111" i="35"/>
  <c r="N116" i="35"/>
  <c r="N169" i="25"/>
  <c r="N153" i="24"/>
  <c r="E89" i="31"/>
  <c r="W134" i="16"/>
  <c r="N174" i="24"/>
  <c r="N152" i="8"/>
  <c r="N182" i="8"/>
  <c r="E193" i="8"/>
  <c r="N181" i="15"/>
  <c r="E129" i="35"/>
  <c r="E161" i="24"/>
  <c r="W82" i="38"/>
  <c r="E149" i="22"/>
  <c r="E157" i="18"/>
  <c r="N149" i="15"/>
  <c r="E181" i="15"/>
  <c r="W189" i="10"/>
  <c r="N170" i="9"/>
  <c r="W174" i="9"/>
  <c r="E153" i="21"/>
  <c r="N156" i="21"/>
  <c r="E152" i="21"/>
  <c r="N139" i="25"/>
  <c r="E173" i="23"/>
  <c r="E184" i="7"/>
  <c r="N171" i="14"/>
  <c r="N173" i="11"/>
  <c r="N194" i="11"/>
  <c r="N163" i="8"/>
  <c r="N154" i="8"/>
  <c r="N173" i="8"/>
  <c r="E87" i="34"/>
  <c r="N155" i="8"/>
  <c r="N149" i="3"/>
  <c r="N164" i="3"/>
  <c r="N167" i="3"/>
  <c r="W144" i="20"/>
  <c r="N150" i="22"/>
  <c r="E88" i="32"/>
  <c r="E155" i="8"/>
  <c r="E167" i="7"/>
  <c r="E169" i="12"/>
  <c r="W159" i="12"/>
  <c r="N175" i="15"/>
  <c r="W153" i="9"/>
  <c r="N146" i="18"/>
  <c r="N170" i="18"/>
  <c r="N145" i="24"/>
  <c r="N167" i="23"/>
  <c r="N122" i="16"/>
  <c r="E171" i="14"/>
  <c r="N170" i="11"/>
  <c r="E185" i="11"/>
  <c r="N137" i="21"/>
  <c r="E139" i="18"/>
  <c r="E123" i="16"/>
  <c r="E181" i="22"/>
  <c r="E189" i="22"/>
  <c r="E201" i="22"/>
  <c r="E179" i="22"/>
  <c r="N165" i="22"/>
  <c r="W149" i="22"/>
  <c r="E167" i="22"/>
  <c r="E153" i="22"/>
  <c r="E200" i="22"/>
  <c r="N173" i="22"/>
  <c r="N151" i="22"/>
  <c r="N179" i="22"/>
  <c r="E150" i="22"/>
  <c r="E165" i="22"/>
  <c r="E161" i="22"/>
  <c r="N149" i="22"/>
  <c r="N166" i="22"/>
  <c r="E191" i="22"/>
  <c r="W197" i="22"/>
  <c r="N152" i="22"/>
  <c r="N160" i="22"/>
  <c r="N159" i="22"/>
  <c r="N163" i="22"/>
  <c r="E174" i="22"/>
  <c r="N171" i="23"/>
  <c r="N188" i="23"/>
  <c r="N168" i="23"/>
  <c r="E147" i="23"/>
  <c r="E141" i="23"/>
  <c r="W152" i="23"/>
  <c r="N160" i="23"/>
  <c r="W150" i="23"/>
  <c r="W169" i="23"/>
  <c r="N157" i="23"/>
  <c r="N143" i="23"/>
  <c r="W178" i="23"/>
  <c r="N176" i="23"/>
  <c r="N179" i="23"/>
  <c r="N180" i="24"/>
  <c r="N163" i="24"/>
  <c r="N149" i="24"/>
  <c r="E166" i="24"/>
  <c r="N143" i="24"/>
  <c r="N162" i="24"/>
  <c r="N168" i="24"/>
  <c r="W171" i="24"/>
  <c r="N135" i="24"/>
  <c r="E148" i="24"/>
  <c r="W185" i="24"/>
  <c r="N134" i="24"/>
  <c r="E147" i="24"/>
  <c r="N150" i="24"/>
  <c r="W153" i="24"/>
  <c r="N142" i="24"/>
  <c r="E154" i="24"/>
  <c r="E172" i="24"/>
  <c r="N173" i="24"/>
  <c r="E145" i="24"/>
  <c r="E134" i="25"/>
  <c r="N140" i="25"/>
  <c r="E179" i="25"/>
  <c r="N174" i="25"/>
  <c r="N181" i="25"/>
  <c r="N145" i="25"/>
  <c r="E188" i="25"/>
  <c r="N134" i="25"/>
  <c r="E167" i="25"/>
  <c r="N175" i="25"/>
  <c r="N147" i="25"/>
  <c r="W144" i="25"/>
  <c r="N137" i="25"/>
  <c r="W143" i="25"/>
  <c r="N171" i="25"/>
  <c r="N179" i="25"/>
  <c r="N151" i="26"/>
  <c r="N115" i="26"/>
  <c r="E125" i="26"/>
  <c r="E122" i="26"/>
  <c r="N127" i="26"/>
  <c r="N139" i="26"/>
  <c r="N143" i="26"/>
  <c r="E141" i="26"/>
  <c r="E142" i="26"/>
  <c r="N88" i="37"/>
  <c r="N102" i="37"/>
  <c r="N81" i="37"/>
  <c r="N82" i="37"/>
  <c r="W125" i="16"/>
  <c r="E134" i="16"/>
  <c r="N146" i="16"/>
  <c r="N143" i="16"/>
  <c r="N139" i="16"/>
  <c r="E123" i="35"/>
  <c r="W120" i="35"/>
  <c r="N122" i="35"/>
  <c r="N106" i="35"/>
  <c r="E110" i="35"/>
  <c r="E154" i="17"/>
  <c r="N139" i="17"/>
  <c r="W156" i="17"/>
  <c r="N181" i="17"/>
  <c r="N184" i="17"/>
  <c r="E163" i="17"/>
  <c r="W160" i="17"/>
  <c r="E165" i="17"/>
  <c r="E134" i="17"/>
  <c r="E173" i="17"/>
  <c r="N189" i="17"/>
  <c r="W188" i="17"/>
  <c r="N152" i="17"/>
  <c r="N138" i="17"/>
  <c r="E145" i="17"/>
  <c r="E171" i="17"/>
  <c r="N172" i="17"/>
  <c r="W173" i="17"/>
  <c r="N168" i="17"/>
  <c r="E188" i="17"/>
  <c r="N173" i="17"/>
  <c r="E143" i="17"/>
  <c r="W174" i="17"/>
  <c r="N171" i="17"/>
  <c r="N151" i="17"/>
  <c r="N134" i="17"/>
  <c r="N147" i="17"/>
  <c r="E158" i="18"/>
  <c r="N168" i="18"/>
  <c r="E160" i="18"/>
  <c r="E147" i="18"/>
  <c r="N188" i="18"/>
  <c r="N165" i="18"/>
  <c r="W175" i="18"/>
  <c r="E166" i="18"/>
  <c r="N180" i="18"/>
  <c r="E180" i="18"/>
  <c r="N167" i="18"/>
  <c r="N142" i="18"/>
  <c r="N147" i="18"/>
  <c r="W178" i="18"/>
  <c r="E188" i="18"/>
  <c r="E144" i="18"/>
  <c r="N172" i="18"/>
  <c r="E169" i="18"/>
  <c r="W153" i="18"/>
  <c r="E141" i="19"/>
  <c r="E167" i="19"/>
  <c r="E164" i="19"/>
  <c r="N181" i="19"/>
  <c r="W162" i="19"/>
  <c r="N166" i="19"/>
  <c r="E192" i="19"/>
  <c r="E165" i="19"/>
  <c r="E187" i="19"/>
  <c r="N152" i="19"/>
  <c r="N165" i="19"/>
  <c r="N183" i="19"/>
  <c r="W148" i="19"/>
  <c r="E178" i="19"/>
  <c r="E176" i="19"/>
  <c r="N148" i="19"/>
  <c r="E144" i="19"/>
  <c r="N154" i="19"/>
  <c r="N168" i="19"/>
  <c r="N159" i="20"/>
  <c r="W119" i="20"/>
  <c r="W146" i="20"/>
  <c r="E165" i="20"/>
  <c r="W147" i="20"/>
  <c r="N165" i="20"/>
  <c r="E126" i="20"/>
  <c r="W156" i="20"/>
  <c r="N146" i="20"/>
  <c r="E153" i="20"/>
  <c r="E169" i="21"/>
  <c r="N161" i="21"/>
  <c r="N178" i="21"/>
  <c r="E187" i="21"/>
  <c r="E167" i="21"/>
  <c r="N141" i="21"/>
  <c r="E138" i="21"/>
  <c r="E166" i="21"/>
  <c r="W140" i="21"/>
  <c r="E172" i="21"/>
  <c r="N158" i="21"/>
  <c r="N135" i="21"/>
  <c r="W152" i="21"/>
  <c r="N186" i="21"/>
  <c r="E175" i="21"/>
  <c r="E161" i="21"/>
  <c r="N78" i="33"/>
  <c r="W170" i="9"/>
  <c r="E171" i="9"/>
  <c r="N163" i="9"/>
  <c r="N196" i="9"/>
  <c r="W154" i="9"/>
  <c r="N189" i="9"/>
  <c r="E169" i="9"/>
  <c r="E161" i="9"/>
  <c r="N173" i="9"/>
  <c r="E157" i="9"/>
  <c r="W173" i="10"/>
  <c r="W187" i="10"/>
  <c r="W158" i="10"/>
  <c r="W191" i="10"/>
  <c r="N152" i="11"/>
  <c r="N188" i="11"/>
  <c r="W177" i="11"/>
  <c r="N163" i="11"/>
  <c r="N172" i="11"/>
  <c r="E153" i="11"/>
  <c r="N169" i="11"/>
  <c r="E139" i="11"/>
  <c r="E186" i="11"/>
  <c r="E187" i="11"/>
  <c r="W169" i="11"/>
  <c r="N146" i="11"/>
  <c r="W189" i="12"/>
  <c r="E153" i="12"/>
  <c r="N187" i="12"/>
  <c r="N164" i="12"/>
  <c r="E152" i="12"/>
  <c r="E144" i="12"/>
  <c r="E151" i="12"/>
  <c r="W186" i="12"/>
  <c r="N169" i="12"/>
  <c r="E168" i="12"/>
  <c r="N88" i="32"/>
  <c r="E97" i="32"/>
  <c r="E92" i="32"/>
  <c r="N80" i="32"/>
  <c r="W97" i="32"/>
  <c r="N199" i="13"/>
  <c r="W187" i="13"/>
  <c r="E198" i="13"/>
  <c r="E184" i="13"/>
  <c r="N149" i="13"/>
  <c r="E192" i="14"/>
  <c r="E176" i="14"/>
  <c r="N167" i="14"/>
  <c r="E152" i="14"/>
  <c r="N187" i="14"/>
  <c r="N133" i="6"/>
  <c r="N75" i="30"/>
  <c r="W67" i="30"/>
  <c r="E165" i="7"/>
  <c r="E154" i="7"/>
  <c r="E166" i="7"/>
  <c r="E183" i="7"/>
  <c r="N153" i="7"/>
  <c r="N81" i="31"/>
  <c r="N87" i="31"/>
  <c r="W85" i="38"/>
  <c r="E94" i="37"/>
  <c r="E83" i="37"/>
  <c r="E90" i="37"/>
  <c r="E84" i="37"/>
  <c r="E86" i="37"/>
  <c r="N87" i="37"/>
  <c r="N103" i="37"/>
  <c r="N95" i="37"/>
  <c r="E91" i="37"/>
  <c r="E118" i="36"/>
  <c r="W112" i="36"/>
  <c r="E117" i="36"/>
  <c r="N106" i="36"/>
  <c r="N103" i="36"/>
  <c r="N96" i="36"/>
  <c r="E105" i="36"/>
  <c r="N151" i="16"/>
  <c r="N142" i="16"/>
  <c r="N129" i="16"/>
  <c r="N133" i="16"/>
  <c r="E121" i="16"/>
  <c r="E156" i="16"/>
  <c r="N130" i="16"/>
  <c r="W164" i="17"/>
  <c r="E186" i="17"/>
  <c r="N144" i="17"/>
  <c r="E170" i="17"/>
  <c r="E180" i="17"/>
  <c r="E155" i="17"/>
  <c r="E138" i="17"/>
  <c r="E164" i="17"/>
  <c r="N187" i="17"/>
  <c r="N153" i="17"/>
  <c r="E187" i="17"/>
  <c r="N167" i="17"/>
  <c r="E179" i="17"/>
  <c r="N166" i="17"/>
  <c r="N91" i="34"/>
  <c r="N87" i="34"/>
  <c r="E80" i="34"/>
  <c r="E78" i="34"/>
  <c r="E77" i="34"/>
  <c r="E95" i="34"/>
  <c r="N75" i="34"/>
  <c r="N79" i="33"/>
  <c r="E93" i="33"/>
  <c r="N77" i="33"/>
  <c r="W155" i="10"/>
  <c r="E204" i="10"/>
  <c r="W201" i="10"/>
  <c r="N170" i="10"/>
  <c r="W163" i="10"/>
  <c r="N198" i="15"/>
  <c r="N160" i="15"/>
  <c r="E159" i="15"/>
  <c r="E163" i="15"/>
  <c r="E179" i="15"/>
  <c r="E191" i="15"/>
  <c r="E196" i="15"/>
  <c r="E203" i="15"/>
  <c r="E161" i="15"/>
  <c r="N153" i="15"/>
  <c r="E192" i="15"/>
  <c r="E160" i="15"/>
  <c r="E200" i="15"/>
  <c r="N159" i="15"/>
  <c r="E154" i="15"/>
  <c r="E152" i="15"/>
  <c r="N197" i="15"/>
  <c r="E184" i="15"/>
  <c r="N172" i="15"/>
  <c r="E166" i="15"/>
  <c r="N177" i="15"/>
  <c r="E158" i="15"/>
  <c r="E189" i="15"/>
  <c r="E183" i="15"/>
  <c r="N179" i="15"/>
  <c r="N194" i="15"/>
  <c r="E175" i="15"/>
  <c r="E171" i="15"/>
  <c r="E172" i="7"/>
  <c r="E147" i="7"/>
  <c r="E179" i="7"/>
  <c r="E170" i="7"/>
  <c r="N161" i="7"/>
  <c r="E181" i="7"/>
  <c r="E180" i="7"/>
  <c r="N149" i="7"/>
  <c r="E178" i="7"/>
  <c r="E152" i="7"/>
  <c r="E153" i="7"/>
  <c r="E151" i="7"/>
  <c r="E144" i="7"/>
  <c r="E186" i="7"/>
  <c r="N181" i="7"/>
  <c r="N165" i="7"/>
  <c r="N163" i="7"/>
  <c r="N155" i="7"/>
  <c r="E135" i="7"/>
  <c r="N166" i="7"/>
  <c r="E168" i="7"/>
  <c r="N156" i="7"/>
  <c r="N142" i="7"/>
  <c r="N178" i="7"/>
  <c r="N158" i="7"/>
  <c r="E142" i="7"/>
  <c r="N136" i="7"/>
  <c r="N177" i="7"/>
  <c r="E161" i="7"/>
  <c r="N169" i="7"/>
  <c r="E136" i="7"/>
  <c r="N184" i="7"/>
  <c r="E158" i="7"/>
  <c r="E182" i="7"/>
  <c r="N164" i="7"/>
  <c r="N139" i="7"/>
  <c r="E160" i="7"/>
  <c r="N162" i="7"/>
  <c r="N185" i="7"/>
  <c r="E177" i="7"/>
  <c r="N93" i="29"/>
  <c r="N95" i="29"/>
  <c r="N83" i="29"/>
  <c r="N98" i="29"/>
  <c r="N94" i="29"/>
  <c r="N101" i="29"/>
  <c r="E99" i="29"/>
  <c r="N141" i="6"/>
  <c r="N125" i="6"/>
  <c r="N77" i="30"/>
  <c r="E69" i="30"/>
  <c r="N69" i="30"/>
  <c r="N72" i="30"/>
  <c r="E72" i="30"/>
  <c r="N187" i="5"/>
  <c r="N163" i="5"/>
  <c r="E187" i="5"/>
  <c r="N158" i="5"/>
  <c r="E160" i="5"/>
  <c r="E183" i="5"/>
  <c r="E190" i="5"/>
  <c r="E74" i="30"/>
  <c r="E81" i="30"/>
  <c r="E71" i="30"/>
  <c r="E68" i="30"/>
  <c r="N67" i="30"/>
  <c r="N68" i="30"/>
  <c r="E67" i="30"/>
  <c r="N88" i="28"/>
  <c r="N89" i="28"/>
  <c r="E100" i="28"/>
  <c r="N83" i="28"/>
  <c r="E95" i="28"/>
  <c r="W104" i="28"/>
  <c r="N98" i="28"/>
  <c r="E185" i="2"/>
  <c r="E157" i="2"/>
  <c r="E134" i="2"/>
  <c r="E156" i="2"/>
  <c r="E187" i="2"/>
  <c r="E151" i="2"/>
  <c r="E175" i="2"/>
  <c r="E161" i="2"/>
  <c r="E160" i="2"/>
  <c r="E181" i="2"/>
  <c r="E143" i="1"/>
  <c r="E185" i="1"/>
  <c r="E144" i="1"/>
  <c r="E173" i="1"/>
  <c r="E166" i="1"/>
  <c r="N82" i="33"/>
  <c r="N84" i="33"/>
  <c r="E88" i="33"/>
  <c r="E85" i="33"/>
  <c r="E90" i="33"/>
  <c r="E92" i="33"/>
  <c r="E204" i="9"/>
  <c r="J175" i="9"/>
  <c r="E184" i="9"/>
  <c r="W196" i="9"/>
  <c r="E180" i="9"/>
  <c r="E189" i="9"/>
  <c r="E182" i="9"/>
  <c r="L175" i="9"/>
  <c r="N165" i="9"/>
  <c r="E155" i="9"/>
  <c r="E163" i="9"/>
  <c r="N162" i="9"/>
  <c r="N204" i="9"/>
  <c r="E203" i="9"/>
  <c r="E164" i="9"/>
  <c r="E156" i="9"/>
  <c r="E165" i="9"/>
  <c r="W168" i="9"/>
  <c r="N156" i="9"/>
  <c r="N153" i="9"/>
  <c r="E192" i="9"/>
  <c r="E151" i="9"/>
  <c r="N191" i="9"/>
  <c r="N160" i="9"/>
  <c r="N150" i="9"/>
  <c r="N157" i="22"/>
  <c r="E187" i="22"/>
  <c r="E177" i="22"/>
  <c r="N183" i="22"/>
  <c r="N190" i="22"/>
  <c r="E159" i="22"/>
  <c r="N194" i="22"/>
  <c r="E196" i="22"/>
  <c r="E152" i="22"/>
  <c r="N148" i="22"/>
  <c r="E172" i="22"/>
  <c r="E170" i="22"/>
  <c r="E184" i="22"/>
  <c r="E154" i="22"/>
  <c r="E158" i="22"/>
  <c r="E199" i="22"/>
  <c r="N178" i="22"/>
  <c r="E197" i="22"/>
  <c r="E177" i="23"/>
  <c r="E142" i="23"/>
  <c r="E149" i="23"/>
  <c r="N166" i="23"/>
  <c r="E163" i="23"/>
  <c r="E153" i="23"/>
  <c r="N148" i="23"/>
  <c r="N178" i="23"/>
  <c r="N140" i="23"/>
  <c r="N161" i="23"/>
  <c r="N147" i="23"/>
  <c r="N146" i="23"/>
  <c r="N189" i="23"/>
  <c r="W180" i="23"/>
  <c r="N139" i="23"/>
  <c r="E157" i="23"/>
  <c r="E183" i="23"/>
  <c r="E185" i="23"/>
  <c r="E167" i="23"/>
  <c r="E188" i="23"/>
  <c r="N180" i="23"/>
  <c r="E154" i="23"/>
  <c r="E179" i="23"/>
  <c r="N173" i="23"/>
  <c r="W142" i="23"/>
  <c r="N176" i="24"/>
  <c r="W177" i="24"/>
  <c r="N161" i="24"/>
  <c r="W145" i="24"/>
  <c r="N169" i="24"/>
  <c r="E173" i="24"/>
  <c r="N157" i="24"/>
  <c r="N147" i="24"/>
  <c r="E170" i="24"/>
  <c r="E168" i="24"/>
  <c r="N184" i="24"/>
  <c r="W176" i="24"/>
  <c r="N170" i="24"/>
  <c r="E181" i="24"/>
  <c r="E182" i="24"/>
  <c r="N181" i="24"/>
  <c r="N137" i="24"/>
  <c r="E155" i="24"/>
  <c r="W181" i="24"/>
  <c r="W133" i="24"/>
  <c r="E151" i="24"/>
  <c r="N148" i="24"/>
  <c r="E141" i="25"/>
  <c r="N160" i="25"/>
  <c r="E156" i="25"/>
  <c r="N146" i="25"/>
  <c r="E173" i="25"/>
  <c r="N188" i="25"/>
  <c r="E180" i="25"/>
  <c r="E172" i="25"/>
  <c r="E155" i="25"/>
  <c r="E146" i="25"/>
  <c r="J153" i="25"/>
  <c r="L153" i="25"/>
  <c r="N158" i="25"/>
  <c r="N138" i="25"/>
  <c r="N133" i="25"/>
  <c r="W155" i="25"/>
  <c r="E142" i="25"/>
  <c r="E164" i="25"/>
  <c r="E152" i="25"/>
  <c r="N180" i="25"/>
  <c r="W132" i="26"/>
  <c r="N145" i="26"/>
  <c r="N125" i="26"/>
  <c r="E123" i="26"/>
  <c r="E131" i="26"/>
  <c r="E150" i="26"/>
  <c r="W123" i="26"/>
  <c r="E132" i="26"/>
  <c r="W133" i="26"/>
  <c r="E119" i="26"/>
  <c r="E143" i="26"/>
  <c r="N116" i="26"/>
  <c r="N135" i="26"/>
  <c r="N124" i="26"/>
  <c r="E151" i="26"/>
  <c r="E114" i="26"/>
  <c r="N132" i="26"/>
  <c r="W145" i="26"/>
  <c r="N87" i="38"/>
  <c r="W98" i="38"/>
  <c r="E93" i="38"/>
  <c r="N88" i="38"/>
  <c r="E84" i="38"/>
  <c r="N81" i="38"/>
  <c r="N93" i="38"/>
  <c r="E104" i="36"/>
  <c r="N119" i="36"/>
  <c r="N116" i="36"/>
  <c r="N104" i="36"/>
  <c r="N112" i="36"/>
  <c r="W97" i="36"/>
  <c r="N117" i="36"/>
  <c r="W100" i="36"/>
  <c r="N105" i="36"/>
  <c r="N110" i="36"/>
  <c r="E112" i="36"/>
  <c r="N108" i="36"/>
  <c r="W115" i="36"/>
  <c r="E102" i="36"/>
  <c r="N100" i="36"/>
  <c r="W119" i="36"/>
  <c r="N109" i="36"/>
  <c r="E114" i="36"/>
  <c r="N118" i="36"/>
  <c r="W118" i="36"/>
  <c r="E119" i="36"/>
  <c r="N115" i="36"/>
  <c r="W105" i="36"/>
  <c r="E107" i="36"/>
  <c r="E116" i="36"/>
  <c r="N101" i="36"/>
  <c r="E101" i="36"/>
  <c r="W101" i="36"/>
  <c r="N102" i="36"/>
  <c r="W104" i="36"/>
  <c r="N114" i="36"/>
  <c r="E106" i="36"/>
  <c r="W114" i="36"/>
  <c r="W102" i="36"/>
  <c r="N120" i="36"/>
  <c r="E97" i="36"/>
  <c r="N107" i="36"/>
  <c r="N97" i="36"/>
  <c r="W117" i="36"/>
  <c r="E110" i="36"/>
  <c r="N176" i="17"/>
  <c r="W146" i="17"/>
  <c r="N177" i="17"/>
  <c r="E162" i="17"/>
  <c r="N165" i="17"/>
  <c r="W144" i="17"/>
  <c r="N169" i="17"/>
  <c r="N163" i="17"/>
  <c r="E152" i="17"/>
  <c r="E148" i="17"/>
  <c r="N155" i="17"/>
  <c r="W168" i="17"/>
  <c r="E141" i="17"/>
  <c r="W180" i="17"/>
  <c r="W140" i="17"/>
  <c r="E175" i="17"/>
  <c r="N146" i="17"/>
  <c r="N154" i="17"/>
  <c r="E151" i="17"/>
  <c r="E182" i="17"/>
  <c r="E172" i="17"/>
  <c r="N140" i="17"/>
  <c r="E178" i="17"/>
  <c r="N159" i="17"/>
  <c r="E154" i="18"/>
  <c r="E140" i="18"/>
  <c r="E148" i="18"/>
  <c r="E145" i="18"/>
  <c r="E171" i="18"/>
  <c r="E165" i="18"/>
  <c r="N150" i="18"/>
  <c r="E172" i="18"/>
  <c r="N153" i="18"/>
  <c r="W177" i="18"/>
  <c r="N152" i="18"/>
  <c r="W154" i="18"/>
  <c r="N162" i="18"/>
  <c r="E175" i="18"/>
  <c r="E152" i="18"/>
  <c r="E162" i="18"/>
  <c r="E183" i="18"/>
  <c r="N145" i="18"/>
  <c r="N171" i="18"/>
  <c r="N163" i="18"/>
  <c r="E173" i="18"/>
  <c r="E170" i="18"/>
  <c r="E163" i="18"/>
  <c r="N173" i="18"/>
  <c r="N161" i="18"/>
  <c r="W148" i="18"/>
  <c r="N166" i="18"/>
  <c r="W163" i="18"/>
  <c r="N173" i="19"/>
  <c r="E188" i="19"/>
  <c r="E181" i="19"/>
  <c r="E182" i="19"/>
  <c r="E157" i="19"/>
  <c r="N176" i="19"/>
  <c r="N185" i="19"/>
  <c r="N186" i="19"/>
  <c r="E142" i="19"/>
  <c r="E148" i="19"/>
  <c r="W147" i="19"/>
  <c r="E171" i="19"/>
  <c r="W154" i="19"/>
  <c r="N191" i="19"/>
  <c r="N150" i="19"/>
  <c r="W170" i="19"/>
  <c r="E159" i="19"/>
  <c r="N174" i="19"/>
  <c r="N156" i="19"/>
  <c r="N171" i="19"/>
  <c r="E180" i="19"/>
  <c r="N143" i="19"/>
  <c r="N177" i="19"/>
  <c r="N169" i="19"/>
  <c r="W184" i="19"/>
  <c r="W174" i="19"/>
  <c r="E146" i="19"/>
  <c r="N163" i="19"/>
  <c r="E140" i="20"/>
  <c r="E120" i="20"/>
  <c r="E127" i="20"/>
  <c r="N155" i="20"/>
  <c r="E136" i="20"/>
  <c r="N153" i="20"/>
  <c r="W151" i="20"/>
  <c r="E149" i="20"/>
  <c r="E138" i="20"/>
  <c r="N166" i="20"/>
  <c r="W150" i="20"/>
  <c r="W155" i="20"/>
  <c r="E147" i="20"/>
  <c r="N137" i="20"/>
  <c r="N123" i="20"/>
  <c r="E132" i="20"/>
  <c r="E150" i="20"/>
  <c r="E162" i="20"/>
  <c r="E128" i="20"/>
  <c r="E146" i="20"/>
  <c r="N126" i="20"/>
  <c r="E131" i="20"/>
  <c r="W145" i="20"/>
  <c r="E164" i="20"/>
  <c r="N150" i="20"/>
  <c r="E125" i="20"/>
  <c r="N130" i="20"/>
  <c r="W157" i="20"/>
  <c r="E158" i="20"/>
  <c r="N132" i="21"/>
  <c r="W142" i="21"/>
  <c r="E164" i="21"/>
  <c r="E143" i="21"/>
  <c r="N168" i="21"/>
  <c r="N162" i="21"/>
  <c r="E136" i="21"/>
  <c r="N164" i="21"/>
  <c r="N134" i="21"/>
  <c r="N160" i="21"/>
  <c r="E149" i="21"/>
  <c r="W186" i="21"/>
  <c r="N175" i="21"/>
  <c r="N166" i="21"/>
  <c r="E157" i="21"/>
  <c r="W175" i="21"/>
  <c r="E171" i="21"/>
  <c r="W166" i="21"/>
  <c r="W167" i="21"/>
  <c r="E82" i="33"/>
  <c r="E89" i="33"/>
  <c r="E78" i="33"/>
  <c r="E80" i="33"/>
  <c r="E84" i="33"/>
  <c r="E97" i="33"/>
  <c r="E190" i="9"/>
  <c r="E197" i="9"/>
  <c r="E175" i="9"/>
  <c r="E191" i="9"/>
  <c r="W184" i="9"/>
  <c r="N167" i="9"/>
  <c r="E162" i="9"/>
  <c r="N164" i="9"/>
  <c r="N158" i="9"/>
  <c r="E198" i="9"/>
  <c r="N155" i="9"/>
  <c r="W195" i="9"/>
  <c r="E173" i="9"/>
  <c r="E201" i="9"/>
  <c r="E158" i="9"/>
  <c r="W191" i="9"/>
  <c r="W189" i="9"/>
  <c r="L176" i="9"/>
  <c r="J176" i="9"/>
  <c r="N156" i="10"/>
  <c r="E188" i="10"/>
  <c r="W194" i="10"/>
  <c r="W206" i="10"/>
  <c r="E191" i="10"/>
  <c r="E198" i="10"/>
  <c r="N164" i="10"/>
  <c r="E173" i="10"/>
  <c r="N161" i="10"/>
  <c r="W197" i="10"/>
  <c r="N178" i="10"/>
  <c r="E200" i="10"/>
  <c r="W176" i="10"/>
  <c r="E167" i="10"/>
  <c r="E197" i="10"/>
  <c r="E196" i="10"/>
  <c r="W175" i="10"/>
  <c r="E161" i="10"/>
  <c r="N190" i="10"/>
  <c r="E183" i="10"/>
  <c r="E206" i="10"/>
  <c r="N192" i="10"/>
  <c r="N166" i="10"/>
  <c r="W181" i="10"/>
  <c r="W193" i="10"/>
  <c r="E154" i="10"/>
  <c r="W169" i="10"/>
  <c r="N194" i="10"/>
  <c r="W192" i="10"/>
  <c r="E185" i="10"/>
  <c r="W164" i="10"/>
  <c r="E201" i="10"/>
  <c r="N168" i="10"/>
  <c r="E160" i="10"/>
  <c r="E157" i="10"/>
  <c r="W165" i="10"/>
  <c r="W203" i="10"/>
  <c r="W195" i="10"/>
  <c r="N180" i="10"/>
  <c r="W207" i="10"/>
  <c r="E162" i="10"/>
  <c r="W186" i="10"/>
  <c r="E189" i="10"/>
  <c r="N196" i="10"/>
  <c r="N167" i="10"/>
  <c r="W154" i="10"/>
  <c r="E177" i="10"/>
  <c r="W196" i="10"/>
  <c r="N193" i="10"/>
  <c r="N195" i="10"/>
  <c r="E202" i="10"/>
  <c r="E186" i="10"/>
  <c r="N201" i="10"/>
  <c r="N189" i="10"/>
  <c r="E174" i="10"/>
  <c r="W198" i="10"/>
  <c r="E159" i="10"/>
  <c r="N177" i="10"/>
  <c r="N185" i="10"/>
  <c r="W183" i="10"/>
  <c r="N205" i="10"/>
  <c r="N163" i="10"/>
  <c r="N182" i="10"/>
  <c r="E209" i="10"/>
  <c r="N162" i="10"/>
  <c r="N172" i="10"/>
  <c r="W190" i="10"/>
  <c r="N160" i="10"/>
  <c r="N173" i="10"/>
  <c r="E168" i="10"/>
  <c r="W161" i="10"/>
  <c r="E187" i="10"/>
  <c r="E176" i="10"/>
  <c r="N176" i="10"/>
  <c r="N175" i="10"/>
  <c r="N191" i="10"/>
  <c r="E171" i="10"/>
  <c r="E179" i="10"/>
  <c r="N184" i="10"/>
  <c r="N202" i="10"/>
  <c r="W199" i="10"/>
  <c r="E155" i="10"/>
  <c r="W200" i="10"/>
  <c r="W188" i="10"/>
  <c r="W204" i="10"/>
  <c r="E156" i="10"/>
  <c r="E194" i="10"/>
  <c r="W184" i="10"/>
  <c r="N188" i="10"/>
  <c r="N155" i="10"/>
  <c r="N186" i="10"/>
  <c r="W185" i="10"/>
  <c r="N197" i="10"/>
  <c r="N157" i="10"/>
  <c r="E181" i="10"/>
  <c r="N169" i="10"/>
  <c r="W178" i="10"/>
  <c r="E190" i="10"/>
  <c r="E182" i="10"/>
  <c r="E203" i="10"/>
  <c r="N179" i="10"/>
  <c r="N204" i="10"/>
  <c r="E163" i="10"/>
  <c r="E175" i="10"/>
  <c r="E192" i="10"/>
  <c r="N199" i="10"/>
  <c r="E164" i="10"/>
  <c r="E184" i="10"/>
  <c r="N165" i="10"/>
  <c r="W205" i="10"/>
  <c r="E165" i="10"/>
  <c r="E208" i="10"/>
  <c r="N154" i="10"/>
  <c r="N158" i="10"/>
  <c r="E169" i="10"/>
  <c r="E180" i="10"/>
  <c r="N209" i="10"/>
  <c r="N187" i="10"/>
  <c r="E205" i="10"/>
  <c r="N174" i="10"/>
  <c r="N183" i="10"/>
  <c r="E166" i="10"/>
  <c r="E178" i="10"/>
  <c r="E207" i="10"/>
  <c r="E193" i="10"/>
  <c r="N181" i="10"/>
  <c r="E170" i="10"/>
  <c r="N171" i="10"/>
  <c r="N171" i="12"/>
  <c r="N159" i="12"/>
  <c r="N139" i="12"/>
  <c r="W155" i="12"/>
  <c r="E184" i="12"/>
  <c r="W175" i="12"/>
  <c r="E147" i="12"/>
  <c r="N155" i="12"/>
  <c r="N179" i="12"/>
  <c r="W182" i="12"/>
  <c r="N186" i="12"/>
  <c r="W174" i="12"/>
  <c r="E150" i="12"/>
  <c r="N154" i="12"/>
  <c r="E176" i="15"/>
  <c r="N158" i="15"/>
  <c r="E195" i="15"/>
  <c r="E164" i="15"/>
  <c r="E199" i="15"/>
  <c r="E155" i="15"/>
  <c r="E172" i="15"/>
  <c r="E197" i="15"/>
  <c r="E187" i="15"/>
  <c r="E180" i="15"/>
  <c r="W200" i="15"/>
  <c r="E185" i="15"/>
  <c r="N187" i="15"/>
  <c r="E137" i="12"/>
  <c r="W171" i="12"/>
  <c r="E174" i="12"/>
  <c r="E143" i="12"/>
  <c r="E165" i="12"/>
  <c r="E173" i="12"/>
  <c r="W179" i="12"/>
  <c r="E186" i="12"/>
  <c r="W185" i="12"/>
  <c r="E172" i="12"/>
  <c r="E139" i="12"/>
  <c r="E138" i="12"/>
  <c r="E170" i="12"/>
  <c r="N185" i="12"/>
  <c r="E177" i="12"/>
  <c r="E141" i="12"/>
  <c r="E166" i="12"/>
  <c r="E142" i="12"/>
  <c r="E176" i="12"/>
  <c r="E145" i="12"/>
  <c r="W180" i="12"/>
  <c r="E180" i="12"/>
  <c r="N180" i="12"/>
  <c r="E167" i="12"/>
  <c r="W147" i="12"/>
  <c r="W150" i="12"/>
  <c r="E185" i="12"/>
  <c r="E160" i="12"/>
  <c r="W169" i="12"/>
  <c r="N150" i="12"/>
  <c r="E181" i="12"/>
  <c r="E171" i="12"/>
  <c r="E156" i="12"/>
  <c r="N163" i="12"/>
  <c r="W178" i="12"/>
  <c r="N147" i="12"/>
  <c r="W167" i="12"/>
  <c r="N186" i="13"/>
  <c r="E199" i="13"/>
  <c r="N176" i="13"/>
  <c r="N152" i="13"/>
  <c r="E168" i="13"/>
  <c r="E164" i="13"/>
  <c r="E156" i="13"/>
  <c r="N165" i="13"/>
  <c r="N164" i="13"/>
  <c r="N167" i="13"/>
  <c r="W193" i="13"/>
  <c r="E170" i="13"/>
  <c r="E152" i="13"/>
  <c r="W183" i="13"/>
  <c r="N183" i="13"/>
  <c r="E189" i="13"/>
  <c r="N177" i="13"/>
  <c r="E196" i="13"/>
  <c r="N155" i="13"/>
  <c r="N180" i="13"/>
  <c r="N166" i="13"/>
  <c r="W188" i="13"/>
  <c r="N194" i="13"/>
  <c r="E150" i="13"/>
  <c r="E151" i="13"/>
  <c r="N204" i="13"/>
  <c r="E203" i="13"/>
  <c r="E177" i="13"/>
  <c r="E165" i="13"/>
  <c r="E178" i="13"/>
  <c r="E180" i="13"/>
  <c r="W192" i="13"/>
  <c r="E190" i="13"/>
  <c r="E172" i="13"/>
  <c r="E197" i="13"/>
  <c r="N178" i="13"/>
  <c r="N169" i="13"/>
  <c r="N188" i="13"/>
  <c r="E176" i="13"/>
  <c r="N197" i="13"/>
  <c r="N175" i="13"/>
  <c r="N187" i="13"/>
  <c r="E185" i="13"/>
  <c r="E182" i="13"/>
  <c r="E195" i="13"/>
  <c r="E186" i="13"/>
  <c r="E201" i="13"/>
  <c r="N174" i="13"/>
  <c r="E183" i="13"/>
  <c r="E193" i="13"/>
  <c r="N193" i="13"/>
  <c r="N190" i="13"/>
  <c r="E155" i="13"/>
  <c r="N185" i="13"/>
  <c r="E194" i="13"/>
  <c r="N173" i="13"/>
  <c r="W191" i="13"/>
  <c r="E200" i="13"/>
  <c r="E154" i="13"/>
  <c r="E204" i="13"/>
  <c r="W197" i="13"/>
  <c r="N201" i="13"/>
  <c r="N151" i="13"/>
  <c r="N181" i="13"/>
  <c r="N196" i="13"/>
  <c r="N153" i="13"/>
  <c r="N200" i="13"/>
  <c r="E181" i="13"/>
  <c r="N184" i="13"/>
  <c r="E204" i="15"/>
  <c r="E201" i="15"/>
  <c r="W195" i="15"/>
  <c r="N204" i="15"/>
  <c r="E186" i="15"/>
  <c r="N166" i="15"/>
  <c r="N164" i="15"/>
  <c r="N180" i="15"/>
  <c r="N174" i="15"/>
  <c r="N195" i="15"/>
  <c r="N150" i="15"/>
  <c r="N190" i="15"/>
  <c r="E141" i="7"/>
  <c r="E189" i="7"/>
  <c r="E169" i="7"/>
  <c r="E159" i="7"/>
  <c r="E150" i="7"/>
  <c r="E175" i="7"/>
  <c r="N170" i="7"/>
  <c r="N168" i="7"/>
  <c r="E174" i="7"/>
  <c r="N154" i="7"/>
  <c r="E148" i="7"/>
  <c r="N186" i="7"/>
  <c r="N148" i="7"/>
  <c r="N180" i="7"/>
  <c r="N135" i="7"/>
  <c r="N151" i="7"/>
  <c r="E143" i="7"/>
  <c r="E157" i="7"/>
  <c r="E155" i="7"/>
  <c r="N73" i="30"/>
  <c r="N80" i="30"/>
  <c r="N79" i="30"/>
  <c r="W76" i="30"/>
  <c r="E75" i="30"/>
  <c r="N138" i="5"/>
  <c r="E189" i="5"/>
  <c r="N141" i="5"/>
  <c r="N179" i="5"/>
  <c r="E185" i="5"/>
  <c r="E168" i="5"/>
  <c r="N180" i="5"/>
  <c r="N152" i="5"/>
  <c r="E146" i="5"/>
  <c r="E157" i="5"/>
  <c r="E140" i="5"/>
  <c r="N183" i="5"/>
  <c r="E155" i="5"/>
  <c r="N166" i="5"/>
  <c r="E97" i="28"/>
  <c r="E82" i="28"/>
  <c r="E99" i="28"/>
  <c r="E92" i="28"/>
  <c r="E105" i="28"/>
  <c r="N99" i="28"/>
  <c r="E85" i="28"/>
  <c r="E178" i="2"/>
  <c r="E164" i="2"/>
  <c r="E140" i="2"/>
  <c r="E138" i="2"/>
  <c r="E136" i="2"/>
  <c r="E152" i="2"/>
  <c r="E165" i="2"/>
  <c r="E155" i="2"/>
  <c r="E180" i="2"/>
  <c r="E171" i="2"/>
  <c r="E147" i="2"/>
  <c r="E132" i="2"/>
  <c r="E186" i="2"/>
  <c r="E173" i="2"/>
  <c r="E137" i="2"/>
  <c r="E142" i="2"/>
  <c r="E172" i="2"/>
  <c r="N132" i="2"/>
  <c r="N186" i="2"/>
  <c r="E153" i="2"/>
  <c r="E158" i="2"/>
  <c r="E182" i="2"/>
  <c r="E149" i="2"/>
  <c r="E162" i="2"/>
  <c r="E133" i="2"/>
  <c r="E144" i="2"/>
  <c r="E167" i="2"/>
  <c r="E146" i="2"/>
  <c r="E135" i="2"/>
  <c r="E166" i="2"/>
  <c r="E170" i="2"/>
  <c r="E139" i="2"/>
  <c r="E183" i="2"/>
  <c r="N144" i="1"/>
  <c r="N154" i="1"/>
  <c r="E171" i="1"/>
  <c r="E155" i="1"/>
  <c r="N194" i="1"/>
  <c r="N145" i="1"/>
  <c r="N148" i="1"/>
  <c r="E181" i="1"/>
  <c r="N182" i="1"/>
  <c r="E163" i="1"/>
  <c r="E179" i="1"/>
  <c r="E192" i="1"/>
  <c r="N153" i="1"/>
  <c r="E140" i="1"/>
  <c r="N149" i="1"/>
  <c r="E147" i="1"/>
  <c r="E194" i="1"/>
  <c r="E189" i="1"/>
  <c r="N155" i="1"/>
  <c r="N152" i="1"/>
  <c r="N189" i="1"/>
  <c r="N191" i="1"/>
  <c r="E169" i="1"/>
  <c r="N178" i="1"/>
  <c r="W180" i="19"/>
  <c r="N144" i="19"/>
  <c r="E190" i="15"/>
  <c r="E177" i="25"/>
  <c r="E177" i="8"/>
  <c r="N188" i="8"/>
  <c r="N152" i="25"/>
  <c r="E79" i="33"/>
  <c r="N177" i="21"/>
  <c r="N165" i="12"/>
  <c r="W194" i="9"/>
  <c r="N98" i="32"/>
  <c r="E77" i="33"/>
  <c r="W172" i="21"/>
  <c r="E184" i="19"/>
  <c r="E90" i="34"/>
  <c r="E92" i="34"/>
  <c r="N187" i="1"/>
  <c r="E191" i="8"/>
  <c r="E196" i="9"/>
  <c r="E178" i="8"/>
  <c r="E192" i="3"/>
  <c r="E80" i="30"/>
  <c r="N187" i="19"/>
  <c r="E166" i="9"/>
  <c r="W177" i="21"/>
  <c r="E175" i="5"/>
  <c r="E158" i="17"/>
  <c r="E167" i="20"/>
  <c r="E151" i="20"/>
  <c r="N140" i="20"/>
  <c r="E121" i="20"/>
  <c r="E122" i="20"/>
  <c r="E143" i="20"/>
  <c r="N127" i="20"/>
  <c r="N91" i="33"/>
  <c r="N88" i="33"/>
  <c r="N157" i="13"/>
  <c r="E130" i="20"/>
  <c r="W78" i="34"/>
  <c r="N167" i="22"/>
  <c r="E137" i="24"/>
  <c r="W170" i="18"/>
  <c r="E149" i="24"/>
  <c r="E155" i="21"/>
  <c r="W183" i="11"/>
  <c r="N90" i="34"/>
  <c r="E186" i="9"/>
  <c r="E156" i="21"/>
  <c r="N75" i="32"/>
  <c r="N149" i="8"/>
  <c r="N183" i="8"/>
  <c r="N99" i="36"/>
  <c r="E157" i="11"/>
  <c r="N185" i="8"/>
  <c r="W176" i="8"/>
  <c r="N82" i="32"/>
  <c r="N200" i="15"/>
  <c r="N161" i="8"/>
  <c r="E164" i="5"/>
  <c r="E145" i="2"/>
  <c r="N188" i="3"/>
  <c r="N159" i="3"/>
  <c r="E163" i="3"/>
  <c r="N81" i="33"/>
  <c r="N97" i="38"/>
  <c r="E188" i="7"/>
  <c r="N198" i="8"/>
  <c r="E164" i="22"/>
  <c r="E151" i="23"/>
  <c r="E165" i="21"/>
  <c r="E150" i="19"/>
  <c r="E181" i="9"/>
  <c r="E74" i="31"/>
  <c r="E98" i="37"/>
  <c r="N155" i="25"/>
  <c r="N144" i="24"/>
  <c r="N143" i="25"/>
  <c r="W200" i="13"/>
  <c r="N186" i="24"/>
  <c r="N169" i="14"/>
  <c r="N98" i="36"/>
  <c r="N194" i="9"/>
  <c r="N135" i="23"/>
  <c r="E158" i="1"/>
  <c r="E120" i="36"/>
  <c r="N191" i="18"/>
  <c r="E153" i="8"/>
  <c r="N149" i="19"/>
  <c r="N184" i="9"/>
  <c r="W177" i="25"/>
  <c r="E155" i="19"/>
  <c r="N195" i="9"/>
  <c r="E150" i="1"/>
  <c r="N144" i="3"/>
  <c r="N184" i="18"/>
  <c r="E158" i="10"/>
  <c r="E147" i="25"/>
  <c r="E163" i="20"/>
  <c r="E141" i="20"/>
  <c r="N73" i="31"/>
  <c r="N82" i="31"/>
  <c r="W203" i="13"/>
  <c r="E144" i="24"/>
  <c r="N122" i="26"/>
  <c r="E178" i="21"/>
  <c r="N167" i="15"/>
  <c r="N141" i="24"/>
  <c r="E170" i="5"/>
  <c r="W166" i="20"/>
  <c r="N163" i="20"/>
  <c r="N199" i="8"/>
  <c r="E125" i="35"/>
  <c r="N164" i="25"/>
  <c r="N185" i="17"/>
  <c r="E185" i="25"/>
  <c r="W165" i="24"/>
  <c r="E191" i="19"/>
  <c r="W149" i="24"/>
  <c r="E185" i="17"/>
  <c r="N158" i="23"/>
  <c r="N157" i="7"/>
  <c r="E140" i="12"/>
  <c r="N88" i="31"/>
  <c r="E161" i="3"/>
  <c r="N151" i="8"/>
  <c r="E192" i="8"/>
  <c r="E188" i="1"/>
  <c r="N90" i="28"/>
  <c r="E99" i="36"/>
  <c r="E179" i="2"/>
  <c r="E94" i="28"/>
  <c r="E182" i="1"/>
  <c r="N177" i="1"/>
  <c r="E174" i="1"/>
  <c r="N197" i="3"/>
  <c r="E146" i="3"/>
  <c r="E182" i="3"/>
  <c r="N189" i="3"/>
  <c r="N99" i="29"/>
  <c r="N100" i="28"/>
  <c r="W96" i="32"/>
  <c r="M7" i="35"/>
  <c r="C106" i="35"/>
  <c r="N187" i="24"/>
  <c r="W151" i="22"/>
  <c r="E145" i="16"/>
  <c r="E150" i="21"/>
  <c r="E149" i="19"/>
  <c r="E83" i="31"/>
  <c r="E93" i="28"/>
  <c r="E141" i="2"/>
  <c r="N191" i="13"/>
  <c r="W163" i="25"/>
  <c r="N185" i="24"/>
  <c r="N159" i="9"/>
  <c r="E194" i="9"/>
  <c r="W142" i="25"/>
  <c r="W193" i="15"/>
  <c r="N160" i="17"/>
  <c r="N8" i="35"/>
  <c r="E151" i="3"/>
  <c r="W161" i="17"/>
  <c r="E160" i="25"/>
  <c r="W140" i="20"/>
  <c r="N164" i="8"/>
  <c r="N97" i="28"/>
  <c r="N193" i="8"/>
  <c r="E168" i="11"/>
  <c r="E86" i="32"/>
  <c r="E189" i="12"/>
  <c r="E149" i="14"/>
  <c r="N141" i="20"/>
  <c r="E191" i="18"/>
  <c r="E193" i="9"/>
  <c r="E162" i="7"/>
  <c r="N95" i="32"/>
  <c r="E193" i="3"/>
  <c r="N182" i="3"/>
  <c r="E98" i="38"/>
  <c r="W80" i="30"/>
  <c r="W140" i="23"/>
  <c r="W170" i="17"/>
  <c r="N143" i="17"/>
  <c r="N156" i="15"/>
  <c r="N189" i="7"/>
  <c r="N192" i="14"/>
  <c r="W159" i="20"/>
  <c r="N142" i="20"/>
  <c r="E160" i="20"/>
  <c r="N144" i="20"/>
  <c r="N122" i="20"/>
  <c r="N203" i="15"/>
  <c r="E186" i="21"/>
  <c r="E129" i="20"/>
  <c r="N90" i="33"/>
  <c r="W167" i="24"/>
  <c r="E161" i="23"/>
  <c r="E145" i="23"/>
  <c r="E169" i="25"/>
  <c r="W114" i="26"/>
  <c r="E165" i="23"/>
  <c r="E184" i="17"/>
  <c r="E184" i="18"/>
  <c r="E199" i="10"/>
  <c r="E156" i="19"/>
  <c r="E172" i="11"/>
  <c r="E168" i="21"/>
  <c r="W185" i="11"/>
  <c r="E136" i="12"/>
  <c r="N84" i="31"/>
  <c r="N148" i="11"/>
  <c r="E158" i="12"/>
  <c r="E145" i="7"/>
  <c r="E185" i="9"/>
  <c r="N140" i="7"/>
  <c r="E89" i="32"/>
  <c r="E72" i="31"/>
  <c r="E178" i="1"/>
  <c r="E160" i="14"/>
  <c r="E190" i="8"/>
  <c r="E76" i="32"/>
  <c r="E187" i="8"/>
  <c r="N192" i="8"/>
  <c r="N189" i="15"/>
  <c r="N92" i="32"/>
  <c r="N146" i="3"/>
  <c r="N143" i="3"/>
  <c r="E171" i="3"/>
  <c r="E81" i="33"/>
  <c r="N102" i="28"/>
  <c r="N150" i="13"/>
  <c r="W201" i="22"/>
  <c r="E183" i="11"/>
  <c r="E187" i="18"/>
  <c r="E167" i="9"/>
  <c r="E162" i="21"/>
  <c r="E166" i="8"/>
  <c r="N200" i="10"/>
  <c r="E171" i="11"/>
  <c r="N161" i="17"/>
  <c r="N163" i="15"/>
  <c r="E174" i="5"/>
  <c r="W180" i="15"/>
  <c r="N176" i="18"/>
  <c r="N143" i="7"/>
  <c r="N137" i="7"/>
  <c r="E91" i="28"/>
  <c r="N153" i="3"/>
  <c r="N141" i="23"/>
  <c r="N184" i="23"/>
  <c r="W172" i="23"/>
  <c r="E146" i="14"/>
  <c r="N94" i="34"/>
  <c r="E166" i="13"/>
  <c r="E166" i="17"/>
  <c r="E162" i="19"/>
  <c r="W145" i="11"/>
  <c r="N188" i="15"/>
  <c r="N142" i="3"/>
  <c r="W124" i="20"/>
  <c r="E165" i="15"/>
  <c r="E87" i="33"/>
  <c r="N158" i="24"/>
  <c r="N94" i="37"/>
  <c r="N171" i="8"/>
  <c r="N184" i="3"/>
  <c r="N160" i="3"/>
  <c r="E173" i="22"/>
  <c r="N156" i="25"/>
  <c r="N162" i="17"/>
  <c r="N163" i="25"/>
  <c r="E81" i="38"/>
  <c r="W89" i="38"/>
  <c r="E190" i="12"/>
  <c r="W152" i="20"/>
  <c r="N143" i="20"/>
  <c r="N164" i="20"/>
  <c r="E96" i="32"/>
  <c r="W157" i="16"/>
  <c r="W135" i="12"/>
  <c r="N113" i="35"/>
  <c r="W161" i="24"/>
  <c r="E176" i="23"/>
  <c r="W178" i="17"/>
  <c r="E130" i="26"/>
  <c r="N190" i="9"/>
  <c r="E154" i="19"/>
  <c r="W153" i="11"/>
  <c r="E142" i="17"/>
  <c r="N140" i="11"/>
  <c r="E115" i="36"/>
  <c r="N167" i="8"/>
  <c r="E149" i="11"/>
  <c r="N179" i="8"/>
  <c r="N150" i="8"/>
  <c r="E159" i="12"/>
  <c r="N78" i="32"/>
  <c r="E164" i="3"/>
  <c r="E117" i="35"/>
  <c r="N179" i="1"/>
  <c r="E89" i="37"/>
  <c r="N147" i="8"/>
  <c r="E165" i="5"/>
  <c r="N203" i="10"/>
  <c r="E183" i="1"/>
  <c r="E148" i="1"/>
  <c r="E154" i="1"/>
  <c r="N191" i="3"/>
  <c r="E162" i="3"/>
  <c r="E102" i="29"/>
  <c r="E101" i="29"/>
  <c r="N91" i="29"/>
  <c r="N97" i="33"/>
  <c r="N96" i="33"/>
  <c r="N91" i="28"/>
  <c r="E155" i="23"/>
  <c r="E128" i="16"/>
  <c r="E161" i="12"/>
  <c r="N168" i="11"/>
  <c r="E159" i="14"/>
  <c r="W93" i="28"/>
  <c r="E156" i="5"/>
  <c r="N196" i="15"/>
  <c r="E174" i="13"/>
  <c r="N171" i="11"/>
  <c r="N172" i="21"/>
  <c r="N120" i="15"/>
  <c r="N150" i="25"/>
  <c r="N148" i="17"/>
  <c r="E195" i="10"/>
  <c r="N129" i="26"/>
  <c r="N156" i="12"/>
  <c r="E161" i="17"/>
  <c r="E177" i="21"/>
  <c r="N154" i="24"/>
  <c r="N174" i="5"/>
  <c r="N162" i="14"/>
  <c r="N92" i="28"/>
  <c r="E96" i="28"/>
  <c r="E98" i="28"/>
  <c r="N93" i="28"/>
  <c r="N96" i="28"/>
  <c r="E104" i="28"/>
  <c r="E88" i="28"/>
  <c r="E87" i="28"/>
  <c r="E95" i="38"/>
  <c r="E96" i="38"/>
  <c r="E91" i="38"/>
  <c r="E85" i="38"/>
  <c r="N90" i="38"/>
  <c r="N96" i="38"/>
  <c r="E89" i="38"/>
  <c r="E86" i="38"/>
  <c r="E82" i="38"/>
  <c r="E80" i="38"/>
  <c r="N79" i="38"/>
  <c r="E97" i="38"/>
  <c r="E90" i="38"/>
  <c r="N83" i="38"/>
  <c r="N86" i="38"/>
  <c r="N94" i="33"/>
  <c r="N86" i="33"/>
  <c r="N92" i="33"/>
  <c r="E83" i="33"/>
  <c r="W102" i="29"/>
  <c r="N85" i="29"/>
  <c r="N96" i="29"/>
  <c r="N92" i="29"/>
  <c r="N79" i="29"/>
  <c r="E85" i="29"/>
  <c r="E103" i="29"/>
  <c r="E100" i="29"/>
  <c r="N170" i="3"/>
  <c r="E158" i="3"/>
  <c r="E172" i="3"/>
  <c r="E175" i="3"/>
  <c r="E188" i="3"/>
  <c r="N193" i="3"/>
  <c r="N151" i="3"/>
  <c r="E194" i="3"/>
  <c r="N154" i="3"/>
  <c r="E165" i="3"/>
  <c r="N196" i="3"/>
  <c r="N190" i="3"/>
  <c r="N192" i="3"/>
  <c r="N169" i="3"/>
  <c r="E178" i="3"/>
  <c r="N178" i="3"/>
  <c r="N161" i="3"/>
  <c r="N186" i="3"/>
  <c r="E164" i="1"/>
  <c r="N160" i="1"/>
  <c r="N157" i="1"/>
  <c r="N164" i="1"/>
  <c r="E180" i="1"/>
  <c r="N180" i="1"/>
  <c r="E172" i="1"/>
  <c r="E186" i="1"/>
  <c r="E193" i="1"/>
  <c r="N142" i="1"/>
  <c r="N173" i="1"/>
  <c r="E159" i="1"/>
  <c r="N156" i="1"/>
  <c r="E191" i="1"/>
  <c r="E195" i="1"/>
  <c r="N190" i="1"/>
  <c r="N162" i="1"/>
  <c r="N186" i="1"/>
  <c r="E145" i="1"/>
  <c r="E187" i="1"/>
  <c r="N151" i="1"/>
  <c r="N192" i="1"/>
  <c r="E170" i="1"/>
  <c r="N175" i="1"/>
  <c r="E146" i="1"/>
  <c r="E184" i="1"/>
  <c r="E162" i="1"/>
  <c r="N147" i="1"/>
  <c r="N195" i="1"/>
  <c r="N161" i="1"/>
  <c r="N172" i="1"/>
  <c r="E156" i="1"/>
  <c r="E151" i="1"/>
  <c r="N168" i="1"/>
  <c r="N165" i="1"/>
  <c r="E149" i="1"/>
  <c r="N159" i="1"/>
  <c r="E157" i="1"/>
  <c r="E177" i="1"/>
  <c r="N185" i="1"/>
  <c r="N143" i="1"/>
  <c r="E168" i="1"/>
  <c r="N150" i="1"/>
  <c r="N183" i="1"/>
  <c r="N166" i="1"/>
  <c r="E176" i="1"/>
  <c r="E179" i="13"/>
  <c r="E157" i="20"/>
  <c r="N192" i="18"/>
  <c r="W75" i="34"/>
  <c r="N173" i="21"/>
  <c r="N189" i="14"/>
  <c r="N85" i="34"/>
  <c r="N147" i="7"/>
  <c r="N180" i="19"/>
  <c r="N89" i="38"/>
  <c r="E83" i="38"/>
  <c r="N80" i="38"/>
  <c r="E87" i="38"/>
  <c r="E94" i="38"/>
  <c r="N162" i="20"/>
  <c r="N158" i="16"/>
  <c r="N147" i="20"/>
  <c r="N148" i="20"/>
  <c r="E159" i="20"/>
  <c r="N136" i="20"/>
  <c r="N152" i="20"/>
  <c r="E156" i="20"/>
  <c r="N102" i="29"/>
  <c r="N195" i="19"/>
  <c r="N189" i="12"/>
  <c r="W90" i="38"/>
  <c r="N94" i="38"/>
  <c r="N98" i="38"/>
  <c r="E132" i="6"/>
  <c r="N120" i="6"/>
  <c r="N104" i="37"/>
  <c r="N167" i="20"/>
  <c r="N129" i="20"/>
  <c r="W129" i="20"/>
  <c r="N187" i="25"/>
  <c r="W148" i="20"/>
  <c r="N135" i="20"/>
  <c r="N138" i="20"/>
  <c r="W135" i="23"/>
  <c r="N149" i="9"/>
  <c r="W101" i="29"/>
  <c r="N87" i="33"/>
  <c r="N75" i="31"/>
  <c r="E175" i="25"/>
  <c r="N152" i="23"/>
  <c r="W175" i="25"/>
  <c r="W176" i="23"/>
  <c r="N156" i="16"/>
  <c r="W144" i="19"/>
  <c r="E174" i="19"/>
  <c r="N159" i="19"/>
  <c r="N166" i="9"/>
  <c r="W179" i="24"/>
  <c r="W178" i="19"/>
  <c r="N162" i="8"/>
  <c r="N178" i="8"/>
  <c r="N140" i="24"/>
  <c r="N94" i="28"/>
  <c r="N187" i="8"/>
  <c r="N195" i="8"/>
  <c r="W191" i="11"/>
  <c r="N157" i="8"/>
  <c r="N158" i="8"/>
  <c r="N177" i="8"/>
  <c r="N197" i="8"/>
  <c r="N82" i="28"/>
  <c r="E82" i="32"/>
  <c r="W195" i="8"/>
  <c r="E152" i="5"/>
  <c r="E188" i="13"/>
  <c r="N180" i="8"/>
  <c r="N86" i="31"/>
  <c r="N159" i="14"/>
  <c r="N182" i="7"/>
  <c r="W188" i="15"/>
  <c r="N87" i="29"/>
  <c r="E138" i="5"/>
  <c r="E181" i="3"/>
  <c r="E184" i="2"/>
  <c r="N93" i="33"/>
  <c r="E135" i="23"/>
  <c r="L133" i="24"/>
  <c r="J133" i="24"/>
  <c r="N175" i="17"/>
  <c r="N101" i="28"/>
  <c r="N159" i="10"/>
  <c r="N172" i="8"/>
  <c r="N156" i="20"/>
  <c r="W149" i="20"/>
  <c r="N154" i="20"/>
  <c r="W143" i="20"/>
  <c r="W154" i="20"/>
  <c r="N203" i="13"/>
  <c r="N161" i="20"/>
  <c r="W134" i="20"/>
  <c r="N188" i="17"/>
  <c r="E140" i="19"/>
  <c r="N80" i="31"/>
  <c r="N135" i="5"/>
  <c r="W91" i="34"/>
  <c r="W183" i="19"/>
  <c r="N81" i="28"/>
  <c r="W183" i="23"/>
  <c r="W167" i="25"/>
  <c r="N152" i="24"/>
  <c r="N179" i="17"/>
  <c r="W158" i="17"/>
  <c r="N202" i="9"/>
  <c r="N181" i="21"/>
  <c r="E160" i="17"/>
  <c r="N146" i="8"/>
  <c r="N167" i="5"/>
  <c r="N186" i="5"/>
  <c r="N169" i="8"/>
  <c r="N181" i="8"/>
  <c r="E150" i="8"/>
  <c r="N152" i="7"/>
  <c r="W186" i="8"/>
  <c r="E186" i="8"/>
  <c r="N199" i="9"/>
  <c r="E166" i="5"/>
  <c r="W161" i="11"/>
  <c r="N84" i="32"/>
  <c r="N176" i="8"/>
  <c r="N184" i="8"/>
  <c r="W183" i="8"/>
  <c r="N181" i="3"/>
  <c r="N189" i="8"/>
  <c r="W186" i="9"/>
  <c r="N171" i="15"/>
  <c r="N187" i="21"/>
  <c r="N151" i="20"/>
  <c r="N157" i="20"/>
  <c r="N193" i="18"/>
  <c r="E123" i="20"/>
  <c r="N125" i="20"/>
  <c r="E144" i="20"/>
  <c r="E157" i="16"/>
  <c r="W163" i="23"/>
  <c r="W136" i="17"/>
  <c r="W153" i="25"/>
  <c r="N153" i="21"/>
  <c r="N206" i="10"/>
  <c r="W177" i="9"/>
  <c r="N96" i="32"/>
  <c r="N193" i="1"/>
  <c r="N153" i="8"/>
  <c r="N181" i="1"/>
  <c r="N191" i="8"/>
  <c r="N151" i="21"/>
  <c r="N148" i="8"/>
  <c r="N174" i="1"/>
  <c r="W175" i="8"/>
  <c r="N76" i="30"/>
  <c r="N165" i="8"/>
  <c r="N162" i="11"/>
  <c r="N196" i="8"/>
  <c r="E191" i="13"/>
  <c r="N193" i="15"/>
  <c r="E163" i="12"/>
  <c r="N90" i="29"/>
  <c r="W155" i="23"/>
  <c r="W174" i="8"/>
  <c r="N141" i="19"/>
  <c r="N132" i="20"/>
  <c r="E154" i="20"/>
  <c r="E142" i="20"/>
  <c r="N145" i="20"/>
  <c r="N124" i="20"/>
  <c r="N104" i="28"/>
  <c r="N160" i="20"/>
  <c r="N128" i="20"/>
  <c r="N194" i="19"/>
  <c r="N157" i="16"/>
  <c r="E137" i="20"/>
  <c r="N120" i="20"/>
  <c r="E148" i="20"/>
  <c r="N131" i="20"/>
  <c r="N71" i="31"/>
  <c r="N148" i="25"/>
  <c r="W171" i="23"/>
  <c r="E153" i="25"/>
  <c r="W148" i="17"/>
  <c r="E202" i="9"/>
  <c r="N188" i="1"/>
  <c r="N156" i="8"/>
  <c r="N194" i="8"/>
  <c r="E160" i="8"/>
  <c r="N185" i="15"/>
  <c r="N184" i="1"/>
  <c r="E188" i="15"/>
  <c r="E190" i="3"/>
  <c r="W140" i="19"/>
  <c r="N157" i="14"/>
  <c r="W168" i="21"/>
  <c r="N77" i="32"/>
  <c r="N190" i="5"/>
  <c r="N81" i="30"/>
  <c r="N133" i="20"/>
  <c r="E133" i="25"/>
  <c r="N208" i="10"/>
  <c r="W132" i="21"/>
  <c r="E157" i="24"/>
  <c r="E153" i="1"/>
  <c r="N169" i="1"/>
  <c r="N144" i="7"/>
  <c r="E144" i="21"/>
  <c r="W180" i="8"/>
  <c r="W184" i="8"/>
  <c r="N182" i="12"/>
  <c r="W178" i="8"/>
  <c r="N76" i="34"/>
  <c r="N171" i="1"/>
  <c r="W190" i="8"/>
  <c r="W182" i="8"/>
  <c r="N161" i="11"/>
  <c r="E192" i="13"/>
  <c r="N153" i="19"/>
  <c r="E195" i="8"/>
  <c r="N146" i="1"/>
  <c r="E183" i="8"/>
  <c r="N176" i="1"/>
  <c r="N162" i="19"/>
  <c r="N192" i="15"/>
  <c r="N70" i="30"/>
  <c r="N163" i="1"/>
  <c r="N180" i="3"/>
  <c r="N85" i="33"/>
  <c r="N91" i="37"/>
  <c r="N160" i="8"/>
  <c r="N170" i="1"/>
  <c r="N91" i="38"/>
  <c r="E145" i="20"/>
  <c r="N139" i="20"/>
  <c r="N149" i="20"/>
  <c r="E128" i="35"/>
  <c r="H133" i="24"/>
  <c r="N158" i="20"/>
  <c r="N203" i="9"/>
  <c r="N135" i="12"/>
  <c r="E133" i="24"/>
  <c r="E135" i="12"/>
  <c r="N140" i="19"/>
  <c r="W171" i="25"/>
  <c r="N114" i="26"/>
  <c r="E183" i="19"/>
  <c r="W137" i="24"/>
  <c r="N86" i="28"/>
  <c r="N174" i="8"/>
  <c r="N141" i="1"/>
  <c r="N141" i="7"/>
  <c r="N175" i="8"/>
  <c r="E194" i="8"/>
  <c r="N168" i="8"/>
  <c r="E161" i="11"/>
  <c r="N179" i="7"/>
  <c r="W163" i="12"/>
  <c r="N121" i="6"/>
  <c r="N123" i="6"/>
  <c r="N136" i="6"/>
  <c r="N126" i="6"/>
  <c r="N138" i="6"/>
  <c r="N129" i="6"/>
  <c r="N135" i="6"/>
  <c r="N128" i="6"/>
  <c r="N127" i="6"/>
  <c r="N134" i="6"/>
  <c r="N137" i="6"/>
  <c r="N132" i="6"/>
  <c r="N140" i="6"/>
  <c r="N124" i="6"/>
  <c r="N131" i="6"/>
  <c r="N139" i="6"/>
  <c r="W126" i="6"/>
  <c r="W130" i="6"/>
  <c r="W117" i="6"/>
  <c r="E117" i="6"/>
  <c r="W140" i="6"/>
  <c r="E122" i="6"/>
  <c r="N105" i="28"/>
  <c r="E92" i="38"/>
  <c r="N84" i="38"/>
  <c r="E79" i="38"/>
  <c r="E88" i="38"/>
  <c r="N92" i="38"/>
  <c r="N82" i="38"/>
  <c r="N95" i="38"/>
  <c r="N85" i="38"/>
  <c r="W124" i="6"/>
  <c r="W121" i="6"/>
  <c r="W120" i="6"/>
  <c r="E121" i="6"/>
  <c r="E130" i="6"/>
  <c r="E120" i="6"/>
  <c r="W125" i="6"/>
  <c r="W129" i="6"/>
  <c r="W128" i="6"/>
  <c r="E139" i="6"/>
  <c r="W137" i="6"/>
  <c r="E123" i="6"/>
  <c r="E126" i="6"/>
  <c r="E136" i="6"/>
  <c r="E118" i="6"/>
  <c r="E135" i="6"/>
  <c r="E138" i="6"/>
  <c r="E129" i="6"/>
  <c r="E127" i="6"/>
  <c r="E128" i="6"/>
  <c r="E137" i="6"/>
  <c r="E134" i="6"/>
  <c r="E133" i="6"/>
  <c r="E131" i="6"/>
  <c r="E119" i="6"/>
  <c r="E125" i="6"/>
  <c r="E141" i="6"/>
  <c r="E124" i="6"/>
  <c r="E140" i="6"/>
  <c r="W118" i="6"/>
  <c r="N175" i="9" l="1"/>
  <c r="N176" i="9"/>
  <c r="N153" i="25"/>
  <c r="D106" i="35"/>
  <c r="E106" i="35" s="1"/>
  <c r="N7" i="35"/>
  <c r="N133"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0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1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1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2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300-000003000000}">
      <text>
        <r>
          <rPr>
            <sz val="9"/>
            <color indexed="81"/>
            <rFont val="Tahoma"/>
            <family val="2"/>
          </rPr>
          <t>First government based on a multi-party election held on 17 June 1990.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05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Y7" authorId="1" shapeId="0" xr:uid="{00000000-0006-0000-0500-000003000000}">
      <text>
        <r>
          <rPr>
            <sz val="9"/>
            <color indexed="81"/>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xr:uid="{00000000-0006-0000-0500-000004000000}">
      <text>
        <r>
          <rPr>
            <sz val="9"/>
            <color indexed="81"/>
            <rFont val="Tahoma"/>
            <family val="2"/>
          </rPr>
          <t xml:space="preserve">In the 2000 elections part of allia1
</t>
        </r>
      </text>
    </comment>
    <comment ref="AC7" authorId="1" shapeId="0" xr:uid="{00000000-0006-0000-0500-00000500000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xr:uid="{00000000-0006-0000-0500-000006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xr:uid="{00000000-0006-0000-0500-000007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xr:uid="{00000000-0006-0000-0500-000008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xr:uid="{00000000-0006-0000-0500-000009000000}">
      <text>
        <r>
          <rPr>
            <sz val="9"/>
            <color indexed="81"/>
            <rFont val="Tahoma"/>
            <family val="2"/>
          </rPr>
          <t xml:space="preserve">Splitter party of HSLS 
</t>
        </r>
      </text>
    </comment>
    <comment ref="AC12" authorId="1" shapeId="0" xr:uid="{00000000-0006-0000-0500-00000A000000}">
      <text>
        <r>
          <rPr>
            <sz val="9"/>
            <color indexed="81"/>
            <rFont val="Tahoma"/>
            <family val="2"/>
          </rPr>
          <t xml:space="preserve">Source: http://www.hidra.hr/cro/politicke_stranke/parlamentarne_stranke/zastupljenost_stranaka_u_saboru
</t>
        </r>
      </text>
    </comment>
    <comment ref="AM14" authorId="1" shapeId="0" xr:uid="{00000000-0006-0000-0500-00000B000000}">
      <text>
        <r>
          <rPr>
            <sz val="9"/>
            <color indexed="81"/>
            <rFont val="Tahoma"/>
            <family val="2"/>
          </rPr>
          <t>In 2000 elections part of allia2</t>
        </r>
      </text>
    </comment>
    <comment ref="AC15" authorId="1" shapeId="0" xr:uid="{00000000-0006-0000-0500-00000C000000}">
      <text>
        <r>
          <rPr>
            <sz val="9"/>
            <color indexed="81"/>
            <rFont val="Tahoma"/>
            <family val="2"/>
          </rPr>
          <t xml:space="preserve">Source: http://www.hidra.hr/cro/politicke_stranke/parlamentarne_stranke/zastupljenost_stranaka_u_saboru
</t>
        </r>
      </text>
    </comment>
    <comment ref="AD25" authorId="1" shapeId="0" xr:uid="{00000000-0006-0000-0500-00000D000000}">
      <text>
        <r>
          <rPr>
            <sz val="9"/>
            <color indexed="81"/>
            <rFont val="Tahoma"/>
            <family val="2"/>
          </rPr>
          <t xml:space="preserve">In electoral coalition with HSS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David Weisstanner</author>
    <author>Isler, Christian (IPW)</author>
  </authors>
  <commentList>
    <comment ref="F4" authorId="0" shapeId="0" xr:uid="{00000000-0006-0000-0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6" authorId="1" shapeId="0" xr:uid="{00000000-0006-0000-0600-000003000000}">
      <text>
        <r>
          <rPr>
            <sz val="9"/>
            <color indexed="81"/>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xr:uid="{00000000-0006-0000-0600-00000400000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xr:uid="{00000000-0006-0000-0600-00000500000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xr:uid="{00000000-0006-0000-0600-00000600000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xr:uid="{00000000-0006-0000-0700-000003000000}">
      <text>
        <r>
          <rPr>
            <sz val="9"/>
            <color indexed="81"/>
            <rFont val="Tahoma"/>
            <family val="2"/>
          </rPr>
          <t>Pithart I and Klaus I were the Prime Ministers in the Czech part of Czechoslovakia until the dissolution of Czechoslovakia on 31 December 1992.</t>
        </r>
      </text>
    </comment>
    <comment ref="F7" authorId="0" shapeId="0" xr:uid="{00000000-0006-0000-0700-000004000000}">
      <text>
        <r>
          <rPr>
            <sz val="9"/>
            <color indexed="81"/>
            <rFont val="Tahoma"/>
            <family val="2"/>
          </rPr>
          <t xml:space="preserve">First post-communist government based on free elections held on 9 June 1990.
</t>
        </r>
      </text>
    </comment>
    <comment ref="C11" authorId="0" shapeId="0" xr:uid="{00000000-0006-0000-0700-000005000000}">
      <text>
        <r>
          <rPr>
            <sz val="9"/>
            <color indexed="81"/>
            <rFont val="Tahoma"/>
            <family val="2"/>
          </rPr>
          <t>Pithart I and Klaus I were the Prime Ministers in the Czech part of Czechoslovakia until the dissolution of Czechoslovakia on 31 December 1992.</t>
        </r>
      </text>
    </comment>
    <comment ref="F12" authorId="0" shapeId="0" xr:uid="{00000000-0006-0000-0700-000006000000}">
      <text>
        <r>
          <rPr>
            <sz val="9"/>
            <color indexed="81"/>
            <rFont val="Tahoma"/>
            <family val="2"/>
          </rPr>
          <t>Dissolution of Czechoslovakia on 31 December 1992</t>
        </r>
      </text>
    </comment>
    <comment ref="AC33" authorId="0" shapeId="0" xr:uid="{00000000-0006-0000-0700-000007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xr:uid="{00000000-0006-0000-0700-000008000000}">
      <text>
        <r>
          <rPr>
            <sz val="9"/>
            <color indexed="81"/>
            <rFont val="Tahoma"/>
            <family val="2"/>
          </rPr>
          <t>Freedom Union - Democratic Union</t>
        </r>
      </text>
    </comment>
    <comment ref="AG33" authorId="0" shapeId="0" xr:uid="{00000000-0006-0000-0700-000009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8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9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9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900-000003000000}">
      <text>
        <r>
          <rPr>
            <sz val="9"/>
            <color indexed="81"/>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A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8" authorId="0" shapeId="0" xr:uid="{00000000-0006-0000-0A00-00000300000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David Weisstanner</author>
    <author>david.weisstanner</author>
  </authors>
  <commentList>
    <comment ref="F4" authorId="0" shapeId="0" xr:uid="{00000000-0006-0000-0B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K41" authorId="0" shapeId="0" xr:uid="{00000000-0006-0000-0B00-000003000000}">
      <text>
        <r>
          <rPr>
            <sz val="9"/>
            <color indexed="81"/>
            <rFont val="Tahoma"/>
            <family val="2"/>
          </rPr>
          <t>1973 not in CPDS I, won 1.7% votes and 11/473=2.3% seats</t>
        </r>
      </text>
    </comment>
    <comment ref="G116" authorId="1" shapeId="0" xr:uid="{00000000-0006-0000-0B00-00000400000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C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H71" authorId="0" shapeId="0" xr:uid="{00000000-0006-0000-0C00-000003000000}">
      <text>
        <r>
          <rPr>
            <sz val="9"/>
            <color indexed="81"/>
            <rFont val="Tahoma"/>
            <family val="2"/>
          </rPr>
          <t>new ministry (postal and telecommunication)</t>
        </r>
      </text>
    </comment>
    <comment ref="F73" authorId="0" shapeId="0" xr:uid="{00000000-0006-0000-0C00-000004000000}">
      <text>
        <r>
          <rPr>
            <sz val="9"/>
            <color indexed="81"/>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D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24" authorId="0" shapeId="0" xr:uid="{00000000-0006-0000-0D00-000003000000}">
      <text>
        <r>
          <rPr>
            <sz val="9"/>
            <color indexed="81"/>
            <rFont val="Tahoma"/>
            <family val="2"/>
          </rPr>
          <t>Athanasiadis failed to receive a vote of confidence in Parliament, after which the CU split in two.</t>
        </r>
      </text>
    </comment>
    <comment ref="AC25" authorId="0" shapeId="0" xr:uid="{00000000-0006-0000-0D00-000004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xr:uid="{00000000-0006-0000-0D00-000005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xr:uid="{00000000-0006-0000-0D00-000006000000}">
      <text>
        <r>
          <rPr>
            <sz val="9"/>
            <color indexed="81"/>
            <rFont val="Tahoma"/>
            <family val="2"/>
          </rPr>
          <t>Military coup on 21 April 1967.</t>
        </r>
      </text>
    </comment>
    <comment ref="F44" authorId="0" shapeId="0" xr:uid="{00000000-0006-0000-0D00-000007000000}">
      <text>
        <r>
          <rPr>
            <sz val="9"/>
            <color indexed="81"/>
            <rFont val="Tahoma"/>
            <family val="2"/>
          </rPr>
          <t>Reason for termination of previous government is military coup on 21 April 1967</t>
        </r>
      </text>
    </comment>
    <comment ref="G44" authorId="0" shapeId="0" xr:uid="{00000000-0006-0000-0D00-00000800000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xr:uid="{00000000-0006-0000-0D00-00000900000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E00-000003000000}">
      <text>
        <r>
          <rPr>
            <sz val="9"/>
            <color indexed="81"/>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1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1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Z93" authorId="1" shapeId="0" xr:uid="{00000000-0006-0000-1100-000003000000}">
      <text>
        <r>
          <rPr>
            <b/>
            <sz val="9"/>
            <color indexed="81"/>
            <rFont val="Tahoma"/>
            <family val="2"/>
          </rPr>
          <t>E</t>
        </r>
        <r>
          <rPr>
            <sz val="9"/>
            <color indexed="81"/>
            <rFont val="Tahoma"/>
            <family val="2"/>
          </rPr>
          <t>lectoral alliance between Italian Popular Party (PPI) and Democratic Union (UD)</t>
        </r>
      </text>
    </comment>
    <comment ref="AD93" authorId="1" shapeId="0" xr:uid="{00000000-0006-0000-1100-00000400000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2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59" authorId="1" shapeId="0" xr:uid="{00000000-0006-0000-1200-000003000000}">
      <text>
        <r>
          <rPr>
            <sz val="9"/>
            <color indexed="81"/>
            <rFont val="Tahoma"/>
            <family val="2"/>
          </rPr>
          <t>Re-election Nakasone as chairman LDP and hence PM</t>
        </r>
      </text>
    </comment>
    <comment ref="C86" authorId="1" shapeId="0" xr:uid="{00000000-0006-0000-1200-000004000000}">
      <text>
        <r>
          <rPr>
            <sz val="9"/>
            <color indexed="81"/>
            <rFont val="Tahoma"/>
            <family val="2"/>
          </rPr>
          <t xml:space="preserve">Coalition cabinet with only LDP ministers in it
</t>
        </r>
      </text>
    </comment>
    <comment ref="S86" authorId="0" shapeId="0" xr:uid="{00000000-0006-0000-1200-000005000000}">
      <text>
        <r>
          <rPr>
            <sz val="9"/>
            <color indexed="81"/>
            <rFont val="Tahoma"/>
            <family val="2"/>
          </rPr>
          <t>Coalition cabinet with only LDP ministers in it</t>
        </r>
      </text>
    </comment>
    <comment ref="AC92" authorId="0" shapeId="0" xr:uid="{00000000-0006-0000-1200-000006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xr:uid="{00000000-0006-0000-1200-000007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13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300-000003000000}">
      <text>
        <r>
          <rPr>
            <sz val="9"/>
            <color indexed="81"/>
            <rFont val="Tahoma"/>
            <family val="2"/>
          </rPr>
          <t>First post-communist government based on the first free elections after independence from the Sovjet Union, held on 6 June 1993.</t>
        </r>
      </text>
    </comment>
    <comment ref="Z9" authorId="1" shapeId="0" xr:uid="{00000000-0006-0000-1300-000004000000}">
      <text>
        <r>
          <rPr>
            <sz val="9"/>
            <color indexed="81"/>
            <rFont val="Tahoma"/>
            <family val="2"/>
          </rPr>
          <t xml:space="preserve">Formed during legislation (breaking away from Harmony for Latvia), hence did not get any seats on their own in the 1993 election.
</t>
        </r>
      </text>
    </comment>
    <comment ref="AK11" authorId="0" shapeId="0" xr:uid="{00000000-0006-0000-1300-000005000000}">
      <text>
        <r>
          <rPr>
            <sz val="9"/>
            <color indexed="81"/>
            <rFont val="Tahoma"/>
            <family val="2"/>
          </rPr>
          <t>Formed an electoral alliance with the Latvian Green Party in 1995. The seat share entered is the total share of the alliance (allia1).</t>
        </r>
      </text>
    </comment>
    <comment ref="AO44" authorId="0" shapeId="0" xr:uid="{00000000-0006-0000-1300-00000600000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400-000003000000}">
      <text>
        <r>
          <rPr>
            <sz val="9"/>
            <color indexed="81"/>
            <rFont val="Tahoma"/>
            <family val="2"/>
          </rPr>
          <t>First post-communist government based on the first free elections after independence from the Sovjet Union, held on 15 November 1992.</t>
        </r>
      </text>
    </comment>
    <comment ref="Y27" authorId="1" shapeId="0" xr:uid="{00000000-0006-0000-1400-00000400000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xr:uid="{00000000-0006-0000-1400-000005000000}">
      <text>
        <r>
          <rPr>
            <sz val="9"/>
            <color indexed="81"/>
            <rFont val="Tahoma"/>
            <family val="2"/>
          </rPr>
          <t>Since LSDP was part of the Coalition of Algirdas Bazauskas and Arturas Paulauskas "Working for Lithuania" their own seat share is not apparent in the CPDS and thus taken from Krupavicius (2005: 1091).</t>
        </r>
        <r>
          <rPr>
            <sz val="9"/>
            <color indexed="81"/>
            <rFont val="Tahoma"/>
            <family val="2"/>
          </rPr>
          <t xml:space="preserve">
</t>
        </r>
      </text>
    </comment>
    <comment ref="AG34" authorId="2" shapeId="0" xr:uid="{00000000-0006-0000-1400-000006000000}">
      <text>
        <r>
          <rPr>
            <sz val="9"/>
            <color indexed="81"/>
            <rFont val="Tahoma"/>
            <family val="2"/>
          </rPr>
          <t>Since NS-LP was part of the Coalition of Algirdas Bazauskas and Arturas Paulauskas "Working for Lithuania" their own seat share is not apparent in the CPDS and thus taken from Krupavicius (2005: 1091).</t>
        </r>
      </text>
    </comment>
    <comment ref="Y39" authorId="0" shapeId="0" xr:uid="{00000000-0006-0000-1400-000007000000}">
      <text>
        <r>
          <rPr>
            <sz val="9"/>
            <color indexed="81"/>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xr:uid="{00000000-0006-0000-1400-000008000000}">
      <text>
        <r>
          <rPr>
            <sz val="9"/>
            <color indexed="81"/>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5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8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xr:uid="{00000000-0006-0000-1800-00000300000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9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9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A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A00-000003000000}">
      <text>
        <r>
          <rPr>
            <sz val="9"/>
            <color indexed="81"/>
            <rFont val="Tahoma"/>
            <family val="2"/>
          </rPr>
          <t>First post-communist government based on the first free elections held on 27 October 1991.</t>
        </r>
      </text>
    </comment>
    <comment ref="F10" authorId="1" shapeId="0" xr:uid="{00000000-0006-0000-1A00-000004000000}">
      <text>
        <r>
          <rPr>
            <sz val="9"/>
            <color indexed="81"/>
            <rFont val="Tahoma"/>
            <family val="2"/>
          </rPr>
          <t>Reason for termination is failure to form a new government because of lack of support from the parliament.</t>
        </r>
      </text>
    </comment>
    <comment ref="AS10" authorId="0" shapeId="0" xr:uid="{00000000-0006-0000-1A00-000005000000}">
      <text>
        <r>
          <rPr>
            <sz val="9"/>
            <color indexed="81"/>
            <rFont val="Tahoma"/>
            <family val="2"/>
          </rPr>
          <t>Run in the election as part of PL.</t>
        </r>
      </text>
    </comment>
    <comment ref="Y35" authorId="1" shapeId="0" xr:uid="{00000000-0006-0000-1A00-000006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xr:uid="{00000000-0006-0000-1A00-000007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xr:uid="{00000000-0006-0000-1A00-00000800000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B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B00-000003000000}">
      <text>
        <r>
          <rPr>
            <sz val="9"/>
            <color indexed="81"/>
            <rFont val="Tahoma"/>
            <family val="2"/>
          </rPr>
          <t>On 25 April 1974, the "Carnation Revolution" initiated a the two-year revolutionary transitory phase which resulted in the new democratic constitution enacted on 25 April 1976.</t>
        </r>
      </text>
    </comment>
    <comment ref="V17" authorId="1" shapeId="0" xr:uid="{00000000-0006-0000-1B00-000004000000}">
      <text>
        <r>
          <rPr>
            <sz val="9"/>
            <color indexed="81"/>
            <rFont val="Tahoma"/>
            <family val="2"/>
          </rPr>
          <t xml:space="preserve">Electoral alliance of Center Social Democrats, Social Democrats and Popular Monarchist Party </t>
        </r>
      </text>
    </comment>
    <comment ref="Z17" authorId="1" shapeId="0" xr:uid="{00000000-0006-0000-1B00-000005000000}">
      <text>
        <r>
          <rPr>
            <sz val="9"/>
            <color indexed="81"/>
            <rFont val="Tahoma"/>
            <family val="2"/>
          </rPr>
          <t xml:space="preserve">Electoral alliance of Center Social Democrats, Social Democrats and Popular Monarchist Party </t>
        </r>
      </text>
    </comment>
    <comment ref="AD17" authorId="1" shapeId="0" xr:uid="{00000000-0006-0000-1B00-000006000000}">
      <text>
        <r>
          <rPr>
            <sz val="9"/>
            <color indexed="81"/>
            <rFont val="Tahoma"/>
            <family val="2"/>
          </rPr>
          <t xml:space="preserve">Electoral alliance of Center Social Democrats, Social Democrats and Popular Monarchist Party </t>
        </r>
      </text>
    </comment>
    <comment ref="F19" authorId="1" shapeId="0" xr:uid="{00000000-0006-0000-1B00-00000700000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C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C00-000003000000}">
      <text>
        <r>
          <rPr>
            <sz val="9"/>
            <color indexed="81"/>
            <rFont val="Tahoma"/>
            <family val="2"/>
          </rPr>
          <t>Government based on the first free elections held on 20 May 1990 after the communist regime under Ceaușescu.</t>
        </r>
      </text>
    </comment>
    <comment ref="AK9" authorId="1" shapeId="0" xr:uid="{00000000-0006-0000-1C00-00000400000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xr:uid="{00000000-0006-0000-1C00-000005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xr:uid="{00000000-0006-0000-1C00-000006000000}">
      <text>
        <r>
          <rPr>
            <sz val="9"/>
            <color indexed="81"/>
            <rFont val="Tahoma"/>
            <family val="2"/>
          </rPr>
          <t>PNL won 19.2% of parliamentary seats whilst competing in the electoral coalition with PD (Stan and Zaharia 2007: 1086).</t>
        </r>
      </text>
    </comment>
    <comment ref="Z37" authorId="2" shapeId="0" xr:uid="{00000000-0006-0000-1C00-000007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xr:uid="{00000000-0006-0000-1C00-000008000000}">
      <text>
        <r>
          <rPr>
            <sz val="9"/>
            <color indexed="81"/>
            <rFont val="Tahoma"/>
            <family val="2"/>
          </rPr>
          <t>PD won 14.5% of parliamentary seats whilst competing in the electoral coalition with PNL (Stan and Zaharia 2007: 1086).</t>
        </r>
      </text>
    </comment>
    <comment ref="AH37" authorId="1" shapeId="0" xr:uid="{00000000-0006-0000-1C00-00000900000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xr:uid="{00000000-0006-0000-1C00-00000A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xr:uid="{00000000-0006-0000-1C00-00000B00000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xr:uid="{00000000-0006-0000-1C00-00000C000000}">
      <text>
        <r>
          <rPr>
            <sz val="9"/>
            <color indexed="81"/>
            <rFont val="Tahoma"/>
            <family val="2"/>
          </rPr>
          <t xml:space="preserve">The seat share of UNPR is taken from EJPR (Stan and Zaharia 2011: 1108). 
</t>
        </r>
      </text>
    </comment>
    <comment ref="Y62" authorId="2" shapeId="0" xr:uid="{00000000-0006-0000-1C00-00000D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xr:uid="{00000000-0006-0000-1C00-00000E00000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xr:uid="{00000000-0006-0000-1C00-00000F00000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xr:uid="{00000000-0006-0000-1C00-000010000000}">
      <text>
        <r>
          <rPr>
            <sz val="9"/>
            <color indexed="81"/>
            <rFont val="Tahoma"/>
            <family val="2"/>
          </rPr>
          <t>The seat share of PSD, PNL, PC and UNPR is taken from EJPR (Stan 2013: 201).</t>
        </r>
      </text>
    </comment>
    <comment ref="Z64" authorId="2" shapeId="0" xr:uid="{00000000-0006-0000-1C00-000011000000}">
      <text>
        <r>
          <rPr>
            <sz val="9"/>
            <color indexed="81"/>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xr:uid="{00000000-0006-0000-1C00-000012000000}">
      <text>
        <r>
          <rPr>
            <sz val="9"/>
            <color indexed="81"/>
            <rFont val="Tahoma"/>
            <family val="2"/>
          </rPr>
          <t>The seat share of PSD, PNL, PC and UNPR is taken from EJPR (Stan 2013: 201).</t>
        </r>
      </text>
    </comment>
    <comment ref="AD64" authorId="0" shapeId="0" xr:uid="{00000000-0006-0000-1C00-00001300000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xr:uid="{00000000-0006-0000-1C00-000014000000}">
      <text>
        <r>
          <rPr>
            <sz val="9"/>
            <color indexed="81"/>
            <rFont val="Tahoma"/>
            <family val="2"/>
          </rPr>
          <t>The seat share of PSD, PNL, PC and UNPR is taken from EJPR (Stan 2013: 201).</t>
        </r>
      </text>
    </comment>
    <comment ref="AH64" authorId="0" shapeId="0" xr:uid="{00000000-0006-0000-1C00-00001500000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xr:uid="{00000000-0006-0000-1C00-00001600000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D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C7" authorId="0" shapeId="0" xr:uid="{00000000-0006-0000-1D00-000003000000}">
      <text>
        <r>
          <rPr>
            <sz val="9"/>
            <color indexed="81"/>
            <rFont val="Tahoma"/>
            <family val="2"/>
          </rPr>
          <t>Mečiar I, Čarnogurský I and Mečiar II were the Prime Ministers in the Slovak part of Czechoslovakia until the dissolution of Czechoslovakia on 31 December 1992.</t>
        </r>
      </text>
    </comment>
    <comment ref="F7" authorId="0" shapeId="0" xr:uid="{00000000-0006-0000-1D00-000004000000}">
      <text>
        <r>
          <rPr>
            <sz val="9"/>
            <color indexed="81"/>
            <rFont val="Tahoma"/>
            <family val="2"/>
          </rPr>
          <t xml:space="preserve">Government based on the first free elections held on 9 June 1990.
</t>
        </r>
      </text>
    </comment>
    <comment ref="C9" authorId="0" shapeId="0" xr:uid="{00000000-0006-0000-1D00-000005000000}">
      <text>
        <r>
          <rPr>
            <sz val="9"/>
            <color indexed="81"/>
            <rFont val="Tahoma"/>
            <family val="2"/>
          </rPr>
          <t>Mečiar I, Čarnogurský I and Mečiar II were the Prime Ministers in the Slovak part of Czechoslovakia until the dissolution of Czechoslovakia on 31 December 1992.</t>
        </r>
      </text>
    </comment>
    <comment ref="C11" authorId="0" shapeId="0" xr:uid="{00000000-0006-0000-1D00-000006000000}">
      <text>
        <r>
          <rPr>
            <sz val="9"/>
            <color indexed="81"/>
            <rFont val="Tahoma"/>
            <family val="2"/>
          </rPr>
          <t>Mečiar I, Čarnogurský I and Mečiar II were the Prime Ministers in the Slovak part of Czechoslovakia until the dissolution of Czechoslovakia on 31 December 1992.</t>
        </r>
      </text>
    </comment>
    <comment ref="F12" authorId="0" shapeId="0" xr:uid="{00000000-0006-0000-1D00-000007000000}">
      <text>
        <r>
          <rPr>
            <sz val="9"/>
            <color indexed="81"/>
            <rFont val="Tahoma"/>
            <family val="2"/>
          </rPr>
          <t>Dissolution of Czechoslovakia on 31 December 1992</t>
        </r>
      </text>
    </comment>
    <comment ref="AG17" authorId="0" shapeId="0" xr:uid="{00000000-0006-0000-1D00-000008000000}">
      <text>
        <r>
          <rPr>
            <sz val="9"/>
            <color indexed="81"/>
            <rFont val="Tahoma"/>
            <family val="2"/>
          </rPr>
          <t>DUS and ADSR are splinter parties from the HZDS. Their seat share is taken from Müller-Rommel et al. (2008: 828).</t>
        </r>
      </text>
    </comment>
    <comment ref="AK17" authorId="0" shapeId="0" xr:uid="{00000000-0006-0000-1D00-000009000000}">
      <text>
        <r>
          <rPr>
            <sz val="9"/>
            <color indexed="81"/>
            <rFont val="Tahoma"/>
            <family val="2"/>
          </rPr>
          <t>DUS and ADSR are splinter parties from the HZDS. Their seat share is taken from Müller-Rommel et al. (2008: 828).</t>
        </r>
      </text>
    </comment>
    <comment ref="AO17" authorId="0" shapeId="0" xr:uid="{00000000-0006-0000-1D00-00000A00000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E00-000003000000}">
      <text>
        <r>
          <rPr>
            <sz val="9"/>
            <color indexed="81"/>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F00-00000300000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xr:uid="{00000000-0006-0000-2000-000003000000}">
      <text>
        <r>
          <rPr>
            <sz val="9"/>
            <color indexed="81"/>
            <rFont val="Tahoma"/>
            <family val="2"/>
          </rPr>
          <t>Reason for termination is assassination of PM Palme.</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1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1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xr:uid="{00000000-0006-0000-2100-000003000000}">
      <text>
        <r>
          <rPr>
            <sz val="9"/>
            <color indexed="81"/>
            <rFont val="Tahoma"/>
            <family val="2"/>
          </rPr>
          <t>Coded as agrarian until 1994 and as right4 (right-wing populist) since 1995.</t>
        </r>
      </text>
    </comment>
    <comment ref="F7" authorId="1" shapeId="0" xr:uid="{00000000-0006-0000-2100-000004000000}">
      <text>
        <r>
          <rPr>
            <sz val="9"/>
            <color indexed="81"/>
            <rFont val="Tahoma"/>
            <family val="2"/>
          </rPr>
          <t>Head of State is the chairperson of the Federal Council (Bundespräsident), whose members alternate in the position each year.</t>
        </r>
      </text>
    </comment>
    <comment ref="AI7" authorId="1" shapeId="0" xr:uid="{00000000-0006-0000-2100-000005000000}">
      <text>
        <r>
          <rPr>
            <sz val="9"/>
            <color indexed="81"/>
            <rFont val="Tahoma"/>
            <family val="2"/>
          </rPr>
          <t>Coded as agrarian until 1994 and as right4 (right-wing populist) since 1995.</t>
        </r>
      </text>
    </comment>
    <comment ref="AI8" authorId="1" shapeId="0" xr:uid="{00000000-0006-0000-2100-000006000000}">
      <text>
        <r>
          <rPr>
            <sz val="9"/>
            <color indexed="81"/>
            <rFont val="Tahoma"/>
            <family val="2"/>
          </rPr>
          <t>Coded as agrarian until 1994 and as right4 (right-wing populist) since 1995.</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22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2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xr:uid="{00000000-0006-0000-2300-000003000000}">
      <text>
        <r>
          <rPr>
            <sz val="9"/>
            <color indexed="81"/>
            <rFont val="Tahoma"/>
            <family val="2"/>
          </rPr>
          <t>Election to the House of Representatives (relevant for the variables gov2 and gov3), does not indicate a change of government.</t>
        </r>
      </text>
    </comment>
    <comment ref="F16" authorId="1" shapeId="0" xr:uid="{00000000-0006-0000-2300-000004000000}">
      <text>
        <r>
          <rPr>
            <sz val="9"/>
            <color indexed="81"/>
            <rFont val="Tahoma"/>
            <family val="2"/>
          </rPr>
          <t>Reason for termination is assassination of President Kennedey.</t>
        </r>
      </text>
    </comment>
  </commentList>
</comments>
</file>

<file path=xl/sharedStrings.xml><?xml version="1.0" encoding="utf-8"?>
<sst xmlns="http://schemas.openxmlformats.org/spreadsheetml/2006/main" count="31842" uniqueCount="1427">
  <si>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</si>
  <si>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</si>
  <si>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</si>
  <si>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</si>
  <si>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</si>
  <si>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</si>
  <si>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</si>
  <si>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</si>
  <si>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</si>
  <si>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</si>
  <si>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</si>
  <si>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</si>
  <si>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</si>
  <si>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</si>
  <si>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</si>
  <si>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</si>
  <si>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</si>
  <si>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</si>
  <si>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</si>
  <si>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</si>
  <si>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</si>
  <si>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</si>
  <si>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</si>
  <si>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</si>
  <si>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</si>
  <si>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</si>
  <si>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</si>
  <si>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</si>
  <si>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</si>
  <si>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</si>
  <si>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</si>
  <si>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</si>
  <si>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</si>
  <si>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</si>
  <si>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</si>
  <si>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</si>
  <si>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</si>
  <si>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</si>
  <si>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</si>
  <si>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</si>
  <si>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</si>
  <si>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</si>
  <si>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</si>
  <si>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</si>
  <si>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</si>
  <si>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</si>
  <si>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</si>
  <si>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</si>
  <si>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</si>
  <si>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</si>
  <si>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</si>
  <si>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</si>
  <si>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</si>
  <si>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</si>
  <si>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</si>
  <si>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</si>
  <si>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</si>
  <si>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</si>
  <si>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</si>
  <si>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</si>
  <si>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</si>
  <si>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</si>
  <si>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</si>
  <si>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</si>
  <si>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</si>
  <si>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</si>
  <si>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</si>
  <si>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</si>
  <si>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</si>
  <si>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</si>
  <si>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</si>
  <si>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</si>
  <si>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</si>
  <si>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</si>
  <si>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</si>
  <si>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agrarian</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</si>
  <si>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</si>
  <si>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</si>
  <si>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</si>
  <si>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</si>
  <si>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</si>
  <si>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</si>
  <si>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</si>
  <si>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</si>
  <si>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</si>
  <si>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</si>
  <si>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</si>
  <si>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</si>
  <si>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</si>
  <si>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</si>
  <si>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</si>
  <si>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</si>
  <si>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</si>
  <si>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</si>
  <si>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</si>
  <si>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</si>
  <si>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</si>
  <si>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</si>
  <si>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</si>
  <si>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</si>
  <si>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</si>
  <si>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</si>
  <si>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</si>
  <si>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</si>
  <si>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</si>
  <si>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</si>
  <si>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</si>
  <si>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</si>
  <si>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</si>
  <si>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</si>
  <si>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</si>
  <si>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</si>
  <si>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</si>
  <si>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</si>
  <si>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</si>
  <si>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</si>
  <si>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</si>
  <si>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</si>
  <si>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</si>
  <si>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</si>
  <si>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</si>
  <si>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</si>
  <si>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</si>
  <si>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</si>
  <si>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</si>
  <si>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</si>
  <si>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</si>
  <si>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</si>
  <si>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</si>
  <si>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</si>
  <si>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</si>
  <si>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</si>
  <si>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</si>
  <si>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</si>
  <si>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</si>
  <si>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</si>
  <si>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</si>
  <si>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</si>
  <si>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</si>
  <si>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</si>
  <si>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</si>
  <si>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</si>
  <si>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</si>
  <si>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</si>
  <si>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</si>
  <si>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</si>
  <si>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</si>
  <si>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</si>
  <si>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</si>
  <si>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</si>
  <si>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</si>
  <si>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</si>
  <si>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</si>
  <si>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</si>
  <si>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</si>
  <si>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</si>
  <si>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</si>
  <si>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</si>
  <si>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</si>
  <si>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</si>
  <si>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</si>
  <si>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</si>
  <si>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</si>
  <si>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</si>
  <si>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</si>
  <si>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</si>
  <si>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</si>
  <si>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</si>
  <si>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</si>
  <si>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</si>
  <si>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</si>
  <si>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</si>
  <si>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</si>
  <si>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</si>
  <si>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</si>
  <si>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</si>
  <si>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</si>
  <si>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</si>
  <si>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</si>
  <si>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</si>
  <si>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Mitsotakis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</si>
  <si>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</si>
  <si>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</si>
  <si>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</si>
  <si>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</si>
  <si>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</si>
  <si>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</si>
  <si>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</si>
  <si>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</si>
  <si>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</si>
  <si>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</si>
  <si>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</si>
  <si>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</si>
  <si>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</si>
  <si>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</si>
  <si>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</si>
  <si>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</si>
  <si>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</si>
  <si>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</si>
  <si>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</si>
  <si>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</si>
  <si>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</si>
  <si>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</si>
  <si>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</si>
  <si>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</si>
  <si>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</si>
  <si>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</si>
  <si>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</si>
  <si>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</si>
  <si>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</si>
  <si>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</si>
  <si>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</si>
  <si>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</si>
  <si>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</si>
  <si>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</si>
  <si>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</si>
  <si>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</si>
  <si>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</si>
  <si>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</si>
  <si>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</si>
  <si>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</si>
  <si>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</si>
  <si>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</si>
  <si>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</si>
  <si>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</si>
  <si>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</si>
  <si>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</si>
  <si>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</si>
  <si>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</si>
  <si>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</si>
  <si>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</si>
  <si>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</si>
  <si>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</si>
  <si>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Trudeau I (LIB)</t>
  </si>
  <si>
    <t>Trudeau II (LIB)</t>
  </si>
  <si>
    <t>Trudeau III (LIB)</t>
  </si>
  <si>
    <t>Trudeau IV (LIB)</t>
  </si>
  <si>
    <t>Clark I (PC)</t>
  </si>
  <si>
    <t>Trudeau V (LIB)</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</si>
  <si>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</si>
  <si>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</si>
  <si>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</si>
  <si>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</si>
  <si>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</si>
  <si>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</si>
  <si>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</si>
  <si>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</si>
  <si>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</si>
  <si>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</si>
  <si>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</si>
  <si>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</si>
  <si>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</si>
  <si>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</si>
  <si>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</si>
  <si>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</si>
  <si>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</si>
  <si>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</si>
  <si>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</si>
  <si>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</si>
  <si>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</si>
  <si>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</si>
  <si>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</si>
  <si>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</si>
  <si>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</si>
  <si>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</si>
  <si>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</si>
  <si>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</si>
  <si>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</si>
  <si>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</si>
  <si>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</si>
  <si>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</si>
  <si>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</si>
  <si>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</si>
  <si>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</si>
  <si>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</si>
  <si>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</si>
  <si>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</si>
  <si>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</si>
  <si>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</si>
  <si>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</si>
  <si>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</si>
  <si>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</si>
  <si>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</si>
  <si>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Benediktsson I (IP)</t>
  </si>
  <si>
    <t>Benediktsson II (IP)</t>
  </si>
  <si>
    <t>Hafstein I (IP)</t>
  </si>
  <si>
    <t>agriarian</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</si>
  <si>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</si>
  <si>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</si>
  <si>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</si>
  <si>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</si>
  <si>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</si>
  <si>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</si>
  <si>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</si>
  <si>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</si>
  <si>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</si>
  <si>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</si>
  <si>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</si>
  <si>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</si>
  <si>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</si>
  <si>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</si>
  <si>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</si>
  <si>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</si>
  <si>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</si>
  <si>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</si>
  <si>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</si>
  <si>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</si>
  <si>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</si>
  <si>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</si>
  <si>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</si>
  <si>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</si>
  <si>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</si>
  <si>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</si>
  <si>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</si>
  <si>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</si>
  <si>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</si>
  <si>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</si>
  <si>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</si>
  <si>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</si>
  <si>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</si>
  <si>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</si>
  <si>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</si>
  <si>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</si>
  <si>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</si>
  <si>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</si>
  <si>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</si>
  <si>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</si>
  <si>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</si>
  <si>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</si>
  <si>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</si>
  <si>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</si>
  <si>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</si>
  <si>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</si>
  <si>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</si>
  <si>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</si>
  <si>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</si>
  <si>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</si>
  <si>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</si>
  <si>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</si>
  <si>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</si>
  <si>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</si>
  <si>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</si>
  <si>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</si>
  <si>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</si>
  <si>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</si>
  <si>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</si>
  <si>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</si>
  <si>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</si>
  <si>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</si>
  <si>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</si>
  <si>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</si>
  <si>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</si>
  <si>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</si>
  <si>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</si>
  <si>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</si>
  <si>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</si>
  <si>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</si>
  <si>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</si>
  <si>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</si>
  <si>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</si>
  <si>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</si>
  <si>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</si>
  <si>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</si>
  <si>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</si>
  <si>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</si>
  <si>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</si>
  <si>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</si>
  <si>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</si>
  <si>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</si>
  <si>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</si>
  <si>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</si>
  <si>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</si>
  <si>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</si>
  <si>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</si>
  <si>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</si>
  <si>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</si>
  <si>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</si>
  <si>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</si>
  <si>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</si>
  <si>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</si>
  <si>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</si>
  <si>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</si>
  <si>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</si>
  <si>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</si>
  <si>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</si>
  <si>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</si>
  <si>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</si>
  <si>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</si>
  <si>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</si>
  <si>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</si>
  <si>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</si>
  <si>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</si>
  <si>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</si>
  <si>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</si>
  <si>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</si>
  <si>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</si>
  <si>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</si>
  <si>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</si>
  <si>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</si>
  <si>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</si>
  <si>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</si>
  <si>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</si>
  <si>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</si>
  <si>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</si>
  <si>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</si>
  <si>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</si>
  <si>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</si>
  <si>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</si>
  <si>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</si>
  <si>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</si>
  <si>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</si>
  <si>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</si>
  <si>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</si>
  <si>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</si>
  <si>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</si>
  <si>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</si>
  <si>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</si>
  <si>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</si>
  <si>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</si>
  <si>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</si>
  <si>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</si>
  <si>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</si>
  <si>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</si>
  <si>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</si>
  <si>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</si>
  <si>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</si>
  <si>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</si>
  <si>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</si>
  <si>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</si>
  <si>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</si>
  <si>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</si>
  <si>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</si>
  <si>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</si>
  <si>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</si>
  <si>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</si>
  <si>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</si>
  <si>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</si>
  <si>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</si>
  <si>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</si>
  <si>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</si>
  <si>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</si>
  <si>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</si>
  <si>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</si>
  <si>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</si>
  <si>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</si>
  <si>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</si>
  <si>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</si>
  <si>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</si>
  <si>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</si>
  <si>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</si>
  <si>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</si>
  <si>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</si>
  <si>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</si>
  <si>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</si>
  <si>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</si>
  <si>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</si>
  <si>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</si>
  <si>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</si>
  <si>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</si>
  <si>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</si>
  <si>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</si>
  <si>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</si>
  <si>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</si>
  <si>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</si>
  <si>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</si>
  <si>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</si>
  <si>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</si>
  <si>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</si>
  <si>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</si>
  <si>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</si>
  <si>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</si>
  <si>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</si>
  <si>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</si>
  <si>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</si>
  <si>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</si>
  <si>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</si>
  <si>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</si>
  <si>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</si>
  <si>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</si>
  <si>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</si>
  <si>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</si>
  <si>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</si>
  <si>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</si>
  <si>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</si>
  <si>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</si>
  <si>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</si>
  <si>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</si>
  <si>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</si>
  <si>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</si>
  <si>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</si>
  <si>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</si>
  <si>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</si>
  <si>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</si>
  <si>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</si>
  <si>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</si>
  <si>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</si>
  <si>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</si>
  <si>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</si>
  <si>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</si>
  <si>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</si>
  <si>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</si>
  <si>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</si>
  <si>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</si>
  <si>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</si>
  <si>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</si>
  <si>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</si>
  <si>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</si>
  <si>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</si>
  <si>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</si>
  <si>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</si>
  <si>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</si>
  <si>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</si>
  <si>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</si>
  <si>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</si>
  <si>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</si>
  <si>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</si>
  <si>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</si>
  <si>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</si>
  <si>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</si>
  <si>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</si>
  <si>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</si>
  <si>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</si>
  <si>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</si>
  <si>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</si>
  <si>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</si>
  <si>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</si>
  <si>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</si>
  <si>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</si>
  <si>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</si>
  <si>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</si>
  <si>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</si>
  <si>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</si>
  <si>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</si>
  <si>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</si>
  <si>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</si>
  <si>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</si>
  <si>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</si>
  <si>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</si>
  <si>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</si>
  <si>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</si>
  <si>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</si>
  <si>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</si>
  <si>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</si>
  <si>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</si>
  <si>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</si>
  <si>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</si>
  <si>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</si>
  <si>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</si>
  <si>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</si>
  <si>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</si>
  <si>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</si>
  <si>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</si>
  <si>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</si>
  <si>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</si>
  <si>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</si>
  <si>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</si>
  <si>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</si>
  <si>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</si>
  <si>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</si>
  <si>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</si>
  <si>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</si>
  <si>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</si>
  <si>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</si>
  <si>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</si>
  <si>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</si>
  <si>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</si>
  <si>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</si>
  <si>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</si>
  <si>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</si>
  <si>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</si>
  <si>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</si>
  <si>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</si>
  <si>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</si>
  <si>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</si>
  <si>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</si>
  <si>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</si>
  <si>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</si>
  <si>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</si>
  <si>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</si>
  <si>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</si>
  <si>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</si>
  <si>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</si>
  <si>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</si>
  <si>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</si>
  <si>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</si>
  <si>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</si>
  <si>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</si>
  <si>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</si>
  <si>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</si>
  <si>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</si>
  <si>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</si>
  <si>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</si>
  <si>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</si>
  <si>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</si>
  <si>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</si>
  <si>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</si>
  <si>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</si>
  <si>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</si>
  <si>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</si>
  <si>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</si>
  <si>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</si>
  <si>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</si>
  <si>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</si>
  <si>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</si>
  <si>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</si>
  <si>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</si>
  <si>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</si>
  <si>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</si>
  <si>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</si>
  <si>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</si>
  <si>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</si>
  <si>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</si>
  <si>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</si>
  <si>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</si>
  <si>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</si>
  <si>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</si>
  <si>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</si>
  <si>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</si>
  <si>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</si>
  <si>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</si>
  <si>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</si>
  <si>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</si>
  <si>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</si>
  <si>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</si>
  <si>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</si>
  <si>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</si>
  <si>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</si>
  <si>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</si>
  <si>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</si>
  <si>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</si>
  <si>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</si>
  <si>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</si>
  <si>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</si>
  <si>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</si>
  <si>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</si>
  <si>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</si>
  <si>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</si>
  <si>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</si>
  <si>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</si>
  <si>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</si>
  <si>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</si>
  <si>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</si>
  <si>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</si>
  <si>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</si>
  <si>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</si>
  <si>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</si>
  <si>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</si>
  <si>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</si>
  <si>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</si>
  <si>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</si>
  <si>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</si>
  <si>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</si>
  <si>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</si>
  <si>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</si>
  <si>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</si>
  <si>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</si>
  <si>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</si>
  <si>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</si>
  <si>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</si>
  <si>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</si>
  <si>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</si>
  <si>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</si>
  <si>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</si>
  <si>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</si>
  <si>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</si>
  <si>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</si>
  <si>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</si>
  <si>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</si>
  <si>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</si>
  <si>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</si>
  <si>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</si>
  <si>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</si>
  <si>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</si>
  <si>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</si>
  <si>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</si>
  <si>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</si>
  <si>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</si>
  <si>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</si>
  <si>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</si>
  <si>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</si>
  <si>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</si>
  <si>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</si>
  <si>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</si>
  <si>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</si>
  <si>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</si>
  <si>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</si>
  <si>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</si>
  <si>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</si>
  <si>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</si>
  <si>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</si>
  <si>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</si>
  <si>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</si>
  <si>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</si>
  <si>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</si>
  <si>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</si>
  <si>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</si>
  <si>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</si>
  <si>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</si>
  <si>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</si>
  <si>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</si>
  <si>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</si>
  <si>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Fukuda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</si>
  <si>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</si>
  <si>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</si>
  <si>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</si>
  <si>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</si>
  <si>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</si>
  <si>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</si>
  <si>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</si>
  <si>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</si>
  <si>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</si>
  <si>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</si>
  <si>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</si>
  <si>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</si>
  <si>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</si>
  <si>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</si>
  <si>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</si>
  <si>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</si>
  <si>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</si>
  <si>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</si>
  <si>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</si>
  <si>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</si>
  <si>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</si>
  <si>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</si>
  <si>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</si>
  <si>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</si>
  <si>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</si>
  <si>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</si>
  <si>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</si>
  <si>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</si>
  <si>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</si>
  <si>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</si>
  <si>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</si>
  <si>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</si>
  <si>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</si>
  <si>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</si>
  <si>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</si>
  <si>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</si>
  <si>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</si>
  <si>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</si>
  <si>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</si>
  <si>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</si>
  <si>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</si>
  <si>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</si>
  <si>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</si>
  <si>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</si>
  <si>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</si>
  <si>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</si>
  <si>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</si>
  <si>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</si>
  <si>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</si>
  <si>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</si>
  <si>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</si>
  <si>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</si>
  <si>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</si>
  <si>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</si>
  <si>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</si>
  <si>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</si>
  <si>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</si>
  <si>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</si>
  <si>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</si>
  <si>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</si>
  <si>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</si>
  <si>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</si>
  <si>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</si>
  <si>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</si>
  <si>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</si>
  <si>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</si>
  <si>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</si>
  <si>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</si>
  <si>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</si>
  <si>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</si>
  <si>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</si>
  <si>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</si>
  <si>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</si>
  <si>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</si>
  <si>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</si>
  <si>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</si>
  <si>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</si>
  <si>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</si>
  <si>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</si>
  <si>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</si>
  <si>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</si>
  <si>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</si>
  <si>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</si>
  <si>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</si>
  <si>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</si>
  <si>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</si>
  <si>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</si>
  <si>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</si>
  <si>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</si>
  <si>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</si>
  <si>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</si>
  <si>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</si>
  <si>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</si>
  <si>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</si>
  <si>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</si>
  <si>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</si>
  <si>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</si>
  <si>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</si>
  <si>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</si>
  <si>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</si>
  <si>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</si>
  <si>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</si>
  <si>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</si>
  <si>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</si>
  <si>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</si>
  <si>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</si>
  <si>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</si>
  <si>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</si>
  <si>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</si>
  <si>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</si>
  <si>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</si>
  <si>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</si>
  <si>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</si>
  <si>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</si>
  <si>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</si>
  <si>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</si>
  <si>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</si>
  <si>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</si>
  <si>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</si>
  <si>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</si>
  <si>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</si>
  <si>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</si>
  <si>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</si>
  <si>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</si>
  <si>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</si>
  <si>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</si>
  <si>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</si>
  <si>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</si>
  <si>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</si>
  <si>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</si>
  <si>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</si>
  <si>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</si>
  <si>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</si>
  <si>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</si>
  <si>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</si>
  <si>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</si>
  <si>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</si>
  <si>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</si>
  <si>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</si>
  <si>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</si>
  <si>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</si>
  <si>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</si>
  <si>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</si>
  <si>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</si>
  <si>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</si>
  <si>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</si>
  <si>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</si>
  <si>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</si>
  <si>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</si>
  <si>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</si>
  <si>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</si>
  <si>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</si>
  <si>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</si>
  <si>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</si>
  <si>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</si>
  <si>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</si>
  <si>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</si>
  <si>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</si>
  <si>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</si>
  <si>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</si>
  <si>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</si>
  <si>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</si>
  <si>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</si>
  <si>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</si>
  <si>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</si>
  <si>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</si>
  <si>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</si>
  <si>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</si>
  <si>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</si>
  <si>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</si>
  <si>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</si>
  <si>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</si>
  <si>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</si>
  <si>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</si>
  <si>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</si>
  <si>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</si>
  <si>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</si>
  <si>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</si>
  <si>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</si>
  <si>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</si>
  <si>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pension</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</si>
  <si>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</si>
  <si>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</si>
  <si>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</si>
  <si>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</si>
  <si>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</si>
  <si>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</si>
  <si>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</si>
  <si>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</si>
  <si>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</si>
  <si>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</si>
  <si>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</si>
  <si>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</si>
  <si>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</si>
  <si>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</si>
  <si>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</si>
  <si>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</si>
  <si>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</si>
  <si>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</si>
  <si>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</si>
  <si>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</si>
  <si>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postco1</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</si>
  <si>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</si>
  <si>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</si>
  <si>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</si>
  <si>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</si>
  <si>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</si>
  <si>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</si>
  <si>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</si>
  <si>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</si>
  <si>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</si>
  <si>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</si>
  <si>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</si>
  <si>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</si>
  <si>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</si>
  <si>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</si>
  <si>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</si>
  <si>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</si>
  <si>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</si>
  <si>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</si>
  <si>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</si>
  <si>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</si>
  <si>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</si>
  <si>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</si>
  <si>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</si>
  <si>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</si>
  <si>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</si>
  <si>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</si>
  <si>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</si>
  <si>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</si>
  <si>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</si>
  <si>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</si>
  <si>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</si>
  <si>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</si>
  <si>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</si>
  <si>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</si>
  <si>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</si>
  <si>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</si>
  <si>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</si>
  <si>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</si>
  <si>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</si>
  <si>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</si>
  <si>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</si>
  <si>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</si>
  <si>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</si>
  <si>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</si>
  <si>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</si>
  <si>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</si>
  <si>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</si>
  <si>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</si>
  <si>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</si>
  <si>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</si>
  <si>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</si>
  <si>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</si>
  <si>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</si>
  <si>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</si>
  <si>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</si>
  <si>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</si>
  <si>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</si>
  <si>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</si>
  <si>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</si>
  <si>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</si>
  <si>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</si>
  <si>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</si>
  <si>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</si>
  <si>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</si>
  <si>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</si>
  <si>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</si>
  <si>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</si>
  <si>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</si>
  <si>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</si>
  <si>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</si>
  <si>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</si>
  <si>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</si>
  <si>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</si>
  <si>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</si>
  <si>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</si>
  <si>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</si>
  <si>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</si>
  <si>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</si>
  <si>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</si>
  <si>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</si>
  <si>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</si>
  <si>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</si>
  <si>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</si>
  <si>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</si>
  <si>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</si>
  <si>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</si>
  <si>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</si>
  <si>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</si>
  <si>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</si>
  <si>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</si>
  <si>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</si>
  <si>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</si>
  <si>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</si>
  <si>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</si>
  <si>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</si>
  <si>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</si>
  <si>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</si>
  <si>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</si>
  <si>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</si>
  <si>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</si>
  <si>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</si>
  <si>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</si>
  <si>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</si>
  <si>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</si>
  <si>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</si>
  <si>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</si>
  <si>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</si>
  <si>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</si>
  <si>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</si>
  <si>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</si>
  <si>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</si>
  <si>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</si>
  <si>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</si>
  <si>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</si>
  <si>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</si>
  <si>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</si>
  <si>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</si>
  <si>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</si>
  <si>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</si>
  <si>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</si>
  <si>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</si>
  <si>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</si>
  <si>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</si>
  <si>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</si>
  <si>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</si>
  <si>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</si>
  <si>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</si>
  <si>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</si>
  <si>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</si>
  <si>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</si>
  <si>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</si>
  <si>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</si>
  <si>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</si>
  <si>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</si>
  <si>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</si>
  <si>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</si>
  <si>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</si>
  <si>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</si>
  <si>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</si>
  <si>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</si>
  <si>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</si>
  <si>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</si>
  <si>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</si>
  <si>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</si>
  <si>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</si>
  <si>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</si>
  <si>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</si>
  <si>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</si>
  <si>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</si>
  <si>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</si>
  <si>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</si>
  <si>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</si>
  <si>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</si>
  <si>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</si>
  <si>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</si>
  <si>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</si>
  <si>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</si>
  <si>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</si>
  <si>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</si>
  <si>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</si>
  <si>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</si>
  <si>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</si>
  <si>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</si>
  <si>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</si>
  <si>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</si>
  <si>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</si>
  <si>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</si>
  <si>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</si>
  <si>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</si>
  <si>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</si>
  <si>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</si>
  <si>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</si>
  <si>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</si>
  <si>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</si>
  <si>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</si>
  <si>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</si>
  <si>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</si>
  <si>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</si>
  <si>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</si>
  <si>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</si>
  <si>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</si>
  <si>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</si>
  <si>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</si>
  <si>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</si>
  <si>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</si>
  <si>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</si>
  <si>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</si>
  <si>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</si>
  <si>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</si>
  <si>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</si>
  <si>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</si>
  <si>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</si>
  <si>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</si>
  <si>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</si>
  <si>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</si>
  <si>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</si>
  <si>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</si>
  <si>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</si>
  <si>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</si>
  <si>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</si>
  <si>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</si>
  <si>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</si>
  <si>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</si>
  <si>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</si>
  <si>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</si>
  <si>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</si>
  <si>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</si>
  <si>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</si>
  <si>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</si>
  <si>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</si>
  <si>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</si>
  <si>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</si>
  <si>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</si>
  <si>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</si>
  <si>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</si>
  <si>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</si>
  <si>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</si>
  <si>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</si>
  <si>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</si>
  <si>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</si>
  <si>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</si>
  <si>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</si>
  <si>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</si>
  <si>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</si>
  <si>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</si>
  <si>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</si>
  <si>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</si>
  <si>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</si>
  <si>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</si>
  <si>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</si>
  <si>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</si>
  <si>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</si>
  <si>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</si>
  <si>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</si>
  <si>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</si>
  <si>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</si>
  <si>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</si>
  <si>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</si>
  <si>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</si>
  <si>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</si>
  <si>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</si>
  <si>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</si>
  <si>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</si>
  <si>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</si>
  <si>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</si>
  <si>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</si>
  <si>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</si>
  <si>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</si>
  <si>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</si>
  <si>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</si>
  <si>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</si>
  <si>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</si>
  <si>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</si>
  <si>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</si>
  <si>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</si>
  <si>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</si>
  <si>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</si>
  <si>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</si>
  <si>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</si>
  <si>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</si>
  <si>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</si>
  <si>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</si>
  <si>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</si>
  <si>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</si>
  <si>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</si>
  <si>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</si>
  <si>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</si>
  <si>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</si>
  <si>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</si>
  <si>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</si>
  <si>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</si>
  <si>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</si>
  <si>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</si>
  <si>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</si>
  <si>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</si>
  <si>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</si>
  <si>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</si>
  <si>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</si>
  <si>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</si>
  <si>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</si>
  <si>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</si>
  <si>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</si>
  <si>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</si>
  <si>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</si>
  <si>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</si>
  <si>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</si>
  <si>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</si>
  <si>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</si>
  <si>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 xml:space="preserve"> Račan II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</si>
  <si>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</si>
  <si>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</si>
  <si>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</si>
  <si>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</si>
  <si>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</si>
  <si>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</si>
  <si>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</si>
  <si>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</si>
  <si>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</si>
  <si>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</si>
  <si>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</si>
  <si>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</si>
  <si>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</si>
  <si>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</si>
  <si>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</si>
  <si>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</si>
  <si>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</si>
  <si>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</si>
  <si>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</si>
  <si>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</si>
  <si>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</si>
  <si>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</si>
  <si>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</si>
  <si>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</si>
  <si>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</si>
  <si>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</si>
  <si>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</si>
  <si>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</si>
  <si>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</si>
  <si>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</si>
  <si>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</si>
  <si>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</si>
  <si>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</si>
  <si>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</si>
  <si>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</si>
  <si>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</si>
  <si>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</si>
  <si>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</si>
  <si>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</si>
  <si>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</si>
  <si>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</si>
  <si>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</si>
  <si>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</si>
  <si>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</si>
  <si>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</si>
  <si>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</si>
  <si>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</si>
  <si>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</si>
  <si>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</si>
  <si>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</si>
  <si>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</si>
  <si>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</si>
  <si>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</si>
  <si>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</si>
  <si>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</si>
  <si>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</si>
  <si>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</si>
  <si>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</si>
  <si>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</si>
  <si>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</si>
  <si>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</si>
  <si>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</si>
  <si>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</si>
  <si>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</si>
  <si>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</si>
  <si>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</si>
  <si>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</si>
  <si>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</si>
  <si>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</si>
  <si>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</si>
  <si>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</si>
  <si>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</si>
  <si>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</si>
  <si>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</si>
  <si>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</si>
  <si>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</si>
  <si>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</si>
  <si>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</si>
  <si>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</si>
  <si>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</si>
  <si>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</si>
  <si>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</si>
  <si>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</si>
  <si>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</si>
  <si>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</si>
  <si>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</si>
  <si>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</si>
  <si>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</si>
  <si>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</si>
  <si>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</si>
  <si>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</si>
  <si>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</si>
  <si>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</si>
  <si>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</si>
  <si>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</si>
  <si>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</si>
  <si>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</si>
  <si>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</si>
  <si>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</si>
  <si>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</si>
  <si>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</si>
  <si>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</si>
  <si>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</si>
  <si>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</si>
  <si>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</si>
  <si>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</si>
  <si>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</si>
  <si>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</si>
  <si>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</si>
  <si>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</si>
  <si>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</si>
  <si>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</si>
  <si>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</si>
  <si>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</si>
  <si>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</si>
  <si>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</si>
  <si>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</si>
  <si>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</si>
  <si>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</si>
  <si>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</si>
  <si>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</si>
  <si>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</si>
  <si>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</si>
  <si>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</si>
  <si>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</si>
  <si>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</si>
  <si>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</si>
  <si>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</si>
  <si>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</si>
  <si>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</si>
  <si>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</si>
  <si>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</si>
  <si>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</si>
  <si>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</si>
  <si>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</si>
  <si>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Truedeau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</si>
  <si>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</si>
  <si>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</si>
  <si>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</si>
  <si>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</si>
  <si>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</si>
  <si>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</si>
  <si>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</si>
  <si>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</si>
  <si>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</si>
  <si>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</si>
  <si>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</si>
  <si>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</si>
  <si>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</si>
  <si>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</si>
  <si>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</si>
  <si>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</si>
  <si>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</si>
  <si>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</si>
  <si>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</si>
  <si>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</si>
  <si>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</si>
  <si>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</si>
  <si>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</si>
  <si>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</si>
  <si>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</si>
  <si>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</si>
  <si>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</si>
  <si>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</si>
  <si>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</si>
  <si>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</si>
  <si>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</si>
  <si>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</si>
  <si>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</si>
  <si>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</si>
  <si>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</si>
  <si>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</si>
  <si>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</si>
  <si>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</si>
  <si>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</si>
  <si>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</si>
  <si>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</si>
  <si>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</si>
  <si>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</si>
  <si>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</si>
  <si>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</si>
  <si>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</si>
  <si>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</si>
  <si>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</si>
  <si>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</si>
  <si>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</si>
  <si>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 xml:space="preserve"> </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</si>
  <si>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</si>
  <si>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</si>
  <si>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</si>
  <si>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</si>
  <si>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</si>
  <si>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</si>
  <si>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</si>
  <si>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</si>
  <si>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</si>
  <si>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</si>
  <si>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</si>
  <si>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</si>
  <si>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</si>
  <si>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</si>
  <si>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</si>
  <si>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</si>
  <si>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</si>
  <si>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</si>
  <si>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</si>
  <si>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</si>
  <si>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</si>
  <si>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Alain Berset (SPS)</t>
  </si>
  <si>
    <t>May II (CON)</t>
  </si>
  <si>
    <t>Trump I (RP)</t>
  </si>
  <si>
    <t>Plenković II (HDZ)</t>
  </si>
  <si>
    <t>Morrison I (LIB)</t>
  </si>
  <si>
    <t>Michel II (MR)</t>
  </si>
  <si>
    <t>Anastasiades II (DISY)</t>
  </si>
  <si>
    <t>Babiš II (ANO)</t>
  </si>
  <si>
    <t>SIN</t>
  </si>
  <si>
    <t>Merkel IV (CDU)</t>
  </si>
  <si>
    <t>Orbán IV (FIDESZ)</t>
  </si>
  <si>
    <t>Conte I (Ind)</t>
  </si>
  <si>
    <t>M5S</t>
  </si>
  <si>
    <t>protest2</t>
  </si>
  <si>
    <t>L</t>
  </si>
  <si>
    <t>Bettel II (DP)</t>
  </si>
  <si>
    <t>5.12.18</t>
  </si>
  <si>
    <t>Solberg III (H)</t>
  </si>
  <si>
    <t>Dăncilă I (PSD)</t>
  </si>
  <si>
    <t xml:space="preserve"> Pellegrini I (Smer-SD)</t>
  </si>
  <si>
    <t>Šarec I (LMŠ)</t>
  </si>
  <si>
    <t>LMS</t>
  </si>
  <si>
    <t>Sánchez I (PSOE)</t>
  </si>
  <si>
    <t>Ueli Maurer (SVP)</t>
  </si>
  <si>
    <t xml:space="preserve">Trump I (RP)	</t>
  </si>
  <si>
    <t>Sipilä II (KESK)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</si>
</sst>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rgb="FF000000"/>
      <name val="Tahoma"/>
      <family val="2"/>
    </font>
    <font>
      <b/>
      <sz val="9"/>
      <color rgb="FF000000"/>
      <name val="Tahoma"/>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
      <patternFill patternType="solid">
        <fgColor rgb="FFD9D9D9"/>
        <bgColor rgb="FF000000"/>
      </patternFill>
    </fill>
  </fills>
  <borders count="21">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1048">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Border="1" applyAlignment="1">
      <alignment horizontal="center"/>
    </xf>
    <xf numFmtId="2" fontId="1" fillId="0" borderId="0" xfId="0" applyNumberFormat="1" applyFont="1" applyAlignment="1">
      <alignment horizontal="right"/>
    </xf>
    <xf numFmtId="2" fontId="1" fillId="0" borderId="0" xfId="0" applyNumberFormat="1" applyFont="1" applyBorder="1" applyAlignment="1">
      <alignment horizontal="right"/>
    </xf>
    <xf numFmtId="1" fontId="1" fillId="0" borderId="0" xfId="0" applyNumberFormat="1" applyFont="1" applyBorder="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0" fontId="1" fillId="0" borderId="0" xfId="0" applyFont="1" applyBorder="1" applyAlignment="1">
      <alignment horizontal="right"/>
    </xf>
    <xf numFmtId="2" fontId="1" fillId="0" borderId="0" xfId="0" applyNumberFormat="1" applyFont="1" applyAlignment="1"/>
    <xf numFmtId="0" fontId="1" fillId="0" borderId="0" xfId="0" applyFont="1" applyFill="1" applyAlignment="1">
      <alignment horizontal="center"/>
    </xf>
    <xf numFmtId="0" fontId="1" fillId="0" borderId="0" xfId="0" applyFont="1" applyFill="1" applyBorder="1" applyAlignment="1">
      <alignment horizontal="center"/>
    </xf>
    <xf numFmtId="0" fontId="4" fillId="0" borderId="0" xfId="0" applyFont="1" applyAlignment="1">
      <alignment horizontal="center"/>
    </xf>
    <xf numFmtId="164" fontId="1" fillId="0" borderId="0" xfId="0" applyNumberFormat="1" applyFont="1" applyBorder="1" applyAlignment="1">
      <alignment horizontal="center"/>
    </xf>
    <xf numFmtId="2" fontId="1" fillId="0" borderId="2" xfId="0" applyNumberFormat="1" applyFont="1" applyBorder="1" applyAlignment="1">
      <alignment horizontal="center"/>
    </xf>
    <xf numFmtId="1" fontId="1" fillId="0" borderId="0" xfId="0" applyNumberFormat="1" applyFont="1" applyBorder="1" applyAlignment="1">
      <alignment horizontal="center"/>
    </xf>
    <xf numFmtId="1" fontId="1" fillId="0" borderId="2" xfId="0" applyNumberFormat="1" applyFont="1" applyBorder="1" applyAlignment="1">
      <alignment horizontal="center"/>
    </xf>
    <xf numFmtId="0" fontId="9" fillId="0" borderId="0" xfId="0" applyFont="1" applyBorder="1" applyAlignment="1">
      <alignment horizontal="left"/>
    </xf>
    <xf numFmtId="0" fontId="1" fillId="0" borderId="3" xfId="0" applyFont="1" applyBorder="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164" fontId="8" fillId="0" borderId="0" xfId="0" applyNumberFormat="1" applyFont="1" applyBorder="1" applyAlignment="1">
      <alignment horizontal="center"/>
    </xf>
    <xf numFmtId="0" fontId="1" fillId="0" borderId="2" xfId="0" applyFont="1" applyBorder="1" applyAlignment="1">
      <alignment horizontal="right"/>
    </xf>
    <xf numFmtId="2" fontId="1" fillId="0" borderId="2" xfId="0" applyNumberFormat="1" applyFont="1" applyBorder="1" applyAlignment="1"/>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0" fontId="1" fillId="0" borderId="0" xfId="0" applyFont="1" applyBorder="1" applyAlignment="1">
      <alignment horizontal="left"/>
    </xf>
    <xf numFmtId="0" fontId="1" fillId="0" borderId="0" xfId="0" applyFont="1" applyAlignment="1">
      <alignment horizontal="lef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1" fontId="1" fillId="0" borderId="0" xfId="0" applyNumberFormat="1" applyFont="1" applyFill="1" applyBorder="1" applyAlignment="1">
      <alignment horizontal="center"/>
    </xf>
    <xf numFmtId="164" fontId="8" fillId="0" borderId="0" xfId="0" applyNumberFormat="1" applyFont="1" applyFill="1" applyBorder="1" applyAlignment="1">
      <alignment horizontal="center"/>
    </xf>
    <xf numFmtId="2" fontId="1" fillId="0" borderId="0" xfId="0" applyNumberFormat="1" applyFont="1" applyFill="1" applyAlignment="1">
      <alignment horizontal="right"/>
    </xf>
    <xf numFmtId="2" fontId="13" fillId="0" borderId="0" xfId="0" applyNumberFormat="1" applyFont="1" applyFill="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2" fontId="14" fillId="0" borderId="0" xfId="0" applyNumberFormat="1" applyFont="1" applyAlignment="1">
      <alignment horizontal="right"/>
    </xf>
    <xf numFmtId="2" fontId="14" fillId="0" borderId="0" xfId="0" applyNumberFormat="1" applyFont="1" applyBorder="1" applyAlignment="1">
      <alignment horizontal="right"/>
    </xf>
    <xf numFmtId="2" fontId="1" fillId="0" borderId="2" xfId="0" applyNumberFormat="1" applyFont="1" applyFill="1" applyBorder="1" applyAlignment="1">
      <alignment horizontal="center"/>
    </xf>
    <xf numFmtId="1" fontId="1" fillId="0" borderId="0" xfId="0" applyNumberFormat="1" applyFont="1" applyFill="1" applyBorder="1" applyAlignment="1">
      <alignment horizontal="right"/>
    </xf>
    <xf numFmtId="1" fontId="1" fillId="0" borderId="2" xfId="0" applyNumberFormat="1" applyFont="1" applyFill="1" applyBorder="1" applyAlignment="1">
      <alignment horizontal="right"/>
    </xf>
    <xf numFmtId="1" fontId="1" fillId="0" borderId="0" xfId="0" applyNumberFormat="1" applyFont="1" applyFill="1" applyAlignment="1">
      <alignment horizontal="center"/>
    </xf>
    <xf numFmtId="1" fontId="1" fillId="0" borderId="0" xfId="0" applyNumberFormat="1" applyFont="1" applyFill="1" applyAlignment="1">
      <alignment horizontal="right"/>
    </xf>
    <xf numFmtId="0" fontId="1" fillId="0" borderId="0" xfId="0" applyNumberFormat="1" applyFont="1" applyFill="1" applyAlignment="1">
      <alignment horizontal="right"/>
    </xf>
    <xf numFmtId="2" fontId="1" fillId="0" borderId="0" xfId="0" applyNumberFormat="1" applyFont="1" applyFill="1" applyAlignment="1">
      <alignment horizontal="center"/>
    </xf>
    <xf numFmtId="1" fontId="1" fillId="0" borderId="0" xfId="0" applyNumberFormat="1" applyFont="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8" fillId="0" borderId="0" xfId="0" applyFont="1" applyBorder="1" applyAlignment="1"/>
    <xf numFmtId="0" fontId="8" fillId="0" borderId="0" xfId="0" applyFont="1" applyAlignment="1">
      <alignment horizontal="center"/>
    </xf>
    <xf numFmtId="0" fontId="8" fillId="0" borderId="0" xfId="0" applyFont="1" applyAlignment="1"/>
    <xf numFmtId="2" fontId="13" fillId="0" borderId="0" xfId="0" applyNumberFormat="1" applyFont="1" applyBorder="1" applyAlignment="1">
      <alignment horizontal="right"/>
    </xf>
    <xf numFmtId="2" fontId="13" fillId="0" borderId="0" xfId="0" applyNumberFormat="1" applyFont="1" applyFill="1" applyBorder="1" applyAlignment="1">
      <alignment horizontal="right"/>
    </xf>
    <xf numFmtId="0" fontId="10" fillId="0" borderId="0" xfId="0" applyFont="1" applyAlignment="1">
      <alignment horizontal="left"/>
    </xf>
    <xf numFmtId="0" fontId="10" fillId="0" borderId="4" xfId="0" applyFont="1" applyBorder="1" applyAlignment="1"/>
    <xf numFmtId="0" fontId="1" fillId="2" borderId="0" xfId="0" applyFont="1" applyFill="1" applyBorder="1" applyAlignment="1">
      <alignment horizontal="center"/>
    </xf>
    <xf numFmtId="0" fontId="1" fillId="2" borderId="5" xfId="0" applyFont="1" applyFill="1" applyBorder="1" applyAlignment="1">
      <alignment horizontal="right"/>
    </xf>
    <xf numFmtId="0" fontId="1" fillId="2" borderId="0" xfId="0" applyFont="1" applyFill="1" applyBorder="1" applyAlignment="1">
      <alignment horizontal="right"/>
    </xf>
    <xf numFmtId="0" fontId="8" fillId="2" borderId="1" xfId="0" applyFont="1" applyFill="1" applyBorder="1" applyAlignment="1">
      <alignment horizontal="right"/>
    </xf>
    <xf numFmtId="164" fontId="1" fillId="2" borderId="0" xfId="0" applyNumberFormat="1" applyFont="1" applyFill="1" applyBorder="1" applyAlignment="1">
      <alignment horizontal="right"/>
    </xf>
    <xf numFmtId="164" fontId="8" fillId="2" borderId="0" xfId="0" applyNumberFormat="1" applyFont="1" applyFill="1" applyBorder="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 fontId="1" fillId="2" borderId="0" xfId="0" applyNumberFormat="1" applyFont="1" applyFill="1" applyBorder="1" applyAlignment="1">
      <alignment horizontal="right"/>
    </xf>
    <xf numFmtId="14" fontId="1" fillId="2" borderId="0" xfId="0" applyNumberFormat="1" applyFont="1" applyFill="1" applyBorder="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7" xfId="0" applyNumberFormat="1" applyFont="1" applyFill="1" applyBorder="1" applyAlignment="1">
      <alignment horizontal="center"/>
    </xf>
    <xf numFmtId="0" fontId="1" fillId="2" borderId="0" xfId="0" applyNumberFormat="1" applyFont="1" applyFill="1" applyBorder="1" applyAlignment="1">
      <alignment horizontal="center"/>
    </xf>
    <xf numFmtId="0" fontId="1" fillId="2" borderId="3" xfId="0" applyNumberFormat="1" applyFont="1" applyFill="1" applyBorder="1" applyAlignment="1">
      <alignment horizontal="center"/>
    </xf>
    <xf numFmtId="0" fontId="1" fillId="2" borderId="0" xfId="0" applyNumberFormat="1" applyFont="1" applyFill="1" applyAlignment="1">
      <alignment horizontal="center"/>
    </xf>
    <xf numFmtId="2" fontId="1" fillId="2" borderId="0" xfId="0" applyNumberFormat="1" applyFont="1" applyFill="1" applyAlignment="1">
      <alignment horizontal="center"/>
    </xf>
    <xf numFmtId="14" fontId="1" fillId="2" borderId="0" xfId="0" applyNumberFormat="1" applyFont="1" applyFill="1" applyBorder="1" applyAlignment="1">
      <alignment horizontal="center"/>
    </xf>
    <xf numFmtId="1" fontId="1" fillId="2" borderId="0" xfId="0" applyNumberFormat="1"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4" fontId="15" fillId="2" borderId="0" xfId="0" applyNumberFormat="1" applyFont="1" applyFill="1" applyBorder="1" applyAlignment="1">
      <alignment horizontal="right"/>
    </xf>
    <xf numFmtId="1" fontId="15" fillId="2" borderId="0" xfId="0" applyNumberFormat="1" applyFont="1" applyFill="1" applyBorder="1" applyAlignment="1">
      <alignment horizontal="right"/>
    </xf>
    <xf numFmtId="1" fontId="1" fillId="2" borderId="0" xfId="0" applyNumberFormat="1" applyFont="1" applyFill="1" applyBorder="1" applyAlignment="1"/>
    <xf numFmtId="14" fontId="1" fillId="2" borderId="0" xfId="0" applyNumberFormat="1" applyFont="1" applyFill="1" applyBorder="1" applyAlignment="1"/>
    <xf numFmtId="1" fontId="1" fillId="2" borderId="5" xfId="0" applyNumberFormat="1" applyFont="1" applyFill="1" applyBorder="1" applyAlignment="1"/>
    <xf numFmtId="1" fontId="8" fillId="2" borderId="1" xfId="0" applyNumberFormat="1" applyFont="1" applyFill="1" applyBorder="1" applyAlignment="1"/>
    <xf numFmtId="0" fontId="1" fillId="2" borderId="7" xfId="0" applyNumberFormat="1" applyFont="1" applyFill="1" applyBorder="1" applyAlignment="1"/>
    <xf numFmtId="0" fontId="1" fillId="2" borderId="0" xfId="0" applyNumberFormat="1" applyFont="1" applyFill="1" applyBorder="1" applyAlignment="1"/>
    <xf numFmtId="0" fontId="1" fillId="2" borderId="3" xfId="0" applyNumberFormat="1" applyFont="1" applyFill="1" applyBorder="1" applyAlignment="1"/>
    <xf numFmtId="0" fontId="1" fillId="2" borderId="0" xfId="0" applyNumberFormat="1" applyFont="1" applyFill="1" applyAlignment="1"/>
    <xf numFmtId="2" fontId="1" fillId="2" borderId="0" xfId="0" applyNumberFormat="1" applyFont="1" applyFill="1" applyAlignment="1"/>
    <xf numFmtId="0" fontId="1" fillId="2" borderId="0" xfId="0" applyFont="1" applyFill="1" applyBorder="1" applyAlignment="1"/>
    <xf numFmtId="0" fontId="1" fillId="2" borderId="0" xfId="0" applyFont="1" applyFill="1" applyAlignment="1"/>
    <xf numFmtId="14" fontId="16" fillId="2" borderId="0" xfId="0" applyNumberFormat="1" applyFont="1" applyFill="1" applyAlignment="1">
      <alignment horizontal="center"/>
    </xf>
    <xf numFmtId="0" fontId="16" fillId="2" borderId="0" xfId="0" applyFont="1" applyFill="1" applyAlignment="1">
      <alignment horizontal="center"/>
    </xf>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Border="1" applyAlignment="1">
      <alignment horizontal="center"/>
    </xf>
    <xf numFmtId="1" fontId="1" fillId="2" borderId="6" xfId="0" applyNumberFormat="1" applyFont="1" applyFill="1" applyBorder="1" applyAlignment="1">
      <alignment horizontal="center"/>
    </xf>
    <xf numFmtId="14" fontId="1" fillId="2" borderId="11" xfId="0" applyNumberFormat="1" applyFont="1" applyFill="1" applyBorder="1" applyAlignment="1">
      <alignment horizontal="center"/>
    </xf>
    <xf numFmtId="14" fontId="17" fillId="2" borderId="0" xfId="0" applyNumberFormat="1" applyFont="1" applyFill="1" applyBorder="1" applyAlignment="1">
      <alignment horizontal="right"/>
    </xf>
    <xf numFmtId="0" fontId="17" fillId="2" borderId="0" xfId="0" applyFont="1" applyFill="1" applyBorder="1" applyAlignment="1">
      <alignment horizontal="center"/>
    </xf>
    <xf numFmtId="1" fontId="8" fillId="2" borderId="0" xfId="0" applyNumberFormat="1" applyFont="1" applyFill="1" applyBorder="1" applyAlignment="1">
      <alignment horizontal="center"/>
    </xf>
    <xf numFmtId="14" fontId="1" fillId="2" borderId="0" xfId="0" applyNumberFormat="1" applyFont="1" applyFill="1" applyAlignment="1">
      <alignment horizontal="right"/>
    </xf>
    <xf numFmtId="0" fontId="8" fillId="2" borderId="0" xfId="0" applyNumberFormat="1" applyFont="1" applyFill="1" applyBorder="1" applyAlignment="1">
      <alignment horizontal="center"/>
    </xf>
    <xf numFmtId="14" fontId="1" fillId="2" borderId="0" xfId="0" applyNumberFormat="1" applyFont="1" applyFill="1" applyAlignment="1">
      <alignment horizontal="center"/>
    </xf>
    <xf numFmtId="0" fontId="8" fillId="2" borderId="1" xfId="0" applyFont="1" applyFill="1" applyBorder="1" applyAlignment="1">
      <alignment horizontal="center"/>
    </xf>
    <xf numFmtId="14" fontId="17" fillId="2" borderId="0" xfId="0" applyNumberFormat="1" applyFont="1" applyFill="1" applyBorder="1" applyAlignment="1">
      <alignment horizontal="center"/>
    </xf>
    <xf numFmtId="0" fontId="1" fillId="2" borderId="2" xfId="0" applyFont="1" applyFill="1" applyBorder="1" applyAlignment="1">
      <alignment horizontal="center"/>
    </xf>
    <xf numFmtId="14" fontId="1" fillId="2" borderId="2" xfId="0" applyNumberFormat="1"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2" xfId="0" applyNumberFormat="1" applyFont="1" applyFill="1" applyBorder="1" applyAlignment="1">
      <alignment horizontal="center"/>
    </xf>
    <xf numFmtId="14" fontId="1" fillId="2" borderId="13"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2" borderId="4" xfId="0" applyFont="1" applyFill="1" applyBorder="1" applyAlignment="1">
      <alignment horizontal="center"/>
    </xf>
    <xf numFmtId="0" fontId="8" fillId="2" borderId="7" xfId="0" applyFont="1" applyFill="1" applyBorder="1" applyAlignment="1"/>
    <xf numFmtId="1" fontId="16" fillId="2" borderId="0" xfId="0" applyNumberFormat="1" applyFont="1" applyFill="1" applyAlignment="1">
      <alignment horizontal="center"/>
    </xf>
    <xf numFmtId="14" fontId="15" fillId="2" borderId="0" xfId="0" applyNumberFormat="1" applyFont="1" applyFill="1" applyAlignment="1">
      <alignment horizontal="center"/>
    </xf>
    <xf numFmtId="164" fontId="1" fillId="2" borderId="3" xfId="0" applyNumberFormat="1" applyFont="1" applyFill="1" applyBorder="1" applyAlignment="1">
      <alignment horizontal="center"/>
    </xf>
    <xf numFmtId="14" fontId="17" fillId="2" borderId="0" xfId="0" applyNumberFormat="1" applyFont="1" applyFill="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4" fontId="15" fillId="2" borderId="2" xfId="0" applyNumberFormat="1" applyFont="1" applyFill="1" applyBorder="1" applyAlignment="1">
      <alignment horizontal="center"/>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Border="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6" xfId="0"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Border="1" applyAlignment="1">
      <alignment horizontal="right"/>
    </xf>
    <xf numFmtId="0" fontId="1" fillId="2" borderId="0" xfId="0" applyNumberFormat="1" applyFont="1" applyFill="1" applyBorder="1" applyAlignment="1">
      <alignment horizontal="right"/>
    </xf>
    <xf numFmtId="0" fontId="1" fillId="2" borderId="14" xfId="0" applyFont="1" applyFill="1" applyBorder="1" applyAlignment="1">
      <alignment horizontal="right"/>
    </xf>
    <xf numFmtId="0" fontId="1" fillId="2" borderId="4" xfId="0" applyNumberFormat="1"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16" fontId="15" fillId="2" borderId="0" xfId="0" applyNumberFormat="1" applyFont="1" applyFill="1" applyBorder="1" applyAlignment="1">
      <alignment horizontal="center"/>
    </xf>
    <xf numFmtId="0" fontId="1" fillId="2" borderId="2" xfId="0" applyFont="1" applyFill="1" applyBorder="1" applyAlignment="1">
      <alignment horizontal="left"/>
    </xf>
    <xf numFmtId="14" fontId="1" fillId="2" borderId="0" xfId="0" applyNumberFormat="1" applyFont="1" applyFill="1" applyBorder="1" applyAlignment="1">
      <alignment horizontal="center"/>
    </xf>
    <xf numFmtId="0" fontId="1" fillId="2" borderId="4" xfId="0" applyFont="1" applyFill="1" applyBorder="1" applyAlignment="1">
      <alignment horizontal="center"/>
    </xf>
    <xf numFmtId="0" fontId="1" fillId="2" borderId="0" xfId="0" applyFont="1" applyFill="1" applyBorder="1" applyAlignment="1">
      <alignment horizontal="center"/>
    </xf>
    <xf numFmtId="0" fontId="8" fillId="2" borderId="15" xfId="0" applyFont="1" applyFill="1" applyBorder="1" applyAlignment="1"/>
    <xf numFmtId="14" fontId="1" fillId="2" borderId="0" xfId="0" applyNumberFormat="1" applyFont="1" applyFill="1" applyAlignment="1">
      <alignment horizontal="center" vertical="center"/>
    </xf>
    <xf numFmtId="0" fontId="1" fillId="2" borderId="0" xfId="0" applyFont="1" applyFill="1" applyAlignment="1">
      <alignment horizontal="center" vertical="center"/>
    </xf>
    <xf numFmtId="14" fontId="17" fillId="2" borderId="0" xfId="0" applyNumberFormat="1" applyFont="1" applyFill="1" applyAlignment="1">
      <alignment horizontal="center" vertical="center"/>
    </xf>
    <xf numFmtId="0" fontId="16" fillId="2" borderId="0" xfId="0" applyFont="1" applyFill="1" applyAlignment="1">
      <alignment horizontal="center" vertical="center"/>
    </xf>
    <xf numFmtId="2" fontId="1" fillId="0" borderId="0" xfId="0" applyNumberFormat="1" applyFont="1" applyFill="1" applyBorder="1" applyAlignment="1">
      <alignment horizontal="right"/>
    </xf>
    <xf numFmtId="0" fontId="1" fillId="0" borderId="0" xfId="0" applyFont="1" applyFill="1" applyBorder="1" applyAlignment="1">
      <alignment horizontal="right"/>
    </xf>
    <xf numFmtId="0" fontId="8" fillId="0" borderId="0" xfId="0" applyFont="1" applyFill="1" applyBorder="1" applyAlignment="1">
      <alignment horizontal="right"/>
    </xf>
    <xf numFmtId="1" fontId="1" fillId="3" borderId="0" xfId="0" applyNumberFormat="1" applyFont="1" applyFill="1" applyBorder="1" applyAlignment="1">
      <alignment horizontal="right"/>
    </xf>
    <xf numFmtId="0" fontId="1" fillId="3" borderId="0" xfId="0" applyFont="1" applyFill="1" applyBorder="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0" fontId="1" fillId="0" borderId="0" xfId="0" applyNumberFormat="1" applyFont="1" applyFill="1" applyBorder="1" applyAlignment="1">
      <alignment horizontal="center"/>
    </xf>
    <xf numFmtId="1" fontId="1" fillId="3" borderId="2" xfId="0" applyNumberFormat="1"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14" fontId="1" fillId="2" borderId="2" xfId="0" applyNumberFormat="1" applyFont="1" applyFill="1" applyBorder="1" applyAlignment="1">
      <alignment horizontal="center"/>
    </xf>
    <xf numFmtId="2" fontId="13" fillId="0" borderId="0" xfId="0" applyNumberFormat="1" applyFont="1" applyFill="1" applyBorder="1" applyAlignment="1">
      <alignment horizontal="right"/>
    </xf>
    <xf numFmtId="0" fontId="1" fillId="2" borderId="2" xfId="0" applyFont="1" applyFill="1" applyBorder="1" applyAlignment="1">
      <alignment horizontal="center"/>
    </xf>
    <xf numFmtId="16" fontId="1" fillId="2" borderId="0" xfId="0" applyNumberFormat="1" applyFont="1" applyFill="1" applyBorder="1" applyAlignment="1">
      <alignment horizontal="center"/>
    </xf>
    <xf numFmtId="0" fontId="8" fillId="2" borderId="7" xfId="0" applyFont="1" applyFill="1" applyBorder="1" applyAlignment="1">
      <alignment horizontal="left"/>
    </xf>
    <xf numFmtId="16" fontId="16" fillId="2" borderId="0" xfId="0" applyNumberFormat="1" applyFont="1" applyFill="1" applyAlignment="1">
      <alignment horizontal="center"/>
    </xf>
    <xf numFmtId="14" fontId="18" fillId="2" borderId="0" xfId="0" applyNumberFormat="1" applyFont="1" applyFill="1" applyBorder="1" applyAlignment="1">
      <alignment horizontal="center"/>
    </xf>
    <xf numFmtId="0" fontId="18" fillId="2" borderId="0" xfId="0" applyFont="1" applyFill="1" applyBorder="1" applyAlignment="1">
      <alignment horizontal="center"/>
    </xf>
    <xf numFmtId="0" fontId="18" fillId="2" borderId="0" xfId="0" applyFont="1" applyFill="1" applyAlignment="1">
      <alignment horizontal="center"/>
    </xf>
    <xf numFmtId="0" fontId="8" fillId="2" borderId="0" xfId="0" applyFont="1" applyFill="1" applyBorder="1" applyAlignment="1">
      <alignment horizontal="center"/>
    </xf>
    <xf numFmtId="14" fontId="15" fillId="2" borderId="5" xfId="0" applyNumberFormat="1" applyFont="1" applyFill="1" applyBorder="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0" fontId="1" fillId="2" borderId="0" xfId="0" applyFont="1" applyFill="1" applyBorder="1" applyAlignment="1">
      <alignment horizontal="center"/>
    </xf>
    <xf numFmtId="2" fontId="13" fillId="0" borderId="0" xfId="0" applyNumberFormat="1" applyFont="1" applyFill="1" applyBorder="1" applyAlignment="1">
      <alignment horizontal="right"/>
    </xf>
    <xf numFmtId="0" fontId="10" fillId="0" borderId="0" xfId="0" applyFont="1" applyAlignment="1"/>
    <xf numFmtId="0" fontId="1" fillId="0" borderId="0" xfId="0" applyFont="1" applyFill="1" applyAlignment="1">
      <alignment horizontal="right"/>
    </xf>
    <xf numFmtId="0" fontId="10" fillId="0" borderId="0" xfId="0" applyFont="1" applyFill="1" applyAlignment="1">
      <alignment horizontal="left"/>
    </xf>
    <xf numFmtId="2" fontId="13" fillId="0" borderId="0" xfId="0" applyNumberFormat="1" applyFont="1" applyFill="1" applyBorder="1" applyAlignment="1">
      <alignment horizontal="right"/>
    </xf>
    <xf numFmtId="0" fontId="10" fillId="0" borderId="0" xfId="0" applyFont="1" applyBorder="1" applyAlignment="1"/>
    <xf numFmtId="0" fontId="1" fillId="0" borderId="0" xfId="0" applyNumberFormat="1" applyFont="1" applyFill="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1" fontId="17" fillId="4" borderId="0" xfId="0" applyNumberFormat="1" applyFont="1" applyFill="1" applyBorder="1" applyAlignment="1">
      <alignment horizontal="right"/>
    </xf>
    <xf numFmtId="0" fontId="17" fillId="4" borderId="0" xfId="0" applyFont="1" applyFill="1" applyBorder="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Border="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Border="1" applyAlignment="1">
      <alignment horizontal="right"/>
    </xf>
    <xf numFmtId="164" fontId="14" fillId="4" borderId="0" xfId="0" applyNumberFormat="1" applyFont="1" applyFill="1" applyBorder="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Border="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Border="1" applyAlignment="1">
      <alignment horizontal="center"/>
    </xf>
    <xf numFmtId="0" fontId="17" fillId="4" borderId="7" xfId="0" applyNumberFormat="1" applyFont="1" applyFill="1" applyBorder="1" applyAlignment="1">
      <alignment horizontal="center"/>
    </xf>
    <xf numFmtId="0" fontId="17" fillId="4" borderId="0" xfId="0" applyNumberFormat="1" applyFont="1" applyFill="1" applyBorder="1" applyAlignment="1">
      <alignment horizontal="center"/>
    </xf>
    <xf numFmtId="0" fontId="17" fillId="4" borderId="3" xfId="0" applyNumberFormat="1" applyFont="1" applyFill="1" applyBorder="1" applyAlignment="1">
      <alignment horizontal="center"/>
    </xf>
    <xf numFmtId="0" fontId="17" fillId="4" borderId="7" xfId="0" applyFont="1" applyFill="1" applyBorder="1" applyAlignment="1">
      <alignment horizontal="center"/>
    </xf>
    <xf numFmtId="0" fontId="17" fillId="4" borderId="0" xfId="0" applyFont="1" applyFill="1" applyBorder="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Border="1" applyAlignment="1">
      <alignment horizontal="right"/>
    </xf>
    <xf numFmtId="2" fontId="14" fillId="4" borderId="0" xfId="0" applyNumberFormat="1" applyFont="1" applyFill="1" applyBorder="1" applyAlignment="1">
      <alignment horizontal="right"/>
    </xf>
    <xf numFmtId="2" fontId="17" fillId="4" borderId="0" xfId="0" applyNumberFormat="1" applyFont="1" applyFill="1" applyAlignment="1">
      <alignment horizontal="center"/>
    </xf>
    <xf numFmtId="1" fontId="17" fillId="4" borderId="0" xfId="0" applyNumberFormat="1" applyFont="1" applyFill="1" applyBorder="1" applyAlignment="1">
      <alignment horizontal="center"/>
    </xf>
    <xf numFmtId="14" fontId="17" fillId="4" borderId="0" xfId="0" applyNumberFormat="1" applyFont="1" applyFill="1" applyBorder="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Border="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2" fontId="17" fillId="4" borderId="0" xfId="0" applyNumberFormat="1" applyFont="1" applyFill="1" applyBorder="1" applyAlignment="1">
      <alignment horizontal="center"/>
    </xf>
    <xf numFmtId="0" fontId="17" fillId="4" borderId="0" xfId="0" applyFont="1" applyFill="1" applyBorder="1" applyAlignment="1">
      <alignment horizontal="right"/>
    </xf>
    <xf numFmtId="0" fontId="14" fillId="4" borderId="1" xfId="0" applyFont="1" applyFill="1" applyBorder="1" applyAlignment="1">
      <alignment horizontal="center"/>
    </xf>
    <xf numFmtId="0" fontId="17" fillId="4" borderId="0" xfId="0" applyFont="1" applyFill="1" applyAlignment="1">
      <alignment horizontal="center"/>
    </xf>
    <xf numFmtId="2" fontId="17" fillId="4" borderId="0" xfId="0" applyNumberFormat="1" applyFont="1" applyFill="1" applyAlignment="1">
      <alignment horizontal="right"/>
    </xf>
    <xf numFmtId="0" fontId="17" fillId="4" borderId="0" xfId="0"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0" xfId="0" applyFont="1" applyFill="1" applyBorder="1" applyAlignment="1">
      <alignment horizontal="left"/>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2" fontId="1" fillId="2" borderId="0" xfId="0" applyNumberFormat="1" applyFont="1" applyFill="1" applyBorder="1" applyAlignment="1">
      <alignment horizontal="center"/>
    </xf>
    <xf numFmtId="0" fontId="1" fillId="2" borderId="0" xfId="0" applyFont="1" applyFill="1" applyBorder="1" applyAlignment="1">
      <alignment horizontal="center"/>
    </xf>
    <xf numFmtId="0" fontId="17" fillId="4" borderId="0" xfId="0" applyFont="1" applyFill="1" applyBorder="1" applyAlignment="1">
      <alignment horizontal="center"/>
    </xf>
    <xf numFmtId="0" fontId="16" fillId="2" borderId="0"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2" borderId="1" xfId="0" applyNumberFormat="1" applyFont="1" applyFill="1" applyBorder="1" applyAlignment="1">
      <alignment horizontal="center"/>
    </xf>
    <xf numFmtId="2" fontId="1" fillId="2" borderId="0" xfId="0" applyNumberFormat="1" applyFont="1" applyFill="1" applyBorder="1" applyAlignment="1"/>
    <xf numFmtId="2" fontId="1" fillId="2" borderId="1" xfId="0" applyNumberFormat="1" applyFont="1" applyFill="1" applyBorder="1" applyAlignment="1"/>
    <xf numFmtId="0" fontId="1" fillId="2" borderId="1" xfId="0" applyFont="1" applyFill="1" applyBorder="1" applyAlignment="1"/>
    <xf numFmtId="0" fontId="1" fillId="3" borderId="0" xfId="0" applyFont="1" applyFill="1" applyBorder="1" applyAlignment="1">
      <alignment horizontal="center"/>
    </xf>
    <xf numFmtId="14" fontId="16" fillId="3" borderId="0" xfId="0" applyNumberFormat="1"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Border="1" applyAlignment="1">
      <alignment horizontal="right"/>
    </xf>
    <xf numFmtId="164" fontId="8" fillId="3" borderId="0" xfId="0" applyNumberFormat="1" applyFont="1" applyFill="1" applyBorder="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14" fontId="17" fillId="3" borderId="0" xfId="0" applyNumberFormat="1" applyFont="1" applyFill="1" applyAlignment="1">
      <alignment horizontal="center"/>
    </xf>
    <xf numFmtId="0" fontId="17" fillId="3" borderId="0" xfId="0" applyFont="1" applyFill="1" applyBorder="1" applyAlignment="1">
      <alignment horizontal="center"/>
    </xf>
    <xf numFmtId="14" fontId="1" fillId="3" borderId="0" xfId="0" applyNumberFormat="1"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applyAlignment="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Border="1" applyAlignment="1">
      <alignment horizontal="right"/>
    </xf>
    <xf numFmtId="2" fontId="1" fillId="5" borderId="0" xfId="0" applyNumberFormat="1" applyFont="1" applyFill="1" applyBorder="1" applyAlignment="1"/>
    <xf numFmtId="2" fontId="4" fillId="5" borderId="0" xfId="0" applyNumberFormat="1" applyFont="1" applyFill="1" applyBorder="1" applyAlignment="1"/>
    <xf numFmtId="0" fontId="1" fillId="5" borderId="0" xfId="0" applyFont="1" applyFill="1" applyBorder="1" applyAlignment="1">
      <alignment horizontal="right"/>
    </xf>
    <xf numFmtId="2" fontId="1" fillId="5" borderId="0" xfId="0" applyNumberFormat="1" applyFont="1" applyFill="1" applyBorder="1" applyAlignment="1">
      <alignment horizontal="left"/>
    </xf>
    <xf numFmtId="1" fontId="4" fillId="5" borderId="0" xfId="0" applyNumberFormat="1" applyFont="1" applyFill="1" applyBorder="1" applyAlignment="1">
      <alignment horizontal="right"/>
    </xf>
    <xf numFmtId="2" fontId="4" fillId="5" borderId="0" xfId="0" applyNumberFormat="1" applyFont="1" applyFill="1" applyBorder="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4" fontId="1" fillId="3" borderId="0" xfId="0" applyNumberFormat="1"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Border="1" applyAlignment="1">
      <alignment horizontal="center"/>
    </xf>
    <xf numFmtId="0" fontId="1" fillId="3" borderId="7" xfId="0" applyNumberFormat="1" applyFont="1" applyFill="1" applyBorder="1" applyAlignment="1">
      <alignment horizontal="center"/>
    </xf>
    <xf numFmtId="0" fontId="1" fillId="3" borderId="0" xfId="0" applyNumberFormat="1" applyFont="1" applyFill="1" applyBorder="1" applyAlignment="1">
      <alignment horizontal="center"/>
    </xf>
    <xf numFmtId="0" fontId="1" fillId="3" borderId="3" xfId="0" applyNumberFormat="1" applyFont="1" applyFill="1" applyBorder="1" applyAlignment="1">
      <alignment horizontal="center"/>
    </xf>
    <xf numFmtId="0"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0" xfId="0" applyNumberFormat="1" applyFont="1" applyFill="1" applyBorder="1" applyAlignment="1">
      <alignment horizontal="center"/>
    </xf>
    <xf numFmtId="2" fontId="1" fillId="3" borderId="1" xfId="0" applyNumberFormat="1" applyFont="1" applyFill="1" applyBorder="1" applyAlignment="1">
      <alignment horizontal="center"/>
    </xf>
    <xf numFmtId="14" fontId="15" fillId="3" borderId="0" xfId="0" applyNumberFormat="1" applyFont="1" applyFill="1" applyBorder="1" applyAlignment="1">
      <alignment horizontal="right"/>
    </xf>
    <xf numFmtId="1" fontId="15" fillId="3" borderId="0" xfId="0" applyNumberFormat="1" applyFont="1" applyFill="1" applyBorder="1" applyAlignment="1">
      <alignment horizontal="right"/>
    </xf>
    <xf numFmtId="1" fontId="1" fillId="3" borderId="6"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3" borderId="2" xfId="0" applyNumberFormat="1" applyFont="1" applyFill="1" applyBorder="1" applyAlignment="1">
      <alignment horizontal="right"/>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14" fontId="1" fillId="3" borderId="13" xfId="0" applyNumberFormat="1" applyFont="1" applyFill="1" applyBorder="1" applyAlignment="1">
      <alignment horizontal="center"/>
    </xf>
    <xf numFmtId="14" fontId="1" fillId="3" borderId="2" xfId="0" applyNumberFormat="1" applyFont="1" applyFill="1" applyBorder="1" applyAlignment="1">
      <alignment horizontal="center"/>
    </xf>
    <xf numFmtId="0" fontId="1" fillId="3" borderId="8" xfId="0" applyNumberFormat="1" applyFont="1" applyFill="1" applyBorder="1" applyAlignment="1">
      <alignment horizontal="center"/>
    </xf>
    <xf numFmtId="0" fontId="1" fillId="3" borderId="2" xfId="0" applyNumberFormat="1" applyFont="1" applyFill="1" applyBorder="1" applyAlignment="1">
      <alignment horizontal="center"/>
    </xf>
    <xf numFmtId="0" fontId="1" fillId="3" borderId="9"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NumberFormat="1" applyFont="1" applyFill="1" applyBorder="1" applyAlignment="1"/>
    <xf numFmtId="0" fontId="1" fillId="3" borderId="7" xfId="0" applyNumberFormat="1" applyFont="1" applyFill="1" applyBorder="1" applyAlignment="1"/>
    <xf numFmtId="0" fontId="1" fillId="3" borderId="3" xfId="0" applyNumberFormat="1" applyFont="1" applyFill="1" applyBorder="1" applyAlignment="1"/>
    <xf numFmtId="0" fontId="1" fillId="3" borderId="0" xfId="0" applyNumberFormat="1" applyFont="1" applyFill="1" applyAlignment="1"/>
    <xf numFmtId="0" fontId="1" fillId="3" borderId="0" xfId="0" applyFont="1" applyFill="1" applyAlignment="1"/>
    <xf numFmtId="0" fontId="1" fillId="3" borderId="0" xfId="0" applyFont="1" applyFill="1" applyBorder="1" applyAlignment="1"/>
    <xf numFmtId="0" fontId="1" fillId="3" borderId="1" xfId="0" applyFont="1" applyFill="1" applyBorder="1" applyAlignment="1"/>
    <xf numFmtId="0" fontId="1" fillId="3" borderId="5" xfId="0" applyFont="1" applyFill="1" applyBorder="1" applyAlignment="1">
      <alignment horizontal="center"/>
    </xf>
    <xf numFmtId="1" fontId="8" fillId="3" borderId="0" xfId="0" applyNumberFormat="1" applyFont="1" applyFill="1" applyBorder="1" applyAlignment="1">
      <alignment horizontal="center"/>
    </xf>
    <xf numFmtId="164" fontId="8" fillId="3" borderId="0" xfId="0" applyNumberFormat="1" applyFont="1" applyFill="1" applyBorder="1" applyAlignment="1">
      <alignment horizontal="center"/>
    </xf>
    <xf numFmtId="14" fontId="1" fillId="3" borderId="11" xfId="0" applyNumberFormat="1" applyFont="1" applyFill="1" applyBorder="1" applyAlignment="1">
      <alignment horizontal="center"/>
    </xf>
    <xf numFmtId="14" fontId="17" fillId="3" borderId="0" xfId="0" applyNumberFormat="1" applyFont="1" applyFill="1" applyBorder="1" applyAlignment="1">
      <alignment horizontal="right"/>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14" fontId="1" fillId="3" borderId="19" xfId="0" applyNumberFormat="1" applyFont="1" applyFill="1" applyBorder="1" applyAlignment="1">
      <alignment horizontal="center"/>
    </xf>
    <xf numFmtId="0" fontId="8" fillId="3" borderId="0" xfId="0" applyNumberFormat="1" applyFont="1" applyFill="1" applyBorder="1" applyAlignment="1">
      <alignment horizontal="center"/>
    </xf>
    <xf numFmtId="14" fontId="1" fillId="3" borderId="0" xfId="0" applyNumberFormat="1" applyFont="1" applyFill="1" applyAlignment="1">
      <alignment horizontal="right"/>
    </xf>
    <xf numFmtId="14" fontId="1" fillId="3" borderId="0" xfId="0" applyNumberFormat="1" applyFont="1" applyFill="1" applyAlignment="1"/>
    <xf numFmtId="0" fontId="1" fillId="3" borderId="7" xfId="0" applyFont="1" applyFill="1" applyBorder="1" applyAlignment="1"/>
    <xf numFmtId="0" fontId="1" fillId="3" borderId="3" xfId="0" applyFont="1" applyFill="1" applyBorder="1" applyAlignment="1"/>
    <xf numFmtId="0" fontId="1" fillId="3" borderId="1"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9" fillId="0" borderId="0" xfId="0" applyFont="1" applyFill="1" applyBorder="1" applyAlignment="1">
      <alignment horizontal="left"/>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14" fontId="15" fillId="3" borderId="0" xfId="0" applyNumberFormat="1" applyFont="1" applyFill="1" applyAlignment="1">
      <alignment horizontal="center"/>
    </xf>
    <xf numFmtId="0" fontId="15" fillId="3" borderId="0" xfId="0" applyFont="1" applyFill="1" applyBorder="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14" fontId="18" fillId="3" borderId="0" xfId="0" applyNumberFormat="1" applyFont="1" applyFill="1" applyBorder="1" applyAlignment="1">
      <alignment horizontal="center"/>
    </xf>
    <xf numFmtId="0" fontId="18" fillId="3" borderId="0" xfId="0" applyFont="1" applyFill="1" applyBorder="1" applyAlignment="1">
      <alignment horizontal="center"/>
    </xf>
    <xf numFmtId="0" fontId="1" fillId="3" borderId="0" xfId="0" applyFont="1" applyFill="1" applyBorder="1" applyAlignment="1">
      <alignment horizontal="left"/>
    </xf>
    <xf numFmtId="2" fontId="1" fillId="3" borderId="0" xfId="0" applyNumberFormat="1" applyFont="1" applyFill="1" applyBorder="1" applyAlignment="1">
      <alignment horizontal="right"/>
    </xf>
    <xf numFmtId="0" fontId="1" fillId="3" borderId="0" xfId="0" applyNumberFormat="1" applyFont="1" applyFill="1" applyBorder="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14" fontId="18" fillId="3" borderId="0" xfId="0" applyNumberFormat="1" applyFont="1" applyFill="1" applyAlignment="1">
      <alignment horizontal="center"/>
    </xf>
    <xf numFmtId="0" fontId="18" fillId="3" borderId="0" xfId="0" applyFont="1" applyFill="1" applyAlignment="1">
      <alignment horizontal="center"/>
    </xf>
    <xf numFmtId="16" fontId="1" fillId="3" borderId="0" xfId="0" applyNumberFormat="1" applyFont="1" applyFill="1" applyBorder="1" applyAlignment="1">
      <alignment horizontal="center"/>
    </xf>
    <xf numFmtId="16" fontId="16" fillId="3" borderId="0" xfId="0" applyNumberFormat="1" applyFont="1" applyFill="1" applyAlignment="1">
      <alignment horizontal="center"/>
    </xf>
    <xf numFmtId="2" fontId="1" fillId="0" borderId="0" xfId="0" applyNumberFormat="1" applyFont="1" applyBorder="1" applyAlignment="1"/>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164" fontId="1" fillId="2" borderId="3" xfId="0" applyNumberFormat="1" applyFont="1" applyFill="1" applyBorder="1" applyAlignment="1">
      <alignment horizontal="center"/>
    </xf>
    <xf numFmtId="0" fontId="1" fillId="3" borderId="0" xfId="0" applyFont="1" applyFill="1" applyBorder="1" applyAlignment="1">
      <alignment horizontal="center"/>
    </xf>
    <xf numFmtId="14" fontId="1" fillId="3" borderId="6" xfId="0" applyNumberFormat="1"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0" fontId="17" fillId="3" borderId="0"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7" fillId="3" borderId="0" xfId="0" applyNumberFormat="1" applyFont="1" applyFill="1" applyBorder="1" applyAlignment="1">
      <alignment horizontal="center"/>
    </xf>
    <xf numFmtId="0" fontId="15" fillId="3" borderId="0" xfId="0" applyFont="1" applyFill="1" applyBorder="1" applyAlignment="1">
      <alignment horizontal="center"/>
    </xf>
    <xf numFmtId="14" fontId="15" fillId="3" borderId="0" xfId="0" applyNumberFormat="1" applyFont="1" applyFill="1" applyBorder="1" applyAlignment="1">
      <alignment horizontal="center"/>
    </xf>
    <xf numFmtId="164" fontId="1" fillId="3" borderId="3" xfId="0" applyNumberFormat="1" applyFont="1" applyFill="1" applyBorder="1" applyAlignment="1">
      <alignment horizontal="center"/>
    </xf>
    <xf numFmtId="2" fontId="14" fillId="0" borderId="0" xfId="0" applyNumberFormat="1" applyFont="1" applyBorder="1" applyAlignment="1"/>
    <xf numFmtId="0" fontId="1" fillId="0" borderId="0" xfId="0" applyFont="1"/>
    <xf numFmtId="0" fontId="1" fillId="0" borderId="0" xfId="0" applyFont="1" applyAlignment="1"/>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8" fillId="2" borderId="7" xfId="0" applyFont="1" applyFill="1" applyBorder="1" applyAlignment="1">
      <alignment horizontal="lef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7" fillId="4"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7" fillId="4" borderId="0" xfId="0" applyFont="1" applyFill="1" applyBorder="1" applyAlignment="1">
      <alignment horizontal="center"/>
    </xf>
    <xf numFmtId="0" fontId="1" fillId="2" borderId="4" xfId="0" applyFont="1" applyFill="1" applyBorder="1" applyAlignment="1">
      <alignment horizontal="center"/>
    </xf>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6" fillId="3" borderId="0"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16" fontId="1" fillId="2" borderId="0"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alignment horizontal="right"/>
    </xf>
    <xf numFmtId="2" fontId="1" fillId="0" borderId="0" xfId="0" applyNumberFormat="1" applyFont="1" applyAlignment="1"/>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6"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7" xfId="0" applyFont="1" applyFill="1" applyBorder="1" applyAlignment="1">
      <alignment horizontal="lef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0" xfId="0" applyFont="1" applyFill="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 fontId="1" fillId="2" borderId="0" xfId="0" applyNumberFormat="1" applyFont="1" applyFill="1" applyAlignment="1">
      <alignment horizontal="right"/>
    </xf>
    <xf numFmtId="1" fontId="15" fillId="2" borderId="0" xfId="0" applyNumberFormat="1" applyFont="1" applyFill="1" applyBorder="1" applyAlignment="1"/>
    <xf numFmtId="14" fontId="1" fillId="3" borderId="5" xfId="0" applyNumberFormat="1"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14" fontId="1" fillId="0" borderId="0" xfId="0" applyNumberFormat="1" applyFont="1" applyFill="1" applyBorder="1" applyAlignment="1">
      <alignment horizontal="center"/>
    </xf>
    <xf numFmtId="0" fontId="8" fillId="0" borderId="0" xfId="0" applyFont="1" applyFill="1" applyBorder="1" applyAlignment="1">
      <alignment horizontal="center"/>
    </xf>
    <xf numFmtId="164" fontId="1" fillId="0" borderId="0" xfId="0" applyNumberFormat="1" applyFont="1" applyFill="1" applyBorder="1" applyAlignment="1">
      <alignment horizontal="center"/>
    </xf>
    <xf numFmtId="2" fontId="13" fillId="0" borderId="0" xfId="0" applyNumberFormat="1" applyFont="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4" fontId="15" fillId="0"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4" fillId="0" borderId="0" xfId="0" applyNumberFormat="1" applyFont="1" applyAlignment="1">
      <alignment horizontal="right"/>
    </xf>
    <xf numFmtId="0" fontId="1" fillId="0" borderId="0" xfId="0" applyFont="1" applyAlignment="1">
      <alignment horizontal="center"/>
    </xf>
    <xf numFmtId="0" fontId="8" fillId="2" borderId="0" xfId="0" applyFont="1" applyFill="1" applyBorder="1" applyAlignment="1">
      <alignment horizontal="right"/>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6" fontId="1" fillId="2" borderId="0" xfId="0" applyNumberFormat="1" applyFont="1" applyFill="1" applyBorder="1" applyAlignment="1">
      <alignment horizontal="center"/>
    </xf>
    <xf numFmtId="14" fontId="18" fillId="2" borderId="0" xfId="0" applyNumberFormat="1" applyFont="1" applyFill="1" applyAlignment="1">
      <alignment horizontal="center"/>
    </xf>
    <xf numFmtId="0" fontId="20" fillId="0" borderId="0" xfId="0" applyFont="1" applyAlignment="1">
      <alignment horizontal="center"/>
    </xf>
    <xf numFmtId="14"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6"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2" borderId="0" xfId="0" applyNumberFormat="1" applyFont="1" applyFill="1" applyBorder="1" applyAlignment="1">
      <alignment horizontal="center"/>
    </xf>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0" borderId="0" xfId="0" applyFont="1" applyAlignment="1">
      <alignment horizontal="center"/>
    </xf>
    <xf numFmtId="1" fontId="8" fillId="2" borderId="0" xfId="0" applyNumberFormat="1" applyFont="1" applyFill="1" applyBorder="1" applyAlignment="1"/>
    <xf numFmtId="14" fontId="1" fillId="3" borderId="5" xfId="0" applyNumberFormat="1" applyFont="1" applyFill="1" applyBorder="1" applyAlignment="1">
      <alignment horizontal="right"/>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Alignment="1">
      <alignment horizontal="center"/>
    </xf>
    <xf numFmtId="0" fontId="8" fillId="3" borderId="7" xfId="0" applyFont="1" applyFill="1" applyBorder="1" applyAlignment="1">
      <alignment horizontal="left"/>
    </xf>
    <xf numFmtId="0" fontId="8" fillId="2" borderId="0" xfId="0" applyFont="1" applyFill="1" applyBorder="1" applyAlignment="1">
      <alignment horizontal="center"/>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8" fillId="2" borderId="0" xfId="0" applyFont="1" applyFill="1" applyBorder="1" applyAlignment="1">
      <alignment horizontal="center"/>
    </xf>
    <xf numFmtId="0" fontId="17"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Alignment="1">
      <alignment horizontal="right"/>
    </xf>
    <xf numFmtId="2" fontId="1" fillId="3" borderId="0"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0" xfId="0" applyFont="1" applyFill="1" applyBorder="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14" fontId="1" fillId="2" borderId="0" xfId="0" applyNumberFormat="1"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0" fontId="1" fillId="0" borderId="7" xfId="0" applyFont="1" applyFill="1" applyBorder="1" applyAlignment="1">
      <alignment horizontal="center"/>
    </xf>
    <xf numFmtId="0" fontId="1" fillId="0" borderId="3" xfId="0" applyFont="1" applyFill="1" applyBorder="1" applyAlignment="1">
      <alignment horizontal="center"/>
    </xf>
    <xf numFmtId="14" fontId="1" fillId="2" borderId="0" xfId="0" quotePrefix="1"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14" fontId="1" fillId="3" borderId="0" xfId="0" applyNumberFormat="1"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2" fontId="1" fillId="0" borderId="2" xfId="0" applyNumberFormat="1" applyFont="1" applyBorder="1" applyAlignment="1"/>
    <xf numFmtId="2" fontId="1" fillId="0" borderId="4" xfId="0" applyNumberFormat="1" applyFont="1" applyBorder="1" applyAlignment="1"/>
    <xf numFmtId="2" fontId="1" fillId="3" borderId="0" xfId="0" applyNumberFormat="1" applyFont="1" applyFill="1" applyBorder="1" applyAlignment="1">
      <alignment horizontal="center"/>
    </xf>
    <xf numFmtId="2" fontId="1" fillId="2" borderId="0" xfId="0" applyNumberFormat="1" applyFont="1" applyFill="1" applyBorder="1" applyAlignment="1">
      <alignment horizontal="center"/>
    </xf>
    <xf numFmtId="14" fontId="1" fillId="3" borderId="2" xfId="0" applyNumberFormat="1" applyFont="1" applyFill="1" applyBorder="1" applyAlignment="1">
      <alignment horizontal="center"/>
    </xf>
    <xf numFmtId="14"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Border="1" applyAlignment="1">
      <alignment horizontal="center"/>
    </xf>
    <xf numFmtId="2" fontId="1" fillId="0" borderId="2" xfId="0" applyNumberFormat="1" applyFont="1" applyBorder="1" applyAlignment="1">
      <alignment horizontal="center"/>
    </xf>
    <xf numFmtId="0" fontId="1" fillId="5" borderId="2" xfId="0" applyFont="1" applyFill="1" applyBorder="1" applyAlignment="1">
      <alignment horizontal="center" vertical="center"/>
    </xf>
    <xf numFmtId="0" fontId="1" fillId="5" borderId="0" xfId="0" applyFont="1" applyFill="1" applyBorder="1" applyAlignment="1">
      <alignment horizontal="center" vertical="center"/>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applyAlignment="1"/>
    <xf numFmtId="2" fontId="13" fillId="4" borderId="4" xfId="0" applyNumberFormat="1" applyFont="1" applyFill="1" applyBorder="1" applyAlignment="1">
      <alignment horizontal="right"/>
    </xf>
    <xf numFmtId="2" fontId="13" fillId="0" borderId="2" xfId="0" applyNumberFormat="1" applyFont="1" applyBorder="1" applyAlignment="1">
      <alignment horizontal="right"/>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7" fillId="4" borderId="4" xfId="0" applyNumberFormat="1" applyFont="1" applyFill="1" applyBorder="1" applyAlignment="1">
      <alignment horizontal="right"/>
    </xf>
    <xf numFmtId="0" fontId="1" fillId="3" borderId="0" xfId="0" applyFont="1" applyFill="1" applyBorder="1" applyAlignment="1">
      <alignment horizontal="center"/>
    </xf>
    <xf numFmtId="2" fontId="14" fillId="4" borderId="4" xfId="0" applyNumberFormat="1" applyFont="1" applyFill="1" applyBorder="1" applyAlignment="1">
      <alignment horizontal="right"/>
    </xf>
    <xf numFmtId="0" fontId="1" fillId="0" borderId="0" xfId="0" applyFont="1" applyBorder="1" applyAlignment="1">
      <alignment horizontal="center"/>
    </xf>
    <xf numFmtId="0" fontId="17" fillId="4" borderId="0" xfId="0" applyFont="1" applyFill="1" applyBorder="1" applyAlignment="1">
      <alignment horizontal="center"/>
    </xf>
    <xf numFmtId="0" fontId="1" fillId="3" borderId="0" xfId="0" applyFont="1" applyFill="1" applyAlignment="1">
      <alignment horizontal="center"/>
    </xf>
    <xf numFmtId="0" fontId="1" fillId="2" borderId="0" xfId="0" applyFont="1" applyFill="1" applyAlignment="1">
      <alignment horizontal="center"/>
    </xf>
    <xf numFmtId="0" fontId="1" fillId="3" borderId="2" xfId="0" applyFont="1" applyFill="1" applyBorder="1" applyAlignment="1">
      <alignment horizontal="center"/>
    </xf>
    <xf numFmtId="2" fontId="1" fillId="0" borderId="2" xfId="0" applyNumberFormat="1" applyFont="1" applyBorder="1" applyAlignment="1">
      <alignment horizontal="right"/>
    </xf>
    <xf numFmtId="14" fontId="1" fillId="2" borderId="2" xfId="0" applyNumberFormat="1"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 fillId="0" borderId="0" xfId="0" applyNumberFormat="1" applyFont="1" applyFill="1" applyAlignment="1">
      <alignment horizontal="right"/>
    </xf>
    <xf numFmtId="2" fontId="13" fillId="0" borderId="0" xfId="0" applyNumberFormat="1" applyFont="1" applyFill="1" applyBorder="1" applyAlignment="1">
      <alignment horizontal="right"/>
    </xf>
    <xf numFmtId="0" fontId="8" fillId="2" borderId="4" xfId="0"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2" fontId="1" fillId="0" borderId="0" xfId="0" applyNumberFormat="1" applyFont="1" applyFill="1" applyBorder="1" applyAlignment="1"/>
    <xf numFmtId="2" fontId="17" fillId="4" borderId="0" xfId="0" applyNumberFormat="1" applyFont="1" applyFill="1" applyBorder="1" applyAlignment="1"/>
    <xf numFmtId="2" fontId="14" fillId="4" borderId="0" xfId="0" applyNumberFormat="1" applyFont="1" applyFill="1" applyBorder="1" applyAlignment="1">
      <alignment horizontal="right"/>
    </xf>
    <xf numFmtId="2" fontId="14" fillId="0" borderId="0" xfId="0" applyNumberFormat="1" applyFont="1" applyAlignment="1">
      <alignment horizontal="right"/>
    </xf>
    <xf numFmtId="0" fontId="8" fillId="3" borderId="7" xfId="0" applyFont="1" applyFill="1" applyBorder="1" applyAlignment="1">
      <alignment horizontal="left"/>
    </xf>
    <xf numFmtId="0" fontId="8" fillId="3" borderId="0" xfId="0" applyFont="1" applyFill="1" applyBorder="1" applyAlignment="1">
      <alignment horizontal="left"/>
    </xf>
    <xf numFmtId="0" fontId="8" fillId="3" borderId="3" xfId="0" applyFont="1" applyFill="1" applyBorder="1" applyAlignment="1">
      <alignment horizontal="left"/>
    </xf>
    <xf numFmtId="14" fontId="8" fillId="2" borderId="0" xfId="0" applyNumberFormat="1" applyFont="1" applyFill="1" applyBorder="1" applyAlignment="1">
      <alignment horizontal="center" vertical="center"/>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0" fontId="1" fillId="0" borderId="0" xfId="0" applyFont="1" applyFill="1" applyBorder="1" applyAlignment="1">
      <alignment horizontal="center"/>
    </xf>
    <xf numFmtId="2" fontId="14" fillId="4" borderId="0" xfId="0" applyNumberFormat="1" applyFont="1" applyFill="1" applyAlignment="1">
      <alignment horizontal="right"/>
    </xf>
    <xf numFmtId="0" fontId="13" fillId="0" borderId="0" xfId="0" applyFont="1" applyBorder="1" applyAlignment="1">
      <alignment horizontal="right"/>
    </xf>
    <xf numFmtId="0" fontId="14" fillId="4" borderId="4" xfId="0" applyFont="1" applyFill="1" applyBorder="1" applyAlignment="1">
      <alignment horizontal="right"/>
    </xf>
    <xf numFmtId="0" fontId="13" fillId="0" borderId="2" xfId="0" applyFont="1" applyBorder="1" applyAlignment="1">
      <alignment horizontal="right"/>
    </xf>
    <xf numFmtId="2" fontId="1" fillId="0" borderId="0" xfId="0" applyNumberFormat="1" applyFont="1" applyFill="1" applyAlignment="1"/>
    <xf numFmtId="2" fontId="13" fillId="0" borderId="0" xfId="0" applyNumberFormat="1" applyFont="1" applyFill="1" applyAlignment="1">
      <alignment horizontal="right"/>
    </xf>
    <xf numFmtId="16" fontId="1" fillId="3" borderId="0" xfId="0" applyNumberFormat="1" applyFont="1" applyFill="1" applyBorder="1" applyAlignment="1">
      <alignment horizontal="center"/>
    </xf>
    <xf numFmtId="16" fontId="1" fillId="2" borderId="0" xfId="0" applyNumberFormat="1" applyFont="1" applyFill="1" applyBorder="1" applyAlignment="1">
      <alignment horizontal="center"/>
    </xf>
    <xf numFmtId="0" fontId="1" fillId="2" borderId="2" xfId="0" applyFont="1" applyFill="1" applyBorder="1" applyAlignment="1">
      <alignment horizontal="center"/>
    </xf>
    <xf numFmtId="0" fontId="8" fillId="3" borderId="0" xfId="0" applyFont="1" applyFill="1" applyBorder="1" applyAlignment="1">
      <alignment horizontal="center"/>
    </xf>
    <xf numFmtId="0" fontId="1" fillId="0" borderId="0" xfId="0" applyFont="1" applyAlignment="1">
      <alignment horizontal="center"/>
    </xf>
    <xf numFmtId="2" fontId="15" fillId="0" borderId="0" xfId="0" applyNumberFormat="1" applyFont="1" applyAlignment="1">
      <alignment horizontal="right"/>
    </xf>
    <xf numFmtId="2" fontId="15" fillId="0" borderId="0" xfId="0" applyNumberFormat="1" applyFont="1" applyBorder="1" applyAlignment="1">
      <alignment horizontal="right"/>
    </xf>
    <xf numFmtId="0" fontId="1" fillId="2" borderId="4" xfId="0" applyFont="1" applyFill="1" applyBorder="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Border="1" applyAlignment="1">
      <alignment horizontal="left"/>
    </xf>
    <xf numFmtId="0" fontId="8" fillId="2" borderId="3" xfId="0" applyFont="1" applyFill="1" applyBorder="1" applyAlignment="1">
      <alignment horizontal="left"/>
    </xf>
    <xf numFmtId="2" fontId="1" fillId="0" borderId="0" xfId="0" applyNumberFormat="1" applyFont="1" applyFill="1" applyBorder="1" applyAlignment="1">
      <alignment horizontal="right"/>
    </xf>
    <xf numFmtId="2" fontId="13" fillId="0" borderId="4" xfId="0" applyNumberFormat="1" applyFont="1" applyFill="1" applyBorder="1" applyAlignment="1">
      <alignment horizontal="right"/>
    </xf>
    <xf numFmtId="2" fontId="1" fillId="0" borderId="4" xfId="0" applyNumberFormat="1" applyFont="1" applyFill="1" applyBorder="1" applyAlignment="1">
      <alignment horizontal="right"/>
    </xf>
    <xf numFmtId="0" fontId="8" fillId="2" borderId="0" xfId="0" applyFont="1" applyFill="1" applyBorder="1" applyAlignment="1">
      <alignment horizontal="center"/>
    </xf>
    <xf numFmtId="49" fontId="1" fillId="3" borderId="0" xfId="0" applyNumberFormat="1" applyFont="1" applyFill="1" applyBorder="1" applyAlignment="1">
      <alignment horizontal="center"/>
    </xf>
    <xf numFmtId="49" fontId="1" fillId="2" borderId="0" xfId="0" applyNumberFormat="1" applyFont="1" applyFill="1" applyBorder="1" applyAlignment="1">
      <alignment horizontal="center"/>
    </xf>
    <xf numFmtId="0" fontId="1" fillId="3" borderId="0" xfId="0" applyFont="1" applyFill="1" applyBorder="1" applyAlignment="1">
      <alignment horizontal="center" wrapText="1"/>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0" xfId="0" applyFont="1" applyFill="1" applyAlignment="1">
      <alignment horizontal="center"/>
    </xf>
    <xf numFmtId="14" fontId="16" fillId="3" borderId="0" xfId="0" applyNumberFormat="1" applyFont="1" applyFill="1" applyBorder="1" applyAlignment="1">
      <alignment horizontal="center"/>
    </xf>
  </cellXfs>
  <cellStyles count="7">
    <cellStyle name="Normal" xfId="0" builtinId="0"/>
    <cellStyle name="Prozent 2" xfId="1" xr:uid="{00000000-0005-0000-0000-000000000000}"/>
    <cellStyle name="Standard 2" xfId="2" xr:uid="{00000000-0005-0000-0000-000002000000}"/>
    <cellStyle name="Standard 2 2" xfId="3" xr:uid="{00000000-0005-0000-0000-000003000000}"/>
    <cellStyle name="Standard 2 3" xfId="4" xr:uid="{00000000-0005-0000-0000-000004000000}"/>
    <cellStyle name="Standard 3" xfId="5" xr:uid="{00000000-0005-0000-0000-000005000000}"/>
    <cellStyle name="Standard 4"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95249</xdr:rowOff>
    </xdr:from>
    <xdr:to>
      <xdr:col>42</xdr:col>
      <xdr:colOff>119138</xdr:colOff>
      <xdr:row>39</xdr:row>
      <xdr:rowOff>103187</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2890576" y="1412874"/>
          <a:ext cx="3429000" cy="3230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a:extLst>
            <a:ext uri="{FF2B5EF4-FFF2-40B4-BE49-F238E27FC236}">
              <a16:creationId xmlns:a16="http://schemas.microsoft.com/office/drawing/2014/main" id="{00000000-0008-0000-0400-000003000000}"/>
            </a:ext>
          </a:extLst>
        </xdr:cNvPr>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a:extLst>
            <a:ext uri="{FF2B5EF4-FFF2-40B4-BE49-F238E27FC236}">
              <a16:creationId xmlns:a16="http://schemas.microsoft.com/office/drawing/2014/main" id="{00000000-0008-0000-0800-000005000000}"/>
            </a:ext>
          </a:extLst>
        </xdr:cNvPr>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a:t>
          </a: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p>
        <a:p>
          <a:r>
            <a:rPr lang="de-DE" sz="800" b="1" baseline="0">
              <a:latin typeface="Arial" panose="020B0604020202020204" pitchFamily="34" charset="0"/>
              <a:cs typeface="Arial" panose="020B0604020202020204" pitchFamily="34" charset="0"/>
            </a:rPr>
            <a:t>SIN</a:t>
          </a:r>
          <a:r>
            <a:rPr lang="de-DE" sz="800" baseline="0">
              <a:latin typeface="Arial" panose="020B0604020202020204" pitchFamily="34" charset="0"/>
              <a:cs typeface="Arial" panose="020B0604020202020204" pitchFamily="34" charset="0"/>
            </a:rPr>
            <a:t>: Blue Reform (splinter of the True Finns, PS)</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39</xdr:row>
      <xdr:rowOff>55563</xdr:rowOff>
    </xdr:to>
    <xdr:sp macro="" textlink="">
      <xdr:nvSpPr>
        <xdr:cNvPr id="4" name="Textfeld 3">
          <a:extLst>
            <a:ext uri="{FF2B5EF4-FFF2-40B4-BE49-F238E27FC236}">
              <a16:creationId xmlns:a16="http://schemas.microsoft.com/office/drawing/2014/main" id="{00000000-0008-0000-0B00-000004000000}"/>
            </a:ext>
          </a:extLst>
        </xdr:cNvPr>
        <xdr:cNvSpPr txBox="1"/>
      </xdr:nvSpPr>
      <xdr:spPr>
        <a:xfrm>
          <a:off x="14351012" y="1611313"/>
          <a:ext cx="3055937" cy="298450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a:t>
          </a:r>
          <a:r>
            <a:rPr lang="de-DE" sz="800" baseline="0">
              <a:latin typeface="Arial" panose="020B0604020202020204" pitchFamily="34" charset="0"/>
              <a:cs typeface="Arial" panose="020B0604020202020204" pitchFamily="34" charset="0"/>
            </a:rPr>
            <a:t>: Forward</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a:extLst>
            <a:ext uri="{FF2B5EF4-FFF2-40B4-BE49-F238E27FC236}">
              <a16:creationId xmlns:a16="http://schemas.microsoft.com/office/drawing/2014/main" id="{00000000-0008-0000-0C00-000002000000}"/>
            </a:ext>
          </a:extLst>
        </xdr:cNvPr>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a:extLst>
            <a:ext uri="{FF2B5EF4-FFF2-40B4-BE49-F238E27FC236}">
              <a16:creationId xmlns:a16="http://schemas.microsoft.com/office/drawing/2014/main" id="{00000000-0008-0000-0E00-000002000000}"/>
            </a:ext>
          </a:extLst>
        </xdr:cNvPr>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a:extLst>
            <a:ext uri="{FF2B5EF4-FFF2-40B4-BE49-F238E27FC236}">
              <a16:creationId xmlns:a16="http://schemas.microsoft.com/office/drawing/2014/main" id="{00000000-0008-0000-0F00-000004000000}"/>
            </a:ext>
          </a:extLst>
        </xdr:cNvPr>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a:extLst>
            <a:ext uri="{FF2B5EF4-FFF2-40B4-BE49-F238E27FC236}">
              <a16:creationId xmlns:a16="http://schemas.microsoft.com/office/drawing/2014/main" id="{00000000-0008-0000-1000-000003000000}"/>
            </a:ext>
          </a:extLst>
        </xdr:cNvPr>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a:extLst>
            <a:ext uri="{FF2B5EF4-FFF2-40B4-BE49-F238E27FC236}">
              <a16:creationId xmlns:a16="http://schemas.microsoft.com/office/drawing/2014/main" id="{00000000-0008-0000-1100-000004000000}"/>
            </a:ext>
          </a:extLst>
        </xdr:cNvPr>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League (former 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M5S: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Five Stars Movement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a:extLst>
            <a:ext uri="{FF2B5EF4-FFF2-40B4-BE49-F238E27FC236}">
              <a16:creationId xmlns:a16="http://schemas.microsoft.com/office/drawing/2014/main" id="{00000000-0008-0000-1200-000003000000}"/>
            </a:ext>
          </a:extLst>
        </xdr:cNvPr>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a:extLst>
            <a:ext uri="{FF2B5EF4-FFF2-40B4-BE49-F238E27FC236}">
              <a16:creationId xmlns:a16="http://schemas.microsoft.com/office/drawing/2014/main" id="{00000000-0008-0000-1300-000002000000}"/>
            </a:ext>
          </a:extLst>
        </xdr:cNvPr>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a:extLst>
            <a:ext uri="{FF2B5EF4-FFF2-40B4-BE49-F238E27FC236}">
              <a16:creationId xmlns:a16="http://schemas.microsoft.com/office/drawing/2014/main" id="{00000000-0008-0000-1400-000002000000}"/>
            </a:ext>
          </a:extLst>
        </xdr:cNvPr>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a:extLst>
            <a:ext uri="{FF2B5EF4-FFF2-40B4-BE49-F238E27FC236}">
              <a16:creationId xmlns:a16="http://schemas.microsoft.com/office/drawing/2014/main" id="{00000000-0008-0000-1500-000003000000}"/>
            </a:ext>
          </a:extLst>
        </xdr:cNvPr>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a:extLst>
            <a:ext uri="{FF2B5EF4-FFF2-40B4-BE49-F238E27FC236}">
              <a16:creationId xmlns:a16="http://schemas.microsoft.com/office/drawing/2014/main" id="{00000000-0008-0000-1600-000002000000}"/>
            </a:ext>
          </a:extLst>
        </xdr:cNvPr>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a:extLst>
            <a:ext uri="{FF2B5EF4-FFF2-40B4-BE49-F238E27FC236}">
              <a16:creationId xmlns:a16="http://schemas.microsoft.com/office/drawing/2014/main" id="{00000000-0008-0000-1700-000004000000}"/>
            </a:ext>
          </a:extLst>
        </xdr:cNvPr>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a:extLst>
            <a:ext uri="{FF2B5EF4-FFF2-40B4-BE49-F238E27FC236}">
              <a16:creationId xmlns:a16="http://schemas.microsoft.com/office/drawing/2014/main" id="{00000000-0008-0000-1800-000005000000}"/>
            </a:ext>
          </a:extLst>
        </xdr:cNvPr>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a:extLst>
            <a:ext uri="{FF2B5EF4-FFF2-40B4-BE49-F238E27FC236}">
              <a16:creationId xmlns:a16="http://schemas.microsoft.com/office/drawing/2014/main" id="{00000000-0008-0000-1900-000004000000}"/>
            </a:ext>
          </a:extLst>
        </xdr:cNvPr>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a:extLst>
            <a:ext uri="{FF2B5EF4-FFF2-40B4-BE49-F238E27FC236}">
              <a16:creationId xmlns:a16="http://schemas.microsoft.com/office/drawing/2014/main" id="{00000000-0008-0000-1A00-000005000000}"/>
            </a:ext>
          </a:extLst>
        </xdr:cNvPr>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a:extLst>
            <a:ext uri="{FF2B5EF4-FFF2-40B4-BE49-F238E27FC236}">
              <a16:creationId xmlns:a16="http://schemas.microsoft.com/office/drawing/2014/main" id="{00000000-0008-0000-1B00-000006000000}"/>
            </a:ext>
          </a:extLst>
        </xdr:cNvPr>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a:extLst>
            <a:ext uri="{FF2B5EF4-FFF2-40B4-BE49-F238E27FC236}">
              <a16:creationId xmlns:a16="http://schemas.microsoft.com/office/drawing/2014/main" id="{00000000-0008-0000-1C00-000004000000}"/>
            </a:ext>
          </a:extLst>
        </xdr:cNvPr>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a:extLst>
            <a:ext uri="{FF2B5EF4-FFF2-40B4-BE49-F238E27FC236}">
              <a16:creationId xmlns:a16="http://schemas.microsoft.com/office/drawing/2014/main" id="{00000000-0008-0000-1D00-000006000000}"/>
            </a:ext>
          </a:extLst>
        </xdr:cNvPr>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a:extLst>
            <a:ext uri="{FF2B5EF4-FFF2-40B4-BE49-F238E27FC236}">
              <a16:creationId xmlns:a16="http://schemas.microsoft.com/office/drawing/2014/main" id="{00000000-0008-0000-1E00-000004000000}"/>
            </a:ext>
          </a:extLst>
        </xdr:cNvPr>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LMŠ: </a:t>
          </a:r>
          <a:r>
            <a:rPr kumimoji="0" lang="en-GB" sz="800" b="0"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List of Marjan Šarec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a:extLst>
            <a:ext uri="{FF2B5EF4-FFF2-40B4-BE49-F238E27FC236}">
              <a16:creationId xmlns:a16="http://schemas.microsoft.com/office/drawing/2014/main" id="{00000000-0008-0000-1F00-000004000000}"/>
            </a:ext>
          </a:extLst>
        </xdr:cNvPr>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a:extLst>
            <a:ext uri="{FF2B5EF4-FFF2-40B4-BE49-F238E27FC236}">
              <a16:creationId xmlns:a16="http://schemas.microsoft.com/office/drawing/2014/main" id="{00000000-0008-0000-2000-000005000000}"/>
            </a:ext>
          </a:extLst>
        </xdr:cNvPr>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a:extLst>
            <a:ext uri="{FF2B5EF4-FFF2-40B4-BE49-F238E27FC236}">
              <a16:creationId xmlns:a16="http://schemas.microsoft.com/office/drawing/2014/main" id="{00000000-0008-0000-2100-000003000000}"/>
            </a:ext>
          </a:extLst>
        </xdr:cNvPr>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a:extLst>
            <a:ext uri="{FF2B5EF4-FFF2-40B4-BE49-F238E27FC236}">
              <a16:creationId xmlns:a16="http://schemas.microsoft.com/office/drawing/2014/main" id="{00000000-0008-0000-2200-000003000000}"/>
            </a:ext>
          </a:extLst>
        </xdr:cNvPr>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a:extLst>
            <a:ext uri="{FF2B5EF4-FFF2-40B4-BE49-F238E27FC236}">
              <a16:creationId xmlns:a16="http://schemas.microsoft.com/office/drawing/2014/main" id="{00000000-0008-0000-2300-000007000000}"/>
            </a:ext>
          </a:extLst>
        </xdr:cNvPr>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V201"/>
  <sheetViews>
    <sheetView zoomScale="125" zoomScaleNormal="120" workbookViewId="0">
      <pane xSplit="1" ySplit="5" topLeftCell="B6" activePane="bottomRight" state="frozen"/>
      <selection pane="topRight" activeCell="B1" sqref="B1"/>
      <selection pane="bottomLeft" activeCell="A6" sqref="A6"/>
      <selection pane="bottomRight" activeCell="A6" sqref="A6"/>
    </sheetView>
  </sheetViews>
  <sheetFormatPr baseColWidth="10" defaultColWidth="10.6640625" defaultRowHeight="10"/>
  <cols>
    <col min="1" max="1" width="5.83203125" style="59" customWidth="1"/>
    <col min="2" max="6" width="7.83203125" style="5" customWidth="1"/>
    <col min="7" max="18" width="4.5" style="5" customWidth="1"/>
    <col min="19" max="19" width="7.83203125" style="60" customWidth="1"/>
    <col min="20" max="21" width="7.83203125" style="5" customWidth="1"/>
    <col min="22" max="53" width="5.6640625" style="5" customWidth="1"/>
    <col min="54" max="16384" width="10.6640625" style="5"/>
  </cols>
  <sheetData>
    <row r="1" spans="1:53" s="2" customFormat="1" ht="15" customHeight="1">
      <c r="A1" s="16"/>
      <c r="B1" s="22" t="s">
        <v>14</v>
      </c>
      <c r="S1" s="20"/>
    </row>
    <row r="2" spans="1:53" s="2" customFormat="1" ht="15" customHeight="1">
      <c r="A2" s="16"/>
      <c r="B2" s="22" t="s">
        <v>48</v>
      </c>
      <c r="S2" s="20"/>
    </row>
    <row r="3" spans="1:53" s="19" customFormat="1">
      <c r="A3" s="53"/>
      <c r="G3" s="979"/>
      <c r="H3" s="979"/>
      <c r="I3" s="979"/>
      <c r="J3" s="979"/>
      <c r="K3" s="979"/>
      <c r="L3" s="979"/>
      <c r="M3" s="979"/>
      <c r="O3" s="979"/>
      <c r="P3" s="979"/>
      <c r="Q3" s="979"/>
      <c r="S3" s="21"/>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c r="A6" s="240">
        <v>1959</v>
      </c>
      <c r="B6" s="241"/>
      <c r="C6" s="978" t="s">
        <v>148</v>
      </c>
      <c r="D6" s="978"/>
      <c r="E6" s="240">
        <v>0</v>
      </c>
      <c r="F6" s="241"/>
      <c r="G6" s="242">
        <v>12</v>
      </c>
      <c r="H6" s="243"/>
      <c r="I6" s="243"/>
      <c r="J6" s="244">
        <v>12</v>
      </c>
      <c r="K6" s="245">
        <f>G6/J6*100</f>
        <v>100</v>
      </c>
      <c r="L6" s="245">
        <f>H6/J6*100</f>
        <v>0</v>
      </c>
      <c r="M6" s="245">
        <f>I6/J6*100</f>
        <v>0</v>
      </c>
      <c r="N6" s="246">
        <f>SUM(K6:M6)</f>
        <v>100</v>
      </c>
      <c r="O6" s="247">
        <v>63.1</v>
      </c>
      <c r="P6" s="248"/>
      <c r="Q6" s="248"/>
      <c r="R6" s="249">
        <f>SUM(O6:Q6)</f>
        <v>63.1</v>
      </c>
      <c r="S6" s="250">
        <v>2</v>
      </c>
      <c r="T6" s="251"/>
      <c r="U6" s="252"/>
      <c r="V6" s="253" t="s">
        <v>72</v>
      </c>
      <c r="W6" s="254" t="s">
        <v>74</v>
      </c>
      <c r="X6" s="254" t="s">
        <v>11</v>
      </c>
      <c r="Y6" s="255">
        <v>47.5</v>
      </c>
      <c r="Z6" s="254" t="s">
        <v>73</v>
      </c>
      <c r="AA6" s="254" t="s">
        <v>75</v>
      </c>
      <c r="AB6" s="254" t="s">
        <v>11</v>
      </c>
      <c r="AC6" s="254">
        <v>15.6</v>
      </c>
      <c r="AD6" s="256"/>
      <c r="AG6" s="258"/>
      <c r="AL6" s="256"/>
      <c r="AO6" s="258"/>
      <c r="AS6" s="258"/>
      <c r="AW6" s="258"/>
      <c r="AX6" s="326"/>
      <c r="AY6" s="326"/>
      <c r="AZ6" s="326"/>
      <c r="BA6" s="259"/>
    </row>
    <row r="7" spans="1:53" s="257" customFormat="1">
      <c r="A7" s="240">
        <v>1959</v>
      </c>
      <c r="B7" s="241"/>
      <c r="C7" s="978" t="s">
        <v>148</v>
      </c>
      <c r="D7" s="978"/>
      <c r="E7" s="240">
        <v>365</v>
      </c>
      <c r="F7" s="241"/>
      <c r="G7" s="242">
        <v>12</v>
      </c>
      <c r="H7" s="243"/>
      <c r="I7" s="243"/>
      <c r="J7" s="244">
        <v>12</v>
      </c>
      <c r="K7" s="245">
        <f>G7/J7*100</f>
        <v>100</v>
      </c>
      <c r="L7" s="245">
        <f>H7/J7*100</f>
        <v>0</v>
      </c>
      <c r="M7" s="245">
        <f>I7/J7*100</f>
        <v>0</v>
      </c>
      <c r="N7" s="246">
        <f>SUM(K7:M7)</f>
        <v>100</v>
      </c>
      <c r="O7" s="247">
        <v>63.1</v>
      </c>
      <c r="P7" s="248"/>
      <c r="Q7" s="248"/>
      <c r="R7" s="249">
        <f>SUM(O7:Q7)</f>
        <v>63.1</v>
      </c>
      <c r="S7" s="250">
        <v>2</v>
      </c>
      <c r="T7" s="251"/>
      <c r="U7" s="252"/>
      <c r="V7" s="253" t="s">
        <v>72</v>
      </c>
      <c r="W7" s="254" t="s">
        <v>74</v>
      </c>
      <c r="X7" s="254" t="s">
        <v>11</v>
      </c>
      <c r="Y7" s="255">
        <v>47.5</v>
      </c>
      <c r="Z7" s="254" t="s">
        <v>73</v>
      </c>
      <c r="AA7" s="254" t="s">
        <v>75</v>
      </c>
      <c r="AB7" s="254" t="s">
        <v>11</v>
      </c>
      <c r="AC7" s="254">
        <v>15.6</v>
      </c>
      <c r="AD7" s="256"/>
      <c r="AG7" s="258"/>
      <c r="AL7" s="256"/>
      <c r="AO7" s="258"/>
      <c r="AS7" s="258"/>
      <c r="AW7" s="258"/>
      <c r="AX7" s="326"/>
      <c r="AY7" s="326"/>
      <c r="AZ7" s="326"/>
      <c r="BA7" s="259"/>
    </row>
    <row r="8" spans="1:53" s="100" customFormat="1">
      <c r="A8" s="87">
        <v>1960</v>
      </c>
      <c r="B8" s="88"/>
      <c r="C8" s="966" t="s">
        <v>148</v>
      </c>
      <c r="D8" s="966"/>
      <c r="E8" s="87">
        <v>0</v>
      </c>
      <c r="F8" s="87"/>
      <c r="G8" s="89">
        <v>12</v>
      </c>
      <c r="H8" s="87"/>
      <c r="I8" s="87"/>
      <c r="J8" s="90">
        <v>12</v>
      </c>
      <c r="K8" s="77">
        <f>G8/J8*100</f>
        <v>100</v>
      </c>
      <c r="L8" s="77">
        <f>H8/J8*100</f>
        <v>0</v>
      </c>
      <c r="M8" s="77">
        <f>I8/J8*100</f>
        <v>0</v>
      </c>
      <c r="N8" s="78">
        <f>SUM(K8:M8)</f>
        <v>100</v>
      </c>
      <c r="O8" s="91">
        <v>63.1</v>
      </c>
      <c r="P8" s="92"/>
      <c r="Q8" s="92"/>
      <c r="R8" s="93">
        <f>SUM(O8:Q8)</f>
        <v>63.1</v>
      </c>
      <c r="S8" s="94">
        <v>2</v>
      </c>
      <c r="T8" s="95"/>
      <c r="U8" s="85"/>
      <c r="V8" s="96" t="s">
        <v>72</v>
      </c>
      <c r="W8" s="97" t="s">
        <v>74</v>
      </c>
      <c r="X8" s="97" t="s">
        <v>11</v>
      </c>
      <c r="Y8" s="98">
        <v>47.5</v>
      </c>
      <c r="Z8" s="97" t="s">
        <v>73</v>
      </c>
      <c r="AA8" s="97" t="s">
        <v>75</v>
      </c>
      <c r="AB8" s="97" t="s">
        <v>11</v>
      </c>
      <c r="AC8" s="97">
        <v>15.6</v>
      </c>
      <c r="AD8" s="96"/>
      <c r="AE8" s="97"/>
      <c r="AF8" s="97"/>
      <c r="AG8" s="98"/>
      <c r="AH8" s="97"/>
      <c r="AI8" s="97"/>
      <c r="AJ8" s="97"/>
      <c r="AK8" s="97"/>
      <c r="AL8" s="96"/>
      <c r="AM8" s="97"/>
      <c r="AN8" s="97"/>
      <c r="AO8" s="98"/>
      <c r="AP8" s="96"/>
      <c r="AQ8" s="97"/>
      <c r="AR8" s="97"/>
      <c r="AS8" s="98"/>
      <c r="AT8" s="99"/>
      <c r="AW8" s="98"/>
      <c r="AX8" s="324"/>
      <c r="AY8" s="324"/>
      <c r="AZ8" s="324"/>
      <c r="BA8" s="330"/>
    </row>
    <row r="9" spans="1:53" s="100" customFormat="1">
      <c r="A9" s="87">
        <v>1960</v>
      </c>
      <c r="B9" s="88"/>
      <c r="C9" s="966" t="s">
        <v>148</v>
      </c>
      <c r="D9" s="966"/>
      <c r="E9" s="87">
        <v>366</v>
      </c>
      <c r="F9" s="87"/>
      <c r="G9" s="89">
        <v>12</v>
      </c>
      <c r="H9" s="87"/>
      <c r="I9" s="87"/>
      <c r="J9" s="90">
        <v>12</v>
      </c>
      <c r="K9" s="77">
        <f t="shared" ref="K9:K15" si="0">G9/J9*100</f>
        <v>100</v>
      </c>
      <c r="L9" s="77">
        <f t="shared" ref="L9:L15" si="1">H9/J9*100</f>
        <v>0</v>
      </c>
      <c r="M9" s="77">
        <f t="shared" ref="M9:M15" si="2">I9/J9*100</f>
        <v>0</v>
      </c>
      <c r="N9" s="78">
        <f t="shared" ref="N9:N72" si="3">SUM(K9:M9)</f>
        <v>100</v>
      </c>
      <c r="O9" s="91">
        <v>63.1</v>
      </c>
      <c r="P9" s="92"/>
      <c r="Q9" s="92"/>
      <c r="R9" s="93">
        <f t="shared" ref="R9:R72" si="4">SUM(O9:Q9)</f>
        <v>63.1</v>
      </c>
      <c r="S9" s="94">
        <v>2</v>
      </c>
      <c r="T9" s="95"/>
      <c r="U9" s="85"/>
      <c r="V9" s="96" t="s">
        <v>72</v>
      </c>
      <c r="W9" s="97" t="s">
        <v>74</v>
      </c>
      <c r="X9" s="97" t="s">
        <v>11</v>
      </c>
      <c r="Y9" s="98">
        <v>47.5</v>
      </c>
      <c r="Z9" s="97" t="s">
        <v>73</v>
      </c>
      <c r="AA9" s="97" t="s">
        <v>75</v>
      </c>
      <c r="AB9" s="97" t="s">
        <v>11</v>
      </c>
      <c r="AC9" s="97">
        <v>15.6</v>
      </c>
      <c r="AD9" s="96"/>
      <c r="AE9" s="97"/>
      <c r="AF9" s="97"/>
      <c r="AG9" s="98"/>
      <c r="AH9" s="97"/>
      <c r="AI9" s="97"/>
      <c r="AJ9" s="97"/>
      <c r="AK9" s="97"/>
      <c r="AL9" s="96"/>
      <c r="AM9" s="97"/>
      <c r="AN9" s="97"/>
      <c r="AO9" s="98"/>
      <c r="AP9" s="96"/>
      <c r="AQ9" s="97"/>
      <c r="AR9" s="97"/>
      <c r="AS9" s="98"/>
      <c r="AT9" s="99"/>
      <c r="AW9" s="98"/>
      <c r="AX9" s="324"/>
      <c r="AY9" s="324"/>
      <c r="AZ9" s="324"/>
      <c r="BA9" s="330"/>
    </row>
    <row r="10" spans="1:53" s="100" customFormat="1">
      <c r="A10" s="87">
        <v>1961</v>
      </c>
      <c r="B10" s="88"/>
      <c r="C10" s="966" t="s">
        <v>148</v>
      </c>
      <c r="D10" s="966"/>
      <c r="E10" s="87">
        <v>356</v>
      </c>
      <c r="F10" s="87"/>
      <c r="G10" s="89">
        <v>12</v>
      </c>
      <c r="H10" s="87"/>
      <c r="I10" s="87"/>
      <c r="J10" s="90">
        <v>12</v>
      </c>
      <c r="K10" s="77">
        <f t="shared" si="0"/>
        <v>100</v>
      </c>
      <c r="L10" s="77">
        <f t="shared" si="1"/>
        <v>0</v>
      </c>
      <c r="M10" s="77">
        <f t="shared" si="2"/>
        <v>0</v>
      </c>
      <c r="N10" s="78">
        <f t="shared" si="3"/>
        <v>100</v>
      </c>
      <c r="O10" s="91">
        <v>63.1</v>
      </c>
      <c r="P10" s="92"/>
      <c r="Q10" s="92"/>
      <c r="R10" s="93">
        <f t="shared" si="4"/>
        <v>63.1</v>
      </c>
      <c r="S10" s="102">
        <v>2</v>
      </c>
      <c r="T10" s="95"/>
      <c r="U10" s="85"/>
      <c r="V10" s="96" t="s">
        <v>72</v>
      </c>
      <c r="W10" s="97" t="s">
        <v>74</v>
      </c>
      <c r="X10" s="97" t="s">
        <v>11</v>
      </c>
      <c r="Y10" s="98">
        <v>47.5</v>
      </c>
      <c r="Z10" s="97" t="s">
        <v>73</v>
      </c>
      <c r="AA10" s="97" t="s">
        <v>75</v>
      </c>
      <c r="AB10" s="97" t="s">
        <v>11</v>
      </c>
      <c r="AC10" s="97">
        <v>15.6</v>
      </c>
      <c r="AD10" s="96"/>
      <c r="AE10" s="97"/>
      <c r="AF10" s="97"/>
      <c r="AG10" s="98"/>
      <c r="AH10" s="97"/>
      <c r="AI10" s="97"/>
      <c r="AJ10" s="97"/>
      <c r="AK10" s="97"/>
      <c r="AL10" s="96"/>
      <c r="AM10" s="97"/>
      <c r="AN10" s="97"/>
      <c r="AO10" s="98"/>
      <c r="AP10" s="96"/>
      <c r="AQ10" s="97"/>
      <c r="AR10" s="97"/>
      <c r="AS10" s="98"/>
      <c r="AT10" s="99"/>
      <c r="AW10" s="98"/>
      <c r="AX10" s="324"/>
      <c r="AY10" s="324"/>
      <c r="AZ10" s="324"/>
      <c r="BA10" s="330"/>
    </row>
    <row r="11" spans="1:53" s="391" customFormat="1">
      <c r="A11" s="199">
        <v>1961</v>
      </c>
      <c r="B11" s="380">
        <v>22638</v>
      </c>
      <c r="C11" s="965" t="s">
        <v>149</v>
      </c>
      <c r="D11" s="965"/>
      <c r="E11" s="199">
        <f>365-E10</f>
        <v>9</v>
      </c>
      <c r="F11" s="199">
        <v>1</v>
      </c>
      <c r="G11" s="381">
        <v>12</v>
      </c>
      <c r="H11" s="199"/>
      <c r="I11" s="199"/>
      <c r="J11" s="382">
        <v>12</v>
      </c>
      <c r="K11" s="338">
        <f>G11/J11*100</f>
        <v>100</v>
      </c>
      <c r="L11" s="338">
        <f t="shared" si="1"/>
        <v>0</v>
      </c>
      <c r="M11" s="338">
        <f t="shared" si="2"/>
        <v>0</v>
      </c>
      <c r="N11" s="339">
        <f t="shared" si="3"/>
        <v>100</v>
      </c>
      <c r="O11" s="383">
        <v>50.8</v>
      </c>
      <c r="P11" s="384"/>
      <c r="Q11" s="384"/>
      <c r="R11" s="385">
        <f t="shared" si="4"/>
        <v>50.8</v>
      </c>
      <c r="S11" s="386">
        <v>2</v>
      </c>
      <c r="T11" s="342">
        <v>22624</v>
      </c>
      <c r="U11" s="355">
        <v>22638</v>
      </c>
      <c r="V11" s="387" t="s">
        <v>72</v>
      </c>
      <c r="W11" s="388" t="s">
        <v>74</v>
      </c>
      <c r="X11" s="388" t="s">
        <v>11</v>
      </c>
      <c r="Y11" s="389">
        <v>36.9</v>
      </c>
      <c r="Z11" s="388" t="s">
        <v>73</v>
      </c>
      <c r="AA11" s="388" t="s">
        <v>75</v>
      </c>
      <c r="AB11" s="388" t="s">
        <v>11</v>
      </c>
      <c r="AC11" s="388">
        <v>13.9</v>
      </c>
      <c r="AD11" s="387"/>
      <c r="AE11" s="388"/>
      <c r="AF11" s="388"/>
      <c r="AG11" s="389"/>
      <c r="AH11" s="388"/>
      <c r="AI11" s="388"/>
      <c r="AJ11" s="388"/>
      <c r="AK11" s="388"/>
      <c r="AL11" s="387"/>
      <c r="AM11" s="388"/>
      <c r="AN11" s="388"/>
      <c r="AO11" s="389"/>
      <c r="AP11" s="387"/>
      <c r="AQ11" s="388"/>
      <c r="AR11" s="388"/>
      <c r="AS11" s="389"/>
      <c r="AT11" s="390"/>
      <c r="AW11" s="389"/>
      <c r="AX11" s="392"/>
      <c r="AY11" s="392"/>
      <c r="AZ11" s="392"/>
      <c r="BA11" s="393"/>
    </row>
    <row r="12" spans="1:53" s="391" customFormat="1">
      <c r="A12" s="199">
        <v>1962</v>
      </c>
      <c r="B12" s="380"/>
      <c r="C12" s="965" t="s">
        <v>149</v>
      </c>
      <c r="D12" s="965"/>
      <c r="E12" s="199">
        <v>0</v>
      </c>
      <c r="F12" s="199"/>
      <c r="G12" s="381">
        <v>12</v>
      </c>
      <c r="H12" s="199"/>
      <c r="I12" s="199"/>
      <c r="J12" s="382">
        <v>12</v>
      </c>
      <c r="K12" s="338">
        <f t="shared" si="0"/>
        <v>100</v>
      </c>
      <c r="L12" s="338">
        <f t="shared" si="1"/>
        <v>0</v>
      </c>
      <c r="M12" s="338">
        <f t="shared" si="2"/>
        <v>0</v>
      </c>
      <c r="N12" s="339">
        <f t="shared" si="3"/>
        <v>100</v>
      </c>
      <c r="O12" s="383">
        <v>50.8</v>
      </c>
      <c r="P12" s="384"/>
      <c r="Q12" s="384"/>
      <c r="R12" s="385">
        <f t="shared" si="4"/>
        <v>50.8</v>
      </c>
      <c r="S12" s="386">
        <v>2</v>
      </c>
      <c r="T12" s="342"/>
      <c r="U12" s="355"/>
      <c r="V12" s="387" t="s">
        <v>72</v>
      </c>
      <c r="W12" s="388" t="s">
        <v>74</v>
      </c>
      <c r="X12" s="388" t="s">
        <v>11</v>
      </c>
      <c r="Y12" s="389">
        <v>36.9</v>
      </c>
      <c r="Z12" s="388" t="s">
        <v>73</v>
      </c>
      <c r="AA12" s="388" t="s">
        <v>75</v>
      </c>
      <c r="AB12" s="388" t="s">
        <v>11</v>
      </c>
      <c r="AC12" s="388">
        <v>13.9</v>
      </c>
      <c r="AD12" s="387"/>
      <c r="AE12" s="388"/>
      <c r="AF12" s="388"/>
      <c r="AG12" s="389"/>
      <c r="AH12" s="388"/>
      <c r="AI12" s="388"/>
      <c r="AJ12" s="388"/>
      <c r="AK12" s="388"/>
      <c r="AL12" s="387"/>
      <c r="AM12" s="388"/>
      <c r="AN12" s="388"/>
      <c r="AO12" s="389"/>
      <c r="AP12" s="387"/>
      <c r="AQ12" s="388"/>
      <c r="AR12" s="388"/>
      <c r="AS12" s="389"/>
      <c r="AT12" s="390"/>
      <c r="AW12" s="389"/>
      <c r="AX12" s="392"/>
      <c r="AY12" s="392"/>
      <c r="AZ12" s="392"/>
      <c r="BA12" s="393"/>
    </row>
    <row r="13" spans="1:53" s="391" customFormat="1">
      <c r="A13" s="199">
        <v>1962</v>
      </c>
      <c r="B13" s="380"/>
      <c r="C13" s="965" t="s">
        <v>149</v>
      </c>
      <c r="D13" s="965"/>
      <c r="E13" s="199">
        <f>365-E12</f>
        <v>365</v>
      </c>
      <c r="F13" s="199"/>
      <c r="G13" s="381">
        <v>12</v>
      </c>
      <c r="H13" s="199"/>
      <c r="I13" s="199"/>
      <c r="J13" s="382">
        <v>12</v>
      </c>
      <c r="K13" s="338">
        <f t="shared" si="0"/>
        <v>100</v>
      </c>
      <c r="L13" s="338">
        <f t="shared" si="1"/>
        <v>0</v>
      </c>
      <c r="M13" s="338">
        <f t="shared" si="2"/>
        <v>0</v>
      </c>
      <c r="N13" s="339">
        <f t="shared" si="3"/>
        <v>100</v>
      </c>
      <c r="O13" s="383">
        <v>50.8</v>
      </c>
      <c r="P13" s="384"/>
      <c r="Q13" s="384"/>
      <c r="R13" s="385">
        <f t="shared" si="4"/>
        <v>50.8</v>
      </c>
      <c r="S13" s="386">
        <v>2</v>
      </c>
      <c r="T13" s="342"/>
      <c r="U13" s="355"/>
      <c r="V13" s="387" t="s">
        <v>72</v>
      </c>
      <c r="W13" s="388" t="s">
        <v>74</v>
      </c>
      <c r="X13" s="388" t="s">
        <v>11</v>
      </c>
      <c r="Y13" s="389">
        <v>36.9</v>
      </c>
      <c r="Z13" s="388" t="s">
        <v>73</v>
      </c>
      <c r="AA13" s="388" t="s">
        <v>75</v>
      </c>
      <c r="AB13" s="388" t="s">
        <v>11</v>
      </c>
      <c r="AC13" s="388">
        <v>13.9</v>
      </c>
      <c r="AD13" s="387"/>
      <c r="AE13" s="388"/>
      <c r="AF13" s="388"/>
      <c r="AG13" s="389"/>
      <c r="AH13" s="388"/>
      <c r="AI13" s="388"/>
      <c r="AJ13" s="388"/>
      <c r="AK13" s="388"/>
      <c r="AL13" s="387"/>
      <c r="AM13" s="388"/>
      <c r="AN13" s="388"/>
      <c r="AO13" s="389"/>
      <c r="AP13" s="387"/>
      <c r="AQ13" s="388"/>
      <c r="AR13" s="388"/>
      <c r="AS13" s="389"/>
      <c r="AT13" s="390"/>
      <c r="AW13" s="389"/>
      <c r="AX13" s="392"/>
      <c r="AY13" s="392"/>
      <c r="AZ13" s="392"/>
      <c r="BA13" s="393"/>
    </row>
    <row r="14" spans="1:53" s="391" customFormat="1">
      <c r="A14" s="199">
        <v>1962.6</v>
      </c>
      <c r="B14" s="380"/>
      <c r="C14" s="965" t="s">
        <v>149</v>
      </c>
      <c r="D14" s="965"/>
      <c r="E14" s="199">
        <v>350</v>
      </c>
      <c r="F14" s="199"/>
      <c r="G14" s="381">
        <v>12</v>
      </c>
      <c r="H14" s="199"/>
      <c r="I14" s="199"/>
      <c r="J14" s="382">
        <v>12</v>
      </c>
      <c r="K14" s="338">
        <f t="shared" si="0"/>
        <v>100</v>
      </c>
      <c r="L14" s="338">
        <f t="shared" si="1"/>
        <v>0</v>
      </c>
      <c r="M14" s="338">
        <f t="shared" si="2"/>
        <v>0</v>
      </c>
      <c r="N14" s="339">
        <f t="shared" si="3"/>
        <v>100</v>
      </c>
      <c r="O14" s="383">
        <v>50.8</v>
      </c>
      <c r="P14" s="384"/>
      <c r="Q14" s="384"/>
      <c r="R14" s="385">
        <f t="shared" si="4"/>
        <v>50.8</v>
      </c>
      <c r="S14" s="386">
        <v>2</v>
      </c>
      <c r="T14" s="342"/>
      <c r="U14" s="355"/>
      <c r="V14" s="387" t="s">
        <v>72</v>
      </c>
      <c r="W14" s="388" t="s">
        <v>74</v>
      </c>
      <c r="X14" s="388" t="s">
        <v>11</v>
      </c>
      <c r="Y14" s="389">
        <v>36.9</v>
      </c>
      <c r="Z14" s="388" t="s">
        <v>73</v>
      </c>
      <c r="AA14" s="388" t="s">
        <v>75</v>
      </c>
      <c r="AB14" s="388" t="s">
        <v>11</v>
      </c>
      <c r="AC14" s="388">
        <v>13.9</v>
      </c>
      <c r="AD14" s="387"/>
      <c r="AE14" s="388"/>
      <c r="AF14" s="388"/>
      <c r="AG14" s="389"/>
      <c r="AH14" s="388"/>
      <c r="AI14" s="388"/>
      <c r="AJ14" s="388"/>
      <c r="AK14" s="388"/>
      <c r="AL14" s="387"/>
      <c r="AM14" s="388"/>
      <c r="AN14" s="388"/>
      <c r="AO14" s="389"/>
      <c r="AP14" s="387"/>
      <c r="AQ14" s="388"/>
      <c r="AR14" s="388"/>
      <c r="AS14" s="389"/>
      <c r="AT14" s="390"/>
      <c r="AW14" s="389"/>
      <c r="AX14" s="392"/>
      <c r="AY14" s="392"/>
      <c r="AZ14" s="392"/>
      <c r="BA14" s="393"/>
    </row>
    <row r="15" spans="1:53" s="100" customFormat="1">
      <c r="A15" s="87">
        <v>1963.05714285714</v>
      </c>
      <c r="B15" s="88">
        <v>23362</v>
      </c>
      <c r="C15" s="966" t="s">
        <v>150</v>
      </c>
      <c r="D15" s="966"/>
      <c r="E15" s="87">
        <f>365-E14</f>
        <v>15</v>
      </c>
      <c r="F15" s="87">
        <v>1</v>
      </c>
      <c r="G15" s="89">
        <v>12</v>
      </c>
      <c r="H15" s="87"/>
      <c r="I15" s="87"/>
      <c r="J15" s="90">
        <v>12</v>
      </c>
      <c r="K15" s="77">
        <f t="shared" si="0"/>
        <v>100</v>
      </c>
      <c r="L15" s="77">
        <f t="shared" si="1"/>
        <v>0</v>
      </c>
      <c r="M15" s="77">
        <f t="shared" si="2"/>
        <v>0</v>
      </c>
      <c r="N15" s="78">
        <f t="shared" si="3"/>
        <v>100</v>
      </c>
      <c r="O15" s="91">
        <v>59</v>
      </c>
      <c r="P15" s="92"/>
      <c r="Q15" s="92"/>
      <c r="R15" s="93">
        <f t="shared" si="4"/>
        <v>59</v>
      </c>
      <c r="S15" s="102">
        <v>2</v>
      </c>
      <c r="T15" s="95">
        <v>23345</v>
      </c>
      <c r="U15" s="85">
        <v>23362</v>
      </c>
      <c r="V15" s="96" t="s">
        <v>72</v>
      </c>
      <c r="W15" s="97" t="s">
        <v>74</v>
      </c>
      <c r="X15" s="97" t="s">
        <v>11</v>
      </c>
      <c r="Y15" s="98">
        <v>42.6</v>
      </c>
      <c r="Z15" s="97" t="s">
        <v>73</v>
      </c>
      <c r="AA15" s="97" t="s">
        <v>75</v>
      </c>
      <c r="AB15" s="97" t="s">
        <v>11</v>
      </c>
      <c r="AC15" s="97">
        <v>16.399999999999999</v>
      </c>
      <c r="AD15" s="96"/>
      <c r="AE15" s="97"/>
      <c r="AF15" s="97"/>
      <c r="AG15" s="98"/>
      <c r="AH15" s="97"/>
      <c r="AI15" s="97"/>
      <c r="AJ15" s="97"/>
      <c r="AK15" s="97"/>
      <c r="AL15" s="96"/>
      <c r="AM15" s="97"/>
      <c r="AN15" s="97"/>
      <c r="AO15" s="98"/>
      <c r="AP15" s="96"/>
      <c r="AQ15" s="97"/>
      <c r="AR15" s="97"/>
      <c r="AS15" s="98"/>
      <c r="AT15" s="99"/>
      <c r="AW15" s="98"/>
      <c r="AX15" s="324"/>
      <c r="AY15" s="324"/>
      <c r="AZ15" s="324"/>
      <c r="BA15" s="330"/>
    </row>
    <row r="16" spans="1:53" s="100" customFormat="1">
      <c r="A16" s="87">
        <v>1963.5142857142901</v>
      </c>
      <c r="B16" s="88"/>
      <c r="C16" s="966" t="s">
        <v>150</v>
      </c>
      <c r="D16" s="966"/>
      <c r="E16" s="87">
        <v>0</v>
      </c>
      <c r="F16" s="87"/>
      <c r="G16" s="89">
        <v>12</v>
      </c>
      <c r="H16" s="87"/>
      <c r="I16" s="87"/>
      <c r="J16" s="90">
        <v>12</v>
      </c>
      <c r="K16" s="77">
        <f>G16/J16*100</f>
        <v>100</v>
      </c>
      <c r="L16" s="77">
        <f>H16/J16*100</f>
        <v>0</v>
      </c>
      <c r="M16" s="77">
        <f>I16/J16*100</f>
        <v>0</v>
      </c>
      <c r="N16" s="78">
        <f t="shared" si="3"/>
        <v>100</v>
      </c>
      <c r="O16" s="91">
        <v>59</v>
      </c>
      <c r="P16" s="92"/>
      <c r="Q16" s="92"/>
      <c r="R16" s="93">
        <f t="shared" si="4"/>
        <v>59</v>
      </c>
      <c r="S16" s="102">
        <v>2</v>
      </c>
      <c r="T16" s="95"/>
      <c r="U16" s="85"/>
      <c r="V16" s="96" t="s">
        <v>72</v>
      </c>
      <c r="W16" s="97" t="s">
        <v>74</v>
      </c>
      <c r="X16" s="97" t="s">
        <v>11</v>
      </c>
      <c r="Y16" s="98">
        <v>42.6</v>
      </c>
      <c r="Z16" s="97" t="s">
        <v>73</v>
      </c>
      <c r="AA16" s="97" t="s">
        <v>75</v>
      </c>
      <c r="AB16" s="97" t="s">
        <v>11</v>
      </c>
      <c r="AC16" s="97">
        <v>16.399999999999999</v>
      </c>
      <c r="AD16" s="96"/>
      <c r="AE16" s="97"/>
      <c r="AF16" s="97"/>
      <c r="AG16" s="98"/>
      <c r="AH16" s="97"/>
      <c r="AI16" s="97"/>
      <c r="AJ16" s="97"/>
      <c r="AK16" s="97"/>
      <c r="AL16" s="96"/>
      <c r="AM16" s="97"/>
      <c r="AN16" s="97"/>
      <c r="AO16" s="98"/>
      <c r="AP16" s="96"/>
      <c r="AQ16" s="97"/>
      <c r="AR16" s="97"/>
      <c r="AS16" s="98"/>
      <c r="AT16" s="99"/>
      <c r="AW16" s="98"/>
      <c r="AX16" s="324"/>
      <c r="AY16" s="324"/>
      <c r="AZ16" s="324"/>
      <c r="BA16" s="330"/>
    </row>
    <row r="17" spans="1:53" s="100" customFormat="1">
      <c r="A17" s="87">
        <v>1963.9714285714299</v>
      </c>
      <c r="B17" s="88"/>
      <c r="C17" s="966" t="s">
        <v>150</v>
      </c>
      <c r="D17" s="966"/>
      <c r="E17" s="87">
        <v>366</v>
      </c>
      <c r="F17" s="87"/>
      <c r="G17" s="89">
        <v>12</v>
      </c>
      <c r="H17" s="87"/>
      <c r="I17" s="87"/>
      <c r="J17" s="90">
        <v>12</v>
      </c>
      <c r="K17" s="77">
        <f t="shared" ref="K17:K24" si="5">G17/J17*100</f>
        <v>100</v>
      </c>
      <c r="L17" s="77">
        <f t="shared" ref="L17:L24" si="6">H17/J17*100</f>
        <v>0</v>
      </c>
      <c r="M17" s="77">
        <f t="shared" ref="M17:M24" si="7">I17/J17*100</f>
        <v>0</v>
      </c>
      <c r="N17" s="78">
        <f t="shared" si="3"/>
        <v>100</v>
      </c>
      <c r="O17" s="91">
        <v>59</v>
      </c>
      <c r="P17" s="92"/>
      <c r="Q17" s="92"/>
      <c r="R17" s="93">
        <f t="shared" si="4"/>
        <v>59</v>
      </c>
      <c r="S17" s="102">
        <v>2</v>
      </c>
      <c r="T17" s="95"/>
      <c r="U17" s="85"/>
      <c r="V17" s="96" t="s">
        <v>72</v>
      </c>
      <c r="W17" s="97" t="s">
        <v>74</v>
      </c>
      <c r="X17" s="97" t="s">
        <v>11</v>
      </c>
      <c r="Y17" s="98">
        <v>42.6</v>
      </c>
      <c r="Z17" s="97" t="s">
        <v>73</v>
      </c>
      <c r="AA17" s="97" t="s">
        <v>75</v>
      </c>
      <c r="AB17" s="97" t="s">
        <v>11</v>
      </c>
      <c r="AC17" s="97">
        <v>16.399999999999999</v>
      </c>
      <c r="AD17" s="96"/>
      <c r="AE17" s="97"/>
      <c r="AF17" s="97"/>
      <c r="AG17" s="98"/>
      <c r="AH17" s="97"/>
      <c r="AI17" s="97"/>
      <c r="AJ17" s="97"/>
      <c r="AK17" s="97"/>
      <c r="AL17" s="96"/>
      <c r="AM17" s="97"/>
      <c r="AN17" s="97"/>
      <c r="AO17" s="98"/>
      <c r="AP17" s="96"/>
      <c r="AQ17" s="97"/>
      <c r="AR17" s="97"/>
      <c r="AS17" s="98"/>
      <c r="AT17" s="99"/>
      <c r="AW17" s="98"/>
      <c r="AX17" s="324"/>
      <c r="AY17" s="324"/>
      <c r="AZ17" s="324"/>
      <c r="BA17" s="330"/>
    </row>
    <row r="18" spans="1:53" s="100" customFormat="1">
      <c r="A18" s="87">
        <v>1965</v>
      </c>
      <c r="B18" s="88"/>
      <c r="C18" s="966" t="s">
        <v>150</v>
      </c>
      <c r="D18" s="966"/>
      <c r="E18" s="87">
        <v>0</v>
      </c>
      <c r="F18" s="87"/>
      <c r="G18" s="89">
        <v>12</v>
      </c>
      <c r="H18" s="87"/>
      <c r="I18" s="87"/>
      <c r="J18" s="90">
        <v>12</v>
      </c>
      <c r="K18" s="77">
        <f t="shared" si="5"/>
        <v>100</v>
      </c>
      <c r="L18" s="77">
        <f t="shared" si="6"/>
        <v>0</v>
      </c>
      <c r="M18" s="77">
        <f t="shared" si="7"/>
        <v>0</v>
      </c>
      <c r="N18" s="78">
        <f t="shared" si="3"/>
        <v>100</v>
      </c>
      <c r="O18" s="91">
        <v>59</v>
      </c>
      <c r="P18" s="92"/>
      <c r="Q18" s="92"/>
      <c r="R18" s="93">
        <f t="shared" si="4"/>
        <v>59</v>
      </c>
      <c r="S18" s="102">
        <v>2</v>
      </c>
      <c r="T18" s="95"/>
      <c r="U18" s="85"/>
      <c r="V18" s="96" t="s">
        <v>72</v>
      </c>
      <c r="W18" s="97" t="s">
        <v>74</v>
      </c>
      <c r="X18" s="97" t="s">
        <v>11</v>
      </c>
      <c r="Y18" s="98">
        <v>42.6</v>
      </c>
      <c r="Z18" s="97" t="s">
        <v>73</v>
      </c>
      <c r="AA18" s="97" t="s">
        <v>75</v>
      </c>
      <c r="AB18" s="97" t="s">
        <v>11</v>
      </c>
      <c r="AC18" s="97">
        <v>16.399999999999999</v>
      </c>
      <c r="AD18" s="96"/>
      <c r="AE18" s="97"/>
      <c r="AF18" s="97"/>
      <c r="AG18" s="98"/>
      <c r="AH18" s="97"/>
      <c r="AI18" s="97"/>
      <c r="AJ18" s="97"/>
      <c r="AK18" s="97"/>
      <c r="AL18" s="96"/>
      <c r="AM18" s="97"/>
      <c r="AN18" s="97"/>
      <c r="AO18" s="98"/>
      <c r="AP18" s="96"/>
      <c r="AQ18" s="97"/>
      <c r="AR18" s="97"/>
      <c r="AS18" s="98"/>
      <c r="AT18" s="99"/>
      <c r="AW18" s="98"/>
      <c r="AX18" s="324"/>
      <c r="AY18" s="324"/>
      <c r="AZ18" s="324"/>
      <c r="BA18" s="330"/>
    </row>
    <row r="19" spans="1:53" s="100" customFormat="1">
      <c r="A19" s="87">
        <v>1964.88571428572</v>
      </c>
      <c r="B19" s="88"/>
      <c r="C19" s="966" t="s">
        <v>150</v>
      </c>
      <c r="D19" s="966"/>
      <c r="E19" s="87">
        <f>365-E18</f>
        <v>365</v>
      </c>
      <c r="F19" s="87"/>
      <c r="G19" s="89">
        <v>12</v>
      </c>
      <c r="H19" s="87"/>
      <c r="I19" s="87"/>
      <c r="J19" s="90">
        <v>12</v>
      </c>
      <c r="K19" s="77">
        <f t="shared" si="5"/>
        <v>100</v>
      </c>
      <c r="L19" s="77">
        <f t="shared" si="6"/>
        <v>0</v>
      </c>
      <c r="M19" s="77">
        <f t="shared" si="7"/>
        <v>0</v>
      </c>
      <c r="N19" s="78">
        <f t="shared" si="3"/>
        <v>100</v>
      </c>
      <c r="O19" s="91">
        <v>59</v>
      </c>
      <c r="P19" s="92"/>
      <c r="Q19" s="92"/>
      <c r="R19" s="93">
        <f t="shared" si="4"/>
        <v>59</v>
      </c>
      <c r="S19" s="102">
        <v>2</v>
      </c>
      <c r="T19" s="95"/>
      <c r="U19" s="85"/>
      <c r="V19" s="96" t="s">
        <v>72</v>
      </c>
      <c r="W19" s="97" t="s">
        <v>74</v>
      </c>
      <c r="X19" s="97" t="s">
        <v>11</v>
      </c>
      <c r="Y19" s="98">
        <v>42.6</v>
      </c>
      <c r="Z19" s="97" t="s">
        <v>73</v>
      </c>
      <c r="AA19" s="97" t="s">
        <v>75</v>
      </c>
      <c r="AB19" s="97" t="s">
        <v>11</v>
      </c>
      <c r="AC19" s="97">
        <v>16.399999999999999</v>
      </c>
      <c r="AD19" s="96"/>
      <c r="AE19" s="97"/>
      <c r="AF19" s="97"/>
      <c r="AG19" s="98"/>
      <c r="AH19" s="97"/>
      <c r="AI19" s="97"/>
      <c r="AJ19" s="97"/>
      <c r="AK19" s="97"/>
      <c r="AL19" s="96"/>
      <c r="AM19" s="97"/>
      <c r="AN19" s="97"/>
      <c r="AO19" s="98"/>
      <c r="AP19" s="96"/>
      <c r="AQ19" s="97"/>
      <c r="AR19" s="97"/>
      <c r="AS19" s="98"/>
      <c r="AT19" s="99"/>
      <c r="AW19" s="98"/>
      <c r="AX19" s="324"/>
      <c r="AY19" s="324"/>
      <c r="AZ19" s="324"/>
      <c r="BA19" s="330"/>
    </row>
    <row r="20" spans="1:53" s="100" customFormat="1">
      <c r="A20" s="87">
        <v>1966</v>
      </c>
      <c r="B20" s="88"/>
      <c r="C20" s="966" t="s">
        <v>150</v>
      </c>
      <c r="D20" s="966"/>
      <c r="E20" s="87">
        <v>25</v>
      </c>
      <c r="F20" s="87"/>
      <c r="G20" s="89">
        <v>12</v>
      </c>
      <c r="H20" s="87"/>
      <c r="I20" s="87"/>
      <c r="J20" s="90">
        <v>12</v>
      </c>
      <c r="K20" s="77">
        <f t="shared" si="5"/>
        <v>100</v>
      </c>
      <c r="L20" s="77">
        <f t="shared" si="6"/>
        <v>0</v>
      </c>
      <c r="M20" s="77">
        <f t="shared" si="7"/>
        <v>0</v>
      </c>
      <c r="N20" s="78">
        <f t="shared" si="3"/>
        <v>100</v>
      </c>
      <c r="O20" s="91">
        <v>59</v>
      </c>
      <c r="P20" s="92"/>
      <c r="Q20" s="92"/>
      <c r="R20" s="93">
        <f t="shared" si="4"/>
        <v>59</v>
      </c>
      <c r="S20" s="102">
        <v>2</v>
      </c>
      <c r="T20" s="95"/>
      <c r="U20" s="85"/>
      <c r="V20" s="96" t="s">
        <v>72</v>
      </c>
      <c r="W20" s="97" t="s">
        <v>74</v>
      </c>
      <c r="X20" s="97" t="s">
        <v>11</v>
      </c>
      <c r="Y20" s="98">
        <v>42.6</v>
      </c>
      <c r="Z20" s="97" t="s">
        <v>73</v>
      </c>
      <c r="AA20" s="97" t="s">
        <v>75</v>
      </c>
      <c r="AB20" s="97" t="s">
        <v>11</v>
      </c>
      <c r="AC20" s="97">
        <v>16.399999999999999</v>
      </c>
      <c r="AD20" s="96"/>
      <c r="AE20" s="97"/>
      <c r="AF20" s="97"/>
      <c r="AG20" s="98"/>
      <c r="AH20" s="97"/>
      <c r="AI20" s="97"/>
      <c r="AJ20" s="97"/>
      <c r="AK20" s="97"/>
      <c r="AL20" s="96"/>
      <c r="AM20" s="97"/>
      <c r="AN20" s="97"/>
      <c r="AO20" s="98"/>
      <c r="AP20" s="96"/>
      <c r="AQ20" s="97"/>
      <c r="AR20" s="97"/>
      <c r="AS20" s="98"/>
      <c r="AT20" s="99"/>
      <c r="AW20" s="98"/>
      <c r="AX20" s="324"/>
      <c r="AY20" s="324"/>
      <c r="AZ20" s="324"/>
      <c r="BA20" s="330"/>
    </row>
    <row r="21" spans="1:53" s="391" customFormat="1">
      <c r="A21" s="199">
        <v>1965.8</v>
      </c>
      <c r="B21" s="380">
        <v>24133</v>
      </c>
      <c r="C21" s="965" t="s">
        <v>151</v>
      </c>
      <c r="D21" s="965"/>
      <c r="E21" s="199">
        <v>322</v>
      </c>
      <c r="F21" s="199">
        <v>2</v>
      </c>
      <c r="G21" s="381">
        <v>12</v>
      </c>
      <c r="H21" s="199"/>
      <c r="I21" s="199"/>
      <c r="J21" s="382">
        <v>12</v>
      </c>
      <c r="K21" s="338">
        <f>G21/J21*100</f>
        <v>100</v>
      </c>
      <c r="L21" s="338">
        <f>H21/J21*100</f>
        <v>0</v>
      </c>
      <c r="M21" s="338">
        <f>I21/J21*100</f>
        <v>0</v>
      </c>
      <c r="N21" s="339">
        <f t="shared" si="3"/>
        <v>100</v>
      </c>
      <c r="O21" s="383">
        <v>59</v>
      </c>
      <c r="P21" s="384"/>
      <c r="Q21" s="384"/>
      <c r="R21" s="385">
        <f t="shared" si="4"/>
        <v>59</v>
      </c>
      <c r="S21" s="386">
        <v>2</v>
      </c>
      <c r="T21" s="342"/>
      <c r="U21" s="355">
        <v>24130</v>
      </c>
      <c r="V21" s="387" t="s">
        <v>72</v>
      </c>
      <c r="W21" s="388" t="s">
        <v>74</v>
      </c>
      <c r="X21" s="388" t="s">
        <v>11</v>
      </c>
      <c r="Y21" s="389">
        <v>42.6</v>
      </c>
      <c r="Z21" s="388" t="s">
        <v>73</v>
      </c>
      <c r="AA21" s="388" t="s">
        <v>75</v>
      </c>
      <c r="AB21" s="388" t="s">
        <v>11</v>
      </c>
      <c r="AC21" s="388">
        <v>16.399999999999999</v>
      </c>
      <c r="AD21" s="387"/>
      <c r="AE21" s="388"/>
      <c r="AF21" s="388"/>
      <c r="AG21" s="389"/>
      <c r="AH21" s="388"/>
      <c r="AI21" s="388"/>
      <c r="AJ21" s="388"/>
      <c r="AK21" s="388"/>
      <c r="AL21" s="387"/>
      <c r="AM21" s="388"/>
      <c r="AN21" s="388"/>
      <c r="AO21" s="389"/>
      <c r="AP21" s="387"/>
      <c r="AQ21" s="388"/>
      <c r="AR21" s="388"/>
      <c r="AS21" s="389"/>
      <c r="AT21" s="390"/>
      <c r="AW21" s="389"/>
      <c r="AX21" s="392"/>
      <c r="AY21" s="392"/>
      <c r="AZ21" s="392"/>
      <c r="BA21" s="393"/>
    </row>
    <row r="22" spans="1:53" s="100" customFormat="1">
      <c r="A22" s="87">
        <v>1965.8</v>
      </c>
      <c r="B22" s="88">
        <v>24455</v>
      </c>
      <c r="C22" s="966" t="s">
        <v>152</v>
      </c>
      <c r="D22" s="966"/>
      <c r="E22" s="87">
        <v>18</v>
      </c>
      <c r="F22" s="87">
        <v>1</v>
      </c>
      <c r="G22" s="89">
        <v>12</v>
      </c>
      <c r="H22" s="87"/>
      <c r="I22" s="87"/>
      <c r="J22" s="90">
        <v>12</v>
      </c>
      <c r="K22" s="77">
        <f t="shared" si="5"/>
        <v>100</v>
      </c>
      <c r="L22" s="77">
        <f t="shared" si="6"/>
        <v>0</v>
      </c>
      <c r="M22" s="77">
        <f t="shared" si="7"/>
        <v>0</v>
      </c>
      <c r="N22" s="78">
        <f t="shared" si="3"/>
        <v>100</v>
      </c>
      <c r="O22" s="91">
        <v>66.099999999999994</v>
      </c>
      <c r="P22" s="92"/>
      <c r="Q22" s="92"/>
      <c r="R22" s="93">
        <f t="shared" si="4"/>
        <v>66.099999999999994</v>
      </c>
      <c r="S22" s="102">
        <v>2</v>
      </c>
      <c r="T22" s="95">
        <v>24437</v>
      </c>
      <c r="U22" s="85">
        <v>24455</v>
      </c>
      <c r="V22" s="96" t="s">
        <v>72</v>
      </c>
      <c r="W22" s="97" t="s">
        <v>74</v>
      </c>
      <c r="X22" s="97" t="s">
        <v>11</v>
      </c>
      <c r="Y22" s="98">
        <v>49.2</v>
      </c>
      <c r="Z22" s="97" t="s">
        <v>73</v>
      </c>
      <c r="AA22" s="97" t="s">
        <v>75</v>
      </c>
      <c r="AB22" s="97" t="s">
        <v>11</v>
      </c>
      <c r="AC22" s="97">
        <v>16.899999999999999</v>
      </c>
      <c r="AD22" s="96"/>
      <c r="AE22" s="97"/>
      <c r="AF22" s="97"/>
      <c r="AG22" s="98"/>
      <c r="AH22" s="97"/>
      <c r="AI22" s="97"/>
      <c r="AJ22" s="97"/>
      <c r="AK22" s="97"/>
      <c r="AL22" s="96"/>
      <c r="AM22" s="97"/>
      <c r="AN22" s="97"/>
      <c r="AO22" s="98"/>
      <c r="AP22" s="96"/>
      <c r="AQ22" s="97"/>
      <c r="AR22" s="97"/>
      <c r="AS22" s="98"/>
      <c r="AT22" s="99"/>
      <c r="AW22" s="98"/>
      <c r="AX22" s="324"/>
      <c r="AY22" s="324"/>
      <c r="AZ22" s="324"/>
      <c r="BA22" s="330"/>
    </row>
    <row r="23" spans="1:53" s="100" customFormat="1">
      <c r="A23" s="87">
        <v>1967</v>
      </c>
      <c r="B23" s="88"/>
      <c r="C23" s="966" t="s">
        <v>152</v>
      </c>
      <c r="D23" s="966"/>
      <c r="E23" s="87">
        <v>351</v>
      </c>
      <c r="F23" s="87"/>
      <c r="G23" s="89">
        <v>12</v>
      </c>
      <c r="H23" s="87"/>
      <c r="I23" s="87"/>
      <c r="J23" s="90">
        <v>12</v>
      </c>
      <c r="K23" s="77">
        <f t="shared" si="5"/>
        <v>100</v>
      </c>
      <c r="L23" s="77">
        <f t="shared" si="6"/>
        <v>0</v>
      </c>
      <c r="M23" s="77">
        <f t="shared" si="7"/>
        <v>0</v>
      </c>
      <c r="N23" s="78">
        <f t="shared" si="3"/>
        <v>100</v>
      </c>
      <c r="O23" s="91">
        <v>66.099999999999994</v>
      </c>
      <c r="P23" s="92"/>
      <c r="Q23" s="92"/>
      <c r="R23" s="93">
        <f t="shared" si="4"/>
        <v>66.099999999999994</v>
      </c>
      <c r="S23" s="102">
        <v>2</v>
      </c>
      <c r="T23" s="95"/>
      <c r="U23" s="85"/>
      <c r="V23" s="96" t="s">
        <v>72</v>
      </c>
      <c r="W23" s="97" t="s">
        <v>74</v>
      </c>
      <c r="X23" s="97" t="s">
        <v>11</v>
      </c>
      <c r="Y23" s="98">
        <v>49.2</v>
      </c>
      <c r="Z23" s="97" t="s">
        <v>73</v>
      </c>
      <c r="AA23" s="97" t="s">
        <v>75</v>
      </c>
      <c r="AB23" s="97" t="s">
        <v>11</v>
      </c>
      <c r="AC23" s="97">
        <v>16.899999999999999</v>
      </c>
      <c r="AD23" s="96"/>
      <c r="AE23" s="97"/>
      <c r="AF23" s="97"/>
      <c r="AG23" s="98"/>
      <c r="AH23" s="97"/>
      <c r="AI23" s="97"/>
      <c r="AJ23" s="97"/>
      <c r="AK23" s="97"/>
      <c r="AL23" s="96"/>
      <c r="AM23" s="97"/>
      <c r="AN23" s="97"/>
      <c r="AO23" s="98"/>
      <c r="AP23" s="96"/>
      <c r="AQ23" s="97"/>
      <c r="AR23" s="97"/>
      <c r="AS23" s="98"/>
      <c r="AT23" s="99"/>
      <c r="AW23" s="98"/>
      <c r="AX23" s="324"/>
      <c r="AY23" s="324"/>
      <c r="AZ23" s="324"/>
      <c r="BA23" s="330"/>
    </row>
    <row r="24" spans="1:53" s="391" customFormat="1">
      <c r="A24" s="199">
        <v>1966.7142857142901</v>
      </c>
      <c r="B24" s="380">
        <v>24824</v>
      </c>
      <c r="C24" s="965" t="s">
        <v>153</v>
      </c>
      <c r="D24" s="965"/>
      <c r="E24" s="199">
        <f>365-E23</f>
        <v>14</v>
      </c>
      <c r="F24" s="199">
        <v>3</v>
      </c>
      <c r="G24" s="381">
        <v>11</v>
      </c>
      <c r="H24" s="199"/>
      <c r="I24" s="199"/>
      <c r="J24" s="382">
        <v>11</v>
      </c>
      <c r="K24" s="338">
        <f t="shared" si="5"/>
        <v>100</v>
      </c>
      <c r="L24" s="338">
        <f t="shared" si="6"/>
        <v>0</v>
      </c>
      <c r="M24" s="338">
        <f t="shared" si="7"/>
        <v>0</v>
      </c>
      <c r="N24" s="339">
        <f t="shared" si="3"/>
        <v>100</v>
      </c>
      <c r="O24" s="383">
        <v>66.099999999999994</v>
      </c>
      <c r="P24" s="384"/>
      <c r="Q24" s="384"/>
      <c r="R24" s="385">
        <f t="shared" si="4"/>
        <v>66.099999999999994</v>
      </c>
      <c r="S24" s="386">
        <v>2</v>
      </c>
      <c r="T24" s="342"/>
      <c r="U24" s="355">
        <v>24824</v>
      </c>
      <c r="V24" s="387" t="s">
        <v>72</v>
      </c>
      <c r="W24" s="388" t="s">
        <v>74</v>
      </c>
      <c r="X24" s="388" t="s">
        <v>11</v>
      </c>
      <c r="Y24" s="389">
        <v>49.2</v>
      </c>
      <c r="Z24" s="388" t="s">
        <v>73</v>
      </c>
      <c r="AA24" s="388" t="s">
        <v>75</v>
      </c>
      <c r="AB24" s="388" t="s">
        <v>11</v>
      </c>
      <c r="AC24" s="388">
        <v>16.899999999999999</v>
      </c>
      <c r="AD24" s="387"/>
      <c r="AE24" s="388"/>
      <c r="AF24" s="388"/>
      <c r="AG24" s="389"/>
      <c r="AH24" s="388"/>
      <c r="AI24" s="388"/>
      <c r="AJ24" s="388"/>
      <c r="AK24" s="388"/>
      <c r="AL24" s="387"/>
      <c r="AM24" s="388"/>
      <c r="AN24" s="388"/>
      <c r="AO24" s="389"/>
      <c r="AP24" s="387"/>
      <c r="AQ24" s="388"/>
      <c r="AR24" s="388"/>
      <c r="AS24" s="389"/>
      <c r="AT24" s="390"/>
      <c r="AW24" s="389"/>
      <c r="AX24" s="392"/>
      <c r="AY24" s="392"/>
      <c r="AZ24" s="392"/>
      <c r="BA24" s="393"/>
    </row>
    <row r="25" spans="1:53" s="391" customFormat="1">
      <c r="A25" s="199">
        <v>1968</v>
      </c>
      <c r="B25" s="380"/>
      <c r="C25" s="965" t="s">
        <v>153</v>
      </c>
      <c r="D25" s="965"/>
      <c r="E25" s="199">
        <v>9</v>
      </c>
      <c r="F25" s="199"/>
      <c r="G25" s="381">
        <v>11</v>
      </c>
      <c r="H25" s="199"/>
      <c r="I25" s="199"/>
      <c r="J25" s="382">
        <v>11</v>
      </c>
      <c r="K25" s="338">
        <f>G25/J25*100</f>
        <v>100</v>
      </c>
      <c r="L25" s="338">
        <f>H25/J25*100</f>
        <v>0</v>
      </c>
      <c r="M25" s="338">
        <f>I25/J25*100</f>
        <v>0</v>
      </c>
      <c r="N25" s="339">
        <f t="shared" si="3"/>
        <v>100</v>
      </c>
      <c r="O25" s="383">
        <v>66.099999999999994</v>
      </c>
      <c r="P25" s="384"/>
      <c r="Q25" s="384"/>
      <c r="R25" s="385">
        <f t="shared" si="4"/>
        <v>66.099999999999994</v>
      </c>
      <c r="S25" s="386">
        <v>2</v>
      </c>
      <c r="T25" s="342"/>
      <c r="U25" s="355"/>
      <c r="V25" s="387" t="s">
        <v>72</v>
      </c>
      <c r="W25" s="388" t="s">
        <v>74</v>
      </c>
      <c r="X25" s="388" t="s">
        <v>11</v>
      </c>
      <c r="Y25" s="389">
        <v>49.2</v>
      </c>
      <c r="Z25" s="388" t="s">
        <v>73</v>
      </c>
      <c r="AA25" s="388" t="s">
        <v>75</v>
      </c>
      <c r="AB25" s="388" t="s">
        <v>11</v>
      </c>
      <c r="AC25" s="388">
        <v>16.899999999999999</v>
      </c>
      <c r="AD25" s="387"/>
      <c r="AE25" s="388"/>
      <c r="AF25" s="388"/>
      <c r="AG25" s="389"/>
      <c r="AH25" s="388"/>
      <c r="AI25" s="388"/>
      <c r="AJ25" s="388"/>
      <c r="AK25" s="388"/>
      <c r="AL25" s="387"/>
      <c r="AM25" s="388"/>
      <c r="AN25" s="388"/>
      <c r="AO25" s="389"/>
      <c r="AP25" s="387"/>
      <c r="AQ25" s="388"/>
      <c r="AR25" s="388"/>
      <c r="AS25" s="389"/>
      <c r="AT25" s="390"/>
      <c r="AW25" s="389"/>
      <c r="AX25" s="392"/>
      <c r="AY25" s="392"/>
      <c r="AZ25" s="392"/>
      <c r="BA25" s="393"/>
    </row>
    <row r="26" spans="1:53" s="100" customFormat="1">
      <c r="A26" s="87">
        <v>1967.62857142857</v>
      </c>
      <c r="B26" s="88">
        <v>24847</v>
      </c>
      <c r="C26" s="966" t="s">
        <v>154</v>
      </c>
      <c r="D26" s="966"/>
      <c r="E26" s="87">
        <v>49</v>
      </c>
      <c r="F26" s="87">
        <v>2</v>
      </c>
      <c r="G26" s="89">
        <v>12</v>
      </c>
      <c r="H26" s="87"/>
      <c r="I26" s="87"/>
      <c r="J26" s="90">
        <v>12</v>
      </c>
      <c r="K26" s="77">
        <f>G26/J26*100</f>
        <v>100</v>
      </c>
      <c r="L26" s="77">
        <f>H26/J26*100</f>
        <v>0</v>
      </c>
      <c r="M26" s="77">
        <f>I26/J26*100</f>
        <v>0</v>
      </c>
      <c r="N26" s="78">
        <f t="shared" si="3"/>
        <v>100</v>
      </c>
      <c r="O26" s="91">
        <v>66.099999999999994</v>
      </c>
      <c r="P26" s="92"/>
      <c r="Q26" s="92"/>
      <c r="R26" s="93">
        <f t="shared" si="4"/>
        <v>66.099999999999994</v>
      </c>
      <c r="S26" s="102">
        <v>2</v>
      </c>
      <c r="T26" s="95"/>
      <c r="U26" s="85">
        <v>24847</v>
      </c>
      <c r="V26" s="96" t="s">
        <v>72</v>
      </c>
      <c r="W26" s="97" t="s">
        <v>74</v>
      </c>
      <c r="X26" s="97" t="s">
        <v>11</v>
      </c>
      <c r="Y26" s="98">
        <v>49.2</v>
      </c>
      <c r="Z26" s="97" t="s">
        <v>73</v>
      </c>
      <c r="AA26" s="97" t="s">
        <v>75</v>
      </c>
      <c r="AB26" s="97" t="s">
        <v>11</v>
      </c>
      <c r="AC26" s="97">
        <v>16.899999999999999</v>
      </c>
      <c r="AD26" s="96"/>
      <c r="AE26" s="97"/>
      <c r="AF26" s="97"/>
      <c r="AG26" s="98"/>
      <c r="AH26" s="97"/>
      <c r="AI26" s="97"/>
      <c r="AJ26" s="97"/>
      <c r="AK26" s="97"/>
      <c r="AL26" s="96"/>
      <c r="AM26" s="97"/>
      <c r="AN26" s="97"/>
      <c r="AO26" s="98"/>
      <c r="AP26" s="96"/>
      <c r="AQ26" s="97"/>
      <c r="AR26" s="97"/>
      <c r="AS26" s="98"/>
      <c r="AT26" s="99"/>
      <c r="AW26" s="98"/>
      <c r="AX26" s="324"/>
      <c r="AY26" s="324"/>
      <c r="AZ26" s="324"/>
      <c r="BA26" s="330"/>
    </row>
    <row r="27" spans="1:53" s="100" customFormat="1">
      <c r="A27" s="87">
        <v>1967.62857142857</v>
      </c>
      <c r="B27" s="108">
        <v>24896</v>
      </c>
      <c r="C27" s="966" t="s">
        <v>154</v>
      </c>
      <c r="D27" s="966"/>
      <c r="E27" s="87">
        <v>308</v>
      </c>
      <c r="F27" s="109">
        <v>0</v>
      </c>
      <c r="G27" s="89">
        <v>12</v>
      </c>
      <c r="H27" s="87"/>
      <c r="I27" s="87"/>
      <c r="J27" s="90">
        <v>12</v>
      </c>
      <c r="K27" s="77">
        <f t="shared" ref="K27:K33" si="8">G27/J27*100</f>
        <v>100</v>
      </c>
      <c r="L27" s="77">
        <f t="shared" ref="L27:L33" si="9">H27/J27*100</f>
        <v>0</v>
      </c>
      <c r="M27" s="77">
        <f t="shared" ref="M27:M33" si="10">I27/J27*100</f>
        <v>0</v>
      </c>
      <c r="N27" s="78">
        <f t="shared" si="3"/>
        <v>100</v>
      </c>
      <c r="O27" s="91">
        <v>66.099999999999994</v>
      </c>
      <c r="P27" s="92"/>
      <c r="Q27" s="92"/>
      <c r="R27" s="93">
        <f t="shared" si="4"/>
        <v>66.099999999999994</v>
      </c>
      <c r="S27" s="102">
        <v>2</v>
      </c>
      <c r="T27" s="95"/>
      <c r="U27" s="85"/>
      <c r="V27" s="96" t="s">
        <v>72</v>
      </c>
      <c r="W27" s="97" t="s">
        <v>74</v>
      </c>
      <c r="X27" s="97" t="s">
        <v>11</v>
      </c>
      <c r="Y27" s="98">
        <v>49.2</v>
      </c>
      <c r="Z27" s="97" t="s">
        <v>73</v>
      </c>
      <c r="AA27" s="97" t="s">
        <v>75</v>
      </c>
      <c r="AB27" s="97" t="s">
        <v>11</v>
      </c>
      <c r="AC27" s="97">
        <v>16.899999999999999</v>
      </c>
      <c r="AD27" s="96"/>
      <c r="AE27" s="97"/>
      <c r="AF27" s="97"/>
      <c r="AG27" s="98"/>
      <c r="AH27" s="97"/>
      <c r="AI27" s="97"/>
      <c r="AJ27" s="97"/>
      <c r="AK27" s="97"/>
      <c r="AL27" s="96"/>
      <c r="AM27" s="97"/>
      <c r="AN27" s="97"/>
      <c r="AO27" s="98"/>
      <c r="AP27" s="96"/>
      <c r="AQ27" s="97"/>
      <c r="AR27" s="97"/>
      <c r="AS27" s="98"/>
      <c r="AT27" s="99"/>
      <c r="AW27" s="98"/>
      <c r="AX27" s="324"/>
      <c r="AY27" s="324"/>
      <c r="AZ27" s="324"/>
      <c r="BA27" s="330"/>
    </row>
    <row r="28" spans="1:53" s="100" customFormat="1">
      <c r="A28" s="87">
        <v>1969</v>
      </c>
      <c r="B28" s="88"/>
      <c r="C28" s="966" t="s">
        <v>154</v>
      </c>
      <c r="D28" s="966"/>
      <c r="E28" s="87">
        <v>314</v>
      </c>
      <c r="F28" s="87"/>
      <c r="G28" s="89">
        <v>12</v>
      </c>
      <c r="H28" s="87"/>
      <c r="I28" s="87"/>
      <c r="J28" s="90">
        <v>12</v>
      </c>
      <c r="K28" s="77">
        <f t="shared" si="8"/>
        <v>100</v>
      </c>
      <c r="L28" s="77">
        <f t="shared" si="9"/>
        <v>0</v>
      </c>
      <c r="M28" s="77">
        <f t="shared" si="10"/>
        <v>0</v>
      </c>
      <c r="N28" s="78">
        <f t="shared" si="3"/>
        <v>100</v>
      </c>
      <c r="O28" s="91">
        <v>66.099999999999994</v>
      </c>
      <c r="P28" s="92"/>
      <c r="Q28" s="92"/>
      <c r="R28" s="93">
        <f t="shared" si="4"/>
        <v>66.099999999999994</v>
      </c>
      <c r="S28" s="102">
        <v>2</v>
      </c>
      <c r="T28" s="95"/>
      <c r="U28" s="85"/>
      <c r="V28" s="96" t="s">
        <v>72</v>
      </c>
      <c r="W28" s="97" t="s">
        <v>74</v>
      </c>
      <c r="X28" s="97" t="s">
        <v>11</v>
      </c>
      <c r="Y28" s="98">
        <v>49.2</v>
      </c>
      <c r="Z28" s="97" t="s">
        <v>73</v>
      </c>
      <c r="AA28" s="97" t="s">
        <v>75</v>
      </c>
      <c r="AB28" s="97" t="s">
        <v>11</v>
      </c>
      <c r="AC28" s="97">
        <v>16.899999999999999</v>
      </c>
      <c r="AD28" s="96"/>
      <c r="AE28" s="97"/>
      <c r="AF28" s="97"/>
      <c r="AG28" s="98"/>
      <c r="AH28" s="97"/>
      <c r="AI28" s="97"/>
      <c r="AJ28" s="97"/>
      <c r="AK28" s="97"/>
      <c r="AL28" s="96"/>
      <c r="AM28" s="97"/>
      <c r="AN28" s="97"/>
      <c r="AO28" s="98"/>
      <c r="AP28" s="96"/>
      <c r="AQ28" s="97"/>
      <c r="AR28" s="97"/>
      <c r="AS28" s="98"/>
      <c r="AT28" s="99"/>
      <c r="AW28" s="98"/>
      <c r="AX28" s="324"/>
      <c r="AY28" s="324"/>
      <c r="AZ28" s="324"/>
      <c r="BA28" s="330"/>
    </row>
    <row r="29" spans="1:53" s="391" customFormat="1">
      <c r="A29" s="199">
        <v>1968.5428571428599</v>
      </c>
      <c r="B29" s="380">
        <v>25518</v>
      </c>
      <c r="C29" s="965" t="s">
        <v>155</v>
      </c>
      <c r="D29" s="965"/>
      <c r="E29" s="199">
        <f>365-E28</f>
        <v>51</v>
      </c>
      <c r="F29" s="199">
        <v>1</v>
      </c>
      <c r="G29" s="381">
        <v>13</v>
      </c>
      <c r="H29" s="199"/>
      <c r="I29" s="199"/>
      <c r="J29" s="382">
        <v>13</v>
      </c>
      <c r="K29" s="338">
        <f>G29/J29*100</f>
        <v>100</v>
      </c>
      <c r="L29" s="338">
        <f t="shared" si="9"/>
        <v>0</v>
      </c>
      <c r="M29" s="338">
        <f t="shared" si="10"/>
        <v>0</v>
      </c>
      <c r="N29" s="339">
        <f t="shared" si="3"/>
        <v>100</v>
      </c>
      <c r="O29" s="383">
        <v>52.8</v>
      </c>
      <c r="P29" s="384"/>
      <c r="Q29" s="384"/>
      <c r="R29" s="385">
        <f t="shared" si="4"/>
        <v>52.8</v>
      </c>
      <c r="S29" s="386">
        <v>2</v>
      </c>
      <c r="T29" s="342">
        <v>25501</v>
      </c>
      <c r="U29" s="355">
        <v>25518</v>
      </c>
      <c r="V29" s="387" t="s">
        <v>72</v>
      </c>
      <c r="W29" s="388" t="s">
        <v>74</v>
      </c>
      <c r="X29" s="388" t="s">
        <v>11</v>
      </c>
      <c r="Y29" s="389">
        <v>36.799999999999997</v>
      </c>
      <c r="Z29" s="388" t="s">
        <v>73</v>
      </c>
      <c r="AA29" s="388" t="s">
        <v>75</v>
      </c>
      <c r="AB29" s="388" t="s">
        <v>11</v>
      </c>
      <c r="AC29" s="388">
        <v>16</v>
      </c>
      <c r="AD29" s="387"/>
      <c r="AE29" s="388"/>
      <c r="AF29" s="388"/>
      <c r="AG29" s="389"/>
      <c r="AH29" s="388"/>
      <c r="AI29" s="388"/>
      <c r="AJ29" s="388"/>
      <c r="AK29" s="388"/>
      <c r="AL29" s="387"/>
      <c r="AM29" s="388"/>
      <c r="AN29" s="388"/>
      <c r="AO29" s="389"/>
      <c r="AP29" s="387"/>
      <c r="AQ29" s="388"/>
      <c r="AR29" s="388"/>
      <c r="AS29" s="389"/>
      <c r="AT29" s="390"/>
      <c r="AW29" s="389"/>
      <c r="AX29" s="392"/>
      <c r="AY29" s="392"/>
      <c r="AZ29" s="392"/>
      <c r="BA29" s="393"/>
    </row>
    <row r="30" spans="1:53" s="391" customFormat="1">
      <c r="A30" s="199">
        <v>1970</v>
      </c>
      <c r="B30" s="380"/>
      <c r="C30" s="965" t="s">
        <v>155</v>
      </c>
      <c r="D30" s="965"/>
      <c r="E30" s="199">
        <v>0</v>
      </c>
      <c r="F30" s="199"/>
      <c r="G30" s="381">
        <v>13</v>
      </c>
      <c r="H30" s="199"/>
      <c r="I30" s="199"/>
      <c r="J30" s="382">
        <v>13</v>
      </c>
      <c r="K30" s="338">
        <f t="shared" si="8"/>
        <v>100</v>
      </c>
      <c r="L30" s="338">
        <f t="shared" si="9"/>
        <v>0</v>
      </c>
      <c r="M30" s="338">
        <f t="shared" si="10"/>
        <v>0</v>
      </c>
      <c r="N30" s="339">
        <f t="shared" si="3"/>
        <v>100</v>
      </c>
      <c r="O30" s="383">
        <v>52.8</v>
      </c>
      <c r="P30" s="384"/>
      <c r="Q30" s="384"/>
      <c r="R30" s="385">
        <f t="shared" si="4"/>
        <v>52.8</v>
      </c>
      <c r="S30" s="386">
        <v>2</v>
      </c>
      <c r="T30" s="342"/>
      <c r="U30" s="355"/>
      <c r="V30" s="387" t="s">
        <v>72</v>
      </c>
      <c r="W30" s="388" t="s">
        <v>74</v>
      </c>
      <c r="X30" s="388" t="s">
        <v>11</v>
      </c>
      <c r="Y30" s="389">
        <v>36.799999999999997</v>
      </c>
      <c r="Z30" s="388" t="s">
        <v>73</v>
      </c>
      <c r="AA30" s="388" t="s">
        <v>75</v>
      </c>
      <c r="AB30" s="388" t="s">
        <v>11</v>
      </c>
      <c r="AC30" s="388">
        <v>16</v>
      </c>
      <c r="AD30" s="387"/>
      <c r="AE30" s="388"/>
      <c r="AF30" s="388"/>
      <c r="AG30" s="389"/>
      <c r="AH30" s="388"/>
      <c r="AI30" s="388"/>
      <c r="AJ30" s="388"/>
      <c r="AK30" s="388"/>
      <c r="AL30" s="387"/>
      <c r="AM30" s="388"/>
      <c r="AN30" s="388"/>
      <c r="AO30" s="389"/>
      <c r="AP30" s="387"/>
      <c r="AQ30" s="388"/>
      <c r="AR30" s="388"/>
      <c r="AS30" s="389"/>
      <c r="AT30" s="390"/>
      <c r="AW30" s="389"/>
      <c r="AX30" s="392"/>
      <c r="AY30" s="392"/>
      <c r="AZ30" s="392"/>
      <c r="BA30" s="393"/>
    </row>
    <row r="31" spans="1:53" s="391" customFormat="1">
      <c r="A31" s="199">
        <v>1970</v>
      </c>
      <c r="B31" s="380"/>
      <c r="C31" s="965" t="s">
        <v>155</v>
      </c>
      <c r="D31" s="965"/>
      <c r="E31" s="199">
        <f>365-E30</f>
        <v>365</v>
      </c>
      <c r="F31" s="199"/>
      <c r="G31" s="381">
        <v>13</v>
      </c>
      <c r="H31" s="199"/>
      <c r="I31" s="199"/>
      <c r="J31" s="382">
        <v>13</v>
      </c>
      <c r="K31" s="338">
        <f t="shared" si="8"/>
        <v>100</v>
      </c>
      <c r="L31" s="338">
        <f t="shared" si="9"/>
        <v>0</v>
      </c>
      <c r="M31" s="338">
        <f t="shared" si="10"/>
        <v>0</v>
      </c>
      <c r="N31" s="339">
        <f t="shared" si="3"/>
        <v>100</v>
      </c>
      <c r="O31" s="383">
        <v>52.8</v>
      </c>
      <c r="P31" s="384"/>
      <c r="Q31" s="384"/>
      <c r="R31" s="385">
        <f t="shared" si="4"/>
        <v>52.8</v>
      </c>
      <c r="S31" s="386">
        <v>2</v>
      </c>
      <c r="T31" s="342"/>
      <c r="U31" s="355"/>
      <c r="V31" s="387" t="s">
        <v>72</v>
      </c>
      <c r="W31" s="388" t="s">
        <v>74</v>
      </c>
      <c r="X31" s="388" t="s">
        <v>11</v>
      </c>
      <c r="Y31" s="389">
        <v>36.799999999999997</v>
      </c>
      <c r="Z31" s="388" t="s">
        <v>73</v>
      </c>
      <c r="AA31" s="388" t="s">
        <v>75</v>
      </c>
      <c r="AB31" s="388" t="s">
        <v>11</v>
      </c>
      <c r="AC31" s="388">
        <v>16</v>
      </c>
      <c r="AD31" s="387"/>
      <c r="AE31" s="388"/>
      <c r="AF31" s="388"/>
      <c r="AG31" s="389"/>
      <c r="AH31" s="388"/>
      <c r="AI31" s="388"/>
      <c r="AJ31" s="388"/>
      <c r="AK31" s="388"/>
      <c r="AL31" s="387"/>
      <c r="AM31" s="388"/>
      <c r="AN31" s="388"/>
      <c r="AO31" s="389"/>
      <c r="AP31" s="387"/>
      <c r="AQ31" s="388"/>
      <c r="AR31" s="388"/>
      <c r="AS31" s="389"/>
      <c r="AT31" s="390"/>
      <c r="AW31" s="389"/>
      <c r="AX31" s="392"/>
      <c r="AY31" s="392"/>
      <c r="AZ31" s="392"/>
      <c r="BA31" s="393"/>
    </row>
    <row r="32" spans="1:53" s="391" customFormat="1">
      <c r="A32" s="199">
        <v>1971</v>
      </c>
      <c r="B32" s="380"/>
      <c r="C32" s="965" t="s">
        <v>155</v>
      </c>
      <c r="D32" s="965"/>
      <c r="E32" s="199">
        <v>79</v>
      </c>
      <c r="F32" s="199"/>
      <c r="G32" s="381">
        <v>13</v>
      </c>
      <c r="H32" s="199"/>
      <c r="I32" s="199"/>
      <c r="J32" s="382">
        <v>13</v>
      </c>
      <c r="K32" s="338">
        <f t="shared" si="8"/>
        <v>100</v>
      </c>
      <c r="L32" s="338">
        <f t="shared" si="9"/>
        <v>0</v>
      </c>
      <c r="M32" s="338">
        <f t="shared" si="10"/>
        <v>0</v>
      </c>
      <c r="N32" s="339">
        <f t="shared" si="3"/>
        <v>100</v>
      </c>
      <c r="O32" s="383">
        <v>52.8</v>
      </c>
      <c r="P32" s="384"/>
      <c r="Q32" s="384"/>
      <c r="R32" s="385">
        <f t="shared" si="4"/>
        <v>52.8</v>
      </c>
      <c r="S32" s="386">
        <v>2</v>
      </c>
      <c r="T32" s="342"/>
      <c r="U32" s="355"/>
      <c r="V32" s="387" t="s">
        <v>72</v>
      </c>
      <c r="W32" s="388" t="s">
        <v>74</v>
      </c>
      <c r="X32" s="388" t="s">
        <v>11</v>
      </c>
      <c r="Y32" s="389">
        <v>36.799999999999997</v>
      </c>
      <c r="Z32" s="388" t="s">
        <v>73</v>
      </c>
      <c r="AA32" s="388" t="s">
        <v>75</v>
      </c>
      <c r="AB32" s="388" t="s">
        <v>11</v>
      </c>
      <c r="AC32" s="388">
        <v>16</v>
      </c>
      <c r="AD32" s="387"/>
      <c r="AE32" s="388"/>
      <c r="AF32" s="388"/>
      <c r="AG32" s="389"/>
      <c r="AH32" s="388"/>
      <c r="AI32" s="388"/>
      <c r="AJ32" s="388"/>
      <c r="AK32" s="388"/>
      <c r="AL32" s="387"/>
      <c r="AM32" s="388"/>
      <c r="AN32" s="388"/>
      <c r="AO32" s="389"/>
      <c r="AP32" s="387"/>
      <c r="AQ32" s="388"/>
      <c r="AR32" s="388"/>
      <c r="AS32" s="389"/>
      <c r="AT32" s="390"/>
      <c r="AW32" s="389"/>
      <c r="AX32" s="392"/>
      <c r="AY32" s="392"/>
      <c r="AZ32" s="392"/>
      <c r="BA32" s="393"/>
    </row>
    <row r="33" spans="1:53" s="100" customFormat="1">
      <c r="A33" s="87">
        <v>1971</v>
      </c>
      <c r="B33" s="88">
        <v>26013</v>
      </c>
      <c r="C33" s="966" t="s">
        <v>156</v>
      </c>
      <c r="D33" s="966"/>
      <c r="E33" s="87">
        <v>286</v>
      </c>
      <c r="F33" s="87">
        <v>2</v>
      </c>
      <c r="G33" s="89">
        <v>13</v>
      </c>
      <c r="H33" s="87"/>
      <c r="I33" s="87"/>
      <c r="J33" s="90">
        <v>13</v>
      </c>
      <c r="K33" s="77">
        <f t="shared" si="8"/>
        <v>100</v>
      </c>
      <c r="L33" s="77">
        <f t="shared" si="9"/>
        <v>0</v>
      </c>
      <c r="M33" s="77">
        <f t="shared" si="10"/>
        <v>0</v>
      </c>
      <c r="N33" s="78">
        <f t="shared" si="3"/>
        <v>100</v>
      </c>
      <c r="O33" s="91">
        <v>52.8</v>
      </c>
      <c r="P33" s="92"/>
      <c r="Q33" s="92"/>
      <c r="R33" s="93">
        <f t="shared" si="4"/>
        <v>52.8</v>
      </c>
      <c r="S33" s="102">
        <v>2</v>
      </c>
      <c r="T33" s="95"/>
      <c r="U33" s="85">
        <v>26013</v>
      </c>
      <c r="V33" s="96" t="s">
        <v>72</v>
      </c>
      <c r="W33" s="97" t="s">
        <v>74</v>
      </c>
      <c r="X33" s="97" t="s">
        <v>11</v>
      </c>
      <c r="Y33" s="98">
        <v>36.799999999999997</v>
      </c>
      <c r="Z33" s="97" t="s">
        <v>73</v>
      </c>
      <c r="AA33" s="97" t="s">
        <v>75</v>
      </c>
      <c r="AB33" s="97" t="s">
        <v>11</v>
      </c>
      <c r="AC33" s="97">
        <v>16</v>
      </c>
      <c r="AD33" s="96"/>
      <c r="AE33" s="97"/>
      <c r="AF33" s="97"/>
      <c r="AG33" s="98"/>
      <c r="AH33" s="97"/>
      <c r="AI33" s="97"/>
      <c r="AJ33" s="97"/>
      <c r="AK33" s="97"/>
      <c r="AL33" s="96"/>
      <c r="AM33" s="97"/>
      <c r="AN33" s="97"/>
      <c r="AO33" s="98"/>
      <c r="AP33" s="96"/>
      <c r="AQ33" s="97"/>
      <c r="AR33" s="97"/>
      <c r="AS33" s="98"/>
      <c r="AT33" s="99"/>
      <c r="AW33" s="98"/>
      <c r="AX33" s="324"/>
      <c r="AY33" s="324"/>
      <c r="AZ33" s="324"/>
      <c r="BA33" s="330"/>
    </row>
    <row r="34" spans="1:53" s="100" customFormat="1">
      <c r="A34" s="87">
        <v>1972</v>
      </c>
      <c r="B34" s="88"/>
      <c r="C34" s="966" t="s">
        <v>156</v>
      </c>
      <c r="D34" s="966"/>
      <c r="E34" s="87">
        <v>353</v>
      </c>
      <c r="F34" s="87"/>
      <c r="G34" s="89">
        <v>13</v>
      </c>
      <c r="H34" s="87"/>
      <c r="I34" s="87"/>
      <c r="J34" s="90">
        <v>13</v>
      </c>
      <c r="K34" s="77">
        <f t="shared" ref="K34:K41" si="11">G34/J34*100</f>
        <v>100</v>
      </c>
      <c r="L34" s="77">
        <f t="shared" ref="L34:L41" si="12">H34/J34*100</f>
        <v>0</v>
      </c>
      <c r="M34" s="77">
        <f t="shared" ref="M34:M41" si="13">I34/J34*100</f>
        <v>0</v>
      </c>
      <c r="N34" s="78">
        <f t="shared" si="3"/>
        <v>100</v>
      </c>
      <c r="O34" s="91">
        <v>52.8</v>
      </c>
      <c r="P34" s="92"/>
      <c r="Q34" s="92"/>
      <c r="R34" s="93">
        <f t="shared" si="4"/>
        <v>52.8</v>
      </c>
      <c r="S34" s="102">
        <v>2</v>
      </c>
      <c r="T34" s="95"/>
      <c r="U34" s="85"/>
      <c r="V34" s="96" t="s">
        <v>72</v>
      </c>
      <c r="W34" s="97" t="s">
        <v>74</v>
      </c>
      <c r="X34" s="97" t="s">
        <v>11</v>
      </c>
      <c r="Y34" s="98">
        <v>36.799999999999997</v>
      </c>
      <c r="Z34" s="97" t="s">
        <v>73</v>
      </c>
      <c r="AA34" s="97" t="s">
        <v>75</v>
      </c>
      <c r="AB34" s="97" t="s">
        <v>11</v>
      </c>
      <c r="AC34" s="97">
        <v>16</v>
      </c>
      <c r="AD34" s="96"/>
      <c r="AE34" s="97"/>
      <c r="AF34" s="97"/>
      <c r="AG34" s="98"/>
      <c r="AH34" s="97"/>
      <c r="AI34" s="97"/>
      <c r="AJ34" s="97"/>
      <c r="AK34" s="97"/>
      <c r="AL34" s="96"/>
      <c r="AM34" s="97"/>
      <c r="AN34" s="97"/>
      <c r="AO34" s="98"/>
      <c r="AP34" s="96"/>
      <c r="AQ34" s="97"/>
      <c r="AR34" s="97"/>
      <c r="AS34" s="98"/>
      <c r="AT34" s="99"/>
      <c r="AW34" s="98"/>
      <c r="AX34" s="324"/>
      <c r="AY34" s="324"/>
      <c r="AZ34" s="324"/>
      <c r="BA34" s="330"/>
    </row>
    <row r="35" spans="1:53" s="391" customFormat="1">
      <c r="A35" s="199">
        <v>1972</v>
      </c>
      <c r="B35" s="380">
        <v>26652</v>
      </c>
      <c r="C35" s="965" t="s">
        <v>157</v>
      </c>
      <c r="D35" s="965"/>
      <c r="E35" s="199">
        <v>13</v>
      </c>
      <c r="F35" s="199">
        <v>1</v>
      </c>
      <c r="G35" s="381"/>
      <c r="H35" s="199"/>
      <c r="I35" s="199">
        <v>27</v>
      </c>
      <c r="J35" s="382">
        <v>27</v>
      </c>
      <c r="K35" s="338">
        <f t="shared" si="11"/>
        <v>0</v>
      </c>
      <c r="L35" s="338">
        <f t="shared" si="12"/>
        <v>0</v>
      </c>
      <c r="M35" s="338">
        <f t="shared" si="13"/>
        <v>100</v>
      </c>
      <c r="N35" s="339">
        <f t="shared" si="3"/>
        <v>100</v>
      </c>
      <c r="O35" s="383"/>
      <c r="P35" s="384"/>
      <c r="Q35" s="384">
        <v>53.6</v>
      </c>
      <c r="R35" s="385">
        <f t="shared" si="4"/>
        <v>53.6</v>
      </c>
      <c r="S35" s="386">
        <v>1</v>
      </c>
      <c r="T35" s="342">
        <v>26635</v>
      </c>
      <c r="U35" s="355">
        <v>26652</v>
      </c>
      <c r="V35" s="387" t="s">
        <v>78</v>
      </c>
      <c r="W35" s="388" t="s">
        <v>20</v>
      </c>
      <c r="X35" s="388" t="s">
        <v>12</v>
      </c>
      <c r="Y35" s="389">
        <v>53.6</v>
      </c>
      <c r="Z35" s="388"/>
      <c r="AA35" s="388"/>
      <c r="AB35" s="388"/>
      <c r="AC35" s="388"/>
      <c r="AD35" s="387"/>
      <c r="AE35" s="388"/>
      <c r="AF35" s="388"/>
      <c r="AG35" s="389"/>
      <c r="AH35" s="388"/>
      <c r="AI35" s="388"/>
      <c r="AJ35" s="388"/>
      <c r="AK35" s="388"/>
      <c r="AL35" s="387"/>
      <c r="AM35" s="388"/>
      <c r="AN35" s="388"/>
      <c r="AO35" s="389"/>
      <c r="AP35" s="387"/>
      <c r="AQ35" s="388"/>
      <c r="AR35" s="388"/>
      <c r="AS35" s="389"/>
      <c r="AT35" s="390"/>
      <c r="AW35" s="389"/>
      <c r="AX35" s="392"/>
      <c r="AY35" s="392"/>
      <c r="AZ35" s="392"/>
      <c r="BA35" s="393"/>
    </row>
    <row r="36" spans="1:53" s="391" customFormat="1">
      <c r="A36" s="199">
        <v>1973</v>
      </c>
      <c r="B36" s="380"/>
      <c r="C36" s="965" t="s">
        <v>157</v>
      </c>
      <c r="D36" s="965"/>
      <c r="E36" s="199">
        <v>0</v>
      </c>
      <c r="F36" s="199"/>
      <c r="G36" s="381"/>
      <c r="H36" s="199"/>
      <c r="I36" s="199">
        <v>27</v>
      </c>
      <c r="J36" s="382">
        <v>27</v>
      </c>
      <c r="K36" s="338">
        <f t="shared" si="11"/>
        <v>0</v>
      </c>
      <c r="L36" s="338">
        <f t="shared" si="12"/>
        <v>0</v>
      </c>
      <c r="M36" s="338">
        <f t="shared" si="13"/>
        <v>100</v>
      </c>
      <c r="N36" s="339">
        <f t="shared" si="3"/>
        <v>100</v>
      </c>
      <c r="O36" s="383"/>
      <c r="P36" s="384"/>
      <c r="Q36" s="384">
        <v>53.6</v>
      </c>
      <c r="R36" s="385">
        <f t="shared" si="4"/>
        <v>53.6</v>
      </c>
      <c r="S36" s="386">
        <v>1</v>
      </c>
      <c r="T36" s="342"/>
      <c r="U36" s="355"/>
      <c r="V36" s="387" t="s">
        <v>78</v>
      </c>
      <c r="W36" s="388" t="s">
        <v>20</v>
      </c>
      <c r="X36" s="388" t="s">
        <v>12</v>
      </c>
      <c r="Y36" s="389">
        <v>53.6</v>
      </c>
      <c r="Z36" s="388"/>
      <c r="AA36" s="388"/>
      <c r="AB36" s="388"/>
      <c r="AC36" s="388"/>
      <c r="AD36" s="387"/>
      <c r="AE36" s="388"/>
      <c r="AF36" s="388"/>
      <c r="AG36" s="389"/>
      <c r="AH36" s="388"/>
      <c r="AI36" s="388"/>
      <c r="AJ36" s="388"/>
      <c r="AK36" s="388"/>
      <c r="AL36" s="387"/>
      <c r="AM36" s="388"/>
      <c r="AN36" s="388"/>
      <c r="AO36" s="389"/>
      <c r="AP36" s="387"/>
      <c r="AQ36" s="388"/>
      <c r="AR36" s="388"/>
      <c r="AS36" s="389"/>
      <c r="AT36" s="390"/>
      <c r="AW36" s="389"/>
      <c r="AX36" s="392"/>
      <c r="AY36" s="392"/>
      <c r="AZ36" s="392"/>
      <c r="BA36" s="393"/>
    </row>
    <row r="37" spans="1:53" s="391" customFormat="1">
      <c r="A37" s="199">
        <v>1973</v>
      </c>
      <c r="B37" s="380"/>
      <c r="C37" s="965" t="s">
        <v>157</v>
      </c>
      <c r="D37" s="965"/>
      <c r="E37" s="199">
        <f>365-E36</f>
        <v>365</v>
      </c>
      <c r="F37" s="199"/>
      <c r="G37" s="381"/>
      <c r="H37" s="199"/>
      <c r="I37" s="199">
        <v>27</v>
      </c>
      <c r="J37" s="382">
        <v>27</v>
      </c>
      <c r="K37" s="338">
        <f t="shared" si="11"/>
        <v>0</v>
      </c>
      <c r="L37" s="338">
        <f t="shared" si="12"/>
        <v>0</v>
      </c>
      <c r="M37" s="338">
        <f t="shared" si="13"/>
        <v>100</v>
      </c>
      <c r="N37" s="339">
        <f t="shared" si="3"/>
        <v>100</v>
      </c>
      <c r="O37" s="383"/>
      <c r="P37" s="384"/>
      <c r="Q37" s="384">
        <v>53.6</v>
      </c>
      <c r="R37" s="385">
        <f t="shared" si="4"/>
        <v>53.6</v>
      </c>
      <c r="S37" s="386">
        <v>1</v>
      </c>
      <c r="T37" s="342"/>
      <c r="U37" s="355"/>
      <c r="V37" s="387" t="s">
        <v>78</v>
      </c>
      <c r="W37" s="388" t="s">
        <v>20</v>
      </c>
      <c r="X37" s="388" t="s">
        <v>12</v>
      </c>
      <c r="Y37" s="389">
        <v>53.6</v>
      </c>
      <c r="Z37" s="388"/>
      <c r="AA37" s="388"/>
      <c r="AB37" s="388"/>
      <c r="AC37" s="388"/>
      <c r="AD37" s="387"/>
      <c r="AE37" s="388"/>
      <c r="AF37" s="388"/>
      <c r="AG37" s="389"/>
      <c r="AH37" s="388"/>
      <c r="AI37" s="388"/>
      <c r="AJ37" s="388"/>
      <c r="AK37" s="388"/>
      <c r="AL37" s="387"/>
      <c r="AM37" s="388"/>
      <c r="AN37" s="388"/>
      <c r="AO37" s="389"/>
      <c r="AP37" s="387"/>
      <c r="AQ37" s="388"/>
      <c r="AR37" s="388"/>
      <c r="AS37" s="389"/>
      <c r="AT37" s="390"/>
      <c r="AW37" s="389"/>
      <c r="AX37" s="392"/>
      <c r="AY37" s="392"/>
      <c r="AZ37" s="392"/>
      <c r="BA37" s="393"/>
    </row>
    <row r="38" spans="1:53" s="391" customFormat="1">
      <c r="A38" s="199">
        <v>1974</v>
      </c>
      <c r="B38" s="380"/>
      <c r="C38" s="965" t="s">
        <v>157</v>
      </c>
      <c r="D38" s="965"/>
      <c r="E38" s="199">
        <v>162</v>
      </c>
      <c r="F38" s="199"/>
      <c r="G38" s="381"/>
      <c r="H38" s="199"/>
      <c r="I38" s="199">
        <v>27</v>
      </c>
      <c r="J38" s="382">
        <v>27</v>
      </c>
      <c r="K38" s="338">
        <f t="shared" si="11"/>
        <v>0</v>
      </c>
      <c r="L38" s="338">
        <f t="shared" si="12"/>
        <v>0</v>
      </c>
      <c r="M38" s="338">
        <f t="shared" si="13"/>
        <v>100</v>
      </c>
      <c r="N38" s="339">
        <f t="shared" si="3"/>
        <v>100</v>
      </c>
      <c r="O38" s="383"/>
      <c r="P38" s="384"/>
      <c r="Q38" s="384">
        <v>53.6</v>
      </c>
      <c r="R38" s="385">
        <f t="shared" si="4"/>
        <v>53.6</v>
      </c>
      <c r="S38" s="386">
        <v>1</v>
      </c>
      <c r="T38" s="342"/>
      <c r="U38" s="355"/>
      <c r="V38" s="387" t="s">
        <v>78</v>
      </c>
      <c r="W38" s="388" t="s">
        <v>20</v>
      </c>
      <c r="X38" s="388" t="s">
        <v>12</v>
      </c>
      <c r="Y38" s="389">
        <v>53.6</v>
      </c>
      <c r="Z38" s="388"/>
      <c r="AA38" s="388"/>
      <c r="AB38" s="388"/>
      <c r="AC38" s="388"/>
      <c r="AD38" s="387"/>
      <c r="AE38" s="388"/>
      <c r="AF38" s="388"/>
      <c r="AG38" s="389"/>
      <c r="AH38" s="388"/>
      <c r="AI38" s="388"/>
      <c r="AJ38" s="388"/>
      <c r="AK38" s="388"/>
      <c r="AL38" s="387"/>
      <c r="AM38" s="388"/>
      <c r="AN38" s="388"/>
      <c r="AO38" s="389"/>
      <c r="AP38" s="387"/>
      <c r="AQ38" s="388"/>
      <c r="AR38" s="388"/>
      <c r="AS38" s="389"/>
      <c r="AT38" s="390"/>
      <c r="AW38" s="389"/>
      <c r="AX38" s="392"/>
      <c r="AY38" s="392"/>
      <c r="AZ38" s="392"/>
      <c r="BA38" s="393"/>
    </row>
    <row r="39" spans="1:53" s="100" customFormat="1">
      <c r="A39" s="87">
        <v>1974</v>
      </c>
      <c r="B39" s="88">
        <v>27192</v>
      </c>
      <c r="C39" s="966" t="s">
        <v>158</v>
      </c>
      <c r="D39" s="966"/>
      <c r="E39" s="87">
        <f>365-E38</f>
        <v>203</v>
      </c>
      <c r="F39" s="87">
        <v>1</v>
      </c>
      <c r="G39" s="89"/>
      <c r="H39" s="87"/>
      <c r="I39" s="87">
        <v>27</v>
      </c>
      <c r="J39" s="90">
        <v>27</v>
      </c>
      <c r="K39" s="77">
        <f t="shared" si="11"/>
        <v>0</v>
      </c>
      <c r="L39" s="77">
        <f t="shared" si="12"/>
        <v>0</v>
      </c>
      <c r="M39" s="77">
        <f t="shared" si="13"/>
        <v>100</v>
      </c>
      <c r="N39" s="78">
        <f t="shared" si="3"/>
        <v>100</v>
      </c>
      <c r="O39" s="91"/>
      <c r="P39" s="92"/>
      <c r="Q39" s="92">
        <v>52</v>
      </c>
      <c r="R39" s="93">
        <f t="shared" si="4"/>
        <v>52</v>
      </c>
      <c r="S39" s="102">
        <v>1</v>
      </c>
      <c r="T39" s="95">
        <v>27167</v>
      </c>
      <c r="U39" s="85">
        <v>27192</v>
      </c>
      <c r="V39" s="96" t="s">
        <v>78</v>
      </c>
      <c r="W39" s="97" t="s">
        <v>20</v>
      </c>
      <c r="X39" s="97" t="s">
        <v>12</v>
      </c>
      <c r="Y39" s="98">
        <v>52</v>
      </c>
      <c r="Z39" s="97"/>
      <c r="AA39" s="97"/>
      <c r="AB39" s="97"/>
      <c r="AC39" s="97"/>
      <c r="AD39" s="96"/>
      <c r="AE39" s="97"/>
      <c r="AF39" s="97"/>
      <c r="AG39" s="98"/>
      <c r="AH39" s="97"/>
      <c r="AI39" s="97"/>
      <c r="AJ39" s="97"/>
      <c r="AK39" s="97"/>
      <c r="AL39" s="96"/>
      <c r="AM39" s="97"/>
      <c r="AN39" s="97"/>
      <c r="AO39" s="98"/>
      <c r="AP39" s="96"/>
      <c r="AQ39" s="97"/>
      <c r="AR39" s="97"/>
      <c r="AS39" s="98"/>
      <c r="AT39" s="99"/>
      <c r="AW39" s="98"/>
      <c r="AX39" s="324"/>
      <c r="AY39" s="324"/>
      <c r="AZ39" s="324"/>
      <c r="BA39" s="330"/>
    </row>
    <row r="40" spans="1:53" s="100" customFormat="1">
      <c r="A40" s="87">
        <v>1975</v>
      </c>
      <c r="B40" s="88"/>
      <c r="C40" s="966" t="s">
        <v>158</v>
      </c>
      <c r="D40" s="966"/>
      <c r="E40" s="87">
        <v>315</v>
      </c>
      <c r="F40" s="87"/>
      <c r="G40" s="89"/>
      <c r="H40" s="87"/>
      <c r="I40" s="87">
        <v>27</v>
      </c>
      <c r="J40" s="90">
        <v>27</v>
      </c>
      <c r="K40" s="77">
        <f t="shared" si="11"/>
        <v>0</v>
      </c>
      <c r="L40" s="77">
        <f t="shared" si="12"/>
        <v>0</v>
      </c>
      <c r="M40" s="77">
        <f t="shared" si="13"/>
        <v>100</v>
      </c>
      <c r="N40" s="78">
        <f t="shared" si="3"/>
        <v>100</v>
      </c>
      <c r="O40" s="91"/>
      <c r="P40" s="92"/>
      <c r="Q40" s="92">
        <v>52</v>
      </c>
      <c r="R40" s="93">
        <f t="shared" si="4"/>
        <v>52</v>
      </c>
      <c r="S40" s="102">
        <v>1</v>
      </c>
      <c r="T40" s="95"/>
      <c r="U40" s="85"/>
      <c r="V40" s="96" t="s">
        <v>78</v>
      </c>
      <c r="W40" s="97" t="s">
        <v>20</v>
      </c>
      <c r="X40" s="97" t="s">
        <v>12</v>
      </c>
      <c r="Y40" s="98">
        <v>52</v>
      </c>
      <c r="Z40" s="97"/>
      <c r="AA40" s="97"/>
      <c r="AB40" s="97"/>
      <c r="AC40" s="97"/>
      <c r="AD40" s="96"/>
      <c r="AE40" s="97"/>
      <c r="AF40" s="97"/>
      <c r="AG40" s="98"/>
      <c r="AH40" s="97"/>
      <c r="AI40" s="97"/>
      <c r="AJ40" s="97"/>
      <c r="AK40" s="97"/>
      <c r="AL40" s="96"/>
      <c r="AM40" s="97"/>
      <c r="AN40" s="97"/>
      <c r="AO40" s="98"/>
      <c r="AP40" s="96"/>
      <c r="AQ40" s="97"/>
      <c r="AR40" s="97"/>
      <c r="AS40" s="98"/>
      <c r="AT40" s="99"/>
      <c r="AW40" s="98"/>
      <c r="AX40" s="324"/>
      <c r="AY40" s="324"/>
      <c r="AZ40" s="324"/>
      <c r="BA40" s="330"/>
    </row>
    <row r="41" spans="1:53" s="391" customFormat="1">
      <c r="A41" s="199">
        <v>1975</v>
      </c>
      <c r="B41" s="380">
        <v>27710</v>
      </c>
      <c r="C41" s="965" t="s">
        <v>159</v>
      </c>
      <c r="D41" s="965"/>
      <c r="E41" s="199">
        <v>36</v>
      </c>
      <c r="F41" s="199">
        <v>6</v>
      </c>
      <c r="G41" s="381">
        <v>15</v>
      </c>
      <c r="H41" s="199"/>
      <c r="I41" s="199"/>
      <c r="J41" s="382">
        <v>15</v>
      </c>
      <c r="K41" s="338">
        <f t="shared" si="11"/>
        <v>100</v>
      </c>
      <c r="L41" s="338">
        <f t="shared" si="12"/>
        <v>0</v>
      </c>
      <c r="M41" s="338">
        <f t="shared" si="13"/>
        <v>0</v>
      </c>
      <c r="N41" s="339">
        <f t="shared" si="3"/>
        <v>100</v>
      </c>
      <c r="O41" s="383">
        <v>48</v>
      </c>
      <c r="P41" s="384"/>
      <c r="Q41" s="384"/>
      <c r="R41" s="385">
        <f>SUM(O41:Q41)</f>
        <v>48</v>
      </c>
      <c r="S41" s="386">
        <v>5</v>
      </c>
      <c r="T41" s="342"/>
      <c r="U41" s="355">
        <v>27710</v>
      </c>
      <c r="V41" s="387" t="s">
        <v>72</v>
      </c>
      <c r="W41" s="388" t="s">
        <v>74</v>
      </c>
      <c r="X41" s="388" t="s">
        <v>11</v>
      </c>
      <c r="Y41" s="389">
        <v>31.5</v>
      </c>
      <c r="Z41" s="388" t="s">
        <v>73</v>
      </c>
      <c r="AA41" s="388" t="s">
        <v>75</v>
      </c>
      <c r="AB41" s="388" t="s">
        <v>11</v>
      </c>
      <c r="AC41" s="388">
        <v>16.5</v>
      </c>
      <c r="AD41" s="387"/>
      <c r="AE41" s="388"/>
      <c r="AF41" s="388"/>
      <c r="AG41" s="389"/>
      <c r="AH41" s="388"/>
      <c r="AI41" s="388"/>
      <c r="AJ41" s="388"/>
      <c r="AK41" s="388"/>
      <c r="AL41" s="387"/>
      <c r="AM41" s="388"/>
      <c r="AN41" s="388"/>
      <c r="AO41" s="389"/>
      <c r="AP41" s="387"/>
      <c r="AQ41" s="388"/>
      <c r="AR41" s="388"/>
      <c r="AS41" s="389"/>
      <c r="AT41" s="390"/>
      <c r="AW41" s="389"/>
      <c r="AX41" s="392"/>
      <c r="AY41" s="392"/>
      <c r="AZ41" s="392"/>
      <c r="BA41" s="393"/>
    </row>
    <row r="42" spans="1:53" s="100" customFormat="1">
      <c r="A42" s="87">
        <v>1975</v>
      </c>
      <c r="B42" s="88">
        <v>27746</v>
      </c>
      <c r="C42" s="966" t="s">
        <v>160</v>
      </c>
      <c r="D42" s="966"/>
      <c r="E42" s="87">
        <v>14</v>
      </c>
      <c r="F42" s="87">
        <v>1</v>
      </c>
      <c r="G42" s="89">
        <v>12</v>
      </c>
      <c r="H42" s="87"/>
      <c r="I42" s="87"/>
      <c r="J42" s="90">
        <v>12</v>
      </c>
      <c r="K42" s="77">
        <f t="shared" ref="K42:K48" si="14">G42/J42*100</f>
        <v>100</v>
      </c>
      <c r="L42" s="77">
        <f t="shared" ref="L42:L48" si="15">H42/J42*100</f>
        <v>0</v>
      </c>
      <c r="M42" s="77">
        <f t="shared" ref="M42:M48" si="16">I42/J42*100</f>
        <v>0</v>
      </c>
      <c r="N42" s="78">
        <f t="shared" si="3"/>
        <v>100</v>
      </c>
      <c r="O42" s="91">
        <v>71.599999999999994</v>
      </c>
      <c r="P42" s="92"/>
      <c r="Q42" s="92"/>
      <c r="R42" s="93">
        <f t="shared" si="4"/>
        <v>71.599999999999994</v>
      </c>
      <c r="S42" s="102">
        <v>2</v>
      </c>
      <c r="T42" s="95">
        <v>27741</v>
      </c>
      <c r="U42" s="85">
        <v>27746</v>
      </c>
      <c r="V42" s="96" t="s">
        <v>72</v>
      </c>
      <c r="W42" s="97" t="s">
        <v>74</v>
      </c>
      <c r="X42" s="97" t="s">
        <v>11</v>
      </c>
      <c r="Y42" s="98">
        <v>53.5</v>
      </c>
      <c r="Z42" s="97" t="s">
        <v>73</v>
      </c>
      <c r="AA42" s="97" t="s">
        <v>75</v>
      </c>
      <c r="AB42" s="97" t="s">
        <v>11</v>
      </c>
      <c r="AC42" s="97">
        <v>18.100000000000001</v>
      </c>
      <c r="AD42" s="96"/>
      <c r="AE42" s="97"/>
      <c r="AF42" s="97"/>
      <c r="AG42" s="98"/>
      <c r="AH42" s="97"/>
      <c r="AI42" s="97"/>
      <c r="AJ42" s="97"/>
      <c r="AK42" s="97"/>
      <c r="AL42" s="96"/>
      <c r="AM42" s="97"/>
      <c r="AN42" s="97"/>
      <c r="AO42" s="98"/>
      <c r="AP42" s="96"/>
      <c r="AQ42" s="97"/>
      <c r="AR42" s="97"/>
      <c r="AS42" s="98"/>
      <c r="AT42" s="99"/>
      <c r="AW42" s="98"/>
      <c r="AX42" s="324"/>
      <c r="AY42" s="324"/>
      <c r="AZ42" s="324"/>
      <c r="BA42" s="330"/>
    </row>
    <row r="43" spans="1:53" s="100" customFormat="1">
      <c r="A43" s="87">
        <v>1976</v>
      </c>
      <c r="B43" s="88"/>
      <c r="C43" s="966" t="s">
        <v>160</v>
      </c>
      <c r="D43" s="966"/>
      <c r="E43" s="87">
        <v>0</v>
      </c>
      <c r="F43" s="87"/>
      <c r="G43" s="89">
        <v>12</v>
      </c>
      <c r="H43" s="87"/>
      <c r="I43" s="87"/>
      <c r="J43" s="90">
        <v>12</v>
      </c>
      <c r="K43" s="77">
        <f t="shared" si="14"/>
        <v>100</v>
      </c>
      <c r="L43" s="77">
        <f t="shared" si="15"/>
        <v>0</v>
      </c>
      <c r="M43" s="77">
        <f t="shared" si="16"/>
        <v>0</v>
      </c>
      <c r="N43" s="78">
        <f t="shared" si="3"/>
        <v>100</v>
      </c>
      <c r="O43" s="91">
        <v>71.599999999999994</v>
      </c>
      <c r="P43" s="92"/>
      <c r="Q43" s="92"/>
      <c r="R43" s="93">
        <f t="shared" si="4"/>
        <v>71.599999999999994</v>
      </c>
      <c r="S43" s="102">
        <v>2</v>
      </c>
      <c r="T43" s="95"/>
      <c r="U43" s="85"/>
      <c r="V43" s="96" t="s">
        <v>72</v>
      </c>
      <c r="W43" s="97" t="s">
        <v>74</v>
      </c>
      <c r="X43" s="97" t="s">
        <v>11</v>
      </c>
      <c r="Y43" s="98">
        <v>53.5</v>
      </c>
      <c r="Z43" s="97" t="s">
        <v>73</v>
      </c>
      <c r="AA43" s="97" t="s">
        <v>75</v>
      </c>
      <c r="AB43" s="97" t="s">
        <v>11</v>
      </c>
      <c r="AC43" s="97">
        <v>18.100000000000001</v>
      </c>
      <c r="AD43" s="96"/>
      <c r="AE43" s="97"/>
      <c r="AF43" s="97"/>
      <c r="AG43" s="98"/>
      <c r="AH43" s="97"/>
      <c r="AI43" s="97"/>
      <c r="AJ43" s="97"/>
      <c r="AK43" s="97"/>
      <c r="AL43" s="96"/>
      <c r="AM43" s="97"/>
      <c r="AN43" s="97"/>
      <c r="AO43" s="98"/>
      <c r="AP43" s="96"/>
      <c r="AQ43" s="97"/>
      <c r="AR43" s="97"/>
      <c r="AS43" s="98"/>
      <c r="AT43" s="99"/>
      <c r="AW43" s="98"/>
      <c r="AX43" s="324"/>
      <c r="AY43" s="324"/>
      <c r="AZ43" s="324"/>
      <c r="BA43" s="330"/>
    </row>
    <row r="44" spans="1:53" s="100" customFormat="1">
      <c r="A44" s="87">
        <v>1976</v>
      </c>
      <c r="B44" s="88"/>
      <c r="C44" s="966" t="s">
        <v>160</v>
      </c>
      <c r="D44" s="966"/>
      <c r="E44" s="87">
        <v>366</v>
      </c>
      <c r="F44" s="87"/>
      <c r="G44" s="89">
        <v>12</v>
      </c>
      <c r="H44" s="87"/>
      <c r="I44" s="87"/>
      <c r="J44" s="90">
        <v>12</v>
      </c>
      <c r="K44" s="77">
        <f t="shared" si="14"/>
        <v>100</v>
      </c>
      <c r="L44" s="77">
        <f t="shared" si="15"/>
        <v>0</v>
      </c>
      <c r="M44" s="77">
        <f t="shared" si="16"/>
        <v>0</v>
      </c>
      <c r="N44" s="78">
        <f t="shared" si="3"/>
        <v>100</v>
      </c>
      <c r="O44" s="91">
        <v>71.599999999999994</v>
      </c>
      <c r="P44" s="92"/>
      <c r="Q44" s="92"/>
      <c r="R44" s="93">
        <f t="shared" si="4"/>
        <v>71.599999999999994</v>
      </c>
      <c r="S44" s="102">
        <v>2</v>
      </c>
      <c r="T44" s="95"/>
      <c r="U44" s="85"/>
      <c r="V44" s="96" t="s">
        <v>72</v>
      </c>
      <c r="W44" s="97" t="s">
        <v>74</v>
      </c>
      <c r="X44" s="97" t="s">
        <v>11</v>
      </c>
      <c r="Y44" s="98">
        <v>53.5</v>
      </c>
      <c r="Z44" s="97" t="s">
        <v>73</v>
      </c>
      <c r="AA44" s="97" t="s">
        <v>75</v>
      </c>
      <c r="AB44" s="97" t="s">
        <v>11</v>
      </c>
      <c r="AC44" s="97">
        <v>18.100000000000001</v>
      </c>
      <c r="AD44" s="96"/>
      <c r="AE44" s="97"/>
      <c r="AF44" s="97"/>
      <c r="AG44" s="98"/>
      <c r="AH44" s="97"/>
      <c r="AI44" s="97"/>
      <c r="AJ44" s="97"/>
      <c r="AK44" s="97"/>
      <c r="AL44" s="96"/>
      <c r="AM44" s="97"/>
      <c r="AN44" s="97"/>
      <c r="AO44" s="98"/>
      <c r="AP44" s="96"/>
      <c r="AQ44" s="97"/>
      <c r="AR44" s="97"/>
      <c r="AS44" s="98"/>
      <c r="AT44" s="99"/>
      <c r="AW44" s="98"/>
      <c r="AX44" s="324"/>
      <c r="AY44" s="324"/>
      <c r="AZ44" s="324"/>
      <c r="BA44" s="330"/>
    </row>
    <row r="45" spans="1:53" s="100" customFormat="1">
      <c r="A45" s="87">
        <v>1977</v>
      </c>
      <c r="B45" s="88"/>
      <c r="C45" s="966" t="s">
        <v>160</v>
      </c>
      <c r="D45" s="966"/>
      <c r="E45" s="87">
        <v>353</v>
      </c>
      <c r="F45" s="87"/>
      <c r="G45" s="89">
        <v>12</v>
      </c>
      <c r="H45" s="87"/>
      <c r="I45" s="87"/>
      <c r="J45" s="90">
        <v>12</v>
      </c>
      <c r="K45" s="77">
        <f t="shared" si="14"/>
        <v>100</v>
      </c>
      <c r="L45" s="77">
        <f t="shared" si="15"/>
        <v>0</v>
      </c>
      <c r="M45" s="77">
        <f t="shared" si="16"/>
        <v>0</v>
      </c>
      <c r="N45" s="78">
        <f t="shared" si="3"/>
        <v>100</v>
      </c>
      <c r="O45" s="91">
        <v>71.599999999999994</v>
      </c>
      <c r="P45" s="92"/>
      <c r="Q45" s="92"/>
      <c r="R45" s="93">
        <f t="shared" si="4"/>
        <v>71.599999999999994</v>
      </c>
      <c r="S45" s="102">
        <v>2</v>
      </c>
      <c r="T45" s="95"/>
      <c r="U45" s="85"/>
      <c r="V45" s="96" t="s">
        <v>72</v>
      </c>
      <c r="W45" s="97" t="s">
        <v>74</v>
      </c>
      <c r="X45" s="97" t="s">
        <v>11</v>
      </c>
      <c r="Y45" s="98">
        <v>53.5</v>
      </c>
      <c r="Z45" s="97" t="s">
        <v>73</v>
      </c>
      <c r="AA45" s="97" t="s">
        <v>75</v>
      </c>
      <c r="AB45" s="97" t="s">
        <v>11</v>
      </c>
      <c r="AC45" s="97">
        <v>18.100000000000001</v>
      </c>
      <c r="AD45" s="96"/>
      <c r="AE45" s="97"/>
      <c r="AF45" s="97"/>
      <c r="AG45" s="98"/>
      <c r="AH45" s="97"/>
      <c r="AI45" s="97"/>
      <c r="AJ45" s="97"/>
      <c r="AK45" s="97"/>
      <c r="AL45" s="96"/>
      <c r="AM45" s="97"/>
      <c r="AN45" s="97"/>
      <c r="AO45" s="98"/>
      <c r="AP45" s="96"/>
      <c r="AQ45" s="97"/>
      <c r="AR45" s="97"/>
      <c r="AS45" s="98"/>
      <c r="AT45" s="99"/>
      <c r="AW45" s="98"/>
      <c r="AX45" s="324"/>
      <c r="AY45" s="324"/>
      <c r="AZ45" s="324"/>
      <c r="BA45" s="330"/>
    </row>
    <row r="46" spans="1:53" s="391" customFormat="1">
      <c r="A46" s="199">
        <v>1977</v>
      </c>
      <c r="B46" s="380">
        <v>28479</v>
      </c>
      <c r="C46" s="965" t="s">
        <v>161</v>
      </c>
      <c r="D46" s="965"/>
      <c r="E46" s="199">
        <v>12</v>
      </c>
      <c r="F46" s="199">
        <v>1</v>
      </c>
      <c r="G46" s="381">
        <v>14</v>
      </c>
      <c r="H46" s="199"/>
      <c r="I46" s="199"/>
      <c r="J46" s="382">
        <v>14</v>
      </c>
      <c r="K46" s="338">
        <f t="shared" si="14"/>
        <v>100</v>
      </c>
      <c r="L46" s="338">
        <f t="shared" si="15"/>
        <v>0</v>
      </c>
      <c r="M46" s="338">
        <f t="shared" si="16"/>
        <v>0</v>
      </c>
      <c r="N46" s="339">
        <f t="shared" si="3"/>
        <v>100</v>
      </c>
      <c r="O46" s="383">
        <v>69.3</v>
      </c>
      <c r="P46" s="384"/>
      <c r="Q46" s="384"/>
      <c r="R46" s="385">
        <f t="shared" si="4"/>
        <v>69.3</v>
      </c>
      <c r="S46" s="386">
        <v>3</v>
      </c>
      <c r="T46" s="342">
        <v>28469</v>
      </c>
      <c r="U46" s="355">
        <v>28479</v>
      </c>
      <c r="V46" s="387" t="s">
        <v>72</v>
      </c>
      <c r="W46" s="388" t="s">
        <v>74</v>
      </c>
      <c r="X46" s="388" t="s">
        <v>11</v>
      </c>
      <c r="Y46" s="389">
        <v>54</v>
      </c>
      <c r="Z46" s="388" t="s">
        <v>73</v>
      </c>
      <c r="AA46" s="388" t="s">
        <v>75</v>
      </c>
      <c r="AB46" s="388" t="s">
        <v>11</v>
      </c>
      <c r="AC46" s="388">
        <v>15.3</v>
      </c>
      <c r="AD46" s="387"/>
      <c r="AE46" s="388"/>
      <c r="AF46" s="388"/>
      <c r="AG46" s="389"/>
      <c r="AH46" s="388"/>
      <c r="AI46" s="388"/>
      <c r="AJ46" s="388"/>
      <c r="AK46" s="388"/>
      <c r="AL46" s="387"/>
      <c r="AM46" s="388"/>
      <c r="AN46" s="388"/>
      <c r="AO46" s="389"/>
      <c r="AP46" s="387"/>
      <c r="AQ46" s="388"/>
      <c r="AR46" s="388"/>
      <c r="AS46" s="389"/>
      <c r="AT46" s="390"/>
      <c r="AW46" s="389"/>
      <c r="AX46" s="392"/>
      <c r="AY46" s="392"/>
      <c r="AZ46" s="392"/>
      <c r="BA46" s="393"/>
    </row>
    <row r="47" spans="1:53" s="391" customFormat="1">
      <c r="A47" s="199">
        <v>1978</v>
      </c>
      <c r="B47" s="380"/>
      <c r="C47" s="965" t="s">
        <v>161</v>
      </c>
      <c r="D47" s="965"/>
      <c r="E47" s="199">
        <v>0</v>
      </c>
      <c r="F47" s="199"/>
      <c r="G47" s="381">
        <v>14</v>
      </c>
      <c r="H47" s="199"/>
      <c r="I47" s="199"/>
      <c r="J47" s="382">
        <v>14</v>
      </c>
      <c r="K47" s="338">
        <f t="shared" si="14"/>
        <v>100</v>
      </c>
      <c r="L47" s="338">
        <f t="shared" si="15"/>
        <v>0</v>
      </c>
      <c r="M47" s="338">
        <f t="shared" si="16"/>
        <v>0</v>
      </c>
      <c r="N47" s="339">
        <f t="shared" si="3"/>
        <v>100</v>
      </c>
      <c r="O47" s="383">
        <v>69.3</v>
      </c>
      <c r="P47" s="384"/>
      <c r="Q47" s="384"/>
      <c r="R47" s="385">
        <f t="shared" si="4"/>
        <v>69.3</v>
      </c>
      <c r="S47" s="386">
        <v>3</v>
      </c>
      <c r="T47" s="342"/>
      <c r="U47" s="355"/>
      <c r="V47" s="387" t="s">
        <v>72</v>
      </c>
      <c r="W47" s="388" t="s">
        <v>74</v>
      </c>
      <c r="X47" s="388" t="s">
        <v>11</v>
      </c>
      <c r="Y47" s="389">
        <v>54</v>
      </c>
      <c r="Z47" s="388" t="s">
        <v>73</v>
      </c>
      <c r="AA47" s="388" t="s">
        <v>75</v>
      </c>
      <c r="AB47" s="388" t="s">
        <v>11</v>
      </c>
      <c r="AC47" s="388">
        <v>15.3</v>
      </c>
      <c r="AD47" s="387"/>
      <c r="AE47" s="388"/>
      <c r="AF47" s="388"/>
      <c r="AG47" s="389"/>
      <c r="AH47" s="388"/>
      <c r="AI47" s="388"/>
      <c r="AJ47" s="388"/>
      <c r="AK47" s="388"/>
      <c r="AL47" s="387"/>
      <c r="AM47" s="388"/>
      <c r="AN47" s="388"/>
      <c r="AO47" s="389"/>
      <c r="AP47" s="387"/>
      <c r="AQ47" s="388"/>
      <c r="AR47" s="388"/>
      <c r="AS47" s="389"/>
      <c r="AT47" s="390"/>
      <c r="AW47" s="389"/>
      <c r="AX47" s="392"/>
      <c r="AY47" s="392"/>
      <c r="AZ47" s="392"/>
      <c r="BA47" s="393"/>
    </row>
    <row r="48" spans="1:53" s="391" customFormat="1">
      <c r="A48" s="199">
        <v>1978</v>
      </c>
      <c r="B48" s="380"/>
      <c r="C48" s="965" t="s">
        <v>161</v>
      </c>
      <c r="D48" s="965"/>
      <c r="E48" s="199">
        <f>365-E47</f>
        <v>365</v>
      </c>
      <c r="F48" s="199"/>
      <c r="G48" s="381">
        <v>14</v>
      </c>
      <c r="H48" s="199"/>
      <c r="I48" s="199"/>
      <c r="J48" s="382">
        <v>14</v>
      </c>
      <c r="K48" s="338">
        <f t="shared" si="14"/>
        <v>100</v>
      </c>
      <c r="L48" s="338">
        <f t="shared" si="15"/>
        <v>0</v>
      </c>
      <c r="M48" s="338">
        <f t="shared" si="16"/>
        <v>0</v>
      </c>
      <c r="N48" s="339">
        <f t="shared" si="3"/>
        <v>100</v>
      </c>
      <c r="O48" s="383">
        <v>69.3</v>
      </c>
      <c r="P48" s="384"/>
      <c r="Q48" s="384"/>
      <c r="R48" s="385">
        <f t="shared" si="4"/>
        <v>69.3</v>
      </c>
      <c r="S48" s="386">
        <v>3</v>
      </c>
      <c r="T48" s="342"/>
      <c r="U48" s="355"/>
      <c r="V48" s="387" t="s">
        <v>72</v>
      </c>
      <c r="W48" s="388" t="s">
        <v>74</v>
      </c>
      <c r="X48" s="388" t="s">
        <v>11</v>
      </c>
      <c r="Y48" s="389">
        <v>54</v>
      </c>
      <c r="Z48" s="388" t="s">
        <v>73</v>
      </c>
      <c r="AA48" s="388" t="s">
        <v>75</v>
      </c>
      <c r="AB48" s="388" t="s">
        <v>11</v>
      </c>
      <c r="AC48" s="388">
        <v>15.3</v>
      </c>
      <c r="AD48" s="387"/>
      <c r="AE48" s="388"/>
      <c r="AF48" s="388"/>
      <c r="AG48" s="389"/>
      <c r="AH48" s="388"/>
      <c r="AI48" s="388"/>
      <c r="AJ48" s="388"/>
      <c r="AK48" s="388"/>
      <c r="AL48" s="387"/>
      <c r="AM48" s="388"/>
      <c r="AN48" s="388"/>
      <c r="AO48" s="389"/>
      <c r="AP48" s="387"/>
      <c r="AQ48" s="388"/>
      <c r="AR48" s="388"/>
      <c r="AS48" s="389"/>
      <c r="AT48" s="390"/>
      <c r="AW48" s="389"/>
      <c r="AX48" s="392"/>
      <c r="AY48" s="392"/>
      <c r="AZ48" s="392"/>
      <c r="BA48" s="393"/>
    </row>
    <row r="49" spans="1:53" s="391" customFormat="1">
      <c r="A49" s="199">
        <v>1979</v>
      </c>
      <c r="B49" s="380"/>
      <c r="C49" s="965" t="s">
        <v>161</v>
      </c>
      <c r="D49" s="965"/>
      <c r="E49" s="199">
        <v>0</v>
      </c>
      <c r="F49" s="199"/>
      <c r="G49" s="381">
        <v>14</v>
      </c>
      <c r="H49" s="199"/>
      <c r="I49" s="199"/>
      <c r="J49" s="382">
        <v>14</v>
      </c>
      <c r="K49" s="338">
        <f>G49/J49*100</f>
        <v>100</v>
      </c>
      <c r="L49" s="338">
        <f>H49/J49*100</f>
        <v>0</v>
      </c>
      <c r="M49" s="338">
        <f>I49/J49*100</f>
        <v>0</v>
      </c>
      <c r="N49" s="339">
        <f t="shared" si="3"/>
        <v>100</v>
      </c>
      <c r="O49" s="383">
        <v>69.3</v>
      </c>
      <c r="P49" s="384"/>
      <c r="Q49" s="384"/>
      <c r="R49" s="385">
        <f t="shared" si="4"/>
        <v>69.3</v>
      </c>
      <c r="S49" s="386">
        <v>3</v>
      </c>
      <c r="T49" s="342"/>
      <c r="U49" s="355"/>
      <c r="V49" s="387" t="s">
        <v>72</v>
      </c>
      <c r="W49" s="388" t="s">
        <v>74</v>
      </c>
      <c r="X49" s="388" t="s">
        <v>11</v>
      </c>
      <c r="Y49" s="389">
        <v>54</v>
      </c>
      <c r="Z49" s="388" t="s">
        <v>73</v>
      </c>
      <c r="AA49" s="388" t="s">
        <v>75</v>
      </c>
      <c r="AB49" s="388" t="s">
        <v>11</v>
      </c>
      <c r="AC49" s="388">
        <v>15.3</v>
      </c>
      <c r="AD49" s="387"/>
      <c r="AE49" s="388"/>
      <c r="AF49" s="388"/>
      <c r="AG49" s="389"/>
      <c r="AH49" s="388"/>
      <c r="AI49" s="388"/>
      <c r="AJ49" s="388"/>
      <c r="AK49" s="388"/>
      <c r="AL49" s="387"/>
      <c r="AM49" s="388"/>
      <c r="AN49" s="388"/>
      <c r="AO49" s="389"/>
      <c r="AP49" s="387"/>
      <c r="AQ49" s="388"/>
      <c r="AR49" s="388"/>
      <c r="AS49" s="389"/>
      <c r="AT49" s="390"/>
      <c r="AW49" s="389"/>
      <c r="AX49" s="392"/>
      <c r="AY49" s="392"/>
      <c r="AZ49" s="392"/>
      <c r="BA49" s="393"/>
    </row>
    <row r="50" spans="1:53" s="391" customFormat="1">
      <c r="A50" s="199">
        <v>1979</v>
      </c>
      <c r="B50" s="380"/>
      <c r="C50" s="965" t="s">
        <v>161</v>
      </c>
      <c r="D50" s="965"/>
      <c r="E50" s="199">
        <f>365-E49</f>
        <v>365</v>
      </c>
      <c r="F50" s="199"/>
      <c r="G50" s="381">
        <v>14</v>
      </c>
      <c r="H50" s="199"/>
      <c r="I50" s="199"/>
      <c r="J50" s="382">
        <v>14</v>
      </c>
      <c r="K50" s="338">
        <f t="shared" ref="K50:K56" si="17">G50/J50*100</f>
        <v>100</v>
      </c>
      <c r="L50" s="338">
        <f t="shared" ref="L50:L56" si="18">H50/J50*100</f>
        <v>0</v>
      </c>
      <c r="M50" s="338">
        <f t="shared" ref="M50:M56" si="19">I50/J50*100</f>
        <v>0</v>
      </c>
      <c r="N50" s="339">
        <f t="shared" si="3"/>
        <v>100</v>
      </c>
      <c r="O50" s="383">
        <v>69.3</v>
      </c>
      <c r="P50" s="384"/>
      <c r="Q50" s="384"/>
      <c r="R50" s="385">
        <f t="shared" si="4"/>
        <v>69.3</v>
      </c>
      <c r="S50" s="386">
        <v>3</v>
      </c>
      <c r="T50" s="342"/>
      <c r="U50" s="355"/>
      <c r="V50" s="387" t="s">
        <v>72</v>
      </c>
      <c r="W50" s="388" t="s">
        <v>74</v>
      </c>
      <c r="X50" s="388" t="s">
        <v>11</v>
      </c>
      <c r="Y50" s="389">
        <v>54</v>
      </c>
      <c r="Z50" s="388" t="s">
        <v>73</v>
      </c>
      <c r="AA50" s="388" t="s">
        <v>75</v>
      </c>
      <c r="AB50" s="388" t="s">
        <v>11</v>
      </c>
      <c r="AC50" s="388">
        <v>15.3</v>
      </c>
      <c r="AD50" s="387"/>
      <c r="AE50" s="388"/>
      <c r="AF50" s="388"/>
      <c r="AG50" s="389"/>
      <c r="AH50" s="388"/>
      <c r="AI50" s="388"/>
      <c r="AJ50" s="388"/>
      <c r="AK50" s="388"/>
      <c r="AL50" s="387"/>
      <c r="AM50" s="388"/>
      <c r="AN50" s="388"/>
      <c r="AO50" s="389"/>
      <c r="AP50" s="387"/>
      <c r="AQ50" s="388"/>
      <c r="AR50" s="388"/>
      <c r="AS50" s="389"/>
      <c r="AT50" s="390"/>
      <c r="AW50" s="389"/>
      <c r="AX50" s="392"/>
      <c r="AY50" s="392"/>
      <c r="AZ50" s="392"/>
      <c r="BA50" s="393"/>
    </row>
    <row r="51" spans="1:53" s="391" customFormat="1">
      <c r="A51" s="199">
        <v>1980</v>
      </c>
      <c r="B51" s="380"/>
      <c r="C51" s="965" t="s">
        <v>161</v>
      </c>
      <c r="D51" s="965"/>
      <c r="E51" s="199">
        <v>306</v>
      </c>
      <c r="F51" s="199"/>
      <c r="G51" s="381">
        <v>14</v>
      </c>
      <c r="H51" s="199"/>
      <c r="I51" s="199"/>
      <c r="J51" s="382">
        <v>14</v>
      </c>
      <c r="K51" s="338">
        <f t="shared" si="17"/>
        <v>100</v>
      </c>
      <c r="L51" s="338">
        <f t="shared" si="18"/>
        <v>0</v>
      </c>
      <c r="M51" s="338">
        <f t="shared" si="19"/>
        <v>0</v>
      </c>
      <c r="N51" s="339">
        <f t="shared" si="3"/>
        <v>100</v>
      </c>
      <c r="O51" s="383">
        <v>69.3</v>
      </c>
      <c r="P51" s="384"/>
      <c r="Q51" s="384"/>
      <c r="R51" s="385">
        <f t="shared" si="4"/>
        <v>69.3</v>
      </c>
      <c r="S51" s="386">
        <v>3</v>
      </c>
      <c r="T51" s="342"/>
      <c r="U51" s="355"/>
      <c r="V51" s="387" t="s">
        <v>72</v>
      </c>
      <c r="W51" s="388" t="s">
        <v>74</v>
      </c>
      <c r="X51" s="388" t="s">
        <v>11</v>
      </c>
      <c r="Y51" s="389">
        <v>54</v>
      </c>
      <c r="Z51" s="388" t="s">
        <v>73</v>
      </c>
      <c r="AA51" s="388" t="s">
        <v>75</v>
      </c>
      <c r="AB51" s="388" t="s">
        <v>11</v>
      </c>
      <c r="AC51" s="388">
        <v>15.3</v>
      </c>
      <c r="AD51" s="387"/>
      <c r="AE51" s="388"/>
      <c r="AF51" s="388"/>
      <c r="AG51" s="389"/>
      <c r="AH51" s="388"/>
      <c r="AI51" s="388"/>
      <c r="AJ51" s="388"/>
      <c r="AK51" s="388"/>
      <c r="AL51" s="387"/>
      <c r="AM51" s="388"/>
      <c r="AN51" s="388"/>
      <c r="AO51" s="389"/>
      <c r="AP51" s="387"/>
      <c r="AQ51" s="388"/>
      <c r="AR51" s="388"/>
      <c r="AS51" s="389"/>
      <c r="AT51" s="390"/>
      <c r="AW51" s="389"/>
      <c r="AX51" s="392"/>
      <c r="AY51" s="392"/>
      <c r="AZ51" s="392"/>
      <c r="BA51" s="393"/>
    </row>
    <row r="52" spans="1:53" s="100" customFormat="1">
      <c r="A52" s="87">
        <v>1980</v>
      </c>
      <c r="B52" s="88">
        <v>29527</v>
      </c>
      <c r="C52" s="966" t="s">
        <v>162</v>
      </c>
      <c r="D52" s="966"/>
      <c r="E52" s="87">
        <v>60</v>
      </c>
      <c r="F52" s="87">
        <v>1</v>
      </c>
      <c r="G52" s="89">
        <v>14</v>
      </c>
      <c r="H52" s="87"/>
      <c r="I52" s="87"/>
      <c r="J52" s="90">
        <v>14</v>
      </c>
      <c r="K52" s="77">
        <f t="shared" si="17"/>
        <v>100</v>
      </c>
      <c r="L52" s="77">
        <f t="shared" si="18"/>
        <v>0</v>
      </c>
      <c r="M52" s="77">
        <f t="shared" si="19"/>
        <v>0</v>
      </c>
      <c r="N52" s="78">
        <f t="shared" si="3"/>
        <v>100</v>
      </c>
      <c r="O52" s="91">
        <v>59.2</v>
      </c>
      <c r="P52" s="92"/>
      <c r="Q52" s="92"/>
      <c r="R52" s="93">
        <f t="shared" si="4"/>
        <v>59.2</v>
      </c>
      <c r="S52" s="102">
        <v>2</v>
      </c>
      <c r="T52" s="95">
        <v>29512</v>
      </c>
      <c r="U52" s="85">
        <v>29527</v>
      </c>
      <c r="V52" s="96" t="s">
        <v>72</v>
      </c>
      <c r="W52" s="97" t="s">
        <v>74</v>
      </c>
      <c r="X52" s="97" t="s">
        <v>11</v>
      </c>
      <c r="Y52" s="98">
        <v>43.2</v>
      </c>
      <c r="Z52" s="97" t="s">
        <v>73</v>
      </c>
      <c r="AA52" s="97" t="s">
        <v>75</v>
      </c>
      <c r="AB52" s="97" t="s">
        <v>11</v>
      </c>
      <c r="AC52" s="97">
        <v>16</v>
      </c>
      <c r="AD52" s="96"/>
      <c r="AE52" s="97"/>
      <c r="AF52" s="97"/>
      <c r="AG52" s="98"/>
      <c r="AH52" s="97"/>
      <c r="AI52" s="97"/>
      <c r="AJ52" s="97"/>
      <c r="AK52" s="97"/>
      <c r="AL52" s="96"/>
      <c r="AM52" s="97"/>
      <c r="AN52" s="97"/>
      <c r="AO52" s="98"/>
      <c r="AP52" s="96"/>
      <c r="AQ52" s="97"/>
      <c r="AR52" s="97"/>
      <c r="AS52" s="98"/>
      <c r="AT52" s="99"/>
      <c r="AW52" s="98"/>
      <c r="AX52" s="324"/>
      <c r="AY52" s="324"/>
      <c r="AZ52" s="324"/>
      <c r="BA52" s="330"/>
    </row>
    <row r="53" spans="1:53" s="100" customFormat="1">
      <c r="A53" s="87">
        <v>1981</v>
      </c>
      <c r="B53" s="88"/>
      <c r="C53" s="966" t="s">
        <v>162</v>
      </c>
      <c r="D53" s="966"/>
      <c r="E53" s="87">
        <v>0</v>
      </c>
      <c r="F53" s="87"/>
      <c r="G53" s="89">
        <v>14</v>
      </c>
      <c r="H53" s="87"/>
      <c r="I53" s="87"/>
      <c r="J53" s="90">
        <v>14</v>
      </c>
      <c r="K53" s="77">
        <f t="shared" si="17"/>
        <v>100</v>
      </c>
      <c r="L53" s="77">
        <f t="shared" si="18"/>
        <v>0</v>
      </c>
      <c r="M53" s="77">
        <f t="shared" si="19"/>
        <v>0</v>
      </c>
      <c r="N53" s="78">
        <f t="shared" si="3"/>
        <v>100</v>
      </c>
      <c r="O53" s="91">
        <v>59.2</v>
      </c>
      <c r="P53" s="92"/>
      <c r="Q53" s="92"/>
      <c r="R53" s="93">
        <f t="shared" si="4"/>
        <v>59.2</v>
      </c>
      <c r="S53" s="102">
        <v>2</v>
      </c>
      <c r="T53" s="95"/>
      <c r="U53" s="85"/>
      <c r="V53" s="96" t="s">
        <v>72</v>
      </c>
      <c r="W53" s="97" t="s">
        <v>74</v>
      </c>
      <c r="X53" s="97" t="s">
        <v>11</v>
      </c>
      <c r="Y53" s="98">
        <v>43.2</v>
      </c>
      <c r="Z53" s="97" t="s">
        <v>73</v>
      </c>
      <c r="AA53" s="97" t="s">
        <v>75</v>
      </c>
      <c r="AB53" s="97" t="s">
        <v>11</v>
      </c>
      <c r="AC53" s="97">
        <v>16</v>
      </c>
      <c r="AD53" s="96"/>
      <c r="AE53" s="97"/>
      <c r="AF53" s="97"/>
      <c r="AG53" s="98"/>
      <c r="AH53" s="97"/>
      <c r="AI53" s="97"/>
      <c r="AJ53" s="97"/>
      <c r="AK53" s="97"/>
      <c r="AL53" s="96"/>
      <c r="AM53" s="97"/>
      <c r="AN53" s="97"/>
      <c r="AO53" s="98"/>
      <c r="AP53" s="96"/>
      <c r="AQ53" s="97"/>
      <c r="AR53" s="97"/>
      <c r="AS53" s="98"/>
      <c r="AT53" s="99"/>
      <c r="AW53" s="98"/>
      <c r="AX53" s="324"/>
      <c r="AY53" s="324"/>
      <c r="AZ53" s="324"/>
      <c r="BA53" s="330"/>
    </row>
    <row r="54" spans="1:53" s="100" customFormat="1">
      <c r="A54" s="87">
        <v>1981</v>
      </c>
      <c r="B54" s="88"/>
      <c r="C54" s="966" t="s">
        <v>162</v>
      </c>
      <c r="D54" s="966"/>
      <c r="E54" s="87">
        <f>365-E53</f>
        <v>365</v>
      </c>
      <c r="F54" s="87"/>
      <c r="G54" s="89">
        <v>14</v>
      </c>
      <c r="H54" s="87"/>
      <c r="I54" s="87"/>
      <c r="J54" s="90">
        <v>14</v>
      </c>
      <c r="K54" s="77">
        <f t="shared" si="17"/>
        <v>100</v>
      </c>
      <c r="L54" s="77">
        <f t="shared" si="18"/>
        <v>0</v>
      </c>
      <c r="M54" s="77">
        <f t="shared" si="19"/>
        <v>0</v>
      </c>
      <c r="N54" s="78">
        <f t="shared" si="3"/>
        <v>100</v>
      </c>
      <c r="O54" s="91">
        <v>59.2</v>
      </c>
      <c r="P54" s="92"/>
      <c r="Q54" s="92"/>
      <c r="R54" s="93">
        <f t="shared" si="4"/>
        <v>59.2</v>
      </c>
      <c r="S54" s="102">
        <v>2</v>
      </c>
      <c r="T54" s="95"/>
      <c r="U54" s="85"/>
      <c r="V54" s="96" t="s">
        <v>72</v>
      </c>
      <c r="W54" s="97" t="s">
        <v>74</v>
      </c>
      <c r="X54" s="97" t="s">
        <v>11</v>
      </c>
      <c r="Y54" s="98">
        <v>43.2</v>
      </c>
      <c r="Z54" s="97" t="s">
        <v>73</v>
      </c>
      <c r="AA54" s="97" t="s">
        <v>75</v>
      </c>
      <c r="AB54" s="97" t="s">
        <v>11</v>
      </c>
      <c r="AC54" s="97">
        <v>16</v>
      </c>
      <c r="AD54" s="96"/>
      <c r="AE54" s="97"/>
      <c r="AF54" s="97"/>
      <c r="AG54" s="98"/>
      <c r="AH54" s="97"/>
      <c r="AI54" s="97"/>
      <c r="AJ54" s="97"/>
      <c r="AK54" s="97"/>
      <c r="AL54" s="96"/>
      <c r="AM54" s="97"/>
      <c r="AN54" s="97"/>
      <c r="AO54" s="98"/>
      <c r="AP54" s="96"/>
      <c r="AQ54" s="97"/>
      <c r="AR54" s="97"/>
      <c r="AS54" s="98"/>
      <c r="AT54" s="99"/>
      <c r="AW54" s="98"/>
      <c r="AX54" s="324"/>
      <c r="AY54" s="324"/>
      <c r="AZ54" s="324"/>
      <c r="BA54" s="330"/>
    </row>
    <row r="55" spans="1:53" s="100" customFormat="1">
      <c r="A55" s="87">
        <v>1982</v>
      </c>
      <c r="B55" s="88"/>
      <c r="C55" s="966" t="s">
        <v>162</v>
      </c>
      <c r="D55" s="966"/>
      <c r="E55" s="87">
        <v>0</v>
      </c>
      <c r="F55" s="87"/>
      <c r="G55" s="89">
        <v>14</v>
      </c>
      <c r="H55" s="87"/>
      <c r="I55" s="87"/>
      <c r="J55" s="90">
        <v>14</v>
      </c>
      <c r="K55" s="77">
        <f t="shared" si="17"/>
        <v>100</v>
      </c>
      <c r="L55" s="77">
        <f t="shared" si="18"/>
        <v>0</v>
      </c>
      <c r="M55" s="77">
        <f t="shared" si="19"/>
        <v>0</v>
      </c>
      <c r="N55" s="78">
        <f t="shared" si="3"/>
        <v>100</v>
      </c>
      <c r="O55" s="91">
        <v>59.2</v>
      </c>
      <c r="P55" s="92"/>
      <c r="Q55" s="92"/>
      <c r="R55" s="93">
        <f t="shared" si="4"/>
        <v>59.2</v>
      </c>
      <c r="S55" s="102">
        <v>2</v>
      </c>
      <c r="T55" s="95"/>
      <c r="U55" s="85"/>
      <c r="V55" s="96" t="s">
        <v>72</v>
      </c>
      <c r="W55" s="97" t="s">
        <v>74</v>
      </c>
      <c r="X55" s="97" t="s">
        <v>11</v>
      </c>
      <c r="Y55" s="98">
        <v>43.2</v>
      </c>
      <c r="Z55" s="97" t="s">
        <v>73</v>
      </c>
      <c r="AA55" s="97" t="s">
        <v>75</v>
      </c>
      <c r="AB55" s="97" t="s">
        <v>11</v>
      </c>
      <c r="AC55" s="97">
        <v>16</v>
      </c>
      <c r="AD55" s="96"/>
      <c r="AE55" s="97"/>
      <c r="AF55" s="97"/>
      <c r="AG55" s="98"/>
      <c r="AH55" s="97"/>
      <c r="AI55" s="97"/>
      <c r="AJ55" s="97"/>
      <c r="AK55" s="97"/>
      <c r="AL55" s="96"/>
      <c r="AM55" s="97"/>
      <c r="AN55" s="97"/>
      <c r="AO55" s="98"/>
      <c r="AP55" s="96"/>
      <c r="AQ55" s="97"/>
      <c r="AR55" s="97"/>
      <c r="AS55" s="98"/>
      <c r="AT55" s="99"/>
      <c r="AW55" s="98"/>
      <c r="AX55" s="324"/>
      <c r="AY55" s="324"/>
      <c r="AZ55" s="324"/>
      <c r="BA55" s="330"/>
    </row>
    <row r="56" spans="1:53" s="100" customFormat="1">
      <c r="A56" s="87">
        <v>1982</v>
      </c>
      <c r="B56" s="88"/>
      <c r="C56" s="966" t="s">
        <v>162</v>
      </c>
      <c r="D56" s="966"/>
      <c r="E56" s="87">
        <f>365-E55</f>
        <v>365</v>
      </c>
      <c r="F56" s="87"/>
      <c r="G56" s="89">
        <v>14</v>
      </c>
      <c r="H56" s="87"/>
      <c r="I56" s="87"/>
      <c r="J56" s="90">
        <v>14</v>
      </c>
      <c r="K56" s="77">
        <f t="shared" si="17"/>
        <v>100</v>
      </c>
      <c r="L56" s="77">
        <f t="shared" si="18"/>
        <v>0</v>
      </c>
      <c r="M56" s="77">
        <f t="shared" si="19"/>
        <v>0</v>
      </c>
      <c r="N56" s="78">
        <f t="shared" si="3"/>
        <v>100</v>
      </c>
      <c r="O56" s="91">
        <v>59.2</v>
      </c>
      <c r="P56" s="92"/>
      <c r="Q56" s="92"/>
      <c r="R56" s="93">
        <f t="shared" si="4"/>
        <v>59.2</v>
      </c>
      <c r="S56" s="102">
        <v>2</v>
      </c>
      <c r="T56" s="95"/>
      <c r="U56" s="85"/>
      <c r="V56" s="96" t="s">
        <v>72</v>
      </c>
      <c r="W56" s="97" t="s">
        <v>74</v>
      </c>
      <c r="X56" s="97" t="s">
        <v>11</v>
      </c>
      <c r="Y56" s="98">
        <v>43.2</v>
      </c>
      <c r="Z56" s="97" t="s">
        <v>73</v>
      </c>
      <c r="AA56" s="97" t="s">
        <v>75</v>
      </c>
      <c r="AB56" s="97" t="s">
        <v>11</v>
      </c>
      <c r="AC56" s="97">
        <v>16</v>
      </c>
      <c r="AD56" s="96"/>
      <c r="AE56" s="97"/>
      <c r="AF56" s="97"/>
      <c r="AG56" s="98"/>
      <c r="AH56" s="97"/>
      <c r="AI56" s="97"/>
      <c r="AJ56" s="97"/>
      <c r="AK56" s="97"/>
      <c r="AL56" s="96"/>
      <c r="AM56" s="97"/>
      <c r="AN56" s="97"/>
      <c r="AO56" s="98"/>
      <c r="AP56" s="96"/>
      <c r="AQ56" s="97"/>
      <c r="AR56" s="97"/>
      <c r="AS56" s="98"/>
      <c r="AT56" s="99"/>
      <c r="AW56" s="98"/>
      <c r="AX56" s="324"/>
      <c r="AY56" s="324"/>
      <c r="AZ56" s="324"/>
      <c r="BA56" s="330"/>
    </row>
    <row r="57" spans="1:53" s="100" customFormat="1">
      <c r="A57" s="87">
        <v>1983</v>
      </c>
      <c r="B57" s="88"/>
      <c r="C57" s="966" t="s">
        <v>162</v>
      </c>
      <c r="D57" s="966"/>
      <c r="E57" s="87">
        <v>69</v>
      </c>
      <c r="F57" s="87"/>
      <c r="G57" s="89">
        <v>14</v>
      </c>
      <c r="H57" s="87"/>
      <c r="I57" s="87"/>
      <c r="J57" s="90">
        <v>14</v>
      </c>
      <c r="K57" s="77">
        <f>G57/J57*100</f>
        <v>100</v>
      </c>
      <c r="L57" s="77">
        <f>H57/J57*100</f>
        <v>0</v>
      </c>
      <c r="M57" s="77">
        <f>I57/J57*100</f>
        <v>0</v>
      </c>
      <c r="N57" s="78">
        <f>SUM(K57:M57)</f>
        <v>100</v>
      </c>
      <c r="O57" s="91">
        <v>59.2</v>
      </c>
      <c r="P57" s="92"/>
      <c r="Q57" s="92"/>
      <c r="R57" s="93">
        <f t="shared" si="4"/>
        <v>59.2</v>
      </c>
      <c r="S57" s="102">
        <v>2</v>
      </c>
      <c r="T57" s="95"/>
      <c r="U57" s="85"/>
      <c r="V57" s="96" t="s">
        <v>72</v>
      </c>
      <c r="W57" s="97" t="s">
        <v>74</v>
      </c>
      <c r="X57" s="97" t="s">
        <v>11</v>
      </c>
      <c r="Y57" s="98">
        <v>43.2</v>
      </c>
      <c r="Z57" s="97" t="s">
        <v>73</v>
      </c>
      <c r="AA57" s="97" t="s">
        <v>75</v>
      </c>
      <c r="AB57" s="97" t="s">
        <v>11</v>
      </c>
      <c r="AC57" s="97">
        <v>16</v>
      </c>
      <c r="AD57" s="96"/>
      <c r="AE57" s="97"/>
      <c r="AF57" s="97"/>
      <c r="AG57" s="98"/>
      <c r="AH57" s="97"/>
      <c r="AI57" s="97"/>
      <c r="AJ57" s="97"/>
      <c r="AK57" s="97"/>
      <c r="AL57" s="96"/>
      <c r="AM57" s="97"/>
      <c r="AN57" s="97"/>
      <c r="AO57" s="98"/>
      <c r="AP57" s="96"/>
      <c r="AQ57" s="97"/>
      <c r="AR57" s="97"/>
      <c r="AS57" s="98"/>
      <c r="AT57" s="99"/>
      <c r="AW57" s="98"/>
      <c r="AX57" s="324"/>
      <c r="AY57" s="324"/>
      <c r="AZ57" s="324"/>
      <c r="BA57" s="330"/>
    </row>
    <row r="58" spans="1:53" s="391" customFormat="1">
      <c r="A58" s="199">
        <v>1983</v>
      </c>
      <c r="B58" s="380">
        <v>30386</v>
      </c>
      <c r="C58" s="965" t="s">
        <v>163</v>
      </c>
      <c r="D58" s="965"/>
      <c r="E58" s="199">
        <f>365-E57</f>
        <v>296</v>
      </c>
      <c r="F58" s="199">
        <v>1</v>
      </c>
      <c r="G58" s="381"/>
      <c r="H58" s="199"/>
      <c r="I58" s="199">
        <v>13</v>
      </c>
      <c r="J58" s="382">
        <v>13</v>
      </c>
      <c r="K58" s="338">
        <f t="shared" ref="K58:K64" si="20">G58/J58*100</f>
        <v>0</v>
      </c>
      <c r="L58" s="338">
        <f t="shared" ref="L58:L64" si="21">H58/J58*100</f>
        <v>0</v>
      </c>
      <c r="M58" s="338">
        <f t="shared" ref="M58:M64" si="22">I58/J58*100</f>
        <v>100</v>
      </c>
      <c r="N58" s="339">
        <f t="shared" si="3"/>
        <v>100</v>
      </c>
      <c r="O58" s="383"/>
      <c r="P58" s="384"/>
      <c r="Q58" s="384">
        <v>60</v>
      </c>
      <c r="R58" s="385">
        <f t="shared" si="4"/>
        <v>60</v>
      </c>
      <c r="S58" s="386">
        <v>1</v>
      </c>
      <c r="T58" s="342">
        <v>30380</v>
      </c>
      <c r="U58" s="355">
        <v>30386</v>
      </c>
      <c r="V58" s="387" t="s">
        <v>78</v>
      </c>
      <c r="W58" s="388" t="s">
        <v>20</v>
      </c>
      <c r="X58" s="388" t="s">
        <v>12</v>
      </c>
      <c r="Y58" s="389">
        <v>60</v>
      </c>
      <c r="Z58" s="388"/>
      <c r="AA58" s="388"/>
      <c r="AB58" s="388"/>
      <c r="AC58" s="388"/>
      <c r="AD58" s="387"/>
      <c r="AE58" s="388"/>
      <c r="AF58" s="388"/>
      <c r="AG58" s="389"/>
      <c r="AH58" s="388"/>
      <c r="AI58" s="388"/>
      <c r="AJ58" s="388"/>
      <c r="AK58" s="388"/>
      <c r="AL58" s="387"/>
      <c r="AM58" s="388"/>
      <c r="AN58" s="388"/>
      <c r="AO58" s="389"/>
      <c r="AP58" s="387"/>
      <c r="AQ58" s="388"/>
      <c r="AR58" s="388"/>
      <c r="AS58" s="389"/>
      <c r="AT58" s="390"/>
      <c r="AW58" s="389"/>
      <c r="AX58" s="392"/>
      <c r="AY58" s="392"/>
      <c r="AZ58" s="392"/>
      <c r="BA58" s="393"/>
    </row>
    <row r="59" spans="1:53" s="391" customFormat="1">
      <c r="A59" s="199">
        <v>1984</v>
      </c>
      <c r="B59" s="380"/>
      <c r="C59" s="965" t="s">
        <v>163</v>
      </c>
      <c r="D59" s="965"/>
      <c r="E59" s="199">
        <v>347</v>
      </c>
      <c r="F59" s="199"/>
      <c r="G59" s="381"/>
      <c r="H59" s="199"/>
      <c r="I59" s="199">
        <v>13</v>
      </c>
      <c r="J59" s="382">
        <v>13</v>
      </c>
      <c r="K59" s="338">
        <f t="shared" si="20"/>
        <v>0</v>
      </c>
      <c r="L59" s="338">
        <f t="shared" si="21"/>
        <v>0</v>
      </c>
      <c r="M59" s="338">
        <f t="shared" si="22"/>
        <v>100</v>
      </c>
      <c r="N59" s="339">
        <f t="shared" si="3"/>
        <v>100</v>
      </c>
      <c r="O59" s="383"/>
      <c r="P59" s="384"/>
      <c r="Q59" s="384">
        <v>60</v>
      </c>
      <c r="R59" s="385">
        <f t="shared" si="4"/>
        <v>60</v>
      </c>
      <c r="S59" s="386">
        <v>1</v>
      </c>
      <c r="T59" s="342"/>
      <c r="U59" s="355"/>
      <c r="V59" s="387" t="s">
        <v>78</v>
      </c>
      <c r="W59" s="388" t="s">
        <v>20</v>
      </c>
      <c r="X59" s="388" t="s">
        <v>12</v>
      </c>
      <c r="Y59" s="389">
        <v>60</v>
      </c>
      <c r="Z59" s="388"/>
      <c r="AA59" s="388"/>
      <c r="AB59" s="388"/>
      <c r="AC59" s="388"/>
      <c r="AD59" s="387"/>
      <c r="AE59" s="388"/>
      <c r="AF59" s="388"/>
      <c r="AG59" s="389"/>
      <c r="AH59" s="388"/>
      <c r="AI59" s="388"/>
      <c r="AJ59" s="388"/>
      <c r="AK59" s="388"/>
      <c r="AL59" s="387"/>
      <c r="AM59" s="388"/>
      <c r="AN59" s="388"/>
      <c r="AO59" s="389"/>
      <c r="AP59" s="387"/>
      <c r="AQ59" s="388"/>
      <c r="AR59" s="388"/>
      <c r="AS59" s="389"/>
      <c r="AT59" s="390"/>
      <c r="AW59" s="389"/>
      <c r="AX59" s="392"/>
      <c r="AY59" s="392"/>
      <c r="AZ59" s="392"/>
      <c r="BA59" s="393"/>
    </row>
    <row r="60" spans="1:53" s="100" customFormat="1">
      <c r="A60" s="87">
        <v>1984</v>
      </c>
      <c r="B60" s="88">
        <v>31029</v>
      </c>
      <c r="C60" s="966" t="s">
        <v>164</v>
      </c>
      <c r="D60" s="966"/>
      <c r="E60" s="87">
        <v>19</v>
      </c>
      <c r="F60" s="87">
        <v>1</v>
      </c>
      <c r="G60" s="89"/>
      <c r="H60" s="87"/>
      <c r="I60" s="87">
        <v>17</v>
      </c>
      <c r="J60" s="90">
        <v>17</v>
      </c>
      <c r="K60" s="77">
        <f t="shared" si="20"/>
        <v>0</v>
      </c>
      <c r="L60" s="77">
        <f t="shared" si="21"/>
        <v>0</v>
      </c>
      <c r="M60" s="77">
        <f t="shared" si="22"/>
        <v>100</v>
      </c>
      <c r="N60" s="78">
        <f t="shared" si="3"/>
        <v>100</v>
      </c>
      <c r="O60" s="91"/>
      <c r="P60" s="92"/>
      <c r="Q60" s="92">
        <v>55.4</v>
      </c>
      <c r="R60" s="93">
        <f t="shared" si="4"/>
        <v>55.4</v>
      </c>
      <c r="S60" s="102">
        <v>1</v>
      </c>
      <c r="T60" s="95">
        <v>31017</v>
      </c>
      <c r="U60" s="85">
        <v>31029</v>
      </c>
      <c r="V60" s="96" t="s">
        <v>78</v>
      </c>
      <c r="W60" s="97" t="s">
        <v>20</v>
      </c>
      <c r="X60" s="97" t="s">
        <v>12</v>
      </c>
      <c r="Y60" s="98">
        <v>55.4</v>
      </c>
      <c r="Z60" s="97"/>
      <c r="AA60" s="97"/>
      <c r="AB60" s="97"/>
      <c r="AC60" s="97"/>
      <c r="AD60" s="96"/>
      <c r="AE60" s="97"/>
      <c r="AF60" s="97"/>
      <c r="AG60" s="98"/>
      <c r="AH60" s="97"/>
      <c r="AI60" s="97"/>
      <c r="AJ60" s="97"/>
      <c r="AK60" s="97"/>
      <c r="AL60" s="96"/>
      <c r="AM60" s="97"/>
      <c r="AN60" s="97"/>
      <c r="AO60" s="98"/>
      <c r="AP60" s="96"/>
      <c r="AQ60" s="97"/>
      <c r="AR60" s="97"/>
      <c r="AS60" s="98"/>
      <c r="AT60" s="99"/>
      <c r="AW60" s="98"/>
      <c r="AX60" s="324"/>
      <c r="AY60" s="324"/>
      <c r="AZ60" s="324"/>
      <c r="BA60" s="330"/>
    </row>
    <row r="61" spans="1:53" s="100" customFormat="1">
      <c r="A61" s="87">
        <v>1985</v>
      </c>
      <c r="B61" s="88"/>
      <c r="C61" s="966" t="s">
        <v>164</v>
      </c>
      <c r="D61" s="966"/>
      <c r="E61" s="87">
        <v>0</v>
      </c>
      <c r="F61" s="87"/>
      <c r="G61" s="89"/>
      <c r="H61" s="87"/>
      <c r="I61" s="87">
        <v>17</v>
      </c>
      <c r="J61" s="90">
        <v>17</v>
      </c>
      <c r="K61" s="77">
        <f t="shared" si="20"/>
        <v>0</v>
      </c>
      <c r="L61" s="77">
        <f t="shared" si="21"/>
        <v>0</v>
      </c>
      <c r="M61" s="77">
        <f t="shared" si="22"/>
        <v>100</v>
      </c>
      <c r="N61" s="78">
        <f t="shared" si="3"/>
        <v>100</v>
      </c>
      <c r="O61" s="91"/>
      <c r="P61" s="92"/>
      <c r="Q61" s="92">
        <v>55.4</v>
      </c>
      <c r="R61" s="93">
        <f t="shared" si="4"/>
        <v>55.4</v>
      </c>
      <c r="S61" s="102">
        <v>1</v>
      </c>
      <c r="T61" s="95"/>
      <c r="U61" s="85"/>
      <c r="V61" s="96" t="s">
        <v>78</v>
      </c>
      <c r="W61" s="97" t="s">
        <v>20</v>
      </c>
      <c r="X61" s="97" t="s">
        <v>12</v>
      </c>
      <c r="Y61" s="98">
        <v>55.4</v>
      </c>
      <c r="Z61" s="97"/>
      <c r="AA61" s="97"/>
      <c r="AB61" s="97"/>
      <c r="AC61" s="97"/>
      <c r="AD61" s="96"/>
      <c r="AE61" s="97"/>
      <c r="AF61" s="97"/>
      <c r="AG61" s="98"/>
      <c r="AH61" s="97"/>
      <c r="AI61" s="97"/>
      <c r="AJ61" s="97"/>
      <c r="AK61" s="97"/>
      <c r="AL61" s="96"/>
      <c r="AM61" s="97"/>
      <c r="AN61" s="97"/>
      <c r="AO61" s="98"/>
      <c r="AP61" s="96"/>
      <c r="AQ61" s="97"/>
      <c r="AR61" s="97"/>
      <c r="AS61" s="98"/>
      <c r="AT61" s="99"/>
      <c r="AW61" s="98"/>
      <c r="AX61" s="324"/>
      <c r="AY61" s="324"/>
      <c r="AZ61" s="324"/>
      <c r="BA61" s="330"/>
    </row>
    <row r="62" spans="1:53" s="100" customFormat="1">
      <c r="A62" s="87">
        <v>1985</v>
      </c>
      <c r="B62" s="88"/>
      <c r="C62" s="966" t="s">
        <v>164</v>
      </c>
      <c r="D62" s="966"/>
      <c r="E62" s="87">
        <f>365-E61</f>
        <v>365</v>
      </c>
      <c r="F62" s="87"/>
      <c r="G62" s="89"/>
      <c r="H62" s="87"/>
      <c r="I62" s="87">
        <v>17</v>
      </c>
      <c r="J62" s="90">
        <v>17</v>
      </c>
      <c r="K62" s="77">
        <f t="shared" si="20"/>
        <v>0</v>
      </c>
      <c r="L62" s="77">
        <f t="shared" si="21"/>
        <v>0</v>
      </c>
      <c r="M62" s="77">
        <f t="shared" si="22"/>
        <v>100</v>
      </c>
      <c r="N62" s="78">
        <f t="shared" si="3"/>
        <v>100</v>
      </c>
      <c r="O62" s="91"/>
      <c r="P62" s="92"/>
      <c r="Q62" s="92">
        <v>55.4</v>
      </c>
      <c r="R62" s="93">
        <f t="shared" si="4"/>
        <v>55.4</v>
      </c>
      <c r="S62" s="102">
        <v>1</v>
      </c>
      <c r="T62" s="95"/>
      <c r="U62" s="85"/>
      <c r="V62" s="96" t="s">
        <v>78</v>
      </c>
      <c r="W62" s="97" t="s">
        <v>20</v>
      </c>
      <c r="X62" s="97" t="s">
        <v>12</v>
      </c>
      <c r="Y62" s="98">
        <v>55.4</v>
      </c>
      <c r="Z62" s="97"/>
      <c r="AA62" s="97"/>
      <c r="AB62" s="97"/>
      <c r="AC62" s="97"/>
      <c r="AD62" s="96"/>
      <c r="AE62" s="97"/>
      <c r="AF62" s="97"/>
      <c r="AG62" s="98"/>
      <c r="AH62" s="97"/>
      <c r="AI62" s="97"/>
      <c r="AJ62" s="97"/>
      <c r="AK62" s="97"/>
      <c r="AL62" s="96"/>
      <c r="AM62" s="97"/>
      <c r="AN62" s="97"/>
      <c r="AO62" s="98"/>
      <c r="AP62" s="96"/>
      <c r="AQ62" s="97"/>
      <c r="AR62" s="97"/>
      <c r="AS62" s="98"/>
      <c r="AT62" s="99"/>
      <c r="AW62" s="98"/>
      <c r="AX62" s="324"/>
      <c r="AY62" s="324"/>
      <c r="AZ62" s="324"/>
      <c r="BA62" s="330"/>
    </row>
    <row r="63" spans="1:53" s="100" customFormat="1">
      <c r="A63" s="87">
        <v>1986</v>
      </c>
      <c r="B63" s="88"/>
      <c r="C63" s="966" t="s">
        <v>164</v>
      </c>
      <c r="D63" s="966"/>
      <c r="E63" s="87">
        <v>0</v>
      </c>
      <c r="F63" s="87"/>
      <c r="G63" s="89"/>
      <c r="H63" s="87"/>
      <c r="I63" s="87">
        <v>17</v>
      </c>
      <c r="J63" s="90">
        <v>17</v>
      </c>
      <c r="K63" s="77">
        <f t="shared" si="20"/>
        <v>0</v>
      </c>
      <c r="L63" s="77">
        <f t="shared" si="21"/>
        <v>0</v>
      </c>
      <c r="M63" s="77">
        <f t="shared" si="22"/>
        <v>100</v>
      </c>
      <c r="N63" s="78">
        <f t="shared" si="3"/>
        <v>100</v>
      </c>
      <c r="O63" s="91"/>
      <c r="P63" s="92"/>
      <c r="Q63" s="92">
        <v>55.4</v>
      </c>
      <c r="R63" s="93">
        <f t="shared" si="4"/>
        <v>55.4</v>
      </c>
      <c r="S63" s="102">
        <v>1</v>
      </c>
      <c r="T63" s="95"/>
      <c r="U63" s="85"/>
      <c r="V63" s="96" t="s">
        <v>78</v>
      </c>
      <c r="W63" s="97" t="s">
        <v>20</v>
      </c>
      <c r="X63" s="97" t="s">
        <v>12</v>
      </c>
      <c r="Y63" s="98">
        <v>55.4</v>
      </c>
      <c r="Z63" s="97"/>
      <c r="AA63" s="97"/>
      <c r="AB63" s="97"/>
      <c r="AC63" s="97"/>
      <c r="AD63" s="96"/>
      <c r="AE63" s="97"/>
      <c r="AF63" s="97"/>
      <c r="AG63" s="98"/>
      <c r="AH63" s="97"/>
      <c r="AI63" s="97"/>
      <c r="AJ63" s="97"/>
      <c r="AK63" s="97"/>
      <c r="AL63" s="96"/>
      <c r="AM63" s="97"/>
      <c r="AN63" s="97"/>
      <c r="AO63" s="98"/>
      <c r="AP63" s="96"/>
      <c r="AQ63" s="97"/>
      <c r="AR63" s="97"/>
      <c r="AS63" s="98"/>
      <c r="AT63" s="99"/>
      <c r="AW63" s="98"/>
      <c r="AX63" s="324"/>
      <c r="AY63" s="324"/>
      <c r="AZ63" s="324"/>
      <c r="BA63" s="330"/>
    </row>
    <row r="64" spans="1:53" s="100" customFormat="1">
      <c r="A64" s="87">
        <v>1986</v>
      </c>
      <c r="B64" s="88"/>
      <c r="C64" s="966" t="s">
        <v>164</v>
      </c>
      <c r="D64" s="966"/>
      <c r="E64" s="87">
        <f>365-E63</f>
        <v>365</v>
      </c>
      <c r="F64" s="87"/>
      <c r="G64" s="89"/>
      <c r="H64" s="87"/>
      <c r="I64" s="87">
        <v>17</v>
      </c>
      <c r="J64" s="90">
        <v>17</v>
      </c>
      <c r="K64" s="77">
        <f t="shared" si="20"/>
        <v>0</v>
      </c>
      <c r="L64" s="77">
        <f t="shared" si="21"/>
        <v>0</v>
      </c>
      <c r="M64" s="77">
        <f t="shared" si="22"/>
        <v>100</v>
      </c>
      <c r="N64" s="78">
        <f t="shared" si="3"/>
        <v>100</v>
      </c>
      <c r="O64" s="91"/>
      <c r="P64" s="92"/>
      <c r="Q64" s="92">
        <v>55.4</v>
      </c>
      <c r="R64" s="93">
        <f t="shared" si="4"/>
        <v>55.4</v>
      </c>
      <c r="S64" s="102">
        <v>1</v>
      </c>
      <c r="T64" s="95"/>
      <c r="U64" s="85"/>
      <c r="V64" s="96" t="s">
        <v>78</v>
      </c>
      <c r="W64" s="97" t="s">
        <v>20</v>
      </c>
      <c r="X64" s="97" t="s">
        <v>12</v>
      </c>
      <c r="Y64" s="98">
        <v>55.4</v>
      </c>
      <c r="Z64" s="97"/>
      <c r="AA64" s="97"/>
      <c r="AB64" s="97"/>
      <c r="AC64" s="97"/>
      <c r="AD64" s="96"/>
      <c r="AE64" s="97"/>
      <c r="AF64" s="97"/>
      <c r="AG64" s="98"/>
      <c r="AH64" s="97"/>
      <c r="AI64" s="97"/>
      <c r="AJ64" s="97"/>
      <c r="AK64" s="97"/>
      <c r="AL64" s="96"/>
      <c r="AM64" s="97"/>
      <c r="AN64" s="97"/>
      <c r="AO64" s="98"/>
      <c r="AP64" s="96"/>
      <c r="AQ64" s="97"/>
      <c r="AR64" s="97"/>
      <c r="AS64" s="98"/>
      <c r="AT64" s="99"/>
      <c r="AW64" s="98"/>
      <c r="AX64" s="324"/>
      <c r="AY64" s="324"/>
      <c r="AZ64" s="324"/>
      <c r="BA64" s="330"/>
    </row>
    <row r="65" spans="1:53" s="100" customFormat="1">
      <c r="A65" s="87">
        <v>1987</v>
      </c>
      <c r="B65" s="88"/>
      <c r="C65" s="966" t="s">
        <v>164</v>
      </c>
      <c r="D65" s="966"/>
      <c r="E65" s="87">
        <v>202</v>
      </c>
      <c r="F65" s="87"/>
      <c r="G65" s="89"/>
      <c r="H65" s="87"/>
      <c r="I65" s="87">
        <v>17</v>
      </c>
      <c r="J65" s="90">
        <v>17</v>
      </c>
      <c r="K65" s="77">
        <f t="shared" ref="K65:K76" si="23">G65/J65*100</f>
        <v>0</v>
      </c>
      <c r="L65" s="77">
        <f t="shared" ref="L65:L76" si="24">H65/J65*100</f>
        <v>0</v>
      </c>
      <c r="M65" s="77">
        <f t="shared" ref="M65:M76" si="25">I65/J65*100</f>
        <v>100</v>
      </c>
      <c r="N65" s="78">
        <f t="shared" si="3"/>
        <v>100</v>
      </c>
      <c r="O65" s="91"/>
      <c r="P65" s="92"/>
      <c r="Q65" s="92">
        <v>55.4</v>
      </c>
      <c r="R65" s="93">
        <f t="shared" si="4"/>
        <v>55.4</v>
      </c>
      <c r="S65" s="102">
        <v>1</v>
      </c>
      <c r="T65" s="95"/>
      <c r="U65" s="85"/>
      <c r="V65" s="96" t="s">
        <v>78</v>
      </c>
      <c r="W65" s="97" t="s">
        <v>20</v>
      </c>
      <c r="X65" s="97" t="s">
        <v>12</v>
      </c>
      <c r="Y65" s="98">
        <v>55.4</v>
      </c>
      <c r="Z65" s="97"/>
      <c r="AA65" s="97"/>
      <c r="AB65" s="97"/>
      <c r="AC65" s="97"/>
      <c r="AD65" s="96"/>
      <c r="AE65" s="97"/>
      <c r="AF65" s="97"/>
      <c r="AG65" s="98"/>
      <c r="AH65" s="97"/>
      <c r="AI65" s="97"/>
      <c r="AJ65" s="97"/>
      <c r="AK65" s="97"/>
      <c r="AL65" s="96"/>
      <c r="AM65" s="97"/>
      <c r="AN65" s="97"/>
      <c r="AO65" s="98"/>
      <c r="AP65" s="96"/>
      <c r="AQ65" s="97"/>
      <c r="AR65" s="97"/>
      <c r="AS65" s="98"/>
      <c r="AT65" s="99"/>
      <c r="AW65" s="98"/>
      <c r="AX65" s="324"/>
      <c r="AY65" s="324"/>
      <c r="AZ65" s="324"/>
      <c r="BA65" s="330"/>
    </row>
    <row r="66" spans="1:53" s="391" customFormat="1">
      <c r="A66" s="199">
        <v>1987</v>
      </c>
      <c r="B66" s="380">
        <v>31980</v>
      </c>
      <c r="C66" s="965" t="s">
        <v>165</v>
      </c>
      <c r="D66" s="965"/>
      <c r="E66" s="199">
        <f>365-E65</f>
        <v>163</v>
      </c>
      <c r="F66" s="199">
        <v>1</v>
      </c>
      <c r="G66" s="381"/>
      <c r="H66" s="199"/>
      <c r="I66" s="199">
        <v>16</v>
      </c>
      <c r="J66" s="382">
        <v>16</v>
      </c>
      <c r="K66" s="338">
        <f t="shared" si="23"/>
        <v>0</v>
      </c>
      <c r="L66" s="338">
        <f t="shared" si="24"/>
        <v>0</v>
      </c>
      <c r="M66" s="338">
        <f t="shared" si="25"/>
        <v>100</v>
      </c>
      <c r="N66" s="339">
        <f t="shared" si="3"/>
        <v>100</v>
      </c>
      <c r="O66" s="383"/>
      <c r="P66" s="384"/>
      <c r="Q66" s="384">
        <v>58.1</v>
      </c>
      <c r="R66" s="385">
        <f t="shared" si="4"/>
        <v>58.1</v>
      </c>
      <c r="S66" s="386">
        <v>1</v>
      </c>
      <c r="T66" s="342">
        <v>31969</v>
      </c>
      <c r="U66" s="355">
        <v>31980</v>
      </c>
      <c r="V66" s="387" t="s">
        <v>78</v>
      </c>
      <c r="W66" s="388" t="s">
        <v>20</v>
      </c>
      <c r="X66" s="388" t="s">
        <v>12</v>
      </c>
      <c r="Y66" s="389">
        <v>58.1</v>
      </c>
      <c r="Z66" s="388"/>
      <c r="AA66" s="388"/>
      <c r="AB66" s="388"/>
      <c r="AC66" s="388"/>
      <c r="AD66" s="387"/>
      <c r="AE66" s="388"/>
      <c r="AF66" s="388"/>
      <c r="AG66" s="389"/>
      <c r="AH66" s="388"/>
      <c r="AI66" s="388"/>
      <c r="AJ66" s="388"/>
      <c r="AK66" s="388"/>
      <c r="AL66" s="387"/>
      <c r="AM66" s="388"/>
      <c r="AN66" s="388"/>
      <c r="AO66" s="389"/>
      <c r="AP66" s="387"/>
      <c r="AQ66" s="388"/>
      <c r="AR66" s="388"/>
      <c r="AS66" s="389"/>
      <c r="AT66" s="390"/>
      <c r="AW66" s="389"/>
      <c r="AX66" s="392"/>
      <c r="AY66" s="392"/>
      <c r="AZ66" s="392"/>
      <c r="BA66" s="393"/>
    </row>
    <row r="67" spans="1:53" s="391" customFormat="1">
      <c r="A67" s="199">
        <v>1988</v>
      </c>
      <c r="B67" s="380"/>
      <c r="C67" s="965" t="s">
        <v>165</v>
      </c>
      <c r="D67" s="965"/>
      <c r="E67" s="199">
        <v>0</v>
      </c>
      <c r="F67" s="199"/>
      <c r="G67" s="381"/>
      <c r="H67" s="199"/>
      <c r="I67" s="199">
        <v>16</v>
      </c>
      <c r="J67" s="382">
        <v>16</v>
      </c>
      <c r="K67" s="338">
        <f t="shared" si="23"/>
        <v>0</v>
      </c>
      <c r="L67" s="338">
        <f t="shared" si="24"/>
        <v>0</v>
      </c>
      <c r="M67" s="338">
        <f t="shared" si="25"/>
        <v>100</v>
      </c>
      <c r="N67" s="339">
        <f t="shared" si="3"/>
        <v>100</v>
      </c>
      <c r="O67" s="383"/>
      <c r="P67" s="384"/>
      <c r="Q67" s="384">
        <v>58.1</v>
      </c>
      <c r="R67" s="385">
        <f t="shared" si="4"/>
        <v>58.1</v>
      </c>
      <c r="S67" s="386">
        <v>1</v>
      </c>
      <c r="T67" s="342"/>
      <c r="U67" s="355"/>
      <c r="V67" s="387" t="s">
        <v>78</v>
      </c>
      <c r="W67" s="388" t="s">
        <v>20</v>
      </c>
      <c r="X67" s="388" t="s">
        <v>12</v>
      </c>
      <c r="Y67" s="389">
        <v>58.1</v>
      </c>
      <c r="Z67" s="388"/>
      <c r="AA67" s="388"/>
      <c r="AB67" s="388"/>
      <c r="AC67" s="388"/>
      <c r="AD67" s="387"/>
      <c r="AE67" s="388"/>
      <c r="AF67" s="388"/>
      <c r="AG67" s="389"/>
      <c r="AH67" s="388"/>
      <c r="AI67" s="388"/>
      <c r="AJ67" s="388"/>
      <c r="AK67" s="388"/>
      <c r="AL67" s="387"/>
      <c r="AM67" s="388"/>
      <c r="AN67" s="388"/>
      <c r="AO67" s="389"/>
      <c r="AP67" s="387"/>
      <c r="AQ67" s="388"/>
      <c r="AR67" s="388"/>
      <c r="AS67" s="389"/>
      <c r="AT67" s="390"/>
      <c r="AW67" s="389"/>
      <c r="AX67" s="392"/>
      <c r="AY67" s="392"/>
      <c r="AZ67" s="392"/>
      <c r="BA67" s="393"/>
    </row>
    <row r="68" spans="1:53" s="391" customFormat="1">
      <c r="A68" s="199">
        <v>1988</v>
      </c>
      <c r="B68" s="380"/>
      <c r="C68" s="965" t="s">
        <v>165</v>
      </c>
      <c r="D68" s="965"/>
      <c r="E68" s="199">
        <v>366</v>
      </c>
      <c r="F68" s="199"/>
      <c r="G68" s="381"/>
      <c r="H68" s="199"/>
      <c r="I68" s="199">
        <v>16</v>
      </c>
      <c r="J68" s="382">
        <v>16</v>
      </c>
      <c r="K68" s="338">
        <f t="shared" si="23"/>
        <v>0</v>
      </c>
      <c r="L68" s="338">
        <f t="shared" si="24"/>
        <v>0</v>
      </c>
      <c r="M68" s="338">
        <f t="shared" si="25"/>
        <v>100</v>
      </c>
      <c r="N68" s="339">
        <f t="shared" si="3"/>
        <v>100</v>
      </c>
      <c r="O68" s="383"/>
      <c r="P68" s="384"/>
      <c r="Q68" s="384">
        <v>58.1</v>
      </c>
      <c r="R68" s="385">
        <f t="shared" si="4"/>
        <v>58.1</v>
      </c>
      <c r="S68" s="386">
        <v>1</v>
      </c>
      <c r="T68" s="342"/>
      <c r="U68" s="355"/>
      <c r="V68" s="387" t="s">
        <v>78</v>
      </c>
      <c r="W68" s="388" t="s">
        <v>20</v>
      </c>
      <c r="X68" s="388" t="s">
        <v>12</v>
      </c>
      <c r="Y68" s="389">
        <v>58.1</v>
      </c>
      <c r="Z68" s="388"/>
      <c r="AA68" s="388"/>
      <c r="AB68" s="388"/>
      <c r="AC68" s="388"/>
      <c r="AD68" s="387"/>
      <c r="AE68" s="388"/>
      <c r="AF68" s="388"/>
      <c r="AG68" s="389"/>
      <c r="AH68" s="388"/>
      <c r="AI68" s="388"/>
      <c r="AJ68" s="388"/>
      <c r="AK68" s="388"/>
      <c r="AL68" s="387"/>
      <c r="AM68" s="388"/>
      <c r="AN68" s="388"/>
      <c r="AO68" s="389"/>
      <c r="AP68" s="387"/>
      <c r="AQ68" s="388"/>
      <c r="AR68" s="388"/>
      <c r="AS68" s="389"/>
      <c r="AT68" s="390"/>
      <c r="AW68" s="389"/>
      <c r="AX68" s="392"/>
      <c r="AY68" s="392"/>
      <c r="AZ68" s="392"/>
      <c r="BA68" s="393"/>
    </row>
    <row r="69" spans="1:53" s="391" customFormat="1">
      <c r="A69" s="199">
        <v>1989</v>
      </c>
      <c r="B69" s="380"/>
      <c r="C69" s="965" t="s">
        <v>165</v>
      </c>
      <c r="D69" s="965"/>
      <c r="E69" s="199">
        <v>0</v>
      </c>
      <c r="F69" s="199"/>
      <c r="G69" s="381"/>
      <c r="H69" s="199"/>
      <c r="I69" s="199">
        <v>16</v>
      </c>
      <c r="J69" s="382">
        <v>16</v>
      </c>
      <c r="K69" s="338">
        <f t="shared" si="23"/>
        <v>0</v>
      </c>
      <c r="L69" s="338">
        <f t="shared" si="24"/>
        <v>0</v>
      </c>
      <c r="M69" s="338">
        <f t="shared" si="25"/>
        <v>100</v>
      </c>
      <c r="N69" s="339">
        <f t="shared" si="3"/>
        <v>100</v>
      </c>
      <c r="O69" s="383"/>
      <c r="P69" s="384"/>
      <c r="Q69" s="384">
        <v>58.1</v>
      </c>
      <c r="R69" s="385">
        <f t="shared" si="4"/>
        <v>58.1</v>
      </c>
      <c r="S69" s="386">
        <v>1</v>
      </c>
      <c r="T69" s="342"/>
      <c r="U69" s="355"/>
      <c r="V69" s="387" t="s">
        <v>78</v>
      </c>
      <c r="W69" s="388" t="s">
        <v>20</v>
      </c>
      <c r="X69" s="388" t="s">
        <v>12</v>
      </c>
      <c r="Y69" s="389">
        <v>58.1</v>
      </c>
      <c r="Z69" s="388"/>
      <c r="AA69" s="388"/>
      <c r="AB69" s="388"/>
      <c r="AC69" s="388"/>
      <c r="AD69" s="387"/>
      <c r="AE69" s="388"/>
      <c r="AF69" s="388"/>
      <c r="AG69" s="389"/>
      <c r="AH69" s="388"/>
      <c r="AI69" s="388"/>
      <c r="AJ69" s="388"/>
      <c r="AK69" s="388"/>
      <c r="AL69" s="387"/>
      <c r="AM69" s="388"/>
      <c r="AN69" s="388"/>
      <c r="AO69" s="389"/>
      <c r="AP69" s="387"/>
      <c r="AQ69" s="388"/>
      <c r="AR69" s="388"/>
      <c r="AS69" s="389"/>
      <c r="AT69" s="390"/>
      <c r="AW69" s="389"/>
      <c r="AX69" s="392"/>
      <c r="AY69" s="392"/>
      <c r="AZ69" s="392"/>
      <c r="BA69" s="393"/>
    </row>
    <row r="70" spans="1:53" s="202" customFormat="1">
      <c r="A70" s="204">
        <v>1989</v>
      </c>
      <c r="B70" s="398"/>
      <c r="C70" s="964" t="s">
        <v>165</v>
      </c>
      <c r="D70" s="964"/>
      <c r="E70" s="204">
        <f>365-E69</f>
        <v>365</v>
      </c>
      <c r="F70" s="204"/>
      <c r="G70" s="399"/>
      <c r="H70" s="204"/>
      <c r="I70" s="204">
        <v>16</v>
      </c>
      <c r="J70" s="400">
        <v>16</v>
      </c>
      <c r="K70" s="401">
        <f t="shared" si="23"/>
        <v>0</v>
      </c>
      <c r="L70" s="401">
        <f t="shared" si="24"/>
        <v>0</v>
      </c>
      <c r="M70" s="401">
        <f t="shared" si="25"/>
        <v>100</v>
      </c>
      <c r="N70" s="402">
        <f t="shared" si="3"/>
        <v>100</v>
      </c>
      <c r="O70" s="403"/>
      <c r="P70" s="404"/>
      <c r="Q70" s="404">
        <v>58.1</v>
      </c>
      <c r="R70" s="405">
        <f t="shared" si="4"/>
        <v>58.1</v>
      </c>
      <c r="S70" s="201">
        <v>1</v>
      </c>
      <c r="T70" s="406"/>
      <c r="U70" s="407"/>
      <c r="V70" s="408" t="s">
        <v>78</v>
      </c>
      <c r="W70" s="409" t="s">
        <v>20</v>
      </c>
      <c r="X70" s="409" t="s">
        <v>12</v>
      </c>
      <c r="Y70" s="410">
        <v>58.1</v>
      </c>
      <c r="Z70" s="409"/>
      <c r="AA70" s="409"/>
      <c r="AB70" s="409"/>
      <c r="AC70" s="409"/>
      <c r="AD70" s="408"/>
      <c r="AE70" s="409"/>
      <c r="AF70" s="409"/>
      <c r="AG70" s="410"/>
      <c r="AH70" s="409"/>
      <c r="AI70" s="409"/>
      <c r="AJ70" s="409"/>
      <c r="AK70" s="409"/>
      <c r="AL70" s="408"/>
      <c r="AM70" s="409"/>
      <c r="AN70" s="409"/>
      <c r="AO70" s="410"/>
      <c r="AP70" s="408"/>
      <c r="AQ70" s="409"/>
      <c r="AR70" s="409"/>
      <c r="AS70" s="410"/>
      <c r="AT70" s="409"/>
      <c r="AW70" s="410"/>
      <c r="BA70" s="411"/>
    </row>
    <row r="71" spans="1:53" s="391" customFormat="1">
      <c r="A71" s="199">
        <v>1990</v>
      </c>
      <c r="B71" s="380"/>
      <c r="C71" s="965" t="s">
        <v>165</v>
      </c>
      <c r="D71" s="965"/>
      <c r="E71" s="199">
        <v>93</v>
      </c>
      <c r="F71" s="199"/>
      <c r="G71" s="381"/>
      <c r="H71" s="199"/>
      <c r="I71" s="199">
        <v>16</v>
      </c>
      <c r="J71" s="382">
        <v>16</v>
      </c>
      <c r="K71" s="338">
        <f t="shared" si="23"/>
        <v>0</v>
      </c>
      <c r="L71" s="338">
        <f t="shared" si="24"/>
        <v>0</v>
      </c>
      <c r="M71" s="338">
        <f t="shared" si="25"/>
        <v>100</v>
      </c>
      <c r="N71" s="339">
        <f t="shared" si="3"/>
        <v>100</v>
      </c>
      <c r="O71" s="383"/>
      <c r="P71" s="384"/>
      <c r="Q71" s="384">
        <v>58.1</v>
      </c>
      <c r="R71" s="385">
        <f>SUM(O71:Q71)</f>
        <v>58.1</v>
      </c>
      <c r="S71" s="386">
        <v>1</v>
      </c>
      <c r="T71" s="342"/>
      <c r="U71" s="355"/>
      <c r="V71" s="387" t="s">
        <v>78</v>
      </c>
      <c r="W71" s="388" t="s">
        <v>20</v>
      </c>
      <c r="X71" s="388" t="s">
        <v>12</v>
      </c>
      <c r="Y71" s="389">
        <v>58.1</v>
      </c>
      <c r="Z71" s="388"/>
      <c r="AA71" s="388"/>
      <c r="AB71" s="388"/>
      <c r="AC71" s="388"/>
      <c r="AD71" s="387"/>
      <c r="AE71" s="388"/>
      <c r="AF71" s="388"/>
      <c r="AG71" s="389"/>
      <c r="AH71" s="388"/>
      <c r="AI71" s="388"/>
      <c r="AJ71" s="388"/>
      <c r="AK71" s="388"/>
      <c r="AL71" s="387"/>
      <c r="AM71" s="388"/>
      <c r="AN71" s="388"/>
      <c r="AO71" s="389"/>
      <c r="AP71" s="387"/>
      <c r="AQ71" s="388"/>
      <c r="AR71" s="388"/>
      <c r="AS71" s="389"/>
      <c r="AT71" s="390"/>
      <c r="AW71" s="389"/>
      <c r="AX71" s="392"/>
      <c r="AY71" s="392"/>
      <c r="AZ71" s="392"/>
      <c r="BA71" s="393"/>
    </row>
    <row r="72" spans="1:53" s="100" customFormat="1">
      <c r="A72" s="87">
        <v>1990</v>
      </c>
      <c r="B72" s="88">
        <v>32967</v>
      </c>
      <c r="C72" s="966" t="s">
        <v>166</v>
      </c>
      <c r="D72" s="966"/>
      <c r="E72" s="87">
        <f>365-E71</f>
        <v>272</v>
      </c>
      <c r="F72" s="87">
        <v>1</v>
      </c>
      <c r="G72" s="89"/>
      <c r="H72" s="87"/>
      <c r="I72" s="87">
        <v>17</v>
      </c>
      <c r="J72" s="90">
        <v>17</v>
      </c>
      <c r="K72" s="77">
        <f t="shared" si="23"/>
        <v>0</v>
      </c>
      <c r="L72" s="77">
        <f t="shared" si="24"/>
        <v>0</v>
      </c>
      <c r="M72" s="77">
        <f t="shared" si="25"/>
        <v>100</v>
      </c>
      <c r="N72" s="78">
        <f t="shared" si="3"/>
        <v>100</v>
      </c>
      <c r="O72" s="91"/>
      <c r="P72" s="92"/>
      <c r="Q72" s="92">
        <v>52.7</v>
      </c>
      <c r="R72" s="93">
        <f t="shared" si="4"/>
        <v>52.7</v>
      </c>
      <c r="S72" s="102">
        <v>1</v>
      </c>
      <c r="T72" s="95">
        <v>32956</v>
      </c>
      <c r="U72" s="85">
        <v>32967</v>
      </c>
      <c r="V72" s="96" t="s">
        <v>78</v>
      </c>
      <c r="W72" s="97" t="s">
        <v>20</v>
      </c>
      <c r="X72" s="97" t="s">
        <v>12</v>
      </c>
      <c r="Y72" s="98">
        <v>52.7</v>
      </c>
      <c r="Z72" s="97"/>
      <c r="AA72" s="97"/>
      <c r="AB72" s="97"/>
      <c r="AC72" s="97"/>
      <c r="AD72" s="96"/>
      <c r="AE72" s="97"/>
      <c r="AF72" s="97"/>
      <c r="AG72" s="98"/>
      <c r="AH72" s="97"/>
      <c r="AI72" s="97"/>
      <c r="AJ72" s="97"/>
      <c r="AK72" s="97"/>
      <c r="AL72" s="96"/>
      <c r="AM72" s="97"/>
      <c r="AN72" s="97"/>
      <c r="AO72" s="98"/>
      <c r="AP72" s="96"/>
      <c r="AQ72" s="97"/>
      <c r="AR72" s="97"/>
      <c r="AS72" s="98"/>
      <c r="AT72" s="99"/>
      <c r="AW72" s="98"/>
      <c r="AX72" s="324"/>
      <c r="AY72" s="324"/>
      <c r="AZ72" s="324"/>
      <c r="BA72" s="330"/>
    </row>
    <row r="73" spans="1:53" s="100" customFormat="1">
      <c r="A73" s="87">
        <v>1991</v>
      </c>
      <c r="B73" s="88"/>
      <c r="C73" s="966" t="s">
        <v>166</v>
      </c>
      <c r="D73" s="966"/>
      <c r="E73" s="87">
        <v>360</v>
      </c>
      <c r="F73" s="87"/>
      <c r="G73" s="89"/>
      <c r="H73" s="87"/>
      <c r="I73" s="87">
        <v>17</v>
      </c>
      <c r="J73" s="90">
        <v>17</v>
      </c>
      <c r="K73" s="77">
        <f t="shared" si="23"/>
        <v>0</v>
      </c>
      <c r="L73" s="77">
        <f t="shared" si="24"/>
        <v>0</v>
      </c>
      <c r="M73" s="77">
        <f t="shared" si="25"/>
        <v>100</v>
      </c>
      <c r="N73" s="78">
        <f t="shared" ref="N73:N126" si="26">SUM(K73:M73)</f>
        <v>100</v>
      </c>
      <c r="O73" s="91"/>
      <c r="P73" s="92"/>
      <c r="Q73" s="92">
        <v>52.7</v>
      </c>
      <c r="R73" s="93">
        <f t="shared" ref="R73:R123" si="27">SUM(O73:Q73)</f>
        <v>52.7</v>
      </c>
      <c r="S73" s="102">
        <v>1</v>
      </c>
      <c r="T73" s="95"/>
      <c r="U73" s="85"/>
      <c r="V73" s="96" t="s">
        <v>78</v>
      </c>
      <c r="W73" s="97" t="s">
        <v>20</v>
      </c>
      <c r="X73" s="97" t="s">
        <v>12</v>
      </c>
      <c r="Y73" s="98">
        <v>52.7</v>
      </c>
      <c r="Z73" s="97"/>
      <c r="AA73" s="97"/>
      <c r="AB73" s="97"/>
      <c r="AC73" s="97"/>
      <c r="AD73" s="96"/>
      <c r="AE73" s="97"/>
      <c r="AF73" s="97"/>
      <c r="AG73" s="98"/>
      <c r="AH73" s="97"/>
      <c r="AI73" s="97"/>
      <c r="AJ73" s="97"/>
      <c r="AK73" s="97"/>
      <c r="AL73" s="96"/>
      <c r="AM73" s="97"/>
      <c r="AN73" s="97"/>
      <c r="AO73" s="98"/>
      <c r="AP73" s="96"/>
      <c r="AQ73" s="97"/>
      <c r="AR73" s="97"/>
      <c r="AS73" s="98"/>
      <c r="AT73" s="99"/>
      <c r="AW73" s="98"/>
      <c r="AX73" s="324"/>
      <c r="AY73" s="324"/>
      <c r="AZ73" s="324"/>
      <c r="BA73" s="330"/>
    </row>
    <row r="74" spans="1:53" s="391" customFormat="1">
      <c r="A74" s="199">
        <v>1991</v>
      </c>
      <c r="B74" s="380">
        <v>33599</v>
      </c>
      <c r="C74" s="962" t="s">
        <v>168</v>
      </c>
      <c r="D74" s="962"/>
      <c r="E74" s="199">
        <f>365-E73</f>
        <v>5</v>
      </c>
      <c r="F74" s="199">
        <v>2</v>
      </c>
      <c r="G74" s="381"/>
      <c r="H74" s="199"/>
      <c r="I74" s="199">
        <v>18</v>
      </c>
      <c r="J74" s="382">
        <v>18</v>
      </c>
      <c r="K74" s="338">
        <f t="shared" si="23"/>
        <v>0</v>
      </c>
      <c r="L74" s="338">
        <f t="shared" si="24"/>
        <v>0</v>
      </c>
      <c r="M74" s="338">
        <f t="shared" si="25"/>
        <v>100</v>
      </c>
      <c r="N74" s="339">
        <f t="shared" si="26"/>
        <v>100</v>
      </c>
      <c r="O74" s="383"/>
      <c r="P74" s="384"/>
      <c r="Q74" s="384">
        <v>52.7</v>
      </c>
      <c r="R74" s="385">
        <f t="shared" si="27"/>
        <v>52.7</v>
      </c>
      <c r="S74" s="386">
        <v>1</v>
      </c>
      <c r="T74" s="342"/>
      <c r="U74" s="355">
        <v>33599</v>
      </c>
      <c r="V74" s="387" t="s">
        <v>78</v>
      </c>
      <c r="W74" s="388" t="s">
        <v>20</v>
      </c>
      <c r="X74" s="388" t="s">
        <v>12</v>
      </c>
      <c r="Y74" s="389">
        <v>52.7</v>
      </c>
      <c r="Z74" s="388"/>
      <c r="AA74" s="388"/>
      <c r="AB74" s="388"/>
      <c r="AC74" s="388"/>
      <c r="AD74" s="387"/>
      <c r="AE74" s="388"/>
      <c r="AF74" s="388"/>
      <c r="AG74" s="389"/>
      <c r="AH74" s="388"/>
      <c r="AI74" s="388"/>
      <c r="AJ74" s="388"/>
      <c r="AK74" s="388"/>
      <c r="AL74" s="387"/>
      <c r="AM74" s="388"/>
      <c r="AN74" s="388"/>
      <c r="AO74" s="389"/>
      <c r="AP74" s="387"/>
      <c r="AQ74" s="388"/>
      <c r="AR74" s="388"/>
      <c r="AS74" s="389"/>
      <c r="AT74" s="390"/>
      <c r="AW74" s="389"/>
      <c r="AX74" s="392"/>
      <c r="AY74" s="392"/>
      <c r="AZ74" s="392"/>
      <c r="BA74" s="393"/>
    </row>
    <row r="75" spans="1:53" s="391" customFormat="1">
      <c r="A75" s="199">
        <v>1992</v>
      </c>
      <c r="B75" s="380"/>
      <c r="C75" s="962" t="s">
        <v>168</v>
      </c>
      <c r="D75" s="962"/>
      <c r="E75" s="199">
        <v>0</v>
      </c>
      <c r="F75" s="199"/>
      <c r="G75" s="381"/>
      <c r="H75" s="199"/>
      <c r="I75" s="199">
        <v>19</v>
      </c>
      <c r="J75" s="382">
        <v>19</v>
      </c>
      <c r="K75" s="338">
        <f t="shared" si="23"/>
        <v>0</v>
      </c>
      <c r="L75" s="338">
        <f t="shared" si="24"/>
        <v>0</v>
      </c>
      <c r="M75" s="338">
        <f t="shared" si="25"/>
        <v>100</v>
      </c>
      <c r="N75" s="339">
        <f t="shared" si="26"/>
        <v>100</v>
      </c>
      <c r="O75" s="383"/>
      <c r="P75" s="384"/>
      <c r="Q75" s="384">
        <v>52.7</v>
      </c>
      <c r="R75" s="385">
        <f t="shared" si="27"/>
        <v>52.7</v>
      </c>
      <c r="S75" s="386">
        <v>1</v>
      </c>
      <c r="T75" s="342"/>
      <c r="U75" s="355"/>
      <c r="V75" s="387" t="s">
        <v>78</v>
      </c>
      <c r="W75" s="388" t="s">
        <v>20</v>
      </c>
      <c r="X75" s="388" t="s">
        <v>12</v>
      </c>
      <c r="Y75" s="389">
        <v>52.7</v>
      </c>
      <c r="Z75" s="388"/>
      <c r="AA75" s="388"/>
      <c r="AB75" s="388"/>
      <c r="AC75" s="388"/>
      <c r="AD75" s="387"/>
      <c r="AE75" s="388"/>
      <c r="AF75" s="388"/>
      <c r="AG75" s="389"/>
      <c r="AH75" s="388"/>
      <c r="AI75" s="388"/>
      <c r="AJ75" s="388"/>
      <c r="AK75" s="388"/>
      <c r="AL75" s="387"/>
      <c r="AM75" s="388"/>
      <c r="AN75" s="388"/>
      <c r="AO75" s="389"/>
      <c r="AP75" s="387"/>
      <c r="AQ75" s="388"/>
      <c r="AR75" s="388"/>
      <c r="AS75" s="389"/>
      <c r="AT75" s="390"/>
      <c r="AW75" s="389"/>
      <c r="AX75" s="392"/>
      <c r="AY75" s="392"/>
      <c r="AZ75" s="392"/>
      <c r="BA75" s="393"/>
    </row>
    <row r="76" spans="1:53" s="391" customFormat="1">
      <c r="A76" s="199">
        <v>1992</v>
      </c>
      <c r="B76" s="380"/>
      <c r="C76" s="962" t="s">
        <v>168</v>
      </c>
      <c r="D76" s="962"/>
      <c r="E76" s="199">
        <v>366</v>
      </c>
      <c r="F76" s="199"/>
      <c r="G76" s="381"/>
      <c r="H76" s="199"/>
      <c r="I76" s="199">
        <v>19</v>
      </c>
      <c r="J76" s="382">
        <v>19</v>
      </c>
      <c r="K76" s="338">
        <f t="shared" si="23"/>
        <v>0</v>
      </c>
      <c r="L76" s="338">
        <f t="shared" si="24"/>
        <v>0</v>
      </c>
      <c r="M76" s="338">
        <f t="shared" si="25"/>
        <v>100</v>
      </c>
      <c r="N76" s="339">
        <f t="shared" si="26"/>
        <v>100</v>
      </c>
      <c r="O76" s="383"/>
      <c r="P76" s="384"/>
      <c r="Q76" s="384">
        <v>52.7</v>
      </c>
      <c r="R76" s="385">
        <f t="shared" si="27"/>
        <v>52.7</v>
      </c>
      <c r="S76" s="386">
        <v>1</v>
      </c>
      <c r="T76" s="342"/>
      <c r="U76" s="355"/>
      <c r="V76" s="387" t="s">
        <v>78</v>
      </c>
      <c r="W76" s="388" t="s">
        <v>20</v>
      </c>
      <c r="X76" s="388" t="s">
        <v>12</v>
      </c>
      <c r="Y76" s="389">
        <v>52.7</v>
      </c>
      <c r="Z76" s="388"/>
      <c r="AA76" s="388"/>
      <c r="AB76" s="388"/>
      <c r="AC76" s="388"/>
      <c r="AD76" s="387"/>
      <c r="AE76" s="388"/>
      <c r="AF76" s="388"/>
      <c r="AG76" s="389"/>
      <c r="AH76" s="388"/>
      <c r="AI76" s="388"/>
      <c r="AJ76" s="388"/>
      <c r="AK76" s="388"/>
      <c r="AL76" s="387"/>
      <c r="AM76" s="388"/>
      <c r="AN76" s="388"/>
      <c r="AO76" s="389"/>
      <c r="AP76" s="387"/>
      <c r="AQ76" s="388"/>
      <c r="AR76" s="388"/>
      <c r="AS76" s="389"/>
      <c r="AT76" s="390"/>
      <c r="AW76" s="389"/>
      <c r="AX76" s="392"/>
      <c r="AY76" s="392"/>
      <c r="AZ76" s="392"/>
      <c r="BA76" s="393"/>
    </row>
    <row r="77" spans="1:53" s="391" customFormat="1">
      <c r="A77" s="199">
        <v>1993</v>
      </c>
      <c r="B77" s="380"/>
      <c r="C77" s="962" t="s">
        <v>168</v>
      </c>
      <c r="D77" s="962"/>
      <c r="E77" s="199">
        <v>357</v>
      </c>
      <c r="F77" s="199"/>
      <c r="G77" s="381"/>
      <c r="H77" s="199"/>
      <c r="I77" s="199">
        <v>19</v>
      </c>
      <c r="J77" s="382">
        <v>19</v>
      </c>
      <c r="K77" s="338">
        <f t="shared" ref="K77:K98" si="28">G77/J77*100</f>
        <v>0</v>
      </c>
      <c r="L77" s="338">
        <f t="shared" ref="L77:L98" si="29">H77/J77*100</f>
        <v>0</v>
      </c>
      <c r="M77" s="338">
        <f t="shared" ref="M77:M98" si="30">I77/J77*100</f>
        <v>100</v>
      </c>
      <c r="N77" s="339">
        <f t="shared" si="26"/>
        <v>100</v>
      </c>
      <c r="O77" s="383"/>
      <c r="P77" s="384"/>
      <c r="Q77" s="384">
        <v>52.7</v>
      </c>
      <c r="R77" s="385">
        <f t="shared" si="27"/>
        <v>52.7</v>
      </c>
      <c r="S77" s="386">
        <v>1</v>
      </c>
      <c r="T77" s="342"/>
      <c r="U77" s="355"/>
      <c r="V77" s="387" t="s">
        <v>78</v>
      </c>
      <c r="W77" s="388" t="s">
        <v>20</v>
      </c>
      <c r="X77" s="388" t="s">
        <v>12</v>
      </c>
      <c r="Y77" s="389">
        <v>52.7</v>
      </c>
      <c r="Z77" s="388"/>
      <c r="AA77" s="388"/>
      <c r="AB77" s="388"/>
      <c r="AC77" s="388"/>
      <c r="AD77" s="387"/>
      <c r="AE77" s="388"/>
      <c r="AF77" s="388"/>
      <c r="AG77" s="389"/>
      <c r="AH77" s="388"/>
      <c r="AI77" s="388"/>
      <c r="AJ77" s="388"/>
      <c r="AK77" s="388"/>
      <c r="AL77" s="387"/>
      <c r="AM77" s="388"/>
      <c r="AN77" s="388"/>
      <c r="AO77" s="389"/>
      <c r="AP77" s="387"/>
      <c r="AQ77" s="388"/>
      <c r="AR77" s="388"/>
      <c r="AS77" s="389"/>
      <c r="AT77" s="390"/>
      <c r="AW77" s="389"/>
      <c r="AX77" s="392"/>
      <c r="AY77" s="392"/>
      <c r="AZ77" s="392"/>
      <c r="BA77" s="393"/>
    </row>
    <row r="78" spans="1:53" s="100" customFormat="1">
      <c r="A78" s="87">
        <v>1993</v>
      </c>
      <c r="B78" s="88">
        <v>34327</v>
      </c>
      <c r="C78" s="963" t="s">
        <v>167</v>
      </c>
      <c r="D78" s="963"/>
      <c r="E78" s="87">
        <f>365-E77</f>
        <v>8</v>
      </c>
      <c r="F78" s="87">
        <v>1</v>
      </c>
      <c r="G78" s="89"/>
      <c r="H78" s="87"/>
      <c r="I78" s="87">
        <v>18</v>
      </c>
      <c r="J78" s="90">
        <v>18</v>
      </c>
      <c r="K78" s="77">
        <f t="shared" si="28"/>
        <v>0</v>
      </c>
      <c r="L78" s="77">
        <f t="shared" si="29"/>
        <v>0</v>
      </c>
      <c r="M78" s="77">
        <f t="shared" si="30"/>
        <v>100</v>
      </c>
      <c r="N78" s="78">
        <f t="shared" si="26"/>
        <v>100</v>
      </c>
      <c r="O78" s="91"/>
      <c r="P78" s="92"/>
      <c r="Q78" s="92">
        <v>54.4</v>
      </c>
      <c r="R78" s="93">
        <f t="shared" si="27"/>
        <v>54.4</v>
      </c>
      <c r="S78" s="102">
        <v>1</v>
      </c>
      <c r="T78" s="95">
        <v>34041</v>
      </c>
      <c r="U78" s="85">
        <v>34327</v>
      </c>
      <c r="V78" s="96" t="s">
        <v>78</v>
      </c>
      <c r="W78" s="97" t="s">
        <v>20</v>
      </c>
      <c r="X78" s="97" t="s">
        <v>12</v>
      </c>
      <c r="Y78" s="98">
        <v>54.4</v>
      </c>
      <c r="Z78" s="97"/>
      <c r="AA78" s="97"/>
      <c r="AB78" s="97"/>
      <c r="AC78" s="97"/>
      <c r="AD78" s="96"/>
      <c r="AE78" s="97"/>
      <c r="AF78" s="97"/>
      <c r="AG78" s="98"/>
      <c r="AH78" s="97"/>
      <c r="AI78" s="97"/>
      <c r="AJ78" s="97"/>
      <c r="AK78" s="97"/>
      <c r="AL78" s="96"/>
      <c r="AM78" s="97"/>
      <c r="AN78" s="97"/>
      <c r="AO78" s="98"/>
      <c r="AP78" s="96"/>
      <c r="AQ78" s="97"/>
      <c r="AR78" s="97"/>
      <c r="AS78" s="98"/>
      <c r="AT78" s="99"/>
      <c r="AW78" s="98"/>
      <c r="AX78" s="324"/>
      <c r="AY78" s="324"/>
      <c r="AZ78" s="324"/>
      <c r="BA78" s="330"/>
    </row>
    <row r="79" spans="1:53" s="100" customFormat="1">
      <c r="A79" s="87">
        <v>1994</v>
      </c>
      <c r="B79" s="88"/>
      <c r="C79" s="963" t="s">
        <v>167</v>
      </c>
      <c r="D79" s="963"/>
      <c r="E79" s="87">
        <v>0</v>
      </c>
      <c r="F79" s="87"/>
      <c r="G79" s="89"/>
      <c r="H79" s="87"/>
      <c r="I79" s="87">
        <v>17</v>
      </c>
      <c r="J79" s="90">
        <v>17</v>
      </c>
      <c r="K79" s="77">
        <f t="shared" si="28"/>
        <v>0</v>
      </c>
      <c r="L79" s="77">
        <f t="shared" si="29"/>
        <v>0</v>
      </c>
      <c r="M79" s="77">
        <f t="shared" si="30"/>
        <v>100</v>
      </c>
      <c r="N79" s="78">
        <f t="shared" si="26"/>
        <v>100</v>
      </c>
      <c r="O79" s="91"/>
      <c r="P79" s="92"/>
      <c r="Q79" s="92">
        <v>54.4</v>
      </c>
      <c r="R79" s="93">
        <f t="shared" si="27"/>
        <v>54.4</v>
      </c>
      <c r="S79" s="102">
        <v>1</v>
      </c>
      <c r="T79" s="95"/>
      <c r="U79" s="85"/>
      <c r="V79" s="96" t="s">
        <v>78</v>
      </c>
      <c r="W79" s="97" t="s">
        <v>20</v>
      </c>
      <c r="X79" s="97" t="s">
        <v>12</v>
      </c>
      <c r="Y79" s="98">
        <v>54.4</v>
      </c>
      <c r="Z79" s="97"/>
      <c r="AA79" s="97"/>
      <c r="AB79" s="97"/>
      <c r="AC79" s="97"/>
      <c r="AD79" s="96"/>
      <c r="AE79" s="97"/>
      <c r="AF79" s="97"/>
      <c r="AG79" s="98"/>
      <c r="AH79" s="97"/>
      <c r="AI79" s="97"/>
      <c r="AJ79" s="97"/>
      <c r="AK79" s="97"/>
      <c r="AL79" s="96"/>
      <c r="AM79" s="97"/>
      <c r="AN79" s="97"/>
      <c r="AO79" s="98"/>
      <c r="AP79" s="96"/>
      <c r="AQ79" s="97"/>
      <c r="AR79" s="97"/>
      <c r="AS79" s="98"/>
      <c r="AT79" s="99"/>
      <c r="AW79" s="98"/>
      <c r="AX79" s="324"/>
      <c r="AY79" s="324"/>
      <c r="AZ79" s="324"/>
      <c r="BA79" s="330"/>
    </row>
    <row r="80" spans="1:53" s="100" customFormat="1">
      <c r="A80" s="87">
        <v>1994</v>
      </c>
      <c r="B80" s="88"/>
      <c r="C80" s="963" t="s">
        <v>167</v>
      </c>
      <c r="D80" s="963"/>
      <c r="E80" s="87">
        <f>365-E79</f>
        <v>365</v>
      </c>
      <c r="F80" s="87"/>
      <c r="G80" s="89"/>
      <c r="H80" s="87"/>
      <c r="I80" s="87">
        <v>17</v>
      </c>
      <c r="J80" s="90">
        <v>17</v>
      </c>
      <c r="K80" s="77">
        <f t="shared" si="28"/>
        <v>0</v>
      </c>
      <c r="L80" s="77">
        <f t="shared" si="29"/>
        <v>0</v>
      </c>
      <c r="M80" s="77">
        <f t="shared" si="30"/>
        <v>100</v>
      </c>
      <c r="N80" s="78">
        <f t="shared" si="26"/>
        <v>100</v>
      </c>
      <c r="O80" s="91"/>
      <c r="P80" s="92"/>
      <c r="Q80" s="92">
        <v>54.4</v>
      </c>
      <c r="R80" s="93">
        <f t="shared" si="27"/>
        <v>54.4</v>
      </c>
      <c r="S80" s="102">
        <v>1</v>
      </c>
      <c r="T80" s="95"/>
      <c r="U80" s="85"/>
      <c r="V80" s="96" t="s">
        <v>78</v>
      </c>
      <c r="W80" s="97" t="s">
        <v>20</v>
      </c>
      <c r="X80" s="97" t="s">
        <v>12</v>
      </c>
      <c r="Y80" s="98">
        <v>54.4</v>
      </c>
      <c r="Z80" s="97"/>
      <c r="AA80" s="97"/>
      <c r="AB80" s="97"/>
      <c r="AC80" s="97"/>
      <c r="AD80" s="96"/>
      <c r="AE80" s="97"/>
      <c r="AF80" s="97"/>
      <c r="AG80" s="98"/>
      <c r="AH80" s="97"/>
      <c r="AI80" s="97"/>
      <c r="AJ80" s="97"/>
      <c r="AK80" s="97"/>
      <c r="AL80" s="96"/>
      <c r="AM80" s="97"/>
      <c r="AN80" s="97"/>
      <c r="AO80" s="98"/>
      <c r="AP80" s="96"/>
      <c r="AQ80" s="97"/>
      <c r="AR80" s="97"/>
      <c r="AS80" s="98"/>
      <c r="AT80" s="99"/>
      <c r="AW80" s="98"/>
      <c r="AX80" s="324"/>
      <c r="AY80" s="324"/>
      <c r="AZ80" s="324"/>
      <c r="BA80" s="330"/>
    </row>
    <row r="81" spans="1:53" s="100" customFormat="1">
      <c r="A81" s="87">
        <v>1995</v>
      </c>
      <c r="B81" s="88"/>
      <c r="C81" s="963" t="s">
        <v>167</v>
      </c>
      <c r="D81" s="963"/>
      <c r="E81" s="87">
        <v>0</v>
      </c>
      <c r="F81" s="87"/>
      <c r="G81" s="89"/>
      <c r="H81" s="87"/>
      <c r="I81" s="87">
        <v>17</v>
      </c>
      <c r="J81" s="90">
        <v>17</v>
      </c>
      <c r="K81" s="77">
        <f t="shared" si="28"/>
        <v>0</v>
      </c>
      <c r="L81" s="77">
        <f t="shared" si="29"/>
        <v>0</v>
      </c>
      <c r="M81" s="77">
        <f t="shared" si="30"/>
        <v>100</v>
      </c>
      <c r="N81" s="78">
        <f t="shared" si="26"/>
        <v>100</v>
      </c>
      <c r="O81" s="91"/>
      <c r="P81" s="92"/>
      <c r="Q81" s="92">
        <v>54.4</v>
      </c>
      <c r="R81" s="93">
        <f t="shared" si="27"/>
        <v>54.4</v>
      </c>
      <c r="S81" s="102">
        <v>1</v>
      </c>
      <c r="T81" s="95"/>
      <c r="U81" s="85"/>
      <c r="V81" s="96" t="s">
        <v>78</v>
      </c>
      <c r="W81" s="97" t="s">
        <v>20</v>
      </c>
      <c r="X81" s="97" t="s">
        <v>12</v>
      </c>
      <c r="Y81" s="98">
        <v>54.4</v>
      </c>
      <c r="Z81" s="97"/>
      <c r="AA81" s="97"/>
      <c r="AB81" s="97"/>
      <c r="AC81" s="97"/>
      <c r="AD81" s="96"/>
      <c r="AE81" s="97"/>
      <c r="AF81" s="97"/>
      <c r="AG81" s="98"/>
      <c r="AH81" s="97"/>
      <c r="AI81" s="97"/>
      <c r="AJ81" s="97"/>
      <c r="AK81" s="97"/>
      <c r="AL81" s="96"/>
      <c r="AM81" s="97"/>
      <c r="AN81" s="97"/>
      <c r="AO81" s="98"/>
      <c r="AP81" s="96"/>
      <c r="AQ81" s="97"/>
      <c r="AR81" s="97"/>
      <c r="AS81" s="98"/>
      <c r="AT81" s="99"/>
      <c r="AW81" s="98"/>
      <c r="AX81" s="324"/>
      <c r="AY81" s="324"/>
      <c r="AZ81" s="324"/>
      <c r="BA81" s="330"/>
    </row>
    <row r="82" spans="1:53" s="100" customFormat="1">
      <c r="A82" s="87">
        <v>1995</v>
      </c>
      <c r="B82" s="88"/>
      <c r="C82" s="963" t="s">
        <v>167</v>
      </c>
      <c r="D82" s="963"/>
      <c r="E82" s="87">
        <f>365-E81</f>
        <v>365</v>
      </c>
      <c r="F82" s="87"/>
      <c r="G82" s="89"/>
      <c r="H82" s="87"/>
      <c r="I82" s="87">
        <v>17</v>
      </c>
      <c r="J82" s="90">
        <v>17</v>
      </c>
      <c r="K82" s="77">
        <f t="shared" si="28"/>
        <v>0</v>
      </c>
      <c r="L82" s="77">
        <f t="shared" si="29"/>
        <v>0</v>
      </c>
      <c r="M82" s="77">
        <f t="shared" si="30"/>
        <v>100</v>
      </c>
      <c r="N82" s="78">
        <f t="shared" si="26"/>
        <v>100</v>
      </c>
      <c r="O82" s="91"/>
      <c r="P82" s="92"/>
      <c r="Q82" s="92">
        <v>54.4</v>
      </c>
      <c r="R82" s="93">
        <f t="shared" si="27"/>
        <v>54.4</v>
      </c>
      <c r="S82" s="102">
        <v>1</v>
      </c>
      <c r="T82" s="95"/>
      <c r="U82" s="85"/>
      <c r="V82" s="96" t="s">
        <v>78</v>
      </c>
      <c r="W82" s="97" t="s">
        <v>20</v>
      </c>
      <c r="X82" s="97" t="s">
        <v>12</v>
      </c>
      <c r="Y82" s="98">
        <v>54.4</v>
      </c>
      <c r="Z82" s="97"/>
      <c r="AA82" s="97"/>
      <c r="AB82" s="97"/>
      <c r="AC82" s="97"/>
      <c r="AD82" s="96"/>
      <c r="AE82" s="97"/>
      <c r="AF82" s="97"/>
      <c r="AG82" s="98"/>
      <c r="AH82" s="97"/>
      <c r="AI82" s="97"/>
      <c r="AJ82" s="97"/>
      <c r="AK82" s="97"/>
      <c r="AL82" s="96"/>
      <c r="AM82" s="97"/>
      <c r="AN82" s="97"/>
      <c r="AO82" s="98"/>
      <c r="AP82" s="96"/>
      <c r="AQ82" s="97"/>
      <c r="AR82" s="97"/>
      <c r="AS82" s="98"/>
      <c r="AT82" s="99"/>
      <c r="AW82" s="98"/>
      <c r="AX82" s="324"/>
      <c r="AY82" s="324"/>
      <c r="AZ82" s="324"/>
      <c r="BA82" s="330"/>
    </row>
    <row r="83" spans="1:53" s="100" customFormat="1">
      <c r="A83" s="87">
        <v>1996</v>
      </c>
      <c r="B83" s="88"/>
      <c r="C83" s="963" t="s">
        <v>167</v>
      </c>
      <c r="D83" s="963"/>
      <c r="E83" s="87">
        <v>70</v>
      </c>
      <c r="F83" s="87"/>
      <c r="G83" s="89"/>
      <c r="H83" s="87"/>
      <c r="I83" s="87">
        <v>17</v>
      </c>
      <c r="J83" s="90">
        <v>17</v>
      </c>
      <c r="K83" s="77">
        <f t="shared" si="28"/>
        <v>0</v>
      </c>
      <c r="L83" s="77">
        <f t="shared" si="29"/>
        <v>0</v>
      </c>
      <c r="M83" s="77">
        <f t="shared" si="30"/>
        <v>100</v>
      </c>
      <c r="N83" s="78">
        <f t="shared" si="26"/>
        <v>100</v>
      </c>
      <c r="O83" s="91"/>
      <c r="P83" s="92"/>
      <c r="Q83" s="92">
        <v>54.4</v>
      </c>
      <c r="R83" s="93">
        <f t="shared" si="27"/>
        <v>54.4</v>
      </c>
      <c r="S83" s="102">
        <v>1</v>
      </c>
      <c r="T83" s="95"/>
      <c r="U83" s="85"/>
      <c r="V83" s="96" t="s">
        <v>78</v>
      </c>
      <c r="W83" s="97" t="s">
        <v>20</v>
      </c>
      <c r="X83" s="97" t="s">
        <v>12</v>
      </c>
      <c r="Y83" s="98">
        <v>54.4</v>
      </c>
      <c r="Z83" s="97"/>
      <c r="AA83" s="97"/>
      <c r="AB83" s="97"/>
      <c r="AC83" s="97"/>
      <c r="AD83" s="96"/>
      <c r="AE83" s="97"/>
      <c r="AF83" s="97"/>
      <c r="AG83" s="98"/>
      <c r="AH83" s="97"/>
      <c r="AI83" s="97"/>
      <c r="AJ83" s="97"/>
      <c r="AK83" s="97"/>
      <c r="AL83" s="96"/>
      <c r="AM83" s="97"/>
      <c r="AN83" s="97"/>
      <c r="AO83" s="98"/>
      <c r="AP83" s="96"/>
      <c r="AQ83" s="97"/>
      <c r="AR83" s="97"/>
      <c r="AS83" s="98"/>
      <c r="AT83" s="99"/>
      <c r="AW83" s="98"/>
      <c r="AX83" s="324"/>
      <c r="AY83" s="324"/>
      <c r="AZ83" s="324"/>
      <c r="BA83" s="330"/>
    </row>
    <row r="84" spans="1:53" s="391" customFormat="1">
      <c r="A84" s="199">
        <v>1996</v>
      </c>
      <c r="B84" s="380">
        <v>35135</v>
      </c>
      <c r="C84" s="962" t="s">
        <v>169</v>
      </c>
      <c r="D84" s="962"/>
      <c r="E84" s="199">
        <v>296</v>
      </c>
      <c r="F84" s="199">
        <v>1</v>
      </c>
      <c r="G84" s="381">
        <v>15</v>
      </c>
      <c r="H84" s="199"/>
      <c r="I84" s="199"/>
      <c r="J84" s="382">
        <v>15</v>
      </c>
      <c r="K84" s="338">
        <f t="shared" si="28"/>
        <v>100</v>
      </c>
      <c r="L84" s="338">
        <f t="shared" si="29"/>
        <v>0</v>
      </c>
      <c r="M84" s="338">
        <f t="shared" si="30"/>
        <v>0</v>
      </c>
      <c r="N84" s="339">
        <f t="shared" si="26"/>
        <v>100</v>
      </c>
      <c r="O84" s="383">
        <v>63.5</v>
      </c>
      <c r="P84" s="384"/>
      <c r="Q84" s="384"/>
      <c r="R84" s="385">
        <f t="shared" si="27"/>
        <v>63.5</v>
      </c>
      <c r="S84" s="386">
        <v>3</v>
      </c>
      <c r="T84" s="342">
        <v>35126</v>
      </c>
      <c r="U84" s="355">
        <v>35135</v>
      </c>
      <c r="V84" s="387" t="s">
        <v>72</v>
      </c>
      <c r="W84" s="388" t="s">
        <v>74</v>
      </c>
      <c r="X84" s="388" t="s">
        <v>11</v>
      </c>
      <c r="Y84" s="389">
        <v>51.3</v>
      </c>
      <c r="Z84" s="388" t="s">
        <v>73</v>
      </c>
      <c r="AA84" s="388" t="s">
        <v>75</v>
      </c>
      <c r="AB84" s="388" t="s">
        <v>11</v>
      </c>
      <c r="AC84" s="388">
        <v>12.2</v>
      </c>
      <c r="AD84" s="387"/>
      <c r="AE84" s="388"/>
      <c r="AF84" s="388"/>
      <c r="AG84" s="389"/>
      <c r="AH84" s="388"/>
      <c r="AI84" s="388"/>
      <c r="AJ84" s="388"/>
      <c r="AK84" s="388"/>
      <c r="AL84" s="387"/>
      <c r="AM84" s="388"/>
      <c r="AN84" s="388"/>
      <c r="AO84" s="389"/>
      <c r="AP84" s="387"/>
      <c r="AQ84" s="388"/>
      <c r="AR84" s="388"/>
      <c r="AS84" s="389"/>
      <c r="AT84" s="390"/>
      <c r="AW84" s="389"/>
      <c r="AX84" s="392"/>
      <c r="AY84" s="392"/>
      <c r="AZ84" s="392"/>
      <c r="BA84" s="393"/>
    </row>
    <row r="85" spans="1:53" s="391" customFormat="1">
      <c r="A85" s="199">
        <v>1997</v>
      </c>
      <c r="B85" s="380"/>
      <c r="C85" s="962" t="s">
        <v>169</v>
      </c>
      <c r="D85" s="962"/>
      <c r="E85" s="199">
        <v>0</v>
      </c>
      <c r="F85" s="199"/>
      <c r="G85" s="381">
        <v>16</v>
      </c>
      <c r="H85" s="199"/>
      <c r="I85" s="199"/>
      <c r="J85" s="382">
        <v>16</v>
      </c>
      <c r="K85" s="338">
        <f t="shared" si="28"/>
        <v>100</v>
      </c>
      <c r="L85" s="338">
        <f t="shared" si="29"/>
        <v>0</v>
      </c>
      <c r="M85" s="338">
        <f t="shared" si="30"/>
        <v>0</v>
      </c>
      <c r="N85" s="339">
        <f t="shared" si="26"/>
        <v>100</v>
      </c>
      <c r="O85" s="383">
        <v>63.5</v>
      </c>
      <c r="P85" s="384"/>
      <c r="Q85" s="384"/>
      <c r="R85" s="385">
        <f t="shared" si="27"/>
        <v>63.5</v>
      </c>
      <c r="S85" s="386">
        <v>3</v>
      </c>
      <c r="T85" s="342"/>
      <c r="U85" s="355"/>
      <c r="V85" s="387" t="s">
        <v>72</v>
      </c>
      <c r="W85" s="388" t="s">
        <v>74</v>
      </c>
      <c r="X85" s="388" t="s">
        <v>11</v>
      </c>
      <c r="Y85" s="389">
        <v>51.3</v>
      </c>
      <c r="Z85" s="388" t="s">
        <v>73</v>
      </c>
      <c r="AA85" s="388" t="s">
        <v>75</v>
      </c>
      <c r="AB85" s="388" t="s">
        <v>11</v>
      </c>
      <c r="AC85" s="388">
        <v>12.2</v>
      </c>
      <c r="AD85" s="387"/>
      <c r="AE85" s="388"/>
      <c r="AF85" s="388"/>
      <c r="AG85" s="389"/>
      <c r="AH85" s="388"/>
      <c r="AI85" s="388"/>
      <c r="AJ85" s="388"/>
      <c r="AK85" s="388"/>
      <c r="AL85" s="387"/>
      <c r="AM85" s="388"/>
      <c r="AN85" s="388"/>
      <c r="AO85" s="389"/>
      <c r="AP85" s="387"/>
      <c r="AQ85" s="388"/>
      <c r="AR85" s="388"/>
      <c r="AS85" s="389"/>
      <c r="AT85" s="390"/>
      <c r="AW85" s="389"/>
      <c r="AX85" s="392"/>
      <c r="AY85" s="392"/>
      <c r="AZ85" s="392"/>
      <c r="BA85" s="393"/>
    </row>
    <row r="86" spans="1:53" s="391" customFormat="1">
      <c r="A86" s="199">
        <v>1997</v>
      </c>
      <c r="B86" s="380"/>
      <c r="C86" s="962" t="s">
        <v>169</v>
      </c>
      <c r="D86" s="962"/>
      <c r="E86" s="199">
        <f>365-E85</f>
        <v>365</v>
      </c>
      <c r="F86" s="199"/>
      <c r="G86" s="381">
        <v>16</v>
      </c>
      <c r="H86" s="199"/>
      <c r="I86" s="199"/>
      <c r="J86" s="382">
        <v>16</v>
      </c>
      <c r="K86" s="338">
        <f t="shared" si="28"/>
        <v>100</v>
      </c>
      <c r="L86" s="338">
        <f t="shared" si="29"/>
        <v>0</v>
      </c>
      <c r="M86" s="338">
        <f t="shared" si="30"/>
        <v>0</v>
      </c>
      <c r="N86" s="339">
        <f t="shared" si="26"/>
        <v>100</v>
      </c>
      <c r="O86" s="383">
        <v>63.5</v>
      </c>
      <c r="P86" s="384"/>
      <c r="Q86" s="384"/>
      <c r="R86" s="385">
        <f t="shared" si="27"/>
        <v>63.5</v>
      </c>
      <c r="S86" s="386">
        <v>3</v>
      </c>
      <c r="T86" s="342"/>
      <c r="U86" s="355"/>
      <c r="V86" s="387" t="s">
        <v>72</v>
      </c>
      <c r="W86" s="388" t="s">
        <v>74</v>
      </c>
      <c r="X86" s="388" t="s">
        <v>11</v>
      </c>
      <c r="Y86" s="389">
        <v>51.3</v>
      </c>
      <c r="Z86" s="388" t="s">
        <v>73</v>
      </c>
      <c r="AA86" s="388" t="s">
        <v>75</v>
      </c>
      <c r="AB86" s="388" t="s">
        <v>11</v>
      </c>
      <c r="AC86" s="388">
        <v>12.2</v>
      </c>
      <c r="AD86" s="387"/>
      <c r="AE86" s="388"/>
      <c r="AF86" s="388"/>
      <c r="AG86" s="389"/>
      <c r="AH86" s="388"/>
      <c r="AI86" s="388"/>
      <c r="AJ86" s="388"/>
      <c r="AK86" s="388"/>
      <c r="AL86" s="387"/>
      <c r="AM86" s="388"/>
      <c r="AN86" s="388"/>
      <c r="AO86" s="389"/>
      <c r="AP86" s="387"/>
      <c r="AQ86" s="388"/>
      <c r="AR86" s="388"/>
      <c r="AS86" s="389"/>
      <c r="AT86" s="390"/>
      <c r="AW86" s="389"/>
      <c r="AX86" s="392"/>
      <c r="AY86" s="392"/>
      <c r="AZ86" s="392"/>
      <c r="BA86" s="393"/>
    </row>
    <row r="87" spans="1:53" s="391" customFormat="1">
      <c r="A87" s="199">
        <v>1998</v>
      </c>
      <c r="B87" s="380"/>
      <c r="C87" s="962" t="s">
        <v>169</v>
      </c>
      <c r="D87" s="962"/>
      <c r="E87" s="199">
        <v>293</v>
      </c>
      <c r="F87" s="199"/>
      <c r="G87" s="381">
        <v>16</v>
      </c>
      <c r="H87" s="199"/>
      <c r="I87" s="199"/>
      <c r="J87" s="382">
        <v>16</v>
      </c>
      <c r="K87" s="338">
        <f t="shared" si="28"/>
        <v>100</v>
      </c>
      <c r="L87" s="338">
        <f t="shared" si="29"/>
        <v>0</v>
      </c>
      <c r="M87" s="338">
        <f t="shared" si="30"/>
        <v>0</v>
      </c>
      <c r="N87" s="339">
        <f t="shared" si="26"/>
        <v>100</v>
      </c>
      <c r="O87" s="383">
        <v>63.5</v>
      </c>
      <c r="P87" s="384"/>
      <c r="Q87" s="384"/>
      <c r="R87" s="385">
        <f t="shared" si="27"/>
        <v>63.5</v>
      </c>
      <c r="S87" s="386">
        <v>3</v>
      </c>
      <c r="T87" s="342"/>
      <c r="U87" s="355"/>
      <c r="V87" s="387" t="s">
        <v>72</v>
      </c>
      <c r="W87" s="388" t="s">
        <v>74</v>
      </c>
      <c r="X87" s="388" t="s">
        <v>11</v>
      </c>
      <c r="Y87" s="389">
        <v>51.3</v>
      </c>
      <c r="Z87" s="388" t="s">
        <v>73</v>
      </c>
      <c r="AA87" s="388" t="s">
        <v>75</v>
      </c>
      <c r="AB87" s="388" t="s">
        <v>11</v>
      </c>
      <c r="AC87" s="388">
        <v>12.2</v>
      </c>
      <c r="AD87" s="387"/>
      <c r="AE87" s="388"/>
      <c r="AF87" s="388"/>
      <c r="AG87" s="389"/>
      <c r="AH87" s="388"/>
      <c r="AI87" s="388"/>
      <c r="AJ87" s="388"/>
      <c r="AK87" s="388"/>
      <c r="AL87" s="387"/>
      <c r="AM87" s="388"/>
      <c r="AN87" s="388"/>
      <c r="AO87" s="389"/>
      <c r="AP87" s="387"/>
      <c r="AQ87" s="388"/>
      <c r="AR87" s="388"/>
      <c r="AS87" s="389"/>
      <c r="AT87" s="390"/>
      <c r="AW87" s="389"/>
      <c r="AX87" s="392"/>
      <c r="AY87" s="392"/>
      <c r="AZ87" s="392"/>
      <c r="BA87" s="393"/>
    </row>
    <row r="88" spans="1:53" s="100" customFormat="1">
      <c r="A88" s="87">
        <v>1998</v>
      </c>
      <c r="B88" s="88">
        <v>36089</v>
      </c>
      <c r="C88" s="963" t="s">
        <v>170</v>
      </c>
      <c r="D88" s="963"/>
      <c r="E88" s="87">
        <f>365-E87</f>
        <v>72</v>
      </c>
      <c r="F88" s="87">
        <v>1</v>
      </c>
      <c r="G88" s="89">
        <v>16</v>
      </c>
      <c r="H88" s="87"/>
      <c r="I88" s="87"/>
      <c r="J88" s="90">
        <v>16</v>
      </c>
      <c r="K88" s="77">
        <f t="shared" si="28"/>
        <v>100</v>
      </c>
      <c r="L88" s="77">
        <f t="shared" si="29"/>
        <v>0</v>
      </c>
      <c r="M88" s="77">
        <f t="shared" si="30"/>
        <v>0</v>
      </c>
      <c r="N88" s="78">
        <f t="shared" si="26"/>
        <v>100</v>
      </c>
      <c r="O88" s="91">
        <v>54</v>
      </c>
      <c r="P88" s="92"/>
      <c r="Q88" s="92"/>
      <c r="R88" s="93">
        <f t="shared" si="27"/>
        <v>54</v>
      </c>
      <c r="S88" s="102">
        <v>2</v>
      </c>
      <c r="T88" s="95">
        <v>36071</v>
      </c>
      <c r="U88" s="85">
        <v>36089</v>
      </c>
      <c r="V88" s="96" t="s">
        <v>72</v>
      </c>
      <c r="W88" s="97" t="s">
        <v>74</v>
      </c>
      <c r="X88" s="97" t="s">
        <v>11</v>
      </c>
      <c r="Y88" s="98">
        <v>43.2</v>
      </c>
      <c r="Z88" s="97" t="s">
        <v>73</v>
      </c>
      <c r="AA88" s="97" t="s">
        <v>75</v>
      </c>
      <c r="AB88" s="97" t="s">
        <v>11</v>
      </c>
      <c r="AC88" s="97">
        <v>10.8</v>
      </c>
      <c r="AD88" s="96"/>
      <c r="AE88" s="97"/>
      <c r="AF88" s="97"/>
      <c r="AG88" s="98"/>
      <c r="AH88" s="97"/>
      <c r="AI88" s="97"/>
      <c r="AJ88" s="97"/>
      <c r="AK88" s="97"/>
      <c r="AL88" s="96"/>
      <c r="AM88" s="97"/>
      <c r="AN88" s="97"/>
      <c r="AO88" s="98"/>
      <c r="AP88" s="96"/>
      <c r="AQ88" s="97"/>
      <c r="AR88" s="97"/>
      <c r="AS88" s="98"/>
      <c r="AT88" s="99"/>
      <c r="AW88" s="98"/>
      <c r="AX88" s="324"/>
      <c r="AY88" s="324"/>
      <c r="AZ88" s="324"/>
      <c r="BA88" s="330"/>
    </row>
    <row r="89" spans="1:53" s="100" customFormat="1">
      <c r="A89" s="87">
        <v>1999</v>
      </c>
      <c r="B89" s="88"/>
      <c r="C89" s="963" t="s">
        <v>170</v>
      </c>
      <c r="D89" s="963"/>
      <c r="E89" s="87">
        <v>0</v>
      </c>
      <c r="F89" s="87"/>
      <c r="G89" s="89">
        <v>16</v>
      </c>
      <c r="H89" s="87"/>
      <c r="I89" s="87"/>
      <c r="J89" s="90">
        <v>16</v>
      </c>
      <c r="K89" s="77">
        <f t="shared" si="28"/>
        <v>100</v>
      </c>
      <c r="L89" s="77">
        <f t="shared" si="29"/>
        <v>0</v>
      </c>
      <c r="M89" s="77">
        <f t="shared" si="30"/>
        <v>0</v>
      </c>
      <c r="N89" s="78">
        <f t="shared" si="26"/>
        <v>100</v>
      </c>
      <c r="O89" s="91">
        <v>54</v>
      </c>
      <c r="P89" s="92"/>
      <c r="Q89" s="92"/>
      <c r="R89" s="93">
        <f t="shared" si="27"/>
        <v>54</v>
      </c>
      <c r="S89" s="102">
        <v>2</v>
      </c>
      <c r="T89" s="95"/>
      <c r="U89" s="85"/>
      <c r="V89" s="96" t="s">
        <v>72</v>
      </c>
      <c r="W89" s="97" t="s">
        <v>74</v>
      </c>
      <c r="X89" s="97" t="s">
        <v>11</v>
      </c>
      <c r="Y89" s="98">
        <v>43.2</v>
      </c>
      <c r="Z89" s="97" t="s">
        <v>73</v>
      </c>
      <c r="AA89" s="97" t="s">
        <v>75</v>
      </c>
      <c r="AB89" s="97" t="s">
        <v>11</v>
      </c>
      <c r="AC89" s="97">
        <v>10.8</v>
      </c>
      <c r="AD89" s="96"/>
      <c r="AE89" s="97"/>
      <c r="AF89" s="97"/>
      <c r="AG89" s="98"/>
      <c r="AH89" s="97"/>
      <c r="AI89" s="97"/>
      <c r="AJ89" s="97"/>
      <c r="AK89" s="97"/>
      <c r="AL89" s="96"/>
      <c r="AM89" s="97"/>
      <c r="AN89" s="97"/>
      <c r="AO89" s="98"/>
      <c r="AP89" s="96"/>
      <c r="AQ89" s="97"/>
      <c r="AR89" s="97"/>
      <c r="AS89" s="98"/>
      <c r="AT89" s="99"/>
      <c r="AW89" s="98"/>
      <c r="AX89" s="324"/>
      <c r="AY89" s="324"/>
      <c r="AZ89" s="324"/>
      <c r="BA89" s="330"/>
    </row>
    <row r="90" spans="1:53" s="100" customFormat="1">
      <c r="A90" s="87">
        <v>1999</v>
      </c>
      <c r="B90" s="88"/>
      <c r="C90" s="963" t="s">
        <v>170</v>
      </c>
      <c r="D90" s="963"/>
      <c r="E90" s="87">
        <f>365-E89</f>
        <v>365</v>
      </c>
      <c r="F90" s="87"/>
      <c r="G90" s="89">
        <v>16</v>
      </c>
      <c r="H90" s="87"/>
      <c r="I90" s="87"/>
      <c r="J90" s="90">
        <v>16</v>
      </c>
      <c r="K90" s="77">
        <f t="shared" si="28"/>
        <v>100</v>
      </c>
      <c r="L90" s="77">
        <f t="shared" si="29"/>
        <v>0</v>
      </c>
      <c r="M90" s="77">
        <f t="shared" si="30"/>
        <v>0</v>
      </c>
      <c r="N90" s="78">
        <f t="shared" si="26"/>
        <v>100</v>
      </c>
      <c r="O90" s="91">
        <v>54</v>
      </c>
      <c r="P90" s="92"/>
      <c r="Q90" s="92"/>
      <c r="R90" s="93">
        <f t="shared" si="27"/>
        <v>54</v>
      </c>
      <c r="S90" s="102">
        <v>2</v>
      </c>
      <c r="T90" s="95"/>
      <c r="U90" s="85"/>
      <c r="V90" s="96" t="s">
        <v>72</v>
      </c>
      <c r="W90" s="97" t="s">
        <v>74</v>
      </c>
      <c r="X90" s="97" t="s">
        <v>11</v>
      </c>
      <c r="Y90" s="98">
        <v>43.2</v>
      </c>
      <c r="Z90" s="97" t="s">
        <v>73</v>
      </c>
      <c r="AA90" s="97" t="s">
        <v>75</v>
      </c>
      <c r="AB90" s="97" t="s">
        <v>11</v>
      </c>
      <c r="AC90" s="97">
        <v>10.8</v>
      </c>
      <c r="AD90" s="96"/>
      <c r="AE90" s="97"/>
      <c r="AF90" s="97"/>
      <c r="AG90" s="98"/>
      <c r="AH90" s="97"/>
      <c r="AI90" s="97"/>
      <c r="AJ90" s="97"/>
      <c r="AK90" s="97"/>
      <c r="AL90" s="96"/>
      <c r="AM90" s="97"/>
      <c r="AN90" s="97"/>
      <c r="AO90" s="98"/>
      <c r="AP90" s="96"/>
      <c r="AQ90" s="97"/>
      <c r="AR90" s="97"/>
      <c r="AS90" s="98"/>
      <c r="AT90" s="99"/>
      <c r="AW90" s="98"/>
      <c r="AX90" s="324"/>
      <c r="AY90" s="324"/>
      <c r="AZ90" s="324"/>
      <c r="BA90" s="330"/>
    </row>
    <row r="91" spans="1:53" s="100" customFormat="1">
      <c r="A91" s="87">
        <v>2000</v>
      </c>
      <c r="B91" s="88"/>
      <c r="C91" s="963" t="s">
        <v>170</v>
      </c>
      <c r="D91" s="963"/>
      <c r="E91" s="87">
        <v>0</v>
      </c>
      <c r="F91" s="87"/>
      <c r="G91" s="89">
        <v>16</v>
      </c>
      <c r="H91" s="87"/>
      <c r="I91" s="87"/>
      <c r="J91" s="90">
        <v>16</v>
      </c>
      <c r="K91" s="77">
        <f t="shared" si="28"/>
        <v>100</v>
      </c>
      <c r="L91" s="77">
        <f t="shared" si="29"/>
        <v>0</v>
      </c>
      <c r="M91" s="77">
        <f t="shared" si="30"/>
        <v>0</v>
      </c>
      <c r="N91" s="78">
        <f t="shared" si="26"/>
        <v>100</v>
      </c>
      <c r="O91" s="91">
        <v>54</v>
      </c>
      <c r="P91" s="92"/>
      <c r="Q91" s="92"/>
      <c r="R91" s="93">
        <f t="shared" si="27"/>
        <v>54</v>
      </c>
      <c r="S91" s="102">
        <v>2</v>
      </c>
      <c r="T91" s="95"/>
      <c r="U91" s="85"/>
      <c r="V91" s="96" t="s">
        <v>72</v>
      </c>
      <c r="W91" s="97" t="s">
        <v>74</v>
      </c>
      <c r="X91" s="97" t="s">
        <v>11</v>
      </c>
      <c r="Y91" s="98">
        <v>43.2</v>
      </c>
      <c r="Z91" s="97" t="s">
        <v>73</v>
      </c>
      <c r="AA91" s="97" t="s">
        <v>75</v>
      </c>
      <c r="AB91" s="97" t="s">
        <v>11</v>
      </c>
      <c r="AC91" s="97">
        <v>10.8</v>
      </c>
      <c r="AD91" s="96"/>
      <c r="AE91" s="97"/>
      <c r="AF91" s="97"/>
      <c r="AG91" s="98"/>
      <c r="AH91" s="97"/>
      <c r="AI91" s="97"/>
      <c r="AJ91" s="97"/>
      <c r="AK91" s="97"/>
      <c r="AL91" s="96"/>
      <c r="AM91" s="97"/>
      <c r="AN91" s="97"/>
      <c r="AO91" s="98"/>
      <c r="AP91" s="96"/>
      <c r="AQ91" s="97"/>
      <c r="AR91" s="97"/>
      <c r="AS91" s="98"/>
      <c r="AT91" s="99"/>
      <c r="AW91" s="98"/>
      <c r="AX91" s="324"/>
      <c r="AY91" s="324"/>
      <c r="AZ91" s="324"/>
      <c r="BA91" s="330"/>
    </row>
    <row r="92" spans="1:53" s="100" customFormat="1">
      <c r="A92" s="87">
        <v>2000</v>
      </c>
      <c r="B92" s="88"/>
      <c r="C92" s="963" t="s">
        <v>170</v>
      </c>
      <c r="D92" s="963"/>
      <c r="E92" s="87">
        <v>366</v>
      </c>
      <c r="F92" s="87"/>
      <c r="G92" s="89">
        <v>16</v>
      </c>
      <c r="H92" s="87"/>
      <c r="I92" s="87"/>
      <c r="J92" s="90">
        <v>16</v>
      </c>
      <c r="K92" s="77">
        <f t="shared" si="28"/>
        <v>100</v>
      </c>
      <c r="L92" s="77">
        <f t="shared" si="29"/>
        <v>0</v>
      </c>
      <c r="M92" s="77">
        <f t="shared" si="30"/>
        <v>0</v>
      </c>
      <c r="N92" s="78">
        <f t="shared" si="26"/>
        <v>100</v>
      </c>
      <c r="O92" s="91">
        <v>54</v>
      </c>
      <c r="P92" s="92"/>
      <c r="Q92" s="92"/>
      <c r="R92" s="93">
        <f t="shared" si="27"/>
        <v>54</v>
      </c>
      <c r="S92" s="102">
        <v>2</v>
      </c>
      <c r="T92" s="95"/>
      <c r="U92" s="85"/>
      <c r="V92" s="96" t="s">
        <v>72</v>
      </c>
      <c r="W92" s="97" t="s">
        <v>74</v>
      </c>
      <c r="X92" s="97" t="s">
        <v>11</v>
      </c>
      <c r="Y92" s="98">
        <v>43.2</v>
      </c>
      <c r="Z92" s="97" t="s">
        <v>73</v>
      </c>
      <c r="AA92" s="97" t="s">
        <v>75</v>
      </c>
      <c r="AB92" s="97" t="s">
        <v>11</v>
      </c>
      <c r="AC92" s="97">
        <v>10.8</v>
      </c>
      <c r="AD92" s="96"/>
      <c r="AE92" s="97"/>
      <c r="AF92" s="97"/>
      <c r="AG92" s="98"/>
      <c r="AH92" s="97"/>
      <c r="AI92" s="97"/>
      <c r="AJ92" s="97"/>
      <c r="AK92" s="97"/>
      <c r="AL92" s="96"/>
      <c r="AM92" s="97"/>
      <c r="AN92" s="97"/>
      <c r="AO92" s="98"/>
      <c r="AP92" s="96"/>
      <c r="AQ92" s="97"/>
      <c r="AR92" s="97"/>
      <c r="AS92" s="98"/>
      <c r="AT92" s="99"/>
      <c r="AW92" s="98"/>
      <c r="AX92" s="324"/>
      <c r="AY92" s="324"/>
      <c r="AZ92" s="324"/>
      <c r="BA92" s="330"/>
    </row>
    <row r="93" spans="1:53" s="100" customFormat="1">
      <c r="A93" s="87">
        <v>2001</v>
      </c>
      <c r="B93" s="88"/>
      <c r="C93" s="963" t="s">
        <v>170</v>
      </c>
      <c r="D93" s="963"/>
      <c r="E93" s="87">
        <v>329</v>
      </c>
      <c r="F93" s="87"/>
      <c r="G93" s="89">
        <v>16</v>
      </c>
      <c r="H93" s="87"/>
      <c r="I93" s="87"/>
      <c r="J93" s="90">
        <v>16</v>
      </c>
      <c r="K93" s="77">
        <f t="shared" si="28"/>
        <v>100</v>
      </c>
      <c r="L93" s="77">
        <f t="shared" si="29"/>
        <v>0</v>
      </c>
      <c r="M93" s="77">
        <f t="shared" si="30"/>
        <v>0</v>
      </c>
      <c r="N93" s="78">
        <f t="shared" si="26"/>
        <v>100</v>
      </c>
      <c r="O93" s="91">
        <v>54</v>
      </c>
      <c r="P93" s="92"/>
      <c r="Q93" s="92"/>
      <c r="R93" s="93">
        <f t="shared" si="27"/>
        <v>54</v>
      </c>
      <c r="S93" s="102">
        <v>2</v>
      </c>
      <c r="T93" s="95"/>
      <c r="U93" s="85"/>
      <c r="V93" s="96" t="s">
        <v>72</v>
      </c>
      <c r="W93" s="97" t="s">
        <v>74</v>
      </c>
      <c r="X93" s="97" t="s">
        <v>11</v>
      </c>
      <c r="Y93" s="98">
        <v>43.2</v>
      </c>
      <c r="Z93" s="97" t="s">
        <v>73</v>
      </c>
      <c r="AA93" s="97" t="s">
        <v>75</v>
      </c>
      <c r="AB93" s="97" t="s">
        <v>11</v>
      </c>
      <c r="AC93" s="97">
        <v>10.8</v>
      </c>
      <c r="AD93" s="96"/>
      <c r="AE93" s="97"/>
      <c r="AF93" s="97"/>
      <c r="AG93" s="98"/>
      <c r="AH93" s="97"/>
      <c r="AI93" s="97"/>
      <c r="AJ93" s="97"/>
      <c r="AK93" s="97"/>
      <c r="AL93" s="96"/>
      <c r="AM93" s="97"/>
      <c r="AN93" s="97"/>
      <c r="AO93" s="98"/>
      <c r="AP93" s="96"/>
      <c r="AQ93" s="97"/>
      <c r="AR93" s="97"/>
      <c r="AS93" s="98"/>
      <c r="AT93" s="99"/>
      <c r="AW93" s="98"/>
      <c r="AX93" s="324"/>
      <c r="AY93" s="324"/>
      <c r="AZ93" s="324"/>
      <c r="BA93" s="330"/>
    </row>
    <row r="94" spans="1:53" s="391" customFormat="1">
      <c r="A94" s="199">
        <v>2001</v>
      </c>
      <c r="B94" s="380">
        <v>37221</v>
      </c>
      <c r="C94" s="962" t="s">
        <v>171</v>
      </c>
      <c r="D94" s="962"/>
      <c r="E94" s="199">
        <f>365-E93</f>
        <v>36</v>
      </c>
      <c r="F94" s="199">
        <v>1</v>
      </c>
      <c r="G94" s="381">
        <v>16</v>
      </c>
      <c r="H94" s="199"/>
      <c r="I94" s="199"/>
      <c r="J94" s="382">
        <v>16</v>
      </c>
      <c r="K94" s="338">
        <f t="shared" si="28"/>
        <v>100</v>
      </c>
      <c r="L94" s="338">
        <f t="shared" si="29"/>
        <v>0</v>
      </c>
      <c r="M94" s="338">
        <f t="shared" si="30"/>
        <v>0</v>
      </c>
      <c r="N94" s="339">
        <f t="shared" si="26"/>
        <v>100</v>
      </c>
      <c r="O94" s="383">
        <v>54.7</v>
      </c>
      <c r="P94" s="384"/>
      <c r="Q94" s="384"/>
      <c r="R94" s="385">
        <f t="shared" si="27"/>
        <v>54.7</v>
      </c>
      <c r="S94" s="386">
        <v>2</v>
      </c>
      <c r="T94" s="342">
        <v>37205</v>
      </c>
      <c r="U94" s="355">
        <v>37221</v>
      </c>
      <c r="V94" s="387" t="s">
        <v>72</v>
      </c>
      <c r="W94" s="388" t="s">
        <v>74</v>
      </c>
      <c r="X94" s="388" t="s">
        <v>11</v>
      </c>
      <c r="Y94" s="389">
        <v>46</v>
      </c>
      <c r="Z94" s="388" t="s">
        <v>73</v>
      </c>
      <c r="AA94" s="388" t="s">
        <v>75</v>
      </c>
      <c r="AB94" s="388" t="s">
        <v>11</v>
      </c>
      <c r="AC94" s="388">
        <v>8.6999999999999993</v>
      </c>
      <c r="AD94" s="387"/>
      <c r="AE94" s="388"/>
      <c r="AF94" s="388"/>
      <c r="AG94" s="389"/>
      <c r="AH94" s="388"/>
      <c r="AI94" s="388"/>
      <c r="AJ94" s="388"/>
      <c r="AK94" s="388"/>
      <c r="AL94" s="387"/>
      <c r="AM94" s="388"/>
      <c r="AN94" s="388"/>
      <c r="AO94" s="389"/>
      <c r="AP94" s="387"/>
      <c r="AQ94" s="388"/>
      <c r="AR94" s="388"/>
      <c r="AS94" s="389"/>
      <c r="AT94" s="390"/>
      <c r="AW94" s="389"/>
      <c r="AX94" s="392"/>
      <c r="AY94" s="392"/>
      <c r="AZ94" s="392"/>
      <c r="BA94" s="393"/>
    </row>
    <row r="95" spans="1:53" s="391" customFormat="1">
      <c r="A95" s="199">
        <v>2002</v>
      </c>
      <c r="B95" s="380"/>
      <c r="C95" s="962" t="s">
        <v>171</v>
      </c>
      <c r="D95" s="962"/>
      <c r="E95" s="199">
        <v>0</v>
      </c>
      <c r="F95" s="199"/>
      <c r="G95" s="381">
        <v>16</v>
      </c>
      <c r="H95" s="199"/>
      <c r="I95" s="199"/>
      <c r="J95" s="382">
        <v>16</v>
      </c>
      <c r="K95" s="338">
        <f t="shared" si="28"/>
        <v>100</v>
      </c>
      <c r="L95" s="338">
        <f t="shared" si="29"/>
        <v>0</v>
      </c>
      <c r="M95" s="338">
        <f t="shared" si="30"/>
        <v>0</v>
      </c>
      <c r="N95" s="339">
        <f t="shared" si="26"/>
        <v>100</v>
      </c>
      <c r="O95" s="383">
        <v>54.7</v>
      </c>
      <c r="P95" s="384"/>
      <c r="Q95" s="384"/>
      <c r="R95" s="385">
        <f t="shared" si="27"/>
        <v>54.7</v>
      </c>
      <c r="S95" s="386">
        <v>2</v>
      </c>
      <c r="T95" s="342"/>
      <c r="U95" s="355"/>
      <c r="V95" s="387" t="s">
        <v>72</v>
      </c>
      <c r="W95" s="388" t="s">
        <v>74</v>
      </c>
      <c r="X95" s="388" t="s">
        <v>11</v>
      </c>
      <c r="Y95" s="389">
        <v>46</v>
      </c>
      <c r="Z95" s="388" t="s">
        <v>73</v>
      </c>
      <c r="AA95" s="388" t="s">
        <v>75</v>
      </c>
      <c r="AB95" s="388" t="s">
        <v>11</v>
      </c>
      <c r="AC95" s="388">
        <v>8.6999999999999993</v>
      </c>
      <c r="AD95" s="387"/>
      <c r="AE95" s="388"/>
      <c r="AF95" s="388"/>
      <c r="AG95" s="389"/>
      <c r="AH95" s="388"/>
      <c r="AI95" s="388"/>
      <c r="AJ95" s="388"/>
      <c r="AK95" s="388"/>
      <c r="AL95" s="387"/>
      <c r="AM95" s="388"/>
      <c r="AN95" s="388"/>
      <c r="AO95" s="389"/>
      <c r="AP95" s="387"/>
      <c r="AQ95" s="388"/>
      <c r="AR95" s="388"/>
      <c r="AS95" s="389"/>
      <c r="AT95" s="390"/>
      <c r="AW95" s="389"/>
      <c r="AX95" s="392"/>
      <c r="AY95" s="392"/>
      <c r="AZ95" s="392"/>
      <c r="BA95" s="393"/>
    </row>
    <row r="96" spans="1:53" s="391" customFormat="1">
      <c r="A96" s="199">
        <v>2002</v>
      </c>
      <c r="B96" s="380"/>
      <c r="C96" s="962" t="s">
        <v>171</v>
      </c>
      <c r="D96" s="962"/>
      <c r="E96" s="199">
        <f>365-E95</f>
        <v>365</v>
      </c>
      <c r="F96" s="199"/>
      <c r="G96" s="381">
        <v>16</v>
      </c>
      <c r="H96" s="199"/>
      <c r="I96" s="199"/>
      <c r="J96" s="382">
        <v>16</v>
      </c>
      <c r="K96" s="338">
        <f t="shared" si="28"/>
        <v>100</v>
      </c>
      <c r="L96" s="338">
        <f t="shared" si="29"/>
        <v>0</v>
      </c>
      <c r="M96" s="338">
        <f t="shared" si="30"/>
        <v>0</v>
      </c>
      <c r="N96" s="339">
        <f t="shared" si="26"/>
        <v>100</v>
      </c>
      <c r="O96" s="383">
        <v>54.7</v>
      </c>
      <c r="P96" s="384"/>
      <c r="Q96" s="384"/>
      <c r="R96" s="385">
        <f t="shared" si="27"/>
        <v>54.7</v>
      </c>
      <c r="S96" s="386">
        <v>2</v>
      </c>
      <c r="T96" s="342"/>
      <c r="U96" s="355"/>
      <c r="V96" s="387" t="s">
        <v>72</v>
      </c>
      <c r="W96" s="388" t="s">
        <v>74</v>
      </c>
      <c r="X96" s="388" t="s">
        <v>11</v>
      </c>
      <c r="Y96" s="389">
        <v>46</v>
      </c>
      <c r="Z96" s="388" t="s">
        <v>73</v>
      </c>
      <c r="AA96" s="388" t="s">
        <v>75</v>
      </c>
      <c r="AB96" s="388" t="s">
        <v>11</v>
      </c>
      <c r="AC96" s="388">
        <v>8.6999999999999993</v>
      </c>
      <c r="AD96" s="387"/>
      <c r="AE96" s="388"/>
      <c r="AF96" s="388"/>
      <c r="AG96" s="389"/>
      <c r="AH96" s="388"/>
      <c r="AI96" s="388"/>
      <c r="AJ96" s="388"/>
      <c r="AK96" s="388"/>
      <c r="AL96" s="387"/>
      <c r="AM96" s="388"/>
      <c r="AN96" s="388"/>
      <c r="AO96" s="389"/>
      <c r="AP96" s="387"/>
      <c r="AQ96" s="388"/>
      <c r="AR96" s="388"/>
      <c r="AS96" s="389"/>
      <c r="AT96" s="390"/>
      <c r="AW96" s="389"/>
      <c r="AX96" s="392"/>
      <c r="AY96" s="392"/>
      <c r="AZ96" s="392"/>
      <c r="BA96" s="393"/>
    </row>
    <row r="97" spans="1:53" s="391" customFormat="1">
      <c r="A97" s="199">
        <v>2003</v>
      </c>
      <c r="B97" s="380"/>
      <c r="C97" s="962" t="s">
        <v>171</v>
      </c>
      <c r="D97" s="962"/>
      <c r="E97" s="199">
        <v>0</v>
      </c>
      <c r="F97" s="199"/>
      <c r="G97" s="381">
        <v>16</v>
      </c>
      <c r="H97" s="199"/>
      <c r="I97" s="199"/>
      <c r="J97" s="382">
        <v>16</v>
      </c>
      <c r="K97" s="338">
        <f t="shared" si="28"/>
        <v>100</v>
      </c>
      <c r="L97" s="338">
        <f t="shared" si="29"/>
        <v>0</v>
      </c>
      <c r="M97" s="338">
        <f t="shared" si="30"/>
        <v>0</v>
      </c>
      <c r="N97" s="339">
        <f t="shared" si="26"/>
        <v>100</v>
      </c>
      <c r="O97" s="383">
        <v>54.7</v>
      </c>
      <c r="P97" s="384"/>
      <c r="Q97" s="384"/>
      <c r="R97" s="385">
        <f t="shared" si="27"/>
        <v>54.7</v>
      </c>
      <c r="S97" s="386">
        <v>2</v>
      </c>
      <c r="T97" s="342"/>
      <c r="U97" s="355"/>
      <c r="V97" s="387" t="s">
        <v>72</v>
      </c>
      <c r="W97" s="388" t="s">
        <v>74</v>
      </c>
      <c r="X97" s="388" t="s">
        <v>11</v>
      </c>
      <c r="Y97" s="389">
        <v>46</v>
      </c>
      <c r="Z97" s="388" t="s">
        <v>73</v>
      </c>
      <c r="AA97" s="388" t="s">
        <v>75</v>
      </c>
      <c r="AB97" s="388" t="s">
        <v>11</v>
      </c>
      <c r="AC97" s="388">
        <v>8.6999999999999993</v>
      </c>
      <c r="AD97" s="387"/>
      <c r="AE97" s="388"/>
      <c r="AF97" s="388"/>
      <c r="AG97" s="389"/>
      <c r="AH97" s="388"/>
      <c r="AI97" s="388"/>
      <c r="AJ97" s="388"/>
      <c r="AK97" s="388"/>
      <c r="AL97" s="387"/>
      <c r="AM97" s="388"/>
      <c r="AN97" s="388"/>
      <c r="AO97" s="389"/>
      <c r="AP97" s="387"/>
      <c r="AQ97" s="388"/>
      <c r="AR97" s="388"/>
      <c r="AS97" s="389"/>
      <c r="AT97" s="390"/>
      <c r="AW97" s="389"/>
      <c r="AX97" s="392"/>
      <c r="AY97" s="392"/>
      <c r="AZ97" s="392"/>
      <c r="BA97" s="393"/>
    </row>
    <row r="98" spans="1:53" s="391" customFormat="1">
      <c r="A98" s="199">
        <v>2003</v>
      </c>
      <c r="B98" s="380"/>
      <c r="C98" s="962" t="s">
        <v>171</v>
      </c>
      <c r="D98" s="962"/>
      <c r="E98" s="199">
        <f>365-E97</f>
        <v>365</v>
      </c>
      <c r="F98" s="199"/>
      <c r="G98" s="381">
        <v>16</v>
      </c>
      <c r="H98" s="199"/>
      <c r="I98" s="199"/>
      <c r="J98" s="382">
        <v>16</v>
      </c>
      <c r="K98" s="338">
        <f t="shared" si="28"/>
        <v>100</v>
      </c>
      <c r="L98" s="338">
        <f t="shared" si="29"/>
        <v>0</v>
      </c>
      <c r="M98" s="338">
        <f t="shared" si="30"/>
        <v>0</v>
      </c>
      <c r="N98" s="339">
        <f t="shared" si="26"/>
        <v>100</v>
      </c>
      <c r="O98" s="383">
        <v>54.7</v>
      </c>
      <c r="P98" s="384"/>
      <c r="Q98" s="384"/>
      <c r="R98" s="385">
        <f t="shared" si="27"/>
        <v>54.7</v>
      </c>
      <c r="S98" s="386">
        <v>2</v>
      </c>
      <c r="T98" s="342"/>
      <c r="U98" s="355"/>
      <c r="V98" s="387" t="s">
        <v>72</v>
      </c>
      <c r="W98" s="388" t="s">
        <v>74</v>
      </c>
      <c r="X98" s="388" t="s">
        <v>11</v>
      </c>
      <c r="Y98" s="389">
        <v>46</v>
      </c>
      <c r="Z98" s="388" t="s">
        <v>73</v>
      </c>
      <c r="AA98" s="388" t="s">
        <v>75</v>
      </c>
      <c r="AB98" s="388" t="s">
        <v>11</v>
      </c>
      <c r="AC98" s="388">
        <v>8.6999999999999993</v>
      </c>
      <c r="AD98" s="387"/>
      <c r="AE98" s="388"/>
      <c r="AF98" s="388"/>
      <c r="AG98" s="389"/>
      <c r="AH98" s="388"/>
      <c r="AI98" s="388"/>
      <c r="AJ98" s="388"/>
      <c r="AK98" s="388"/>
      <c r="AL98" s="387"/>
      <c r="AM98" s="388"/>
      <c r="AN98" s="388"/>
      <c r="AO98" s="389"/>
      <c r="AP98" s="387"/>
      <c r="AQ98" s="388"/>
      <c r="AR98" s="388"/>
      <c r="AS98" s="389"/>
      <c r="AT98" s="390"/>
      <c r="AW98" s="389"/>
      <c r="AX98" s="392"/>
      <c r="AY98" s="392"/>
      <c r="AZ98" s="392"/>
      <c r="BA98" s="393"/>
    </row>
    <row r="99" spans="1:53" s="391" customFormat="1">
      <c r="A99" s="199">
        <v>2004</v>
      </c>
      <c r="B99" s="380"/>
      <c r="C99" s="962" t="s">
        <v>171</v>
      </c>
      <c r="D99" s="962"/>
      <c r="E99" s="199">
        <v>299</v>
      </c>
      <c r="F99" s="199"/>
      <c r="G99" s="381">
        <v>17</v>
      </c>
      <c r="H99" s="199"/>
      <c r="I99" s="199"/>
      <c r="J99" s="382">
        <v>17</v>
      </c>
      <c r="K99" s="338">
        <f t="shared" ref="K99:K104" si="31">G99/J99*100</f>
        <v>100</v>
      </c>
      <c r="L99" s="338">
        <f t="shared" ref="L99:L104" si="32">H99/J99*100</f>
        <v>0</v>
      </c>
      <c r="M99" s="338">
        <f t="shared" ref="M99:M104" si="33">I99/J99*100</f>
        <v>0</v>
      </c>
      <c r="N99" s="339">
        <f t="shared" si="26"/>
        <v>100</v>
      </c>
      <c r="O99" s="383">
        <v>54.7</v>
      </c>
      <c r="P99" s="384"/>
      <c r="Q99" s="384"/>
      <c r="R99" s="385">
        <f t="shared" si="27"/>
        <v>54.7</v>
      </c>
      <c r="S99" s="386">
        <v>2</v>
      </c>
      <c r="T99" s="342"/>
      <c r="U99" s="355"/>
      <c r="V99" s="387" t="s">
        <v>72</v>
      </c>
      <c r="W99" s="388" t="s">
        <v>74</v>
      </c>
      <c r="X99" s="388" t="s">
        <v>11</v>
      </c>
      <c r="Y99" s="389">
        <v>46</v>
      </c>
      <c r="Z99" s="388" t="s">
        <v>73</v>
      </c>
      <c r="AA99" s="388" t="s">
        <v>75</v>
      </c>
      <c r="AB99" s="388" t="s">
        <v>11</v>
      </c>
      <c r="AC99" s="388">
        <v>8.6999999999999993</v>
      </c>
      <c r="AD99" s="387"/>
      <c r="AE99" s="388"/>
      <c r="AF99" s="388"/>
      <c r="AG99" s="389"/>
      <c r="AH99" s="388"/>
      <c r="AI99" s="388"/>
      <c r="AJ99" s="388"/>
      <c r="AK99" s="388"/>
      <c r="AL99" s="387"/>
      <c r="AM99" s="388"/>
      <c r="AN99" s="388"/>
      <c r="AO99" s="389"/>
      <c r="AP99" s="387"/>
      <c r="AQ99" s="388"/>
      <c r="AR99" s="388"/>
      <c r="AS99" s="389"/>
      <c r="AT99" s="390"/>
      <c r="AW99" s="389"/>
      <c r="AX99" s="392"/>
      <c r="AY99" s="392"/>
      <c r="AZ99" s="392"/>
      <c r="BA99" s="393"/>
    </row>
    <row r="100" spans="1:53" s="100" customFormat="1">
      <c r="A100" s="87">
        <v>2004</v>
      </c>
      <c r="B100" s="88">
        <v>38286</v>
      </c>
      <c r="C100" s="963" t="s">
        <v>172</v>
      </c>
      <c r="D100" s="963"/>
      <c r="E100" s="87">
        <v>67</v>
      </c>
      <c r="F100" s="87">
        <v>1</v>
      </c>
      <c r="G100" s="89">
        <v>17</v>
      </c>
      <c r="H100" s="87"/>
      <c r="I100" s="87"/>
      <c r="J100" s="90">
        <v>17</v>
      </c>
      <c r="K100" s="77">
        <f t="shared" si="31"/>
        <v>100</v>
      </c>
      <c r="L100" s="77">
        <f t="shared" si="32"/>
        <v>0</v>
      </c>
      <c r="M100" s="77">
        <f t="shared" si="33"/>
        <v>0</v>
      </c>
      <c r="N100" s="78">
        <f t="shared" si="26"/>
        <v>100</v>
      </c>
      <c r="O100" s="91">
        <v>58</v>
      </c>
      <c r="P100" s="92"/>
      <c r="Q100" s="92"/>
      <c r="R100" s="93">
        <f t="shared" si="27"/>
        <v>58</v>
      </c>
      <c r="S100" s="102">
        <v>2</v>
      </c>
      <c r="T100" s="95">
        <v>38269</v>
      </c>
      <c r="U100" s="85">
        <v>38286</v>
      </c>
      <c r="V100" s="96" t="s">
        <v>72</v>
      </c>
      <c r="W100" s="97" t="s">
        <v>74</v>
      </c>
      <c r="X100" s="97" t="s">
        <v>11</v>
      </c>
      <c r="Y100" s="98">
        <v>50</v>
      </c>
      <c r="Z100" s="97" t="s">
        <v>73</v>
      </c>
      <c r="AA100" s="97" t="s">
        <v>75</v>
      </c>
      <c r="AB100" s="97" t="s">
        <v>11</v>
      </c>
      <c r="AC100" s="97">
        <v>8</v>
      </c>
      <c r="AD100" s="96"/>
      <c r="AE100" s="97"/>
      <c r="AF100" s="97"/>
      <c r="AG100" s="98"/>
      <c r="AH100" s="97"/>
      <c r="AI100" s="97"/>
      <c r="AJ100" s="97"/>
      <c r="AK100" s="97"/>
      <c r="AL100" s="96"/>
      <c r="AM100" s="97"/>
      <c r="AN100" s="97"/>
      <c r="AO100" s="98"/>
      <c r="AP100" s="96"/>
      <c r="AQ100" s="97"/>
      <c r="AR100" s="97"/>
      <c r="AS100" s="98"/>
      <c r="AT100" s="99"/>
      <c r="AW100" s="98"/>
      <c r="AX100" s="324"/>
      <c r="AY100" s="324"/>
      <c r="AZ100" s="324"/>
      <c r="BA100" s="330"/>
    </row>
    <row r="101" spans="1:53" s="118" customFormat="1">
      <c r="A101" s="110">
        <v>2005</v>
      </c>
      <c r="B101" s="111"/>
      <c r="C101" s="963" t="s">
        <v>172</v>
      </c>
      <c r="D101" s="963"/>
      <c r="E101" s="110">
        <v>0</v>
      </c>
      <c r="F101" s="110"/>
      <c r="G101" s="112">
        <v>17</v>
      </c>
      <c r="H101" s="110"/>
      <c r="I101" s="110"/>
      <c r="J101" s="113">
        <v>17</v>
      </c>
      <c r="K101" s="77">
        <f t="shared" si="31"/>
        <v>100</v>
      </c>
      <c r="L101" s="77">
        <f t="shared" si="32"/>
        <v>0</v>
      </c>
      <c r="M101" s="77">
        <f t="shared" si="33"/>
        <v>0</v>
      </c>
      <c r="N101" s="78">
        <f t="shared" si="26"/>
        <v>100</v>
      </c>
      <c r="O101" s="91">
        <v>58</v>
      </c>
      <c r="P101" s="92"/>
      <c r="Q101" s="92"/>
      <c r="R101" s="93">
        <f t="shared" si="27"/>
        <v>58</v>
      </c>
      <c r="S101" s="102">
        <v>2</v>
      </c>
      <c r="T101" s="95"/>
      <c r="U101" s="85"/>
      <c r="V101" s="96" t="s">
        <v>72</v>
      </c>
      <c r="W101" s="97" t="s">
        <v>74</v>
      </c>
      <c r="X101" s="97" t="s">
        <v>11</v>
      </c>
      <c r="Y101" s="98">
        <v>50</v>
      </c>
      <c r="Z101" s="97" t="s">
        <v>73</v>
      </c>
      <c r="AA101" s="97" t="s">
        <v>75</v>
      </c>
      <c r="AB101" s="97" t="s">
        <v>11</v>
      </c>
      <c r="AC101" s="97">
        <v>8</v>
      </c>
      <c r="AD101" s="114"/>
      <c r="AE101" s="115"/>
      <c r="AF101" s="115"/>
      <c r="AG101" s="116"/>
      <c r="AH101" s="115"/>
      <c r="AI101" s="115"/>
      <c r="AJ101" s="115"/>
      <c r="AK101" s="115"/>
      <c r="AL101" s="114"/>
      <c r="AM101" s="115"/>
      <c r="AN101" s="115"/>
      <c r="AO101" s="116"/>
      <c r="AP101" s="114"/>
      <c r="AQ101" s="115"/>
      <c r="AR101" s="115"/>
      <c r="AS101" s="116"/>
      <c r="AT101" s="117"/>
      <c r="AW101" s="116"/>
      <c r="AX101" s="331"/>
      <c r="AY101" s="331"/>
      <c r="AZ101" s="331"/>
      <c r="BA101" s="332"/>
    </row>
    <row r="102" spans="1:53" s="118" customFormat="1">
      <c r="A102" s="110">
        <v>2005</v>
      </c>
      <c r="B102" s="111"/>
      <c r="C102" s="963" t="s">
        <v>172</v>
      </c>
      <c r="D102" s="963"/>
      <c r="E102" s="110">
        <v>365</v>
      </c>
      <c r="F102" s="110"/>
      <c r="G102" s="112">
        <v>17</v>
      </c>
      <c r="H102" s="110"/>
      <c r="I102" s="110"/>
      <c r="J102" s="113">
        <v>17</v>
      </c>
      <c r="K102" s="77">
        <f t="shared" si="31"/>
        <v>100</v>
      </c>
      <c r="L102" s="77">
        <f t="shared" si="32"/>
        <v>0</v>
      </c>
      <c r="M102" s="77">
        <f t="shared" si="33"/>
        <v>0</v>
      </c>
      <c r="N102" s="78">
        <f t="shared" si="26"/>
        <v>100</v>
      </c>
      <c r="O102" s="91">
        <v>58</v>
      </c>
      <c r="P102" s="92"/>
      <c r="Q102" s="92"/>
      <c r="R102" s="93">
        <f t="shared" si="27"/>
        <v>58</v>
      </c>
      <c r="S102" s="102">
        <v>2</v>
      </c>
      <c r="T102" s="95"/>
      <c r="U102" s="85"/>
      <c r="V102" s="96" t="s">
        <v>72</v>
      </c>
      <c r="W102" s="97" t="s">
        <v>74</v>
      </c>
      <c r="X102" s="97" t="s">
        <v>11</v>
      </c>
      <c r="Y102" s="98">
        <v>50</v>
      </c>
      <c r="Z102" s="97" t="s">
        <v>73</v>
      </c>
      <c r="AA102" s="97" t="s">
        <v>75</v>
      </c>
      <c r="AB102" s="97" t="s">
        <v>11</v>
      </c>
      <c r="AC102" s="97">
        <v>8</v>
      </c>
      <c r="AD102" s="114"/>
      <c r="AE102" s="115"/>
      <c r="AF102" s="115"/>
      <c r="AG102" s="116"/>
      <c r="AH102" s="115"/>
      <c r="AI102" s="115"/>
      <c r="AJ102" s="115"/>
      <c r="AK102" s="115"/>
      <c r="AL102" s="114"/>
      <c r="AM102" s="115"/>
      <c r="AN102" s="115"/>
      <c r="AO102" s="116"/>
      <c r="AP102" s="114"/>
      <c r="AQ102" s="115"/>
      <c r="AR102" s="115"/>
      <c r="AS102" s="116"/>
      <c r="AT102" s="117"/>
      <c r="AW102" s="116"/>
      <c r="AX102" s="331"/>
      <c r="AY102" s="331"/>
      <c r="AZ102" s="331"/>
      <c r="BA102" s="332"/>
    </row>
    <row r="103" spans="1:53" s="120" customFormat="1">
      <c r="A103" s="119">
        <v>2006</v>
      </c>
      <c r="B103" s="111"/>
      <c r="C103" s="963" t="s">
        <v>172</v>
      </c>
      <c r="D103" s="963"/>
      <c r="E103" s="110">
        <v>0</v>
      </c>
      <c r="F103" s="110"/>
      <c r="G103" s="112">
        <v>17</v>
      </c>
      <c r="H103" s="110"/>
      <c r="I103" s="110"/>
      <c r="J103" s="113">
        <v>17</v>
      </c>
      <c r="K103" s="77">
        <f t="shared" si="31"/>
        <v>100</v>
      </c>
      <c r="L103" s="77">
        <f t="shared" si="32"/>
        <v>0</v>
      </c>
      <c r="M103" s="77">
        <f t="shared" si="33"/>
        <v>0</v>
      </c>
      <c r="N103" s="78">
        <f t="shared" si="26"/>
        <v>100</v>
      </c>
      <c r="O103" s="91">
        <v>58</v>
      </c>
      <c r="P103" s="92"/>
      <c r="Q103" s="92"/>
      <c r="R103" s="93">
        <f t="shared" si="27"/>
        <v>58</v>
      </c>
      <c r="S103" s="102">
        <v>2</v>
      </c>
      <c r="T103" s="95"/>
      <c r="U103" s="85"/>
      <c r="V103" s="96" t="s">
        <v>72</v>
      </c>
      <c r="W103" s="97" t="s">
        <v>74</v>
      </c>
      <c r="X103" s="97" t="s">
        <v>11</v>
      </c>
      <c r="Y103" s="98">
        <v>50</v>
      </c>
      <c r="Z103" s="97" t="s">
        <v>73</v>
      </c>
      <c r="AA103" s="97" t="s">
        <v>75</v>
      </c>
      <c r="AB103" s="97" t="s">
        <v>11</v>
      </c>
      <c r="AC103" s="97">
        <v>8</v>
      </c>
      <c r="AD103" s="114"/>
      <c r="AE103" s="115"/>
      <c r="AF103" s="115"/>
      <c r="AG103" s="116"/>
      <c r="AH103" s="115"/>
      <c r="AI103" s="115"/>
      <c r="AJ103" s="115"/>
      <c r="AK103" s="115"/>
      <c r="AL103" s="114"/>
      <c r="AM103" s="115"/>
      <c r="AN103" s="115"/>
      <c r="AO103" s="116"/>
      <c r="AP103" s="114"/>
      <c r="AQ103" s="115"/>
      <c r="AR103" s="115"/>
      <c r="AS103" s="116"/>
      <c r="AT103" s="117"/>
      <c r="AW103" s="116"/>
      <c r="AX103" s="119"/>
      <c r="AY103" s="119"/>
      <c r="AZ103" s="119"/>
      <c r="BA103" s="333"/>
    </row>
    <row r="104" spans="1:53" s="120" customFormat="1">
      <c r="A104" s="119">
        <v>2006</v>
      </c>
      <c r="B104" s="111"/>
      <c r="C104" s="963" t="s">
        <v>172</v>
      </c>
      <c r="D104" s="963"/>
      <c r="E104" s="110">
        <v>365</v>
      </c>
      <c r="F104" s="110"/>
      <c r="G104" s="112">
        <v>17</v>
      </c>
      <c r="H104" s="110"/>
      <c r="I104" s="110"/>
      <c r="J104" s="113">
        <v>17</v>
      </c>
      <c r="K104" s="77">
        <f t="shared" si="31"/>
        <v>100</v>
      </c>
      <c r="L104" s="77">
        <f t="shared" si="32"/>
        <v>0</v>
      </c>
      <c r="M104" s="77">
        <f t="shared" si="33"/>
        <v>0</v>
      </c>
      <c r="N104" s="78">
        <f t="shared" si="26"/>
        <v>100</v>
      </c>
      <c r="O104" s="91">
        <v>58</v>
      </c>
      <c r="P104" s="92"/>
      <c r="Q104" s="92"/>
      <c r="R104" s="93">
        <f>SUM(O104:Q104)</f>
        <v>58</v>
      </c>
      <c r="S104" s="102">
        <v>2</v>
      </c>
      <c r="T104" s="95"/>
      <c r="U104" s="85"/>
      <c r="V104" s="96" t="s">
        <v>72</v>
      </c>
      <c r="W104" s="97" t="s">
        <v>74</v>
      </c>
      <c r="X104" s="97" t="s">
        <v>11</v>
      </c>
      <c r="Y104" s="98">
        <v>50</v>
      </c>
      <c r="Z104" s="97" t="s">
        <v>73</v>
      </c>
      <c r="AA104" s="97" t="s">
        <v>75</v>
      </c>
      <c r="AB104" s="97" t="s">
        <v>11</v>
      </c>
      <c r="AC104" s="97">
        <v>8</v>
      </c>
      <c r="AD104" s="114"/>
      <c r="AE104" s="115"/>
      <c r="AF104" s="115"/>
      <c r="AG104" s="116"/>
      <c r="AH104" s="115"/>
      <c r="AI104" s="115"/>
      <c r="AJ104" s="115"/>
      <c r="AK104" s="115"/>
      <c r="AL104" s="114"/>
      <c r="AM104" s="115"/>
      <c r="AN104" s="115"/>
      <c r="AO104" s="116"/>
      <c r="AP104" s="114"/>
      <c r="AQ104" s="115"/>
      <c r="AR104" s="115"/>
      <c r="AS104" s="116"/>
      <c r="AT104" s="117"/>
      <c r="AW104" s="116"/>
      <c r="AX104" s="119"/>
      <c r="AY104" s="119"/>
      <c r="AZ104" s="119"/>
      <c r="BA104" s="333"/>
    </row>
    <row r="105" spans="1:53" s="120" customFormat="1">
      <c r="A105" s="87">
        <v>2006.73170731707</v>
      </c>
      <c r="B105" s="88"/>
      <c r="C105" s="963" t="s">
        <v>172</v>
      </c>
      <c r="D105" s="963"/>
      <c r="E105" s="87">
        <v>336</v>
      </c>
      <c r="F105" s="87"/>
      <c r="G105" s="89">
        <v>17</v>
      </c>
      <c r="H105" s="87"/>
      <c r="I105" s="87"/>
      <c r="J105" s="90">
        <v>17</v>
      </c>
      <c r="K105" s="77">
        <f t="shared" ref="K105:K128" si="34">G105/J105*100</f>
        <v>100</v>
      </c>
      <c r="L105" s="77">
        <f t="shared" ref="L105:L126" si="35">H105/J105*100</f>
        <v>0</v>
      </c>
      <c r="M105" s="77">
        <f t="shared" ref="M105:M126" si="36">I105/J105*100</f>
        <v>0</v>
      </c>
      <c r="N105" s="78">
        <f t="shared" si="26"/>
        <v>100</v>
      </c>
      <c r="O105" s="91">
        <v>58</v>
      </c>
      <c r="P105" s="92"/>
      <c r="Q105" s="92"/>
      <c r="R105" s="93">
        <f t="shared" si="27"/>
        <v>58</v>
      </c>
      <c r="S105" s="102">
        <v>2</v>
      </c>
      <c r="T105" s="95"/>
      <c r="U105" s="85"/>
      <c r="V105" s="96" t="s">
        <v>72</v>
      </c>
      <c r="W105" s="97" t="s">
        <v>74</v>
      </c>
      <c r="X105" s="97" t="s">
        <v>11</v>
      </c>
      <c r="Y105" s="98">
        <v>50</v>
      </c>
      <c r="Z105" s="97" t="s">
        <v>73</v>
      </c>
      <c r="AA105" s="97" t="s">
        <v>75</v>
      </c>
      <c r="AB105" s="97" t="s">
        <v>11</v>
      </c>
      <c r="AC105" s="97">
        <v>8</v>
      </c>
      <c r="AD105" s="114"/>
      <c r="AE105" s="115"/>
      <c r="AF105" s="115"/>
      <c r="AG105" s="116"/>
      <c r="AH105" s="115"/>
      <c r="AI105" s="115"/>
      <c r="AJ105" s="115"/>
      <c r="AK105" s="115"/>
      <c r="AL105" s="114"/>
      <c r="AM105" s="115"/>
      <c r="AN105" s="115"/>
      <c r="AO105" s="116"/>
      <c r="AP105" s="114"/>
      <c r="AQ105" s="115"/>
      <c r="AR105" s="115"/>
      <c r="AS105" s="116"/>
      <c r="AT105" s="117"/>
      <c r="AW105" s="116"/>
      <c r="AX105" s="119"/>
      <c r="AY105" s="119"/>
      <c r="AZ105" s="119"/>
      <c r="BA105" s="333"/>
    </row>
    <row r="106" spans="1:53" s="416" customFormat="1">
      <c r="A106" s="199">
        <v>2007.23085649461</v>
      </c>
      <c r="B106" s="380">
        <v>39419</v>
      </c>
      <c r="C106" s="962" t="s">
        <v>173</v>
      </c>
      <c r="D106" s="962"/>
      <c r="E106" s="199">
        <f>365-E105</f>
        <v>29</v>
      </c>
      <c r="F106" s="199">
        <v>1</v>
      </c>
      <c r="G106" s="381"/>
      <c r="H106" s="199"/>
      <c r="I106" s="199">
        <v>20</v>
      </c>
      <c r="J106" s="382">
        <v>20</v>
      </c>
      <c r="K106" s="338">
        <f t="shared" si="34"/>
        <v>0</v>
      </c>
      <c r="L106" s="338">
        <f t="shared" si="35"/>
        <v>0</v>
      </c>
      <c r="M106" s="338">
        <f t="shared" si="36"/>
        <v>100</v>
      </c>
      <c r="N106" s="339">
        <f t="shared" si="26"/>
        <v>100</v>
      </c>
      <c r="O106" s="383"/>
      <c r="P106" s="384"/>
      <c r="Q106" s="384">
        <v>55.3</v>
      </c>
      <c r="R106" s="385">
        <f t="shared" si="27"/>
        <v>55.3</v>
      </c>
      <c r="S106" s="386">
        <v>1</v>
      </c>
      <c r="T106" s="342">
        <v>39410</v>
      </c>
      <c r="U106" s="355">
        <v>39419</v>
      </c>
      <c r="V106" s="387" t="s">
        <v>78</v>
      </c>
      <c r="W106" s="388" t="s">
        <v>20</v>
      </c>
      <c r="X106" s="388" t="s">
        <v>12</v>
      </c>
      <c r="Y106" s="389">
        <v>55.3</v>
      </c>
      <c r="Z106" s="412"/>
      <c r="AA106" s="412"/>
      <c r="AB106" s="412"/>
      <c r="AC106" s="412"/>
      <c r="AD106" s="413"/>
      <c r="AE106" s="412"/>
      <c r="AF106" s="412"/>
      <c r="AG106" s="414"/>
      <c r="AH106" s="412"/>
      <c r="AI106" s="412"/>
      <c r="AJ106" s="412"/>
      <c r="AK106" s="412"/>
      <c r="AL106" s="413"/>
      <c r="AM106" s="412"/>
      <c r="AN106" s="412"/>
      <c r="AO106" s="414"/>
      <c r="AP106" s="413"/>
      <c r="AQ106" s="412"/>
      <c r="AR106" s="412"/>
      <c r="AS106" s="414"/>
      <c r="AT106" s="415"/>
      <c r="AW106" s="414"/>
      <c r="AX106" s="417"/>
      <c r="AY106" s="417"/>
      <c r="AZ106" s="417"/>
      <c r="BA106" s="418"/>
    </row>
    <row r="107" spans="1:53" s="391" customFormat="1">
      <c r="A107" s="199">
        <v>2008</v>
      </c>
      <c r="B107" s="380"/>
      <c r="C107" s="962" t="s">
        <v>173</v>
      </c>
      <c r="D107" s="962"/>
      <c r="E107" s="199">
        <v>0</v>
      </c>
      <c r="F107" s="199"/>
      <c r="G107" s="381"/>
      <c r="H107" s="199"/>
      <c r="I107" s="199">
        <v>20</v>
      </c>
      <c r="J107" s="382">
        <v>20</v>
      </c>
      <c r="K107" s="338">
        <f t="shared" si="34"/>
        <v>0</v>
      </c>
      <c r="L107" s="338">
        <f t="shared" si="35"/>
        <v>0</v>
      </c>
      <c r="M107" s="338">
        <f t="shared" si="36"/>
        <v>100</v>
      </c>
      <c r="N107" s="339">
        <f t="shared" si="26"/>
        <v>100</v>
      </c>
      <c r="O107" s="383"/>
      <c r="P107" s="384"/>
      <c r="Q107" s="384">
        <v>55.3</v>
      </c>
      <c r="R107" s="385">
        <f t="shared" si="27"/>
        <v>55.3</v>
      </c>
      <c r="S107" s="386">
        <v>1</v>
      </c>
      <c r="T107" s="342"/>
      <c r="U107" s="355"/>
      <c r="V107" s="387" t="s">
        <v>78</v>
      </c>
      <c r="W107" s="388" t="s">
        <v>20</v>
      </c>
      <c r="X107" s="388" t="s">
        <v>12</v>
      </c>
      <c r="Y107" s="389">
        <v>55.3</v>
      </c>
      <c r="Z107" s="388"/>
      <c r="AA107" s="388"/>
      <c r="AB107" s="388"/>
      <c r="AC107" s="388"/>
      <c r="AD107" s="387"/>
      <c r="AE107" s="388"/>
      <c r="AF107" s="388"/>
      <c r="AG107" s="389"/>
      <c r="AH107" s="388"/>
      <c r="AI107" s="388"/>
      <c r="AJ107" s="388"/>
      <c r="AK107" s="388"/>
      <c r="AL107" s="387"/>
      <c r="AM107" s="388"/>
      <c r="AN107" s="388"/>
      <c r="AO107" s="389"/>
      <c r="AP107" s="387"/>
      <c r="AQ107" s="388"/>
      <c r="AR107" s="388"/>
      <c r="AS107" s="389"/>
      <c r="AT107" s="390"/>
      <c r="AW107" s="389"/>
      <c r="AX107" s="392"/>
      <c r="AY107" s="392"/>
      <c r="AZ107" s="392"/>
      <c r="BA107" s="393"/>
    </row>
    <row r="108" spans="1:53" s="391" customFormat="1">
      <c r="A108" s="199">
        <v>2008</v>
      </c>
      <c r="B108" s="380"/>
      <c r="C108" s="962" t="s">
        <v>173</v>
      </c>
      <c r="D108" s="962"/>
      <c r="E108" s="199">
        <v>366</v>
      </c>
      <c r="F108" s="199"/>
      <c r="G108" s="381"/>
      <c r="H108" s="199"/>
      <c r="I108" s="199">
        <v>20</v>
      </c>
      <c r="J108" s="382">
        <v>20</v>
      </c>
      <c r="K108" s="338">
        <f t="shared" si="34"/>
        <v>0</v>
      </c>
      <c r="L108" s="338">
        <f t="shared" si="35"/>
        <v>0</v>
      </c>
      <c r="M108" s="338">
        <f t="shared" si="36"/>
        <v>100</v>
      </c>
      <c r="N108" s="339">
        <f t="shared" si="26"/>
        <v>100</v>
      </c>
      <c r="O108" s="383"/>
      <c r="P108" s="384"/>
      <c r="Q108" s="384">
        <v>55.3</v>
      </c>
      <c r="R108" s="385">
        <f t="shared" si="27"/>
        <v>55.3</v>
      </c>
      <c r="S108" s="386">
        <v>1</v>
      </c>
      <c r="T108" s="342"/>
      <c r="U108" s="355"/>
      <c r="V108" s="387" t="s">
        <v>78</v>
      </c>
      <c r="W108" s="388" t="s">
        <v>20</v>
      </c>
      <c r="X108" s="388" t="s">
        <v>12</v>
      </c>
      <c r="Y108" s="389">
        <v>55.3</v>
      </c>
      <c r="Z108" s="388"/>
      <c r="AA108" s="388"/>
      <c r="AB108" s="388"/>
      <c r="AC108" s="388"/>
      <c r="AD108" s="387"/>
      <c r="AE108" s="388"/>
      <c r="AF108" s="388"/>
      <c r="AG108" s="389"/>
      <c r="AH108" s="388"/>
      <c r="AI108" s="388"/>
      <c r="AJ108" s="388"/>
      <c r="AK108" s="388"/>
      <c r="AL108" s="387"/>
      <c r="AM108" s="388"/>
      <c r="AN108" s="388"/>
      <c r="AO108" s="389"/>
      <c r="AP108" s="387"/>
      <c r="AQ108" s="388"/>
      <c r="AR108" s="388"/>
      <c r="AS108" s="389"/>
      <c r="AT108" s="390"/>
      <c r="AW108" s="389"/>
      <c r="AX108" s="392"/>
      <c r="AY108" s="392"/>
      <c r="AZ108" s="392"/>
      <c r="BA108" s="393"/>
    </row>
    <row r="109" spans="1:53" s="391" customFormat="1">
      <c r="A109" s="199">
        <v>2009</v>
      </c>
      <c r="B109" s="380"/>
      <c r="C109" s="962" t="s">
        <v>173</v>
      </c>
      <c r="D109" s="962"/>
      <c r="E109" s="199">
        <v>0</v>
      </c>
      <c r="F109" s="199"/>
      <c r="G109" s="381"/>
      <c r="H109" s="199"/>
      <c r="I109" s="199">
        <v>20</v>
      </c>
      <c r="J109" s="382">
        <v>20</v>
      </c>
      <c r="K109" s="338">
        <f t="shared" si="34"/>
        <v>0</v>
      </c>
      <c r="L109" s="338">
        <f t="shared" si="35"/>
        <v>0</v>
      </c>
      <c r="M109" s="338">
        <f t="shared" si="36"/>
        <v>100</v>
      </c>
      <c r="N109" s="339">
        <f t="shared" si="26"/>
        <v>100</v>
      </c>
      <c r="O109" s="383"/>
      <c r="P109" s="384"/>
      <c r="Q109" s="384">
        <v>55.3</v>
      </c>
      <c r="R109" s="385">
        <f t="shared" si="27"/>
        <v>55.3</v>
      </c>
      <c r="S109" s="386">
        <v>1</v>
      </c>
      <c r="T109" s="342"/>
      <c r="U109" s="355"/>
      <c r="V109" s="387" t="s">
        <v>78</v>
      </c>
      <c r="W109" s="388" t="s">
        <v>20</v>
      </c>
      <c r="X109" s="388" t="s">
        <v>12</v>
      </c>
      <c r="Y109" s="389">
        <v>55.3</v>
      </c>
      <c r="Z109" s="388"/>
      <c r="AA109" s="388"/>
      <c r="AB109" s="388"/>
      <c r="AC109" s="388"/>
      <c r="AD109" s="387"/>
      <c r="AE109" s="388"/>
      <c r="AF109" s="388"/>
      <c r="AG109" s="389"/>
      <c r="AH109" s="388"/>
      <c r="AI109" s="388"/>
      <c r="AJ109" s="388"/>
      <c r="AK109" s="388"/>
      <c r="AL109" s="387"/>
      <c r="AM109" s="388"/>
      <c r="AN109" s="388"/>
      <c r="AO109" s="389"/>
      <c r="AP109" s="387"/>
      <c r="AQ109" s="388"/>
      <c r="AR109" s="388"/>
      <c r="AS109" s="389"/>
      <c r="AT109" s="390"/>
      <c r="AW109" s="389"/>
      <c r="AX109" s="392"/>
      <c r="AY109" s="392"/>
      <c r="AZ109" s="392"/>
      <c r="BA109" s="393"/>
    </row>
    <row r="110" spans="1:53" s="391" customFormat="1">
      <c r="A110" s="199">
        <v>2009</v>
      </c>
      <c r="B110" s="355"/>
      <c r="C110" s="962" t="s">
        <v>173</v>
      </c>
      <c r="D110" s="962"/>
      <c r="E110" s="199">
        <v>365</v>
      </c>
      <c r="F110" s="199"/>
      <c r="G110" s="381"/>
      <c r="H110" s="199"/>
      <c r="I110" s="199">
        <v>20</v>
      </c>
      <c r="J110" s="382">
        <v>20</v>
      </c>
      <c r="K110" s="338">
        <f t="shared" si="34"/>
        <v>0</v>
      </c>
      <c r="L110" s="338">
        <f t="shared" si="35"/>
        <v>0</v>
      </c>
      <c r="M110" s="338">
        <f t="shared" si="36"/>
        <v>100</v>
      </c>
      <c r="N110" s="339">
        <f t="shared" si="26"/>
        <v>100</v>
      </c>
      <c r="O110" s="383"/>
      <c r="P110" s="384"/>
      <c r="Q110" s="384">
        <v>55.3</v>
      </c>
      <c r="R110" s="385">
        <f t="shared" si="27"/>
        <v>55.3</v>
      </c>
      <c r="S110" s="386">
        <v>1</v>
      </c>
      <c r="T110" s="342"/>
      <c r="U110" s="355"/>
      <c r="V110" s="387" t="s">
        <v>78</v>
      </c>
      <c r="W110" s="388" t="s">
        <v>20</v>
      </c>
      <c r="X110" s="388" t="s">
        <v>12</v>
      </c>
      <c r="Y110" s="389">
        <v>55.3</v>
      </c>
      <c r="Z110" s="388"/>
      <c r="AA110" s="388"/>
      <c r="AB110" s="388"/>
      <c r="AC110" s="388"/>
      <c r="AD110" s="387"/>
      <c r="AE110" s="388"/>
      <c r="AF110" s="388"/>
      <c r="AG110" s="389"/>
      <c r="AH110" s="388"/>
      <c r="AI110" s="388"/>
      <c r="AJ110" s="388"/>
      <c r="AK110" s="388"/>
      <c r="AL110" s="387"/>
      <c r="AM110" s="388"/>
      <c r="AN110" s="388"/>
      <c r="AO110" s="389"/>
      <c r="AP110" s="387"/>
      <c r="AQ110" s="388"/>
      <c r="AR110" s="388"/>
      <c r="AS110" s="389"/>
      <c r="AT110" s="390"/>
      <c r="AW110" s="389"/>
      <c r="AX110" s="392"/>
      <c r="AY110" s="392"/>
      <c r="AZ110" s="392"/>
      <c r="BA110" s="393"/>
    </row>
    <row r="111" spans="1:53" s="391" customFormat="1">
      <c r="A111" s="199">
        <v>2010</v>
      </c>
      <c r="B111" s="355"/>
      <c r="C111" s="962" t="s">
        <v>173</v>
      </c>
      <c r="D111" s="962"/>
      <c r="E111" s="199">
        <v>174</v>
      </c>
      <c r="F111" s="199"/>
      <c r="G111" s="381"/>
      <c r="H111" s="199"/>
      <c r="I111" s="199">
        <v>20</v>
      </c>
      <c r="J111" s="382">
        <v>20</v>
      </c>
      <c r="K111" s="338">
        <f t="shared" si="34"/>
        <v>0</v>
      </c>
      <c r="L111" s="338">
        <f t="shared" si="35"/>
        <v>0</v>
      </c>
      <c r="M111" s="338">
        <f t="shared" si="36"/>
        <v>100</v>
      </c>
      <c r="N111" s="339">
        <f t="shared" si="26"/>
        <v>100</v>
      </c>
      <c r="O111" s="383"/>
      <c r="P111" s="384"/>
      <c r="Q111" s="384">
        <v>55.3</v>
      </c>
      <c r="R111" s="385">
        <f t="shared" si="27"/>
        <v>55.3</v>
      </c>
      <c r="S111" s="386">
        <v>1</v>
      </c>
      <c r="T111" s="342"/>
      <c r="U111" s="355"/>
      <c r="V111" s="387" t="s">
        <v>78</v>
      </c>
      <c r="W111" s="388" t="s">
        <v>20</v>
      </c>
      <c r="X111" s="388" t="s">
        <v>12</v>
      </c>
      <c r="Y111" s="389">
        <v>55.3</v>
      </c>
      <c r="Z111" s="388"/>
      <c r="AA111" s="388"/>
      <c r="AB111" s="388"/>
      <c r="AC111" s="388"/>
      <c r="AD111" s="387"/>
      <c r="AE111" s="388"/>
      <c r="AF111" s="388"/>
      <c r="AG111" s="389"/>
      <c r="AH111" s="388"/>
      <c r="AI111" s="388"/>
      <c r="AJ111" s="388"/>
      <c r="AK111" s="388"/>
      <c r="AL111" s="387"/>
      <c r="AM111" s="388"/>
      <c r="AN111" s="388"/>
      <c r="AO111" s="389"/>
      <c r="AP111" s="387"/>
      <c r="AQ111" s="388"/>
      <c r="AR111" s="388"/>
      <c r="AS111" s="389"/>
      <c r="AT111" s="390"/>
      <c r="AW111" s="389"/>
      <c r="AX111" s="392"/>
      <c r="AY111" s="392"/>
      <c r="AZ111" s="392"/>
      <c r="BA111" s="393"/>
    </row>
    <row r="112" spans="1:53" s="100" customFormat="1">
      <c r="A112" s="87">
        <v>2010</v>
      </c>
      <c r="B112" s="88">
        <v>40353</v>
      </c>
      <c r="C112" s="963" t="s">
        <v>174</v>
      </c>
      <c r="D112" s="963"/>
      <c r="E112" s="87">
        <f>365-E111-E113</f>
        <v>82</v>
      </c>
      <c r="F112" s="87">
        <v>2</v>
      </c>
      <c r="G112" s="89"/>
      <c r="H112" s="87"/>
      <c r="I112" s="87">
        <v>20</v>
      </c>
      <c r="J112" s="90">
        <v>20</v>
      </c>
      <c r="K112" s="77">
        <f t="shared" si="34"/>
        <v>0</v>
      </c>
      <c r="L112" s="77">
        <f t="shared" si="35"/>
        <v>0</v>
      </c>
      <c r="M112" s="77">
        <f t="shared" si="36"/>
        <v>100</v>
      </c>
      <c r="N112" s="78">
        <f t="shared" si="26"/>
        <v>100</v>
      </c>
      <c r="O112" s="91"/>
      <c r="P112" s="92"/>
      <c r="Q112" s="92">
        <v>55.3</v>
      </c>
      <c r="R112" s="93">
        <f t="shared" si="27"/>
        <v>55.3</v>
      </c>
      <c r="S112" s="102">
        <v>1</v>
      </c>
      <c r="T112" s="95"/>
      <c r="U112" s="85">
        <v>40353</v>
      </c>
      <c r="V112" s="96" t="s">
        <v>78</v>
      </c>
      <c r="W112" s="97" t="s">
        <v>20</v>
      </c>
      <c r="X112" s="97" t="s">
        <v>12</v>
      </c>
      <c r="Y112" s="98">
        <v>55.3</v>
      </c>
      <c r="Z112" s="97"/>
      <c r="AA112" s="97"/>
      <c r="AB112" s="97"/>
      <c r="AC112" s="97"/>
      <c r="AD112" s="96"/>
      <c r="AE112" s="97"/>
      <c r="AF112" s="97"/>
      <c r="AG112" s="98"/>
      <c r="AH112" s="97"/>
      <c r="AI112" s="97"/>
      <c r="AJ112" s="97"/>
      <c r="AK112" s="97"/>
      <c r="AL112" s="96"/>
      <c r="AM112" s="97"/>
      <c r="AN112" s="97"/>
      <c r="AO112" s="98"/>
      <c r="AP112" s="96"/>
      <c r="AQ112" s="97"/>
      <c r="AR112" s="97"/>
      <c r="AS112" s="98"/>
      <c r="AT112" s="99"/>
      <c r="AW112" s="98"/>
      <c r="AX112" s="324"/>
      <c r="AY112" s="324"/>
      <c r="AZ112" s="324"/>
      <c r="BA112" s="330"/>
    </row>
    <row r="113" spans="1:74" s="391" customFormat="1">
      <c r="A113" s="199">
        <v>2010</v>
      </c>
      <c r="B113" s="380">
        <v>40435</v>
      </c>
      <c r="C113" s="962" t="s">
        <v>175</v>
      </c>
      <c r="D113" s="962"/>
      <c r="E113" s="199">
        <v>109</v>
      </c>
      <c r="F113" s="199">
        <v>1</v>
      </c>
      <c r="G113" s="381"/>
      <c r="H113" s="199"/>
      <c r="I113" s="199">
        <v>20</v>
      </c>
      <c r="J113" s="382">
        <v>20</v>
      </c>
      <c r="K113" s="338">
        <f t="shared" si="34"/>
        <v>0</v>
      </c>
      <c r="L113" s="338">
        <f t="shared" si="35"/>
        <v>0</v>
      </c>
      <c r="M113" s="338">
        <f t="shared" si="36"/>
        <v>100</v>
      </c>
      <c r="N113" s="339">
        <f t="shared" si="26"/>
        <v>100</v>
      </c>
      <c r="O113" s="383"/>
      <c r="P113" s="384"/>
      <c r="Q113" s="384">
        <v>48</v>
      </c>
      <c r="R113" s="385">
        <f t="shared" si="27"/>
        <v>48</v>
      </c>
      <c r="S113" s="386">
        <v>4</v>
      </c>
      <c r="T113" s="342">
        <v>40411</v>
      </c>
      <c r="U113" s="355">
        <v>40435</v>
      </c>
      <c r="V113" s="387" t="s">
        <v>78</v>
      </c>
      <c r="W113" s="388" t="s">
        <v>20</v>
      </c>
      <c r="X113" s="388" t="s">
        <v>12</v>
      </c>
      <c r="Y113" s="389">
        <v>48</v>
      </c>
      <c r="Z113" s="388"/>
      <c r="AA113" s="388"/>
      <c r="AB113" s="388"/>
      <c r="AC113" s="388"/>
      <c r="AD113" s="387"/>
      <c r="AE113" s="388"/>
      <c r="AF113" s="388"/>
      <c r="AG113" s="389"/>
      <c r="AH113" s="388"/>
      <c r="AI113" s="388"/>
      <c r="AJ113" s="388"/>
      <c r="AK113" s="388"/>
      <c r="AL113" s="387"/>
      <c r="AM113" s="388"/>
      <c r="AN113" s="388"/>
      <c r="AO113" s="389"/>
      <c r="AP113" s="387"/>
      <c r="AQ113" s="388"/>
      <c r="AR113" s="388"/>
      <c r="AS113" s="389"/>
      <c r="AT113" s="390"/>
      <c r="AW113" s="389"/>
      <c r="AX113" s="392"/>
      <c r="AY113" s="392"/>
      <c r="AZ113" s="392"/>
      <c r="BA113" s="393"/>
    </row>
    <row r="114" spans="1:74" s="391" customFormat="1">
      <c r="A114" s="199">
        <v>2011</v>
      </c>
      <c r="B114" s="355"/>
      <c r="C114" s="962" t="s">
        <v>175</v>
      </c>
      <c r="D114" s="962"/>
      <c r="E114" s="199">
        <v>347</v>
      </c>
      <c r="F114" s="199"/>
      <c r="G114" s="381"/>
      <c r="H114" s="199"/>
      <c r="I114" s="199">
        <v>20</v>
      </c>
      <c r="J114" s="382">
        <v>20</v>
      </c>
      <c r="K114" s="338">
        <f t="shared" si="34"/>
        <v>0</v>
      </c>
      <c r="L114" s="338">
        <f t="shared" si="35"/>
        <v>0</v>
      </c>
      <c r="M114" s="338">
        <f t="shared" si="36"/>
        <v>100</v>
      </c>
      <c r="N114" s="339">
        <f t="shared" si="26"/>
        <v>100</v>
      </c>
      <c r="O114" s="383"/>
      <c r="P114" s="384"/>
      <c r="Q114" s="384">
        <v>48</v>
      </c>
      <c r="R114" s="385">
        <f t="shared" si="27"/>
        <v>48</v>
      </c>
      <c r="S114" s="386">
        <v>4</v>
      </c>
      <c r="T114" s="342"/>
      <c r="U114" s="355"/>
      <c r="V114" s="387" t="s">
        <v>78</v>
      </c>
      <c r="W114" s="388" t="s">
        <v>20</v>
      </c>
      <c r="X114" s="388" t="s">
        <v>12</v>
      </c>
      <c r="Y114" s="389">
        <v>48</v>
      </c>
      <c r="Z114" s="388"/>
      <c r="AA114" s="388"/>
      <c r="AB114" s="388"/>
      <c r="AC114" s="388"/>
      <c r="AD114" s="387"/>
      <c r="AE114" s="388"/>
      <c r="AF114" s="388"/>
      <c r="AG114" s="389"/>
      <c r="AH114" s="388"/>
      <c r="AI114" s="388"/>
      <c r="AJ114" s="388"/>
      <c r="AK114" s="388"/>
      <c r="AL114" s="387"/>
      <c r="AM114" s="388"/>
      <c r="AN114" s="388"/>
      <c r="AO114" s="389"/>
      <c r="AP114" s="387"/>
      <c r="AQ114" s="388"/>
      <c r="AR114" s="388"/>
      <c r="AS114" s="389"/>
      <c r="AT114" s="390"/>
      <c r="AW114" s="389"/>
      <c r="AX114" s="392"/>
      <c r="AY114" s="392"/>
      <c r="AZ114" s="392"/>
      <c r="BA114" s="393"/>
    </row>
    <row r="115" spans="1:74" s="391" customFormat="1">
      <c r="A115" s="199">
        <v>2011</v>
      </c>
      <c r="B115" s="394">
        <v>40891</v>
      </c>
      <c r="C115" s="962" t="s">
        <v>175</v>
      </c>
      <c r="D115" s="962"/>
      <c r="E115" s="199">
        <f>365-E114</f>
        <v>18</v>
      </c>
      <c r="F115" s="395">
        <v>0</v>
      </c>
      <c r="G115" s="381"/>
      <c r="H115" s="199"/>
      <c r="I115" s="199">
        <v>22</v>
      </c>
      <c r="J115" s="382">
        <v>22</v>
      </c>
      <c r="K115" s="338">
        <f t="shared" si="34"/>
        <v>0</v>
      </c>
      <c r="L115" s="338">
        <f t="shared" si="35"/>
        <v>0</v>
      </c>
      <c r="M115" s="338">
        <f t="shared" si="36"/>
        <v>100</v>
      </c>
      <c r="N115" s="341">
        <f t="shared" si="26"/>
        <v>100</v>
      </c>
      <c r="O115" s="384"/>
      <c r="P115" s="384"/>
      <c r="Q115" s="384">
        <v>48</v>
      </c>
      <c r="R115" s="385">
        <f t="shared" si="27"/>
        <v>48</v>
      </c>
      <c r="S115" s="396">
        <v>4</v>
      </c>
      <c r="T115" s="342"/>
      <c r="U115" s="355"/>
      <c r="V115" s="387" t="s">
        <v>78</v>
      </c>
      <c r="W115" s="388" t="s">
        <v>20</v>
      </c>
      <c r="X115" s="388" t="s">
        <v>12</v>
      </c>
      <c r="Y115" s="389">
        <v>48</v>
      </c>
      <c r="Z115" s="388"/>
      <c r="AA115" s="388"/>
      <c r="AB115" s="388"/>
      <c r="AC115" s="388"/>
      <c r="AD115" s="387"/>
      <c r="AE115" s="388"/>
      <c r="AF115" s="388"/>
      <c r="AG115" s="389"/>
      <c r="AH115" s="388"/>
      <c r="AI115" s="388"/>
      <c r="AJ115" s="388"/>
      <c r="AK115" s="388"/>
      <c r="AL115" s="387"/>
      <c r="AM115" s="388"/>
      <c r="AN115" s="388"/>
      <c r="AO115" s="389"/>
      <c r="AP115" s="387"/>
      <c r="AQ115" s="388"/>
      <c r="AR115" s="388"/>
      <c r="AS115" s="389"/>
      <c r="AT115" s="390"/>
      <c r="AW115" s="389"/>
      <c r="AX115" s="392"/>
      <c r="AY115" s="392"/>
      <c r="AZ115" s="392"/>
      <c r="BA115" s="393"/>
    </row>
    <row r="116" spans="1:74" s="391" customFormat="1">
      <c r="A116" s="199">
        <v>2012</v>
      </c>
      <c r="B116" s="355"/>
      <c r="C116" s="962" t="s">
        <v>175</v>
      </c>
      <c r="D116" s="962"/>
      <c r="E116" s="199">
        <v>0</v>
      </c>
      <c r="F116" s="199"/>
      <c r="G116" s="381"/>
      <c r="H116" s="199"/>
      <c r="I116" s="199">
        <v>22</v>
      </c>
      <c r="J116" s="382">
        <v>22</v>
      </c>
      <c r="K116" s="338">
        <f t="shared" si="34"/>
        <v>0</v>
      </c>
      <c r="L116" s="338">
        <f t="shared" si="35"/>
        <v>0</v>
      </c>
      <c r="M116" s="338">
        <f t="shared" si="36"/>
        <v>100</v>
      </c>
      <c r="N116" s="339">
        <f t="shared" si="26"/>
        <v>100</v>
      </c>
      <c r="O116" s="383"/>
      <c r="P116" s="384"/>
      <c r="Q116" s="384">
        <v>48</v>
      </c>
      <c r="R116" s="385">
        <f t="shared" si="27"/>
        <v>48</v>
      </c>
      <c r="S116" s="386">
        <v>4</v>
      </c>
      <c r="T116" s="342"/>
      <c r="U116" s="355"/>
      <c r="V116" s="387" t="s">
        <v>78</v>
      </c>
      <c r="W116" s="388" t="s">
        <v>20</v>
      </c>
      <c r="X116" s="388" t="s">
        <v>12</v>
      </c>
      <c r="Y116" s="389">
        <v>48</v>
      </c>
      <c r="Z116" s="388"/>
      <c r="AA116" s="388"/>
      <c r="AB116" s="388"/>
      <c r="AC116" s="388"/>
      <c r="AD116" s="387"/>
      <c r="AE116" s="388"/>
      <c r="AF116" s="388"/>
      <c r="AG116" s="389"/>
      <c r="AH116" s="388"/>
      <c r="AI116" s="388"/>
      <c r="AJ116" s="388"/>
      <c r="AK116" s="388"/>
      <c r="AL116" s="387"/>
      <c r="AM116" s="388"/>
      <c r="AN116" s="388"/>
      <c r="AO116" s="389"/>
      <c r="AP116" s="387"/>
      <c r="AQ116" s="388"/>
      <c r="AR116" s="388"/>
      <c r="AS116" s="389"/>
      <c r="AT116" s="390"/>
      <c r="AW116" s="389"/>
      <c r="AX116" s="392"/>
      <c r="AY116" s="392"/>
      <c r="AZ116" s="392"/>
      <c r="BA116" s="393"/>
    </row>
    <row r="117" spans="1:74" s="391" customFormat="1">
      <c r="A117" s="199">
        <v>2012</v>
      </c>
      <c r="B117" s="394"/>
      <c r="C117" s="962" t="s">
        <v>175</v>
      </c>
      <c r="D117" s="962"/>
      <c r="E117" s="199">
        <v>366</v>
      </c>
      <c r="F117" s="395"/>
      <c r="G117" s="381"/>
      <c r="H117" s="199"/>
      <c r="I117" s="199">
        <v>22</v>
      </c>
      <c r="J117" s="382">
        <v>22</v>
      </c>
      <c r="K117" s="338">
        <f>G117/J117*100</f>
        <v>0</v>
      </c>
      <c r="L117" s="338">
        <f t="shared" si="35"/>
        <v>0</v>
      </c>
      <c r="M117" s="338">
        <f t="shared" si="36"/>
        <v>100</v>
      </c>
      <c r="N117" s="341">
        <f t="shared" si="26"/>
        <v>100</v>
      </c>
      <c r="O117" s="384"/>
      <c r="P117" s="384"/>
      <c r="Q117" s="384">
        <v>48</v>
      </c>
      <c r="R117" s="385">
        <f t="shared" si="27"/>
        <v>48</v>
      </c>
      <c r="S117" s="396">
        <v>4</v>
      </c>
      <c r="T117" s="342"/>
      <c r="U117" s="355"/>
      <c r="V117" s="387" t="s">
        <v>78</v>
      </c>
      <c r="W117" s="388" t="s">
        <v>20</v>
      </c>
      <c r="X117" s="388" t="s">
        <v>12</v>
      </c>
      <c r="Y117" s="389">
        <v>48</v>
      </c>
      <c r="Z117" s="388"/>
      <c r="AA117" s="388"/>
      <c r="AB117" s="388"/>
      <c r="AC117" s="388"/>
      <c r="AD117" s="387"/>
      <c r="AE117" s="388"/>
      <c r="AF117" s="388"/>
      <c r="AG117" s="389"/>
      <c r="AH117" s="388"/>
      <c r="AI117" s="388"/>
      <c r="AJ117" s="388"/>
      <c r="AK117" s="388"/>
      <c r="AL117" s="387"/>
      <c r="AM117" s="388"/>
      <c r="AN117" s="388"/>
      <c r="AO117" s="389"/>
      <c r="AP117" s="387"/>
      <c r="AQ117" s="388"/>
      <c r="AR117" s="388"/>
      <c r="AS117" s="389"/>
      <c r="AT117" s="390"/>
      <c r="AW117" s="389"/>
      <c r="AX117" s="392"/>
      <c r="AY117" s="392"/>
      <c r="AZ117" s="392"/>
      <c r="BA117" s="393"/>
    </row>
    <row r="118" spans="1:74" s="391" customFormat="1">
      <c r="A118" s="199">
        <v>2013</v>
      </c>
      <c r="B118" s="394"/>
      <c r="C118" s="962" t="s">
        <v>175</v>
      </c>
      <c r="D118" s="962"/>
      <c r="E118" s="199">
        <v>83</v>
      </c>
      <c r="F118" s="395"/>
      <c r="G118" s="381"/>
      <c r="H118" s="199"/>
      <c r="I118" s="199">
        <v>22</v>
      </c>
      <c r="J118" s="382">
        <v>22</v>
      </c>
      <c r="K118" s="338">
        <f t="shared" si="34"/>
        <v>0</v>
      </c>
      <c r="L118" s="338">
        <f t="shared" si="35"/>
        <v>0</v>
      </c>
      <c r="M118" s="338">
        <f t="shared" si="36"/>
        <v>100</v>
      </c>
      <c r="N118" s="341">
        <f t="shared" si="26"/>
        <v>100</v>
      </c>
      <c r="O118" s="384"/>
      <c r="P118" s="384"/>
      <c r="Q118" s="384">
        <v>48</v>
      </c>
      <c r="R118" s="385">
        <f t="shared" si="27"/>
        <v>48</v>
      </c>
      <c r="S118" s="396">
        <v>4</v>
      </c>
      <c r="T118" s="342"/>
      <c r="U118" s="355"/>
      <c r="V118" s="387" t="s">
        <v>78</v>
      </c>
      <c r="W118" s="388" t="s">
        <v>20</v>
      </c>
      <c r="X118" s="388" t="s">
        <v>12</v>
      </c>
      <c r="Y118" s="389">
        <v>48</v>
      </c>
      <c r="Z118" s="388"/>
      <c r="AA118" s="388"/>
      <c r="AB118" s="388"/>
      <c r="AC118" s="388"/>
      <c r="AD118" s="387"/>
      <c r="AE118" s="388"/>
      <c r="AF118" s="388"/>
      <c r="AG118" s="389"/>
      <c r="AH118" s="388"/>
      <c r="AI118" s="388"/>
      <c r="AJ118" s="388"/>
      <c r="AK118" s="388"/>
      <c r="AL118" s="387"/>
      <c r="AM118" s="388"/>
      <c r="AN118" s="388"/>
      <c r="AO118" s="389"/>
      <c r="AP118" s="387"/>
      <c r="AQ118" s="388"/>
      <c r="AR118" s="388"/>
      <c r="AS118" s="389"/>
      <c r="AT118" s="390"/>
      <c r="AW118" s="389"/>
      <c r="AX118" s="392"/>
      <c r="AY118" s="392"/>
      <c r="AZ118" s="392"/>
      <c r="BA118" s="393"/>
    </row>
    <row r="119" spans="1:74" s="391" customFormat="1">
      <c r="A119" s="199">
        <v>2013</v>
      </c>
      <c r="B119" s="394">
        <v>41358</v>
      </c>
      <c r="C119" s="962" t="s">
        <v>175</v>
      </c>
      <c r="D119" s="962"/>
      <c r="E119" s="199">
        <v>94</v>
      </c>
      <c r="F119" s="395">
        <v>0</v>
      </c>
      <c r="G119" s="381"/>
      <c r="H119" s="199"/>
      <c r="I119" s="199">
        <v>20</v>
      </c>
      <c r="J119" s="382">
        <v>20</v>
      </c>
      <c r="K119" s="338">
        <f t="shared" si="34"/>
        <v>0</v>
      </c>
      <c r="L119" s="338">
        <f t="shared" si="35"/>
        <v>0</v>
      </c>
      <c r="M119" s="338">
        <f t="shared" si="36"/>
        <v>100</v>
      </c>
      <c r="N119" s="341">
        <f t="shared" si="26"/>
        <v>100</v>
      </c>
      <c r="O119" s="384"/>
      <c r="P119" s="384"/>
      <c r="Q119" s="384">
        <v>48</v>
      </c>
      <c r="R119" s="385">
        <f t="shared" si="27"/>
        <v>48</v>
      </c>
      <c r="S119" s="396">
        <v>4</v>
      </c>
      <c r="T119" s="342"/>
      <c r="U119" s="355"/>
      <c r="V119" s="387" t="s">
        <v>78</v>
      </c>
      <c r="W119" s="388" t="s">
        <v>20</v>
      </c>
      <c r="X119" s="388" t="s">
        <v>12</v>
      </c>
      <c r="Y119" s="389">
        <v>48</v>
      </c>
      <c r="Z119" s="388"/>
      <c r="AA119" s="388"/>
      <c r="AB119" s="388"/>
      <c r="AC119" s="388"/>
      <c r="AD119" s="387"/>
      <c r="AE119" s="388"/>
      <c r="AF119" s="388"/>
      <c r="AG119" s="389"/>
      <c r="AH119" s="388"/>
      <c r="AI119" s="388"/>
      <c r="AJ119" s="388"/>
      <c r="AK119" s="388"/>
      <c r="AL119" s="387"/>
      <c r="AM119" s="388"/>
      <c r="AN119" s="388"/>
      <c r="AO119" s="389"/>
      <c r="AP119" s="387"/>
      <c r="AQ119" s="388"/>
      <c r="AR119" s="388"/>
      <c r="AS119" s="389"/>
      <c r="AT119" s="390"/>
      <c r="AW119" s="389"/>
      <c r="AX119" s="392"/>
      <c r="AY119" s="392"/>
      <c r="AZ119" s="392"/>
      <c r="BA119" s="393"/>
    </row>
    <row r="120" spans="1:74" s="120" customFormat="1">
      <c r="A120" s="119">
        <v>2013</v>
      </c>
      <c r="B120" s="111">
        <v>41452</v>
      </c>
      <c r="C120" s="963" t="s">
        <v>1250</v>
      </c>
      <c r="D120" s="963"/>
      <c r="E120" s="110">
        <v>83</v>
      </c>
      <c r="F120" s="110">
        <v>2</v>
      </c>
      <c r="G120" s="112"/>
      <c r="H120" s="110"/>
      <c r="I120" s="110">
        <v>20</v>
      </c>
      <c r="J120" s="113">
        <v>20</v>
      </c>
      <c r="K120" s="77">
        <f t="shared" si="34"/>
        <v>0</v>
      </c>
      <c r="L120" s="77">
        <f t="shared" si="35"/>
        <v>0</v>
      </c>
      <c r="M120" s="77">
        <f t="shared" si="36"/>
        <v>100</v>
      </c>
      <c r="N120" s="80">
        <f t="shared" si="26"/>
        <v>100</v>
      </c>
      <c r="O120" s="92"/>
      <c r="P120" s="92"/>
      <c r="Q120" s="92">
        <v>47.3</v>
      </c>
      <c r="R120" s="93">
        <f>SUM(O120:Q120)</f>
        <v>47.3</v>
      </c>
      <c r="S120" s="102">
        <v>4</v>
      </c>
      <c r="T120" s="95"/>
      <c r="U120" s="323">
        <v>41452</v>
      </c>
      <c r="V120" s="96" t="s">
        <v>78</v>
      </c>
      <c r="W120" s="97" t="s">
        <v>20</v>
      </c>
      <c r="X120" s="97" t="s">
        <v>12</v>
      </c>
      <c r="Y120" s="98">
        <v>47.3</v>
      </c>
      <c r="Z120" s="97"/>
      <c r="AA120" s="97"/>
      <c r="AB120" s="97"/>
      <c r="AC120" s="97"/>
      <c r="AD120" s="114"/>
      <c r="AE120" s="115"/>
      <c r="AF120" s="115"/>
      <c r="AG120" s="116"/>
      <c r="AH120" s="115"/>
      <c r="AI120" s="115"/>
      <c r="AJ120" s="115"/>
      <c r="AK120" s="115"/>
      <c r="AL120" s="114"/>
      <c r="AM120" s="115"/>
      <c r="AN120" s="115"/>
      <c r="AO120" s="116"/>
      <c r="AP120" s="114"/>
      <c r="AQ120" s="115"/>
      <c r="AR120" s="115"/>
      <c r="AS120" s="116"/>
      <c r="AT120" s="117"/>
      <c r="AW120" s="116"/>
      <c r="AX120" s="119"/>
      <c r="AY120" s="119"/>
      <c r="AZ120" s="119"/>
      <c r="BA120" s="333"/>
    </row>
    <row r="121" spans="1:74" s="391" customFormat="1">
      <c r="A121" s="199">
        <v>2013</v>
      </c>
      <c r="B121" s="380">
        <v>41535</v>
      </c>
      <c r="C121" s="962" t="s">
        <v>1251</v>
      </c>
      <c r="D121" s="962"/>
      <c r="E121" s="199">
        <f>365-E120-E119-E118</f>
        <v>105</v>
      </c>
      <c r="F121" s="199">
        <v>1</v>
      </c>
      <c r="G121" s="381">
        <v>19</v>
      </c>
      <c r="H121" s="199"/>
      <c r="I121" s="199"/>
      <c r="J121" s="382">
        <v>19</v>
      </c>
      <c r="K121" s="338">
        <f t="shared" si="34"/>
        <v>100</v>
      </c>
      <c r="L121" s="338">
        <f t="shared" si="35"/>
        <v>0</v>
      </c>
      <c r="M121" s="338">
        <f t="shared" si="36"/>
        <v>0</v>
      </c>
      <c r="N121" s="339">
        <f t="shared" si="26"/>
        <v>100</v>
      </c>
      <c r="O121" s="383">
        <v>60</v>
      </c>
      <c r="P121" s="384"/>
      <c r="Q121" s="384"/>
      <c r="R121" s="385">
        <f t="shared" si="27"/>
        <v>60</v>
      </c>
      <c r="S121" s="386">
        <v>2</v>
      </c>
      <c r="T121" s="342">
        <v>41524</v>
      </c>
      <c r="U121" s="355">
        <v>41535</v>
      </c>
      <c r="V121" s="387" t="s">
        <v>72</v>
      </c>
      <c r="W121" s="388" t="s">
        <v>74</v>
      </c>
      <c r="X121" s="388" t="s">
        <v>11</v>
      </c>
      <c r="Y121" s="389">
        <v>50</v>
      </c>
      <c r="Z121" s="388" t="s">
        <v>73</v>
      </c>
      <c r="AA121" s="388" t="s">
        <v>75</v>
      </c>
      <c r="AB121" s="388" t="s">
        <v>11</v>
      </c>
      <c r="AC121" s="388">
        <v>10</v>
      </c>
      <c r="AD121" s="387"/>
      <c r="AE121" s="388"/>
      <c r="AF121" s="388"/>
      <c r="AG121" s="389"/>
      <c r="AH121" s="388"/>
      <c r="AI121" s="388"/>
      <c r="AJ121" s="388"/>
      <c r="AK121" s="388"/>
      <c r="AL121" s="387"/>
      <c r="AM121" s="388"/>
      <c r="AN121" s="388"/>
      <c r="AO121" s="389"/>
      <c r="AP121" s="387"/>
      <c r="AQ121" s="388"/>
      <c r="AR121" s="388"/>
      <c r="AS121" s="389"/>
      <c r="AT121" s="390"/>
      <c r="AW121" s="389"/>
      <c r="AX121" s="392"/>
      <c r="AY121" s="392"/>
      <c r="AZ121" s="392"/>
      <c r="BA121" s="393"/>
    </row>
    <row r="122" spans="1:74" s="391" customFormat="1">
      <c r="A122" s="199">
        <v>2014</v>
      </c>
      <c r="B122" s="380"/>
      <c r="C122" s="962" t="s">
        <v>1251</v>
      </c>
      <c r="D122" s="962"/>
      <c r="E122" s="199">
        <v>0</v>
      </c>
      <c r="F122" s="199"/>
      <c r="G122" s="381">
        <v>19</v>
      </c>
      <c r="H122" s="199"/>
      <c r="I122" s="199"/>
      <c r="J122" s="382">
        <v>19</v>
      </c>
      <c r="K122" s="338">
        <f t="shared" si="34"/>
        <v>100</v>
      </c>
      <c r="L122" s="338">
        <f t="shared" si="35"/>
        <v>0</v>
      </c>
      <c r="M122" s="338">
        <f t="shared" si="36"/>
        <v>0</v>
      </c>
      <c r="N122" s="339">
        <f t="shared" si="26"/>
        <v>100</v>
      </c>
      <c r="O122" s="494">
        <v>60</v>
      </c>
      <c r="P122" s="495"/>
      <c r="Q122" s="495"/>
      <c r="R122" s="496">
        <f t="shared" si="27"/>
        <v>60</v>
      </c>
      <c r="S122" s="386">
        <v>2</v>
      </c>
      <c r="T122" s="487"/>
      <c r="U122" s="508"/>
      <c r="V122" s="387" t="s">
        <v>72</v>
      </c>
      <c r="W122" s="388" t="s">
        <v>74</v>
      </c>
      <c r="X122" s="388" t="s">
        <v>11</v>
      </c>
      <c r="Y122" s="389">
        <v>50</v>
      </c>
      <c r="Z122" s="388" t="s">
        <v>73</v>
      </c>
      <c r="AA122" s="388" t="s">
        <v>75</v>
      </c>
      <c r="AB122" s="388" t="s">
        <v>11</v>
      </c>
      <c r="AC122" s="388">
        <v>10</v>
      </c>
      <c r="AD122" s="387"/>
      <c r="AE122" s="388"/>
      <c r="AF122" s="388"/>
      <c r="AG122" s="389"/>
      <c r="AH122" s="388"/>
      <c r="AI122" s="388"/>
      <c r="AJ122" s="388"/>
      <c r="AK122" s="388"/>
      <c r="AL122" s="387"/>
      <c r="AM122" s="388"/>
      <c r="AN122" s="388"/>
      <c r="AO122" s="389"/>
      <c r="AP122" s="387"/>
      <c r="AQ122" s="388"/>
      <c r="AR122" s="388"/>
      <c r="AS122" s="389"/>
      <c r="AT122" s="390"/>
      <c r="AW122" s="389"/>
      <c r="AX122" s="507"/>
      <c r="AY122" s="507"/>
      <c r="AZ122" s="507"/>
      <c r="BA122" s="393"/>
    </row>
    <row r="123" spans="1:74" s="391" customFormat="1">
      <c r="A123" s="199">
        <v>2014</v>
      </c>
      <c r="B123" s="380"/>
      <c r="C123" s="962" t="s">
        <v>1251</v>
      </c>
      <c r="D123" s="962"/>
      <c r="E123" s="199">
        <v>365</v>
      </c>
      <c r="F123" s="199"/>
      <c r="G123" s="381">
        <v>19</v>
      </c>
      <c r="H123" s="199"/>
      <c r="I123" s="199"/>
      <c r="J123" s="382">
        <v>19</v>
      </c>
      <c r="K123" s="338">
        <f t="shared" si="34"/>
        <v>100</v>
      </c>
      <c r="L123" s="338">
        <f t="shared" si="35"/>
        <v>0</v>
      </c>
      <c r="M123" s="338">
        <f t="shared" si="36"/>
        <v>0</v>
      </c>
      <c r="N123" s="339">
        <f t="shared" si="26"/>
        <v>100</v>
      </c>
      <c r="O123" s="494">
        <v>60</v>
      </c>
      <c r="P123" s="495"/>
      <c r="Q123" s="495"/>
      <c r="R123" s="496">
        <f t="shared" si="27"/>
        <v>60</v>
      </c>
      <c r="S123" s="386">
        <v>2</v>
      </c>
      <c r="T123" s="487"/>
      <c r="U123" s="508"/>
      <c r="V123" s="387" t="s">
        <v>72</v>
      </c>
      <c r="W123" s="388" t="s">
        <v>74</v>
      </c>
      <c r="X123" s="388" t="s">
        <v>11</v>
      </c>
      <c r="Y123" s="389">
        <v>50</v>
      </c>
      <c r="Z123" s="388" t="s">
        <v>73</v>
      </c>
      <c r="AA123" s="388" t="s">
        <v>75</v>
      </c>
      <c r="AB123" s="388" t="s">
        <v>11</v>
      </c>
      <c r="AC123" s="388">
        <v>10</v>
      </c>
      <c r="AD123" s="387"/>
      <c r="AE123" s="388"/>
      <c r="AF123" s="388"/>
      <c r="AG123" s="389"/>
      <c r="AH123" s="388"/>
      <c r="AI123" s="388"/>
      <c r="AJ123" s="388"/>
      <c r="AK123" s="388"/>
      <c r="AL123" s="387"/>
      <c r="AM123" s="388"/>
      <c r="AN123" s="388"/>
      <c r="AO123" s="389"/>
      <c r="AP123" s="387"/>
      <c r="AQ123" s="388"/>
      <c r="AR123" s="388"/>
      <c r="AS123" s="389"/>
      <c r="AT123" s="390"/>
      <c r="AW123" s="389"/>
      <c r="AX123" s="507"/>
      <c r="AY123" s="507"/>
      <c r="AZ123" s="507"/>
      <c r="BA123" s="393"/>
    </row>
    <row r="124" spans="1:74" s="391" customFormat="1">
      <c r="A124" s="199">
        <v>2015</v>
      </c>
      <c r="B124" s="380"/>
      <c r="C124" s="962" t="s">
        <v>1251</v>
      </c>
      <c r="D124" s="962"/>
      <c r="E124" s="199">
        <v>257</v>
      </c>
      <c r="F124" s="199"/>
      <c r="G124" s="381">
        <v>19</v>
      </c>
      <c r="H124" s="199"/>
      <c r="I124" s="199"/>
      <c r="J124" s="382">
        <v>19</v>
      </c>
      <c r="K124" s="338">
        <f t="shared" si="34"/>
        <v>100</v>
      </c>
      <c r="L124" s="338">
        <f t="shared" si="35"/>
        <v>0</v>
      </c>
      <c r="M124" s="338">
        <f t="shared" si="36"/>
        <v>0</v>
      </c>
      <c r="N124" s="339">
        <f t="shared" si="26"/>
        <v>100</v>
      </c>
      <c r="O124" s="639">
        <v>60</v>
      </c>
      <c r="P124" s="640"/>
      <c r="Q124" s="640"/>
      <c r="R124" s="641">
        <f t="shared" ref="R124:R126" si="37">SUM(O124:Q124)</f>
        <v>60</v>
      </c>
      <c r="S124" s="386">
        <v>2</v>
      </c>
      <c r="T124" s="487"/>
      <c r="U124" s="681"/>
      <c r="V124" s="387" t="s">
        <v>72</v>
      </c>
      <c r="W124" s="388" t="s">
        <v>74</v>
      </c>
      <c r="X124" s="388" t="s">
        <v>11</v>
      </c>
      <c r="Y124" s="389">
        <v>50</v>
      </c>
      <c r="Z124" s="388" t="s">
        <v>73</v>
      </c>
      <c r="AA124" s="388" t="s">
        <v>75</v>
      </c>
      <c r="AB124" s="388" t="s">
        <v>11</v>
      </c>
      <c r="AC124" s="388">
        <v>10</v>
      </c>
      <c r="AD124" s="387"/>
      <c r="AE124" s="388"/>
      <c r="AF124" s="388"/>
      <c r="AG124" s="389"/>
      <c r="AH124" s="388"/>
      <c r="AI124" s="388"/>
      <c r="AJ124" s="388"/>
      <c r="AK124" s="388"/>
      <c r="AL124" s="387"/>
      <c r="AM124" s="388"/>
      <c r="AN124" s="388"/>
      <c r="AO124" s="389"/>
      <c r="AP124" s="387"/>
      <c r="AQ124" s="388"/>
      <c r="AR124" s="388"/>
      <c r="AS124" s="389"/>
      <c r="AT124" s="390"/>
      <c r="AW124" s="389"/>
      <c r="AX124" s="682"/>
      <c r="AY124" s="682"/>
      <c r="AZ124" s="682"/>
      <c r="BA124" s="393"/>
    </row>
    <row r="125" spans="1:74" s="120" customFormat="1">
      <c r="A125" s="119">
        <v>2015</v>
      </c>
      <c r="B125" s="111">
        <v>42262</v>
      </c>
      <c r="C125" s="963" t="s">
        <v>1327</v>
      </c>
      <c r="D125" s="963"/>
      <c r="E125" s="110">
        <v>108</v>
      </c>
      <c r="F125" s="110">
        <v>5</v>
      </c>
      <c r="G125" s="112">
        <v>21</v>
      </c>
      <c r="H125" s="110"/>
      <c r="I125" s="110"/>
      <c r="J125" s="113">
        <v>21</v>
      </c>
      <c r="K125" s="77">
        <f t="shared" si="34"/>
        <v>100</v>
      </c>
      <c r="L125" s="77">
        <f t="shared" si="35"/>
        <v>0</v>
      </c>
      <c r="M125" s="77">
        <f t="shared" si="36"/>
        <v>0</v>
      </c>
      <c r="N125" s="80">
        <f t="shared" si="26"/>
        <v>100</v>
      </c>
      <c r="O125" s="593">
        <v>60</v>
      </c>
      <c r="P125" s="593"/>
      <c r="Q125" s="593"/>
      <c r="R125" s="594">
        <f t="shared" si="37"/>
        <v>60</v>
      </c>
      <c r="S125" s="102">
        <v>2</v>
      </c>
      <c r="T125" s="595"/>
      <c r="U125" s="111">
        <v>42262</v>
      </c>
      <c r="V125" s="96" t="s">
        <v>72</v>
      </c>
      <c r="W125" s="97" t="s">
        <v>74</v>
      </c>
      <c r="X125" s="97" t="s">
        <v>11</v>
      </c>
      <c r="Y125" s="98">
        <v>50</v>
      </c>
      <c r="Z125" s="97" t="s">
        <v>73</v>
      </c>
      <c r="AA125" s="97" t="s">
        <v>75</v>
      </c>
      <c r="AB125" s="97" t="s">
        <v>11</v>
      </c>
      <c r="AC125" s="97">
        <v>10</v>
      </c>
      <c r="AD125" s="114"/>
      <c r="AE125" s="115"/>
      <c r="AF125" s="115"/>
      <c r="AG125" s="116"/>
      <c r="AH125" s="115"/>
      <c r="AI125" s="115"/>
      <c r="AJ125" s="115"/>
      <c r="AK125" s="115"/>
      <c r="AL125" s="114"/>
      <c r="AM125" s="115"/>
      <c r="AN125" s="115"/>
      <c r="AO125" s="116"/>
      <c r="AP125" s="114"/>
      <c r="AQ125" s="115"/>
      <c r="AR125" s="115"/>
      <c r="AS125" s="116"/>
      <c r="AT125" s="115"/>
      <c r="AU125" s="119"/>
      <c r="AV125" s="119"/>
      <c r="AW125" s="116"/>
      <c r="AX125" s="119"/>
      <c r="AY125" s="119"/>
      <c r="AZ125" s="119"/>
      <c r="BA125" s="333"/>
      <c r="BB125" s="119"/>
      <c r="BC125" s="119"/>
      <c r="BD125" s="119"/>
      <c r="BE125" s="119"/>
      <c r="BF125" s="119"/>
      <c r="BG125" s="119"/>
      <c r="BH125" s="119"/>
      <c r="BI125" s="119"/>
      <c r="BJ125" s="119"/>
      <c r="BK125" s="119"/>
      <c r="BL125" s="119"/>
      <c r="BM125" s="119"/>
      <c r="BN125" s="119"/>
      <c r="BO125" s="119"/>
      <c r="BP125" s="119"/>
      <c r="BQ125" s="119"/>
      <c r="BR125" s="119"/>
      <c r="BS125" s="119"/>
      <c r="BT125" s="119"/>
      <c r="BU125" s="119"/>
      <c r="BV125" s="119"/>
    </row>
    <row r="126" spans="1:74" s="120" customFormat="1">
      <c r="A126" s="119">
        <v>2016</v>
      </c>
      <c r="B126" s="111"/>
      <c r="C126" s="963" t="s">
        <v>1327</v>
      </c>
      <c r="D126" s="963"/>
      <c r="E126" s="110">
        <v>42</v>
      </c>
      <c r="F126" s="110">
        <v>0</v>
      </c>
      <c r="G126" s="112">
        <v>22</v>
      </c>
      <c r="H126" s="110"/>
      <c r="I126" s="110"/>
      <c r="J126" s="113">
        <v>22</v>
      </c>
      <c r="K126" s="77">
        <f t="shared" si="34"/>
        <v>100</v>
      </c>
      <c r="L126" s="77">
        <f t="shared" si="35"/>
        <v>0</v>
      </c>
      <c r="M126" s="77">
        <f t="shared" si="36"/>
        <v>0</v>
      </c>
      <c r="N126" s="80">
        <f t="shared" si="26"/>
        <v>100</v>
      </c>
      <c r="O126" s="593">
        <v>60</v>
      </c>
      <c r="P126" s="593"/>
      <c r="Q126" s="593"/>
      <c r="R126" s="594">
        <f t="shared" si="37"/>
        <v>60</v>
      </c>
      <c r="S126" s="102">
        <v>2</v>
      </c>
      <c r="T126" s="595"/>
      <c r="U126" s="111"/>
      <c r="V126" s="96" t="s">
        <v>72</v>
      </c>
      <c r="W126" s="97" t="s">
        <v>74</v>
      </c>
      <c r="X126" s="97" t="s">
        <v>11</v>
      </c>
      <c r="Y126" s="98">
        <v>50</v>
      </c>
      <c r="Z126" s="97" t="s">
        <v>73</v>
      </c>
      <c r="AA126" s="97" t="s">
        <v>75</v>
      </c>
      <c r="AB126" s="97" t="s">
        <v>11</v>
      </c>
      <c r="AC126" s="97">
        <v>10</v>
      </c>
      <c r="AD126" s="114"/>
      <c r="AE126" s="115"/>
      <c r="AF126" s="115"/>
      <c r="AG126" s="116"/>
      <c r="AH126" s="115"/>
      <c r="AI126" s="115"/>
      <c r="AJ126" s="115"/>
      <c r="AK126" s="115"/>
      <c r="AL126" s="114"/>
      <c r="AM126" s="115"/>
      <c r="AN126" s="115"/>
      <c r="AO126" s="116"/>
      <c r="AP126" s="114"/>
      <c r="AQ126" s="115"/>
      <c r="AR126" s="115"/>
      <c r="AS126" s="116"/>
      <c r="AT126" s="115"/>
      <c r="AU126" s="119"/>
      <c r="AV126" s="119"/>
      <c r="AW126" s="116"/>
      <c r="AX126" s="119"/>
      <c r="AY126" s="119"/>
      <c r="AZ126" s="119"/>
      <c r="BA126" s="333"/>
      <c r="BB126" s="119"/>
      <c r="BC126" s="119"/>
      <c r="BD126" s="119"/>
      <c r="BE126" s="119"/>
      <c r="BF126" s="119"/>
      <c r="BG126" s="119"/>
      <c r="BH126" s="119"/>
      <c r="BI126" s="119"/>
      <c r="BJ126" s="119"/>
      <c r="BK126" s="119"/>
      <c r="BL126" s="119"/>
      <c r="BM126" s="119"/>
      <c r="BN126" s="119"/>
      <c r="BO126" s="119"/>
      <c r="BP126" s="119"/>
      <c r="BQ126" s="119"/>
      <c r="BR126" s="119"/>
      <c r="BS126" s="119"/>
      <c r="BT126" s="119"/>
      <c r="BU126" s="119"/>
      <c r="BV126" s="119"/>
    </row>
    <row r="127" spans="1:74" s="120" customFormat="1">
      <c r="A127" s="119">
        <v>2016</v>
      </c>
      <c r="B127" s="108">
        <v>42412</v>
      </c>
      <c r="C127" s="963" t="s">
        <v>1327</v>
      </c>
      <c r="D127" s="963"/>
      <c r="E127" s="110">
        <v>158</v>
      </c>
      <c r="F127" s="790"/>
      <c r="G127" s="112">
        <v>23</v>
      </c>
      <c r="H127" s="110"/>
      <c r="I127" s="110"/>
      <c r="J127" s="113">
        <v>23</v>
      </c>
      <c r="K127" s="77">
        <f t="shared" ref="K127" si="38">G127/J127*100</f>
        <v>100</v>
      </c>
      <c r="L127" s="77">
        <f t="shared" ref="L127:L128" si="39">H127/J127*100</f>
        <v>0</v>
      </c>
      <c r="M127" s="77">
        <f t="shared" ref="M127:M128" si="40">I127/J127*100</f>
        <v>0</v>
      </c>
      <c r="N127" s="80">
        <f t="shared" ref="N127" si="41">SUM(K127:M127)</f>
        <v>100</v>
      </c>
      <c r="O127" s="593">
        <v>60</v>
      </c>
      <c r="P127" s="593"/>
      <c r="Q127" s="593"/>
      <c r="R127" s="594">
        <f t="shared" ref="R127" si="42">SUM(O127:Q127)</f>
        <v>60</v>
      </c>
      <c r="S127" s="102">
        <v>2</v>
      </c>
      <c r="T127" s="595"/>
      <c r="U127" s="884"/>
      <c r="V127" s="96" t="s">
        <v>72</v>
      </c>
      <c r="W127" s="97" t="s">
        <v>74</v>
      </c>
      <c r="X127" s="97" t="s">
        <v>11</v>
      </c>
      <c r="Y127" s="98">
        <v>50</v>
      </c>
      <c r="Z127" s="97" t="s">
        <v>73</v>
      </c>
      <c r="AA127" s="97" t="s">
        <v>75</v>
      </c>
      <c r="AB127" s="97" t="s">
        <v>11</v>
      </c>
      <c r="AC127" s="97">
        <v>10</v>
      </c>
      <c r="AD127" s="114"/>
      <c r="AE127" s="115"/>
      <c r="AF127" s="115"/>
      <c r="AG127" s="116"/>
      <c r="AH127" s="115"/>
      <c r="AI127" s="115"/>
      <c r="AJ127" s="115"/>
      <c r="AK127" s="115"/>
      <c r="AL127" s="114"/>
      <c r="AM127" s="115"/>
      <c r="AN127" s="115"/>
      <c r="AO127" s="116"/>
      <c r="AP127" s="114"/>
      <c r="AQ127" s="115"/>
      <c r="AR127" s="115"/>
      <c r="AS127" s="116"/>
      <c r="AT127" s="117"/>
      <c r="AW127" s="116"/>
      <c r="AX127" s="119"/>
      <c r="AY127" s="119"/>
      <c r="AZ127" s="119"/>
      <c r="BA127" s="333"/>
    </row>
    <row r="128" spans="1:74" s="391" customFormat="1">
      <c r="A128" s="199">
        <v>2016</v>
      </c>
      <c r="B128" s="380">
        <v>42570</v>
      </c>
      <c r="C128" s="962" t="s">
        <v>1377</v>
      </c>
      <c r="D128" s="962"/>
      <c r="E128" s="199">
        <v>166</v>
      </c>
      <c r="F128" s="199">
        <v>1</v>
      </c>
      <c r="G128" s="381">
        <v>23</v>
      </c>
      <c r="H128" s="199"/>
      <c r="I128" s="199"/>
      <c r="J128" s="382">
        <v>23</v>
      </c>
      <c r="K128" s="338">
        <f t="shared" si="34"/>
        <v>100</v>
      </c>
      <c r="L128" s="338">
        <f t="shared" si="39"/>
        <v>0</v>
      </c>
      <c r="M128" s="338">
        <f t="shared" si="40"/>
        <v>0</v>
      </c>
      <c r="N128" s="339">
        <f t="shared" ref="N128" si="43">SUM(K128:M128)</f>
        <v>100</v>
      </c>
      <c r="O128" s="639">
        <v>50.7</v>
      </c>
      <c r="P128" s="640"/>
      <c r="Q128" s="640"/>
      <c r="R128" s="641">
        <f t="shared" ref="R128" si="44">SUM(O128:Q128)</f>
        <v>50.7</v>
      </c>
      <c r="S128" s="386">
        <v>2</v>
      </c>
      <c r="T128" s="791">
        <v>42553</v>
      </c>
      <c r="U128" s="892">
        <v>42570</v>
      </c>
      <c r="V128" s="387" t="s">
        <v>72</v>
      </c>
      <c r="W128" s="388" t="s">
        <v>74</v>
      </c>
      <c r="X128" s="388" t="s">
        <v>11</v>
      </c>
      <c r="Y128" s="389">
        <v>44</v>
      </c>
      <c r="Z128" s="388" t="s">
        <v>73</v>
      </c>
      <c r="AA128" s="388" t="s">
        <v>75</v>
      </c>
      <c r="AB128" s="388" t="s">
        <v>11</v>
      </c>
      <c r="AC128" s="388">
        <v>6.7</v>
      </c>
      <c r="AD128" s="387"/>
      <c r="AE128" s="388"/>
      <c r="AF128" s="388"/>
      <c r="AG128" s="389"/>
      <c r="AH128" s="388"/>
      <c r="AI128" s="388"/>
      <c r="AJ128" s="388"/>
      <c r="AK128" s="388"/>
      <c r="AL128" s="387"/>
      <c r="AM128" s="388"/>
      <c r="AN128" s="388"/>
      <c r="AO128" s="389"/>
      <c r="AP128" s="387"/>
      <c r="AQ128" s="388"/>
      <c r="AR128" s="388"/>
      <c r="AS128" s="389"/>
      <c r="AT128" s="390"/>
      <c r="AW128" s="389"/>
      <c r="AX128" s="882"/>
      <c r="AY128" s="882"/>
      <c r="AZ128" s="882"/>
      <c r="BA128" s="393"/>
    </row>
    <row r="129" spans="1:74" s="391" customFormat="1">
      <c r="A129" s="199">
        <v>2017</v>
      </c>
      <c r="B129" s="380"/>
      <c r="C129" s="962" t="s">
        <v>1377</v>
      </c>
      <c r="D129" s="962"/>
      <c r="E129" s="199">
        <v>0</v>
      </c>
      <c r="F129" s="199"/>
      <c r="G129" s="381">
        <v>23</v>
      </c>
      <c r="H129" s="199"/>
      <c r="I129" s="199"/>
      <c r="J129" s="382">
        <v>23</v>
      </c>
      <c r="K129" s="338">
        <f t="shared" ref="K129:K132" si="45">G129/J129*100</f>
        <v>100</v>
      </c>
      <c r="L129" s="338">
        <f t="shared" ref="L129:L132" si="46">H129/J129*100</f>
        <v>0</v>
      </c>
      <c r="M129" s="338">
        <f t="shared" ref="M129:M132" si="47">I129/J129*100</f>
        <v>0</v>
      </c>
      <c r="N129" s="339">
        <f t="shared" ref="N129:N132" si="48">SUM(K129:M129)</f>
        <v>100</v>
      </c>
      <c r="O129" s="639">
        <v>50.7</v>
      </c>
      <c r="P129" s="640"/>
      <c r="Q129" s="640"/>
      <c r="R129" s="641">
        <f t="shared" ref="R129:R132" si="49">SUM(O129:Q129)</f>
        <v>50.7</v>
      </c>
      <c r="S129" s="386">
        <v>2</v>
      </c>
      <c r="T129" s="487"/>
      <c r="U129" s="883"/>
      <c r="V129" s="387" t="s">
        <v>72</v>
      </c>
      <c r="W129" s="388" t="s">
        <v>74</v>
      </c>
      <c r="X129" s="388" t="s">
        <v>11</v>
      </c>
      <c r="Y129" s="389">
        <v>44</v>
      </c>
      <c r="Z129" s="388" t="s">
        <v>73</v>
      </c>
      <c r="AA129" s="388" t="s">
        <v>75</v>
      </c>
      <c r="AB129" s="388" t="s">
        <v>11</v>
      </c>
      <c r="AC129" s="388">
        <v>6.7</v>
      </c>
      <c r="AD129" s="387"/>
      <c r="AE129" s="388"/>
      <c r="AF129" s="388"/>
      <c r="AG129" s="389"/>
      <c r="AH129" s="388"/>
      <c r="AI129" s="388"/>
      <c r="AJ129" s="388"/>
      <c r="AK129" s="388"/>
      <c r="AL129" s="387"/>
      <c r="AM129" s="388"/>
      <c r="AN129" s="388"/>
      <c r="AO129" s="389"/>
      <c r="AP129" s="387"/>
      <c r="AQ129" s="388"/>
      <c r="AR129" s="388"/>
      <c r="AS129" s="389"/>
      <c r="AT129" s="390"/>
      <c r="AW129" s="389"/>
      <c r="AX129" s="882"/>
      <c r="AY129" s="882"/>
      <c r="AZ129" s="882"/>
      <c r="BA129" s="393"/>
    </row>
    <row r="130" spans="1:74" s="391" customFormat="1">
      <c r="A130" s="199">
        <v>2017</v>
      </c>
      <c r="B130" s="380"/>
      <c r="C130" s="962" t="s">
        <v>1377</v>
      </c>
      <c r="D130" s="962"/>
      <c r="E130" s="199">
        <v>365</v>
      </c>
      <c r="F130" s="199"/>
      <c r="G130" s="381">
        <v>23</v>
      </c>
      <c r="H130" s="199"/>
      <c r="I130" s="199"/>
      <c r="J130" s="382">
        <v>23</v>
      </c>
      <c r="K130" s="338">
        <f t="shared" si="45"/>
        <v>100</v>
      </c>
      <c r="L130" s="338">
        <f t="shared" si="46"/>
        <v>0</v>
      </c>
      <c r="M130" s="338">
        <f t="shared" si="47"/>
        <v>0</v>
      </c>
      <c r="N130" s="339">
        <f t="shared" si="48"/>
        <v>100</v>
      </c>
      <c r="O130" s="639">
        <v>50.7</v>
      </c>
      <c r="P130" s="640"/>
      <c r="Q130" s="640"/>
      <c r="R130" s="641">
        <f t="shared" si="49"/>
        <v>50.7</v>
      </c>
      <c r="S130" s="386">
        <v>2</v>
      </c>
      <c r="T130" s="487"/>
      <c r="U130" s="883"/>
      <c r="V130" s="387" t="s">
        <v>72</v>
      </c>
      <c r="W130" s="388" t="s">
        <v>74</v>
      </c>
      <c r="X130" s="388" t="s">
        <v>11</v>
      </c>
      <c r="Y130" s="389">
        <v>44</v>
      </c>
      <c r="Z130" s="388" t="s">
        <v>73</v>
      </c>
      <c r="AA130" s="388" t="s">
        <v>75</v>
      </c>
      <c r="AB130" s="388" t="s">
        <v>11</v>
      </c>
      <c r="AC130" s="388">
        <v>6.7</v>
      </c>
      <c r="AD130" s="387"/>
      <c r="AE130" s="388"/>
      <c r="AF130" s="388"/>
      <c r="AG130" s="389"/>
      <c r="AH130" s="388"/>
      <c r="AI130" s="388"/>
      <c r="AJ130" s="388"/>
      <c r="AK130" s="388"/>
      <c r="AL130" s="387"/>
      <c r="AM130" s="388"/>
      <c r="AN130" s="388"/>
      <c r="AO130" s="389"/>
      <c r="AP130" s="387"/>
      <c r="AQ130" s="388"/>
      <c r="AR130" s="388"/>
      <c r="AS130" s="389"/>
      <c r="AT130" s="390"/>
      <c r="AW130" s="389"/>
      <c r="AX130" s="882"/>
      <c r="AY130" s="882"/>
      <c r="AZ130" s="882"/>
      <c r="BA130" s="393"/>
    </row>
    <row r="131" spans="1:74" s="391" customFormat="1">
      <c r="A131" s="199">
        <v>2018</v>
      </c>
      <c r="B131" s="380"/>
      <c r="C131" s="962" t="s">
        <v>1377</v>
      </c>
      <c r="D131" s="962"/>
      <c r="E131" s="199">
        <v>239</v>
      </c>
      <c r="F131" s="199"/>
      <c r="G131" s="381">
        <v>23</v>
      </c>
      <c r="H131" s="199"/>
      <c r="I131" s="199"/>
      <c r="J131" s="382">
        <v>23</v>
      </c>
      <c r="K131" s="338">
        <f t="shared" si="45"/>
        <v>100</v>
      </c>
      <c r="L131" s="338">
        <f t="shared" si="46"/>
        <v>0</v>
      </c>
      <c r="M131" s="338">
        <f t="shared" si="47"/>
        <v>0</v>
      </c>
      <c r="N131" s="339">
        <f t="shared" si="48"/>
        <v>100</v>
      </c>
      <c r="O131" s="639">
        <v>50.7</v>
      </c>
      <c r="P131" s="640"/>
      <c r="Q131" s="640"/>
      <c r="R131" s="641">
        <f t="shared" si="49"/>
        <v>50.7</v>
      </c>
      <c r="S131" s="386">
        <v>2</v>
      </c>
      <c r="T131" s="487"/>
      <c r="U131" s="928"/>
      <c r="V131" s="387" t="s">
        <v>72</v>
      </c>
      <c r="W131" s="388" t="s">
        <v>74</v>
      </c>
      <c r="X131" s="388" t="s">
        <v>11</v>
      </c>
      <c r="Y131" s="389">
        <v>44</v>
      </c>
      <c r="Z131" s="388" t="s">
        <v>73</v>
      </c>
      <c r="AA131" s="388" t="s">
        <v>75</v>
      </c>
      <c r="AB131" s="388" t="s">
        <v>11</v>
      </c>
      <c r="AC131" s="388">
        <v>6.7</v>
      </c>
      <c r="AD131" s="387"/>
      <c r="AE131" s="388"/>
      <c r="AF131" s="388"/>
      <c r="AG131" s="389"/>
      <c r="AH131" s="388"/>
      <c r="AI131" s="388"/>
      <c r="AJ131" s="388"/>
      <c r="AK131" s="388"/>
      <c r="AL131" s="387"/>
      <c r="AM131" s="388"/>
      <c r="AN131" s="388"/>
      <c r="AO131" s="389"/>
      <c r="AP131" s="387"/>
      <c r="AQ131" s="388"/>
      <c r="AR131" s="388"/>
      <c r="AS131" s="389"/>
      <c r="AT131" s="390"/>
      <c r="AW131" s="389"/>
      <c r="AX131" s="927"/>
      <c r="AY131" s="927"/>
      <c r="AZ131" s="927"/>
      <c r="BA131" s="393"/>
    </row>
    <row r="132" spans="1:74" s="120" customFormat="1">
      <c r="A132" s="119">
        <v>2018</v>
      </c>
      <c r="B132" s="111">
        <v>43340</v>
      </c>
      <c r="C132" s="963" t="s">
        <v>1405</v>
      </c>
      <c r="D132" s="963"/>
      <c r="E132" s="110">
        <v>126</v>
      </c>
      <c r="F132" s="110">
        <v>2</v>
      </c>
      <c r="G132" s="112">
        <v>23</v>
      </c>
      <c r="H132" s="110"/>
      <c r="I132" s="110"/>
      <c r="J132" s="113">
        <v>23</v>
      </c>
      <c r="K132" s="77">
        <f t="shared" si="45"/>
        <v>100</v>
      </c>
      <c r="L132" s="77">
        <f t="shared" si="46"/>
        <v>0</v>
      </c>
      <c r="M132" s="77">
        <f t="shared" si="47"/>
        <v>0</v>
      </c>
      <c r="N132" s="80">
        <f t="shared" si="48"/>
        <v>100</v>
      </c>
      <c r="O132" s="593">
        <v>50.7</v>
      </c>
      <c r="P132" s="593"/>
      <c r="Q132" s="593"/>
      <c r="R132" s="594">
        <f t="shared" si="49"/>
        <v>50.7</v>
      </c>
      <c r="S132" s="102">
        <v>2</v>
      </c>
      <c r="T132" s="595"/>
      <c r="U132" s="111">
        <v>43340</v>
      </c>
      <c r="V132" s="96" t="s">
        <v>72</v>
      </c>
      <c r="W132" s="97" t="s">
        <v>74</v>
      </c>
      <c r="X132" s="97" t="s">
        <v>11</v>
      </c>
      <c r="Y132" s="98">
        <v>40</v>
      </c>
      <c r="Z132" s="97" t="s">
        <v>73</v>
      </c>
      <c r="AA132" s="97" t="s">
        <v>75</v>
      </c>
      <c r="AB132" s="97" t="s">
        <v>11</v>
      </c>
      <c r="AC132" s="97">
        <v>10.7</v>
      </c>
      <c r="AD132" s="114"/>
      <c r="AE132" s="115"/>
      <c r="AF132" s="115"/>
      <c r="AG132" s="116"/>
      <c r="AH132" s="115"/>
      <c r="AI132" s="115"/>
      <c r="AJ132" s="115"/>
      <c r="AK132" s="115"/>
      <c r="AL132" s="114"/>
      <c r="AM132" s="115"/>
      <c r="AN132" s="115"/>
      <c r="AO132" s="116"/>
      <c r="AP132" s="114"/>
      <c r="AQ132" s="115"/>
      <c r="AR132" s="115"/>
      <c r="AS132" s="116"/>
      <c r="AT132" s="115"/>
      <c r="AU132" s="119"/>
      <c r="AV132" s="119"/>
      <c r="AW132" s="116"/>
      <c r="AX132" s="119"/>
      <c r="AY132" s="119"/>
      <c r="AZ132" s="119"/>
      <c r="BA132" s="333"/>
      <c r="BB132" s="119"/>
      <c r="BC132" s="119"/>
      <c r="BD132" s="119"/>
      <c r="BE132" s="119"/>
      <c r="BF132" s="119"/>
      <c r="BG132" s="119"/>
      <c r="BH132" s="119"/>
      <c r="BI132" s="119"/>
      <c r="BJ132" s="119"/>
      <c r="BK132" s="119"/>
      <c r="BL132" s="119"/>
      <c r="BM132" s="119"/>
      <c r="BN132" s="119"/>
      <c r="BO132" s="119"/>
      <c r="BP132" s="119"/>
      <c r="BQ132" s="119"/>
      <c r="BR132" s="119"/>
      <c r="BS132" s="119"/>
      <c r="BT132" s="119"/>
      <c r="BU132" s="119"/>
      <c r="BV132" s="119"/>
    </row>
    <row r="133" spans="1:74" s="100" customFormat="1">
      <c r="A133" s="789"/>
      <c r="C133" s="881"/>
      <c r="D133" s="881"/>
      <c r="E133" s="789"/>
      <c r="G133" s="110" t="s">
        <v>1379</v>
      </c>
      <c r="J133" s="891"/>
      <c r="K133" s="77"/>
      <c r="L133" s="77"/>
      <c r="M133" s="77"/>
      <c r="N133" s="78"/>
      <c r="O133" s="593"/>
      <c r="P133" s="593"/>
      <c r="Q133" s="593"/>
      <c r="R133" s="597"/>
      <c r="S133" s="102"/>
      <c r="T133" s="884"/>
      <c r="U133" s="884"/>
      <c r="V133" s="97"/>
      <c r="W133" s="97"/>
      <c r="X133" s="97"/>
      <c r="Y133" s="97"/>
      <c r="Z133" s="97"/>
      <c r="AA133" s="97"/>
      <c r="AB133" s="97"/>
      <c r="AC133" s="97"/>
    </row>
    <row r="134" spans="1:74">
      <c r="A134" s="56"/>
    </row>
    <row r="135" spans="1:74" s="2" customFormat="1" ht="18" customHeight="1">
      <c r="A135" s="16"/>
      <c r="B135" s="22" t="s">
        <v>1278</v>
      </c>
      <c r="S135" s="20"/>
    </row>
    <row r="136" spans="1:74" s="2" customFormat="1" ht="9" customHeight="1">
      <c r="A136" s="16"/>
      <c r="S136" s="20"/>
    </row>
    <row r="137" spans="1:74" s="364" customFormat="1" ht="9" customHeight="1">
      <c r="A137" s="362"/>
      <c r="B137" s="363" t="s">
        <v>1229</v>
      </c>
      <c r="C137" s="363"/>
      <c r="D137" s="363"/>
      <c r="E137" s="363"/>
      <c r="F137" s="363"/>
      <c r="G137" s="363" t="s">
        <v>1230</v>
      </c>
      <c r="H137" s="363"/>
      <c r="I137" s="363"/>
      <c r="J137" s="363"/>
      <c r="K137" s="363"/>
      <c r="L137" s="363"/>
      <c r="M137" s="363"/>
      <c r="N137" s="363"/>
      <c r="R137" s="982" t="s">
        <v>1231</v>
      </c>
      <c r="S137" s="982"/>
      <c r="T137" s="982"/>
      <c r="U137" s="982"/>
      <c r="V137" s="982"/>
      <c r="W137" s="982"/>
      <c r="X137" s="365"/>
      <c r="Y137" s="365"/>
      <c r="AA137" s="365"/>
      <c r="AB137" s="365"/>
      <c r="AC137" s="365"/>
      <c r="AD137" s="365"/>
    </row>
    <row r="138" spans="1:74" s="369" customFormat="1" ht="9" customHeight="1">
      <c r="A138" s="366"/>
      <c r="B138" s="367" t="s">
        <v>1233</v>
      </c>
      <c r="C138" s="368"/>
      <c r="D138" s="368"/>
      <c r="E138" s="368"/>
      <c r="F138" s="368"/>
      <c r="G138" s="367" t="s">
        <v>1232</v>
      </c>
      <c r="H138" s="368"/>
      <c r="I138" s="368"/>
      <c r="J138" s="368"/>
      <c r="K138" s="368"/>
      <c r="L138" s="368"/>
      <c r="M138" s="368"/>
      <c r="N138" s="368"/>
      <c r="R138" s="370" t="s">
        <v>1234</v>
      </c>
      <c r="S138" s="371"/>
      <c r="T138" s="372"/>
      <c r="U138" s="372"/>
      <c r="V138" s="372"/>
      <c r="W138" s="370" t="s">
        <v>1235</v>
      </c>
      <c r="X138" s="372"/>
      <c r="Y138" s="372"/>
      <c r="AA138" s="372"/>
      <c r="AB138" s="372"/>
      <c r="AC138" s="372"/>
      <c r="AD138" s="372"/>
    </row>
    <row r="139" spans="1:74" s="351" customFormat="1" ht="12" customHeight="1">
      <c r="A139" s="373" t="s">
        <v>3</v>
      </c>
      <c r="B139" s="374" t="s">
        <v>8</v>
      </c>
      <c r="C139" s="374" t="s">
        <v>9</v>
      </c>
      <c r="D139" s="374" t="s">
        <v>10</v>
      </c>
      <c r="E139" s="375" t="s">
        <v>1209</v>
      </c>
      <c r="F139" s="374"/>
      <c r="G139" s="351" t="s">
        <v>3</v>
      </c>
      <c r="H139" s="983" t="s">
        <v>0</v>
      </c>
      <c r="I139" s="983"/>
      <c r="J139" s="983" t="s">
        <v>1</v>
      </c>
      <c r="K139" s="983"/>
      <c r="L139" s="983" t="s">
        <v>2</v>
      </c>
      <c r="M139" s="983"/>
      <c r="N139" s="984" t="s">
        <v>1209</v>
      </c>
      <c r="O139" s="984"/>
      <c r="P139" s="376"/>
      <c r="Q139" s="376"/>
      <c r="R139" s="377" t="s">
        <v>3</v>
      </c>
      <c r="S139" s="378" t="s">
        <v>136</v>
      </c>
      <c r="T139" s="376" t="s">
        <v>134</v>
      </c>
      <c r="U139" s="374" t="s">
        <v>135</v>
      </c>
      <c r="V139" s="376"/>
      <c r="W139" s="379" t="s">
        <v>26</v>
      </c>
    </row>
    <row r="140" spans="1:74" s="262" customFormat="1">
      <c r="A140" s="240">
        <v>1959</v>
      </c>
      <c r="B140" s="260">
        <f>(K6*($E6/365)) + (K7*($E7/365))</f>
        <v>100</v>
      </c>
      <c r="C140" s="260">
        <f>(L6*($E6/365)) + (L7*($E7/365))</f>
        <v>0</v>
      </c>
      <c r="D140" s="260">
        <f>(M6*($E6/365)) + (M7*($E7/365))</f>
        <v>0</v>
      </c>
      <c r="E140" s="261">
        <f>B140+C140+C141</f>
        <v>100</v>
      </c>
      <c r="G140" s="240">
        <v>1959</v>
      </c>
      <c r="H140" s="985">
        <f>(O6/$R6*100*($E6/365))+(O7/$R7*100*($E7/365))</f>
        <v>100</v>
      </c>
      <c r="I140" s="985"/>
      <c r="J140" s="985">
        <f>(P6/$R6*100*($E6/365))+(P7/$R7*100*($E7/365))</f>
        <v>0</v>
      </c>
      <c r="K140" s="985"/>
      <c r="L140" s="985">
        <f>(Q6/$R6*100*($E6/365))+(Q7/$R7*100*($E7/365))</f>
        <v>0</v>
      </c>
      <c r="M140" s="985"/>
      <c r="N140" s="986">
        <f>H140+J140+K140</f>
        <v>100</v>
      </c>
      <c r="O140" s="986"/>
      <c r="R140" s="240">
        <v>1959</v>
      </c>
      <c r="S140" s="260">
        <f>(O6*($E6/365)) + (O7*($E7/365))</f>
        <v>63.1</v>
      </c>
      <c r="T140" s="260">
        <f>(P6*($E6/365)) + (P7*($E7/365))</f>
        <v>0</v>
      </c>
      <c r="U140" s="260">
        <f>(Q6*($E6/365)) + (Q7*($E7/365))</f>
        <v>0</v>
      </c>
      <c r="W140" s="260">
        <f>S140+T140+U140</f>
        <v>63.1</v>
      </c>
    </row>
    <row r="141" spans="1:74">
      <c r="A141" s="54">
        <v>1960</v>
      </c>
      <c r="B141" s="8">
        <f>(K8*($E8/366)) + (K9*($E9/366))</f>
        <v>100</v>
      </c>
      <c r="C141" s="8">
        <f>(L8*($E8/366)) + (L9*($E9/366))</f>
        <v>0</v>
      </c>
      <c r="D141" s="8">
        <f>(M8*($E8/366)) + (M9*($E9/366))</f>
        <v>0</v>
      </c>
      <c r="E141" s="30">
        <f t="shared" ref="E141:E170" si="50">SUM(B141:D141)</f>
        <v>100</v>
      </c>
      <c r="G141" s="9">
        <v>1960</v>
      </c>
      <c r="H141" s="958">
        <f>(O8/$R8*100*($E8/366))+(O9/$R9*100*($E9/366))</f>
        <v>100</v>
      </c>
      <c r="I141" s="958"/>
      <c r="J141" s="958">
        <f>(P8/$R8*100*($E8/366))+(P9/$R9*100*($E9/366))</f>
        <v>0</v>
      </c>
      <c r="K141" s="958"/>
      <c r="L141" s="958">
        <f>(Q8/$R8*100*($E8/366))+(Q9/$R9*100*($E9/366))</f>
        <v>0</v>
      </c>
      <c r="M141" s="958"/>
      <c r="N141" s="959">
        <f t="shared" ref="N141:N170" si="51">SUM(H141:M141)</f>
        <v>100</v>
      </c>
      <c r="O141" s="959"/>
      <c r="R141" s="9">
        <v>1960</v>
      </c>
      <c r="S141" s="8">
        <f>(O8*($E8/366)) + (O9*($E9/366))</f>
        <v>63.1</v>
      </c>
      <c r="T141" s="8">
        <f>(P8*($E8/366)) + (P9*($E9/366))</f>
        <v>0</v>
      </c>
      <c r="U141" s="8">
        <f>(Q8*($E8/366)) + (Q9*($E9/366))</f>
        <v>0</v>
      </c>
      <c r="W141" s="8">
        <f>R8*(E8/366) + R9*(E9/366)</f>
        <v>63.1</v>
      </c>
    </row>
    <row r="142" spans="1:74">
      <c r="A142" s="54">
        <v>1961</v>
      </c>
      <c r="B142" s="8">
        <f>(K10*($E10/365)) + (K11*($E11/365))</f>
        <v>100</v>
      </c>
      <c r="C142" s="8">
        <f>(L10*($E10/365)) + (L11*($E11/365))</f>
        <v>0</v>
      </c>
      <c r="D142" s="8">
        <f>(M10*($E10/365)) + (M11*($E11/365))</f>
        <v>0</v>
      </c>
      <c r="E142" s="30">
        <f t="shared" si="50"/>
        <v>100</v>
      </c>
      <c r="G142" s="9">
        <v>1961</v>
      </c>
      <c r="H142" s="958">
        <f>(O10/$R10*100*($E10/365))+(O11/$R11*100*($E11/365))</f>
        <v>100</v>
      </c>
      <c r="I142" s="958"/>
      <c r="J142" s="958">
        <f>(P10/$R10*100*($E10/365))+(P11/$R11*100*($E11/365))</f>
        <v>0</v>
      </c>
      <c r="K142" s="958"/>
      <c r="L142" s="958">
        <f>(Q10/$R10*100*($E10/365))+(Q11/$R11*100*($E11/365))</f>
        <v>0</v>
      </c>
      <c r="M142" s="958"/>
      <c r="N142" s="959">
        <f t="shared" si="51"/>
        <v>100</v>
      </c>
      <c r="O142" s="959"/>
      <c r="R142" s="9">
        <v>1961</v>
      </c>
      <c r="S142" s="8">
        <f>(O10*($E10/365)) + (O11*($E11/365))</f>
        <v>62.796712328767128</v>
      </c>
      <c r="T142" s="8">
        <f>(P10*($E10/365)) + (P11*($E11/365))</f>
        <v>0</v>
      </c>
      <c r="U142" s="8">
        <f>(Q10*($E10/365)) + (Q11*($E11/365))</f>
        <v>0</v>
      </c>
      <c r="W142" s="8">
        <f>R10*(E10/365) + R11*(E11/365)</f>
        <v>62.796712328767128</v>
      </c>
    </row>
    <row r="143" spans="1:74">
      <c r="A143" s="54">
        <v>1962</v>
      </c>
      <c r="B143" s="8">
        <f>(K12*($E12/365)) + (K13*($E13/365))</f>
        <v>100</v>
      </c>
      <c r="C143" s="8">
        <f>(L12*($E12/365)) + (L13*($E13/365))</f>
        <v>0</v>
      </c>
      <c r="D143" s="8">
        <f>(M12*($E12/365)) + (M13*($E13/365))</f>
        <v>0</v>
      </c>
      <c r="E143" s="30">
        <f t="shared" si="50"/>
        <v>100</v>
      </c>
      <c r="G143" s="9">
        <v>1962</v>
      </c>
      <c r="H143" s="958">
        <f>(O12/$R12*100*($E12/365))+(O13/$R13*100*($E13/365))</f>
        <v>100</v>
      </c>
      <c r="I143" s="958"/>
      <c r="J143" s="958">
        <f>(P12/$R12*100*($E12/365))+(P13/$R13*100*($E13/365))</f>
        <v>0</v>
      </c>
      <c r="K143" s="958"/>
      <c r="L143" s="958">
        <f>(Q12/$R12*100*($E12/365))+(Q13/$R13*100*($E13/365))</f>
        <v>0</v>
      </c>
      <c r="M143" s="958"/>
      <c r="N143" s="959">
        <f t="shared" si="51"/>
        <v>100</v>
      </c>
      <c r="O143" s="959"/>
      <c r="R143" s="9">
        <v>1962</v>
      </c>
      <c r="S143" s="8">
        <f>(O12*($E12/365)) + (O13*($E13/365))</f>
        <v>50.8</v>
      </c>
      <c r="T143" s="8">
        <f>(P12*($E12/365)) + (P13*($E13/365))</f>
        <v>0</v>
      </c>
      <c r="U143" s="8">
        <f>(Q12*($E12/365)) + (Q13*($E13/365))</f>
        <v>0</v>
      </c>
      <c r="W143" s="8">
        <f>R12*(E12/365) + R13*(E13/365)</f>
        <v>50.8</v>
      </c>
    </row>
    <row r="144" spans="1:74">
      <c r="A144" s="54">
        <v>1963</v>
      </c>
      <c r="B144" s="8">
        <f>(K14*($E14/365)) + (K15*($E15/365))</f>
        <v>99.999999999999986</v>
      </c>
      <c r="C144" s="8">
        <f>(L14*($E14/365)) + (L15*($E15/365))</f>
        <v>0</v>
      </c>
      <c r="D144" s="8">
        <f>(M14*($E14/365)) + (M15*($E15/365))</f>
        <v>0</v>
      </c>
      <c r="E144" s="30">
        <f t="shared" si="50"/>
        <v>99.999999999999986</v>
      </c>
      <c r="G144" s="9">
        <v>1963</v>
      </c>
      <c r="H144" s="958">
        <f>(O14/$R14*100*($E14/365))+(O15/$R15*100*($E15/365))</f>
        <v>99.999999999999986</v>
      </c>
      <c r="I144" s="958"/>
      <c r="J144" s="958">
        <f>(P14/$R14*100*($E14/365))+(P15/$R15*100*($E15/365))</f>
        <v>0</v>
      </c>
      <c r="K144" s="958"/>
      <c r="L144" s="958">
        <f>(Q14/$R14*100*($E14/365))+(Q15/$R15*100*($E15/365))</f>
        <v>0</v>
      </c>
      <c r="M144" s="958"/>
      <c r="N144" s="959">
        <f t="shared" si="51"/>
        <v>99.999999999999986</v>
      </c>
      <c r="O144" s="959"/>
      <c r="R144" s="9">
        <v>1963</v>
      </c>
      <c r="S144" s="8">
        <f>(O14*($E14/365)) + (O15*($E15/365))</f>
        <v>51.136986301369859</v>
      </c>
      <c r="T144" s="8">
        <f>(P14*($E14/365)) + (P15*($E15/365))</f>
        <v>0</v>
      </c>
      <c r="U144" s="8">
        <f>(Q14*($E14/365)) + (Q15*($E15/365))</f>
        <v>0</v>
      </c>
      <c r="W144" s="8">
        <f xml:space="preserve"> R14*(E14/365) + R15*(E15/365)</f>
        <v>51.136986301369859</v>
      </c>
    </row>
    <row r="145" spans="1:23">
      <c r="A145" s="54">
        <v>1964</v>
      </c>
      <c r="B145" s="8">
        <f>(K16*($E16/366)) + (K17*($E17/366))</f>
        <v>100</v>
      </c>
      <c r="C145" s="8">
        <f>(L16*($E16/366)) + (L17*($E17/366))</f>
        <v>0</v>
      </c>
      <c r="D145" s="8">
        <f>(M16*($E16/366)) + (M17*($E17/366))</f>
        <v>0</v>
      </c>
      <c r="E145" s="30">
        <f t="shared" si="50"/>
        <v>100</v>
      </c>
      <c r="G145" s="9">
        <v>1964</v>
      </c>
      <c r="H145" s="958">
        <f>(O16/$R16*100*($E16/366))+(O17/$R17*100*($E17/366))</f>
        <v>100</v>
      </c>
      <c r="I145" s="958"/>
      <c r="J145" s="958">
        <f>(P16/$R16*100*($E16/366))+(P17/$R17*100*($E17/366))</f>
        <v>0</v>
      </c>
      <c r="K145" s="958"/>
      <c r="L145" s="958">
        <f>(Q16/$R16*100*($E16/366))+(Q17/$R17*100*($E17/366))</f>
        <v>0</v>
      </c>
      <c r="M145" s="958"/>
      <c r="N145" s="959">
        <f t="shared" si="51"/>
        <v>100</v>
      </c>
      <c r="O145" s="959"/>
      <c r="R145" s="9">
        <v>1964</v>
      </c>
      <c r="S145" s="8">
        <f>(O16*($E16/366)) + (O17*($E17/366))</f>
        <v>59</v>
      </c>
      <c r="T145" s="8">
        <f>(P16*($E16/366)) + (P17*($E17/366))</f>
        <v>0</v>
      </c>
      <c r="U145" s="8">
        <f>(Q16*($E16/366)) + (Q17*($E17/366))</f>
        <v>0</v>
      </c>
      <c r="W145" s="8">
        <f xml:space="preserve"> R16*(E16/366) + R17*(E17/366)</f>
        <v>59</v>
      </c>
    </row>
    <row r="146" spans="1:23">
      <c r="A146" s="54">
        <v>1965</v>
      </c>
      <c r="B146" s="8">
        <f>(K18*($E18/365)) + (K19*($E19/365))</f>
        <v>100</v>
      </c>
      <c r="C146" s="8">
        <f>(L18*($E18/365)) + (L19*($E19/365))</f>
        <v>0</v>
      </c>
      <c r="D146" s="8">
        <f>(M18*($E18/365)) + (M19*($E19/365))</f>
        <v>0</v>
      </c>
      <c r="E146" s="30">
        <f t="shared" si="50"/>
        <v>100</v>
      </c>
      <c r="G146" s="9">
        <v>1965</v>
      </c>
      <c r="H146" s="958">
        <f>(O18/$R18*100*($E18/365))+(O19/$R19*100*($E19/365))</f>
        <v>100</v>
      </c>
      <c r="I146" s="958"/>
      <c r="J146" s="958">
        <f>(P18/$R18*100*($E18/365))+(P19/$R19*100*($E19/365))</f>
        <v>0</v>
      </c>
      <c r="K146" s="958"/>
      <c r="L146" s="958">
        <f>(Q18/$R18*100*($E18/365))+(Q19/$R19*100*($E19/365))</f>
        <v>0</v>
      </c>
      <c r="M146" s="958"/>
      <c r="N146" s="959">
        <f t="shared" si="51"/>
        <v>100</v>
      </c>
      <c r="O146" s="959"/>
      <c r="R146" s="9">
        <v>1965</v>
      </c>
      <c r="S146" s="8">
        <f>(O18*($E18/365)) + (O19*($E19/365))</f>
        <v>59</v>
      </c>
      <c r="T146" s="8">
        <f>(P18*($E18/365)) + (P19*($E19/365))</f>
        <v>0</v>
      </c>
      <c r="U146" s="8">
        <f>(Q18*($E18/365)) + (Q19*($E19/365))</f>
        <v>0</v>
      </c>
      <c r="W146" s="8">
        <f xml:space="preserve"> R18*(E18/365) + R19*(E19/365)</f>
        <v>59</v>
      </c>
    </row>
    <row r="147" spans="1:23">
      <c r="A147" s="54">
        <v>1966</v>
      </c>
      <c r="B147" s="8">
        <f>(K20*($E20/365)) + (K21*($E21/365)) + (K22*($E22/365))</f>
        <v>100.00000000000001</v>
      </c>
      <c r="C147" s="8">
        <f>(L20*($E20/365)) + (L21*($E21/365)) + (L22*($E22/365))</f>
        <v>0</v>
      </c>
      <c r="D147" s="8">
        <f>(M20*($E20/365)) + (M21*($E21/365)) + (M22*($E22/365))</f>
        <v>0</v>
      </c>
      <c r="E147" s="30">
        <f t="shared" si="50"/>
        <v>100.00000000000001</v>
      </c>
      <c r="G147" s="9">
        <v>1966</v>
      </c>
      <c r="H147" s="958">
        <f>(O20/$R20*100*($E20/365))+(O21/$R21*100*($E21/365))+(O22/$R22*100*($E22/365))</f>
        <v>100.00000000000001</v>
      </c>
      <c r="I147" s="958"/>
      <c r="J147" s="958">
        <f>(P20/$R20*100*($E20/365))+(P21/$R21*100*($E21/365))+(P22/$R22*100*($E22/365))</f>
        <v>0</v>
      </c>
      <c r="K147" s="958"/>
      <c r="L147" s="958">
        <f>(Q20/$R20*100*($E20/365))+(Q21/$R21*100*($E21/365))+(Q22/$R22*100*($E22/365))</f>
        <v>0</v>
      </c>
      <c r="M147" s="958"/>
      <c r="N147" s="959">
        <f t="shared" si="51"/>
        <v>100.00000000000001</v>
      </c>
      <c r="O147" s="959"/>
      <c r="R147" s="9">
        <v>1966</v>
      </c>
      <c r="S147" s="8">
        <f>(O20*($E20/365)) + (O21*($E21/365)) + (O22*($E22/365))</f>
        <v>59.350136986301365</v>
      </c>
      <c r="T147" s="8">
        <f>(P20*($E20/365)) + (P21*($E21/365)) + (P22*($E22/365))</f>
        <v>0</v>
      </c>
      <c r="U147" s="8">
        <f>(Q20*($E20/365)) + (Q21*($E21/365)) + (Q22*($E22/365))</f>
        <v>0</v>
      </c>
      <c r="W147" s="8">
        <f xml:space="preserve"> R20*(E20/365) + R21*(E21/365) + R22*(E22/365)</f>
        <v>59.350136986301365</v>
      </c>
    </row>
    <row r="148" spans="1:23">
      <c r="A148" s="54">
        <v>1967</v>
      </c>
      <c r="B148" s="8">
        <f>(K23*($E23/365)) + (K24*($E24/365))</f>
        <v>100.00000000000001</v>
      </c>
      <c r="C148" s="8">
        <f>(L23*($E23/365)) + (L24*($E24/365))</f>
        <v>0</v>
      </c>
      <c r="D148" s="8">
        <f>(M23*($E23/365)) + (M24*($E24/365))</f>
        <v>0</v>
      </c>
      <c r="E148" s="30">
        <f t="shared" si="50"/>
        <v>100.00000000000001</v>
      </c>
      <c r="G148" s="9">
        <v>1967</v>
      </c>
      <c r="H148" s="958">
        <f>(O23/$R23*100*($E23/365))+(O24/$R24*100*($E24/365))</f>
        <v>100.00000000000001</v>
      </c>
      <c r="I148" s="958"/>
      <c r="J148" s="958">
        <f>(P23/$R23*100*($E23/365))+(P24/$R24*100*($E24/365))</f>
        <v>0</v>
      </c>
      <c r="K148" s="958"/>
      <c r="L148" s="958">
        <f>(Q23/$R23*100*($E23/365))+(Q24/$R24*100*($E24/365))</f>
        <v>0</v>
      </c>
      <c r="M148" s="958"/>
      <c r="N148" s="959">
        <f t="shared" si="51"/>
        <v>100.00000000000001</v>
      </c>
      <c r="O148" s="959"/>
      <c r="R148" s="9">
        <v>1967</v>
      </c>
      <c r="S148" s="8">
        <f>(O23*($E23/365)) + (O24*($E24/365))</f>
        <v>66.099999999999994</v>
      </c>
      <c r="T148" s="8">
        <f>(P23*($E23/365)) + (P24*($E24/365))</f>
        <v>0</v>
      </c>
      <c r="U148" s="8">
        <f>(Q23*($E23/365)) + (Q24*($E24/365))</f>
        <v>0</v>
      </c>
      <c r="W148" s="8">
        <f xml:space="preserve"> R23*(E23/365) + R24*(E24/365)</f>
        <v>66.099999999999994</v>
      </c>
    </row>
    <row r="149" spans="1:23">
      <c r="A149" s="54">
        <v>1968</v>
      </c>
      <c r="B149" s="8">
        <f>(K25*($E25/366)) + (K26*($E26/366)) + (K27*($E27/366))</f>
        <v>100.00000000000001</v>
      </c>
      <c r="C149" s="8">
        <f>(L25*($E25/366)) + (L26*($E26/366)) + (L27*($E27/366))</f>
        <v>0</v>
      </c>
      <c r="D149" s="8">
        <f>(M25*($E25/366)) + (M26*($E26/366)) + (M27*($E27/366))</f>
        <v>0</v>
      </c>
      <c r="E149" s="30">
        <f t="shared" si="50"/>
        <v>100.00000000000001</v>
      </c>
      <c r="G149" s="9">
        <v>1968</v>
      </c>
      <c r="H149" s="958">
        <f>(O25/$R25*100*($E25/366))+(O26/$R26*100*($E26/366))+(O27/$R27*100*($E27/366))</f>
        <v>100.00000000000001</v>
      </c>
      <c r="I149" s="958"/>
      <c r="J149" s="958">
        <f>(P25/$R25*100*($E25/366))+(P26/$R26*100*($E26/366))+(P27/$R27*100*($E27/366))</f>
        <v>0</v>
      </c>
      <c r="K149" s="958"/>
      <c r="L149" s="958">
        <f>(Q25/$R25*100*($E25/366))+(Q26/$R26*100*($E26/366))+(Q27/$R27*100*($E27/366))</f>
        <v>0</v>
      </c>
      <c r="M149" s="958"/>
      <c r="N149" s="959">
        <f t="shared" si="51"/>
        <v>100.00000000000001</v>
      </c>
      <c r="O149" s="959"/>
      <c r="R149" s="9">
        <v>1968</v>
      </c>
      <c r="S149" s="8">
        <f>(O25*($E25/366)) + (O26*($E26/366)) + (O27*($E27/366))</f>
        <v>66.099999999999994</v>
      </c>
      <c r="T149" s="8">
        <f>(P25*($E25/366)) + (P26*($E26/366)) + (P27*($E27/366))</f>
        <v>0</v>
      </c>
      <c r="U149" s="8">
        <f>(Q25*($E25/366)) + (Q26*($E26/366)) + (Q27*($E27/366))</f>
        <v>0</v>
      </c>
      <c r="W149" s="8">
        <f xml:space="preserve"> R25*(E25/366) + R26*(E26/366) + R27*(E27/366)</f>
        <v>66.099999999999994</v>
      </c>
    </row>
    <row r="150" spans="1:23">
      <c r="A150" s="54">
        <v>1969</v>
      </c>
      <c r="B150" s="8">
        <f>(K28*($E28/365)) + (K29*($E29/365))</f>
        <v>100</v>
      </c>
      <c r="C150" s="8">
        <f>(L28*($E28/365)) + (L29*($E29/365))</f>
        <v>0</v>
      </c>
      <c r="D150" s="8">
        <f>(M28*($E28/365)) + (M29*($E29/365))</f>
        <v>0</v>
      </c>
      <c r="E150" s="30">
        <f t="shared" si="50"/>
        <v>100</v>
      </c>
      <c r="G150" s="9">
        <v>1969</v>
      </c>
      <c r="H150" s="958">
        <f>(O28/$R28*100*($E28/365))+(O29/$R29*100*($E29/365))</f>
        <v>100</v>
      </c>
      <c r="I150" s="958"/>
      <c r="J150" s="958">
        <f>(P28/$R28*100*($E28/365))+(P29/$R29*100*($E29/365))</f>
        <v>0</v>
      </c>
      <c r="K150" s="958"/>
      <c r="L150" s="958">
        <f>(Q28/$R28*100*($E28/365))+(Q29/$R29*100*($E29/365))</f>
        <v>0</v>
      </c>
      <c r="M150" s="958"/>
      <c r="N150" s="959">
        <f t="shared" si="51"/>
        <v>100</v>
      </c>
      <c r="O150" s="959"/>
      <c r="R150" s="9">
        <v>1969</v>
      </c>
      <c r="S150" s="8">
        <f>(O28*($E28/365)) + (O29*($E29/365))</f>
        <v>64.241643835616429</v>
      </c>
      <c r="T150" s="8">
        <f>(P28*($E28/365)) + (P29*($E29/365))</f>
        <v>0</v>
      </c>
      <c r="U150" s="8">
        <f>(Q28*($E28/365)) + (Q29*($E29/365))</f>
        <v>0</v>
      </c>
      <c r="W150" s="8">
        <f xml:space="preserve"> R28*(E28/365) + R29*(E29/365)</f>
        <v>64.241643835616429</v>
      </c>
    </row>
    <row r="151" spans="1:23">
      <c r="A151" s="54">
        <v>1970</v>
      </c>
      <c r="B151" s="8">
        <f>(K30*($E30/365)) + (K31*($E31/365))</f>
        <v>100</v>
      </c>
      <c r="C151" s="8">
        <f>(L30*($E30/365)) + (L31*($E31/365))</f>
        <v>0</v>
      </c>
      <c r="D151" s="8">
        <f>(M30*($E30/365)) + (M31*($E31/365))</f>
        <v>0</v>
      </c>
      <c r="E151" s="30">
        <f t="shared" si="50"/>
        <v>100</v>
      </c>
      <c r="G151" s="9">
        <v>1970</v>
      </c>
      <c r="H151" s="958">
        <f>(O30/$R30*100*($E30/365))+(O31/$R31*100*($E31/365))</f>
        <v>100</v>
      </c>
      <c r="I151" s="958"/>
      <c r="J151" s="958">
        <f>(P30/$R30*100*($E30/365))+(P31/$R31*100*($E31/365))</f>
        <v>0</v>
      </c>
      <c r="K151" s="958"/>
      <c r="L151" s="958">
        <f>(Q30/$R30*100*($E30/365))+(Q31/$R31*100*($E31/365))</f>
        <v>0</v>
      </c>
      <c r="M151" s="958"/>
      <c r="N151" s="959">
        <f t="shared" si="51"/>
        <v>100</v>
      </c>
      <c r="O151" s="959"/>
      <c r="R151" s="9">
        <v>1970</v>
      </c>
      <c r="S151" s="8">
        <f>(O30*($E30/365)) + (O31*($E31/365))</f>
        <v>52.8</v>
      </c>
      <c r="T151" s="8">
        <f>(P30*($E30/365)) + (P31*($E31/365))</f>
        <v>0</v>
      </c>
      <c r="U151" s="8">
        <f>(Q30*($E30/365)) + (Q31*($E31/365))</f>
        <v>0</v>
      </c>
      <c r="W151" s="8">
        <f xml:space="preserve"> R30*(E30/365) + R31*(E31/365)</f>
        <v>52.8</v>
      </c>
    </row>
    <row r="152" spans="1:23">
      <c r="A152" s="54">
        <v>1971</v>
      </c>
      <c r="B152" s="8">
        <f>(K32*($E32/365)) + (K33*($E33/365))</f>
        <v>100</v>
      </c>
      <c r="C152" s="8">
        <f>(L32*($E32/365)) + (L33*($E33/365))</f>
        <v>0</v>
      </c>
      <c r="D152" s="8">
        <f>(M32*($E32/365)) + (M33*($E33/365))</f>
        <v>0</v>
      </c>
      <c r="E152" s="30">
        <f t="shared" si="50"/>
        <v>100</v>
      </c>
      <c r="G152" s="9">
        <v>1971</v>
      </c>
      <c r="H152" s="958">
        <f>(O32/$R32*100*($E32/365))+(O33/$R33*100*($E33/365))</f>
        <v>100</v>
      </c>
      <c r="I152" s="958"/>
      <c r="J152" s="958">
        <f>(P32/$R32*100*($E32/365))+(P33/$R33*100*($E33/365))</f>
        <v>0</v>
      </c>
      <c r="K152" s="958"/>
      <c r="L152" s="958">
        <f>(Q32/$R32*100*($E32/365))+(Q33/$R33*100*($E33/365))</f>
        <v>0</v>
      </c>
      <c r="M152" s="958"/>
      <c r="N152" s="959">
        <f t="shared" si="51"/>
        <v>100</v>
      </c>
      <c r="O152" s="959"/>
      <c r="R152" s="9">
        <v>1971</v>
      </c>
      <c r="S152" s="8">
        <f>(O32*($E32/365)) + (O33*($E33/365))</f>
        <v>52.8</v>
      </c>
      <c r="T152" s="8">
        <f>(P32*($E32/365)) + (P33*($E33/365))</f>
        <v>0</v>
      </c>
      <c r="U152" s="8">
        <f>(Q32*($E32/365)) + (Q33*($E33/365))</f>
        <v>0</v>
      </c>
      <c r="W152" s="8">
        <f xml:space="preserve"> R32*(E32/365) + R33*(E33/365)</f>
        <v>52.8</v>
      </c>
    </row>
    <row r="153" spans="1:23">
      <c r="A153" s="54">
        <v>1972</v>
      </c>
      <c r="B153" s="8">
        <f>(K34*($E34/366)) + (K35*($E35/366))</f>
        <v>96.448087431693992</v>
      </c>
      <c r="C153" s="8">
        <f>(L34*($E34/366)) + (L35*($E35/366))</f>
        <v>0</v>
      </c>
      <c r="D153" s="8">
        <f>(M34*($E34/366)) + (M35*($E35/366))</f>
        <v>3.5519125683060109</v>
      </c>
      <c r="E153" s="30">
        <f t="shared" si="50"/>
        <v>100</v>
      </c>
      <c r="G153" s="9">
        <v>1972</v>
      </c>
      <c r="H153" s="958">
        <f>(O34/$R34*100*($E34/366))+(O35/$R35*100*($E35/366))</f>
        <v>96.448087431693992</v>
      </c>
      <c r="I153" s="958"/>
      <c r="J153" s="958">
        <f>(P34/$R34*100*($E34/366))+(P35/$R35*100*($E35/366))</f>
        <v>0</v>
      </c>
      <c r="K153" s="958"/>
      <c r="L153" s="958">
        <f>(Q34/$R34*100*($E34/366))+(Q35/$R35*100*($E35/366))</f>
        <v>3.5519125683060109</v>
      </c>
      <c r="M153" s="958"/>
      <c r="N153" s="959">
        <f t="shared" si="51"/>
        <v>100</v>
      </c>
      <c r="O153" s="959"/>
      <c r="R153" s="9">
        <v>1972</v>
      </c>
      <c r="S153" s="8">
        <f>(O34*($E34/366)) + (O35*($E35/366))</f>
        <v>50.924590163934418</v>
      </c>
      <c r="T153" s="8">
        <f>(P34*($E34/366)) + (P35*($E35/366))</f>
        <v>0</v>
      </c>
      <c r="U153" s="8">
        <f>(Q34*($E34/366)) + (Q35*($E35/366))</f>
        <v>1.9038251366120218</v>
      </c>
      <c r="W153" s="8">
        <f xml:space="preserve"> R34*(E34/366) + R35*(E35/366)</f>
        <v>52.828415300546439</v>
      </c>
    </row>
    <row r="154" spans="1:23">
      <c r="A154" s="54">
        <v>1973</v>
      </c>
      <c r="B154" s="8">
        <f>(K36*($E36/365)) + (K37*($E37/365))</f>
        <v>0</v>
      </c>
      <c r="C154" s="8">
        <f>(L36*($E36/365)) + (L37*($E37/365))</f>
        <v>0</v>
      </c>
      <c r="D154" s="8">
        <f>(M36*($E36/365)) + (M37*($E37/365))</f>
        <v>100</v>
      </c>
      <c r="E154" s="30">
        <f t="shared" si="50"/>
        <v>100</v>
      </c>
      <c r="G154" s="9">
        <v>1973</v>
      </c>
      <c r="H154" s="958">
        <f>(O36/$R36*100*($E36/365))+(O37/$R37*100*($E37/365))</f>
        <v>0</v>
      </c>
      <c r="I154" s="958"/>
      <c r="J154" s="958">
        <f>(P36/$R36*100*($E36/365))+(P37/$R37*100*($E37/365))</f>
        <v>0</v>
      </c>
      <c r="K154" s="958"/>
      <c r="L154" s="958">
        <f>(Q36/$R36*100*($E36/365))+(Q37/$R37*100*($E37/365))</f>
        <v>100</v>
      </c>
      <c r="M154" s="958"/>
      <c r="N154" s="959">
        <f t="shared" si="51"/>
        <v>100</v>
      </c>
      <c r="O154" s="959"/>
      <c r="R154" s="9">
        <v>1973</v>
      </c>
      <c r="S154" s="8">
        <f>(O36*($E36/365)) + (O37*($E37/365))</f>
        <v>0</v>
      </c>
      <c r="T154" s="8">
        <f>(P36*($E36/365)) + (P37*($E37/365))</f>
        <v>0</v>
      </c>
      <c r="U154" s="8">
        <f>(Q36*($E36/365)) + (Q37*($E37/365))</f>
        <v>53.6</v>
      </c>
      <c r="W154" s="8">
        <f xml:space="preserve"> R36*(E36/365) + R37*(E37/365)</f>
        <v>53.6</v>
      </c>
    </row>
    <row r="155" spans="1:23">
      <c r="A155" s="54">
        <v>1974</v>
      </c>
      <c r="B155" s="8">
        <f>(K38*($E38/365)) + (K39*($E39/365))</f>
        <v>0</v>
      </c>
      <c r="C155" s="8">
        <f>(L38*($E38/365)) + (L39*($E39/365))</f>
        <v>0</v>
      </c>
      <c r="D155" s="8">
        <f>(M38*($E38/365)) + (M39*($E39/365))</f>
        <v>100</v>
      </c>
      <c r="E155" s="30">
        <f t="shared" si="50"/>
        <v>100</v>
      </c>
      <c r="G155" s="9">
        <v>1974</v>
      </c>
      <c r="H155" s="958">
        <f>(O38/$R38*100*($E38/365))+(O39/$R39*100*($E39/365))</f>
        <v>0</v>
      </c>
      <c r="I155" s="958"/>
      <c r="J155" s="958">
        <f>(P38/$R38*100*($E38/365))+(P39/$R39*100*($E39/365))</f>
        <v>0</v>
      </c>
      <c r="K155" s="958"/>
      <c r="L155" s="958">
        <f>(Q38/$R38*100*($E38/365))+(Q39/$R39*100*($E39/365))</f>
        <v>100</v>
      </c>
      <c r="M155" s="958"/>
      <c r="N155" s="959">
        <f t="shared" si="51"/>
        <v>100</v>
      </c>
      <c r="O155" s="959"/>
      <c r="R155" s="9">
        <v>1974</v>
      </c>
      <c r="S155" s="8">
        <f>(O38*($E38/365)) + (O39*($E39/365))</f>
        <v>0</v>
      </c>
      <c r="T155" s="8">
        <f>(P38*($E38/365)) + (P39*($E39/365))</f>
        <v>0</v>
      </c>
      <c r="U155" s="8">
        <f>(Q38*($E38/365)) + (Q39*($E39/365))</f>
        <v>52.710136986301372</v>
      </c>
      <c r="W155" s="8">
        <f xml:space="preserve"> R38*(E38/365) + R39*(E39/365)</f>
        <v>52.710136986301372</v>
      </c>
    </row>
    <row r="156" spans="1:23">
      <c r="A156" s="54">
        <v>1975</v>
      </c>
      <c r="B156" s="8">
        <f>(K40*($E40/365)) + (K41*($E41/365)) + (K42*($E42/365))</f>
        <v>13.698630136986303</v>
      </c>
      <c r="C156" s="8">
        <f>(L40*($E40/365)) + (L41*($E41/365)) + (L42*($E42/365))</f>
        <v>0</v>
      </c>
      <c r="D156" s="8">
        <f>(M40*($E40/365)) + (M41*($E41/365)) + (M42*($E42/365))</f>
        <v>86.301369863013704</v>
      </c>
      <c r="E156" s="30">
        <f t="shared" si="50"/>
        <v>100</v>
      </c>
      <c r="G156" s="9">
        <v>1975</v>
      </c>
      <c r="H156" s="958">
        <f>(O40/$R40*100*($E40/365))+(O41/$R41*100*($E41/365))+(O42/$R42*100*($E42/365))</f>
        <v>13.698630136986303</v>
      </c>
      <c r="I156" s="958"/>
      <c r="J156" s="958">
        <f>(P40/$R40*100*($E40/365))+(P41/$R41*100*($E41/365))+(P42/$R42*100*($E42/365))</f>
        <v>0</v>
      </c>
      <c r="K156" s="958"/>
      <c r="L156" s="958">
        <f>(Q40/$R40*100*($E40/365))+(Q41/$R41*100*($E41/365))+(Q42/$R42*100*($E42/365))</f>
        <v>86.301369863013704</v>
      </c>
      <c r="M156" s="958"/>
      <c r="N156" s="959">
        <f t="shared" si="51"/>
        <v>100</v>
      </c>
      <c r="O156" s="959"/>
      <c r="R156" s="9">
        <v>1975</v>
      </c>
      <c r="S156" s="8">
        <f>(O40*($E40/365)) + (O41*($E41/365)) + (O42*($E42/365))</f>
        <v>7.4805479452054797</v>
      </c>
      <c r="T156" s="8">
        <f>(P40*($E40/365)) + (P41*($E41/365)) + (P42*($E42/365))</f>
        <v>0</v>
      </c>
      <c r="U156" s="8">
        <f>(Q40*($E40/365)) + (Q41*($E41/365)) + (Q42*($E42/365))</f>
        <v>44.876712328767127</v>
      </c>
      <c r="W156" s="8">
        <f xml:space="preserve"> R40*(E40/365) + R41*(E41/365) + R42*(E42/365)</f>
        <v>52.357260273972607</v>
      </c>
    </row>
    <row r="157" spans="1:23">
      <c r="A157" s="54">
        <v>1976</v>
      </c>
      <c r="B157" s="8">
        <f>(K43*($E43/366)) + (K44*($E44/366))</f>
        <v>100</v>
      </c>
      <c r="C157" s="8">
        <f>(L43*($E43/366)) + (L44*($E44/366))</f>
        <v>0</v>
      </c>
      <c r="D157" s="8">
        <f>(M43*($E43/366)) + (M44*($E44/366))</f>
        <v>0</v>
      </c>
      <c r="E157" s="30">
        <f t="shared" si="50"/>
        <v>100</v>
      </c>
      <c r="G157" s="9">
        <v>1976</v>
      </c>
      <c r="H157" s="958">
        <f>(O43/$R43*100*($E43/366))+(O44/$R44*100*($E44/366))</f>
        <v>100</v>
      </c>
      <c r="I157" s="958"/>
      <c r="J157" s="958">
        <f>(P43/$R43*100*($E43/366))+(P44/$R44*100*($E44/366))</f>
        <v>0</v>
      </c>
      <c r="K157" s="958"/>
      <c r="L157" s="958">
        <f>(Q43/$R43*100*($E43/366))+(Q44/$R44*100*($E44/366))</f>
        <v>0</v>
      </c>
      <c r="M157" s="958"/>
      <c r="N157" s="959">
        <f t="shared" si="51"/>
        <v>100</v>
      </c>
      <c r="O157" s="959"/>
      <c r="R157" s="9">
        <v>1976</v>
      </c>
      <c r="S157" s="8">
        <f>(O43*($E43/366)) + (O44*($E44/366))</f>
        <v>71.599999999999994</v>
      </c>
      <c r="T157" s="8">
        <f>(P43*($E43/366)) + (P44*($E44/366))</f>
        <v>0</v>
      </c>
      <c r="U157" s="8">
        <f>(Q43*($E43/366)) + (Q44*($E44/366))</f>
        <v>0</v>
      </c>
      <c r="W157" s="8">
        <f xml:space="preserve"> R43*(E43/366) + R44*(E44/366)</f>
        <v>71.599999999999994</v>
      </c>
    </row>
    <row r="158" spans="1:23" s="7" customFormat="1">
      <c r="A158" s="54">
        <v>1977</v>
      </c>
      <c r="B158" s="8">
        <f>(K45*($E45/365)) + (K46*($E46/365))</f>
        <v>100.00000000000001</v>
      </c>
      <c r="C158" s="8">
        <f>(L45*($E45/365)) + (L46*($E46/365))</f>
        <v>0</v>
      </c>
      <c r="D158" s="8">
        <f>(M45*($E45/365)) + (M46*($E46/365))</f>
        <v>0</v>
      </c>
      <c r="E158" s="30">
        <f t="shared" si="50"/>
        <v>100.00000000000001</v>
      </c>
      <c r="G158" s="9">
        <v>1977</v>
      </c>
      <c r="H158" s="958">
        <f>(O45/$R45*100*($E45/365))+(O46/$R46*100*($E46/365))</f>
        <v>100.00000000000001</v>
      </c>
      <c r="I158" s="958"/>
      <c r="J158" s="958">
        <f>(P45/$R45*100*($E45/365))+(P46/$R46*100*($E46/365))</f>
        <v>0</v>
      </c>
      <c r="K158" s="958"/>
      <c r="L158" s="958">
        <f>(Q45/$R45*100*($E45/365))+(Q46/$R46*100*($E46/365))</f>
        <v>0</v>
      </c>
      <c r="M158" s="958"/>
      <c r="N158" s="959">
        <f t="shared" si="51"/>
        <v>100.00000000000001</v>
      </c>
      <c r="O158" s="959"/>
      <c r="R158" s="9">
        <v>1977</v>
      </c>
      <c r="S158" s="8">
        <f>(O45*($E45/365)) + (O46*($E46/365))</f>
        <v>71.52438356164383</v>
      </c>
      <c r="T158" s="8">
        <f>(P45*($E45/365)) + (P46*($E46/365))</f>
        <v>0</v>
      </c>
      <c r="U158" s="8">
        <f>(Q45*($E45/365)) + (Q46*($E46/365))</f>
        <v>0</v>
      </c>
      <c r="W158" s="8">
        <f xml:space="preserve"> R45*(E45/365) + R46*(E46/365)</f>
        <v>71.52438356164383</v>
      </c>
    </row>
    <row r="159" spans="1:23">
      <c r="A159" s="54">
        <v>1978</v>
      </c>
      <c r="B159" s="8">
        <f>(K47*($E47/365)) + (K48*($E48/365))</f>
        <v>100</v>
      </c>
      <c r="C159" s="8">
        <f>(L47*($E47/365)) + (L48*($E48/365))</f>
        <v>0</v>
      </c>
      <c r="D159" s="8">
        <f>(M47*($E47/365)) + (M48*($E48/365))</f>
        <v>0</v>
      </c>
      <c r="E159" s="30">
        <f t="shared" si="50"/>
        <v>100</v>
      </c>
      <c r="G159" s="9">
        <v>1978</v>
      </c>
      <c r="H159" s="958">
        <f>(O47/$R47*100*($E47/365))+(O48/$R48*100*($E48/365))</f>
        <v>100</v>
      </c>
      <c r="I159" s="958"/>
      <c r="J159" s="958">
        <f>(P47/$R47*100*($E47/365))+(P48/$R48*100*($E48/365))</f>
        <v>0</v>
      </c>
      <c r="K159" s="958"/>
      <c r="L159" s="958">
        <f>(Q47/$R47*100*($E47/365))+(Q48/$R48*100*($E48/365))</f>
        <v>0</v>
      </c>
      <c r="M159" s="958"/>
      <c r="N159" s="959">
        <f t="shared" si="51"/>
        <v>100</v>
      </c>
      <c r="O159" s="959"/>
      <c r="R159" s="9">
        <v>1978</v>
      </c>
      <c r="S159" s="8">
        <f>(O47*($E47/365)) + (O48*($E48/365))</f>
        <v>69.3</v>
      </c>
      <c r="T159" s="8">
        <f>(P47*($E47/365)) + (P48*($E48/365))</f>
        <v>0</v>
      </c>
      <c r="U159" s="8">
        <f>(Q47*($E47/365)) + (Q48*($E48/365))</f>
        <v>0</v>
      </c>
      <c r="W159" s="8">
        <f xml:space="preserve"> R47*(E47/365) + R48*(E48/365)</f>
        <v>69.3</v>
      </c>
    </row>
    <row r="160" spans="1:23">
      <c r="A160" s="54">
        <v>1979</v>
      </c>
      <c r="B160" s="8">
        <f>(K49*($E49/365)) + (K50*($E50/365))</f>
        <v>100</v>
      </c>
      <c r="C160" s="8">
        <f>(L49*($E49/365)) + (L50*($E50/365))</f>
        <v>0</v>
      </c>
      <c r="D160" s="8">
        <f>(M49*($E49/365)) + (M50*($E50/365))</f>
        <v>0</v>
      </c>
      <c r="E160" s="30">
        <f t="shared" si="50"/>
        <v>100</v>
      </c>
      <c r="G160" s="9">
        <v>1979</v>
      </c>
      <c r="H160" s="958">
        <f>(O49/$R49*100*($E49/365))+(O50/$R50*100*($E50/365))</f>
        <v>100</v>
      </c>
      <c r="I160" s="958"/>
      <c r="J160" s="958">
        <f>(P49/$R49*100*($E49/365))+(P50/$R50*100*($E50/365))</f>
        <v>0</v>
      </c>
      <c r="K160" s="958"/>
      <c r="L160" s="958">
        <f>(Q49/$R49*100*($E49/365))+(Q50/$R50*100*($E50/365))</f>
        <v>0</v>
      </c>
      <c r="M160" s="958"/>
      <c r="N160" s="959">
        <f t="shared" si="51"/>
        <v>100</v>
      </c>
      <c r="O160" s="959"/>
      <c r="R160" s="9">
        <v>1979</v>
      </c>
      <c r="S160" s="8">
        <f>(O49*($E49/365)) + (O50*($E50/365))</f>
        <v>69.3</v>
      </c>
      <c r="T160" s="8">
        <f>(P49*($E49/365)) + (P50*($E50/365))</f>
        <v>0</v>
      </c>
      <c r="U160" s="8">
        <f>(Q49*($E49/365)) + (Q50*($E50/365))</f>
        <v>0</v>
      </c>
      <c r="W160" s="8">
        <f xml:space="preserve"> R49*(E49/365) + R50*(E50/365)</f>
        <v>69.3</v>
      </c>
    </row>
    <row r="161" spans="1:29">
      <c r="A161" s="54">
        <v>1980</v>
      </c>
      <c r="B161" s="8">
        <f>(K51*($E51/366)) + (K52*($E52/366))</f>
        <v>100</v>
      </c>
      <c r="C161" s="8">
        <f>(L51*($E51/366)) + (L52*($E52/366))</f>
        <v>0</v>
      </c>
      <c r="D161" s="8">
        <f>(M51*($E51/366)) + (M52*($E52/366))</f>
        <v>0</v>
      </c>
      <c r="E161" s="30">
        <f t="shared" si="50"/>
        <v>100</v>
      </c>
      <c r="G161" s="9">
        <v>1980</v>
      </c>
      <c r="H161" s="958">
        <f>(O51/$R51*100*($E51/366))+(O52/$R52*100*($E52/366))</f>
        <v>100</v>
      </c>
      <c r="I161" s="958"/>
      <c r="J161" s="958">
        <f>(P51/$R51*100*($E51/366))+(P52/$R52*100*($E52/366))</f>
        <v>0</v>
      </c>
      <c r="K161" s="958"/>
      <c r="L161" s="958">
        <f>(Q51/$R51*100*($E51/366))+(Q52/$R52*100*($E52/366))</f>
        <v>0</v>
      </c>
      <c r="M161" s="958"/>
      <c r="N161" s="959">
        <f t="shared" si="51"/>
        <v>100</v>
      </c>
      <c r="O161" s="959"/>
      <c r="R161" s="9">
        <v>1980</v>
      </c>
      <c r="S161" s="8">
        <f>(O51*($E51/366)) + (O52*($E52/366))</f>
        <v>67.644262295081973</v>
      </c>
      <c r="T161" s="8">
        <f>(P51*($E51/366)) + (P52*($E52/366))</f>
        <v>0</v>
      </c>
      <c r="U161" s="8">
        <f>(Q51*($E51/366)) + (Q52*($E52/366))</f>
        <v>0</v>
      </c>
      <c r="W161" s="8">
        <f xml:space="preserve"> R51*(E51/366) + R52*(E52/366)</f>
        <v>67.644262295081973</v>
      </c>
    </row>
    <row r="162" spans="1:29">
      <c r="A162" s="54">
        <v>1981</v>
      </c>
      <c r="B162" s="8">
        <f>(K53*($E53/365)) + (K54*($E54/365))</f>
        <v>100</v>
      </c>
      <c r="C162" s="8">
        <f>(L53*($E53/365)) + (L54*($E54/365))</f>
        <v>0</v>
      </c>
      <c r="D162" s="8">
        <f>(M53*($E53/365)) + (M54*($E54/365))</f>
        <v>0</v>
      </c>
      <c r="E162" s="30">
        <f t="shared" si="50"/>
        <v>100</v>
      </c>
      <c r="G162" s="9">
        <v>1981</v>
      </c>
      <c r="H162" s="958">
        <f>(O53/$R53*100*($E53/365))+(O54/$R54*100*($E54/365))</f>
        <v>100</v>
      </c>
      <c r="I162" s="958"/>
      <c r="J162" s="958">
        <f>(P53/$R53*100*($E53/365))+(P54/$R54*100*($E54/365))</f>
        <v>0</v>
      </c>
      <c r="K162" s="958"/>
      <c r="L162" s="958">
        <f>(Q53/$R53*100*($E53/365))+(Q54/$R54*100*($E54/365))</f>
        <v>0</v>
      </c>
      <c r="M162" s="958"/>
      <c r="N162" s="959">
        <f t="shared" si="51"/>
        <v>100</v>
      </c>
      <c r="O162" s="959"/>
      <c r="R162" s="9">
        <v>1981</v>
      </c>
      <c r="S162" s="8">
        <f>(O53*($E53/365)) + (O54*($E54/365))</f>
        <v>59.2</v>
      </c>
      <c r="T162" s="8">
        <f>(P53*($E53/365)) + (P54*($E54/365))</f>
        <v>0</v>
      </c>
      <c r="U162" s="8">
        <f>(Q53*($E53/365)) + (Q54*($E54/365))</f>
        <v>0</v>
      </c>
      <c r="W162" s="8">
        <f xml:space="preserve"> R53*(E53/365) + R54*(E54/365)</f>
        <v>59.2</v>
      </c>
    </row>
    <row r="163" spans="1:29">
      <c r="A163" s="54">
        <v>1982</v>
      </c>
      <c r="B163" s="8">
        <f>(K55*($E55/365)) + (K56*($E56/365))</f>
        <v>100</v>
      </c>
      <c r="C163" s="8">
        <f>(L55*($E55/365)) + (L56*($E56/365))</f>
        <v>0</v>
      </c>
      <c r="D163" s="8">
        <f>(M55*($E55/365)) + (M56*($E56/365))</f>
        <v>0</v>
      </c>
      <c r="E163" s="30">
        <f t="shared" si="50"/>
        <v>100</v>
      </c>
      <c r="G163" s="9">
        <v>1982</v>
      </c>
      <c r="H163" s="958">
        <f>(O55/$R55*100*($E55/365))+(O56/$R56*100*($E56/365))</f>
        <v>100</v>
      </c>
      <c r="I163" s="958"/>
      <c r="J163" s="958">
        <f>(P55/$R55*100*($E55/365))+(P56/$R56*100*($E56/365))</f>
        <v>0</v>
      </c>
      <c r="K163" s="958"/>
      <c r="L163" s="958">
        <f>(Q55/$R55*100*($E55/365))+(Q56/$R56*100*($E56/365))</f>
        <v>0</v>
      </c>
      <c r="M163" s="958"/>
      <c r="N163" s="959">
        <f t="shared" si="51"/>
        <v>100</v>
      </c>
      <c r="O163" s="959"/>
      <c r="R163" s="9">
        <v>1982</v>
      </c>
      <c r="S163" s="8">
        <f>(O55*($E55/365)) + (O56*($E56/365))</f>
        <v>59.2</v>
      </c>
      <c r="T163" s="8">
        <f>(P55*($E55/365)) + (P56*($E56/365))</f>
        <v>0</v>
      </c>
      <c r="U163" s="8">
        <f>(Q55*($E55/365)) + (Q56*($E56/365))</f>
        <v>0</v>
      </c>
      <c r="W163" s="8">
        <f xml:space="preserve"> R55*(E55/365) + R56*(E56/365)</f>
        <v>59.2</v>
      </c>
      <c r="AA163" s="8"/>
      <c r="AB163" s="8"/>
      <c r="AC163" s="8"/>
    </row>
    <row r="164" spans="1:29">
      <c r="A164" s="54">
        <v>1983</v>
      </c>
      <c r="B164" s="8">
        <f>(K57*($E57/365)) + (K58*($E58/365))</f>
        <v>18.904109589041095</v>
      </c>
      <c r="C164" s="8">
        <f>(L57*($E57/365)) + (L58*($E58/365))</f>
        <v>0</v>
      </c>
      <c r="D164" s="8">
        <f>(M57*($E57/365)) + (M58*($E58/365))</f>
        <v>81.095890410958901</v>
      </c>
      <c r="E164" s="30">
        <f t="shared" si="50"/>
        <v>100</v>
      </c>
      <c r="G164" s="9">
        <v>1983</v>
      </c>
      <c r="H164" s="958">
        <f>(O57/$R57*100*($E57/365))+(O58/$R58*100*($E58/365))</f>
        <v>18.904109589041095</v>
      </c>
      <c r="I164" s="958"/>
      <c r="J164" s="958">
        <f>(P57/$R57*100*($E57/365))+(P58/$R58*100*($E58/365))</f>
        <v>0</v>
      </c>
      <c r="K164" s="958"/>
      <c r="L164" s="958">
        <f>(Q57/$R57*100*($E57/365))+(Q58/$R58*100*($E58/365))</f>
        <v>81.095890410958901</v>
      </c>
      <c r="M164" s="958"/>
      <c r="N164" s="959">
        <f t="shared" si="51"/>
        <v>100</v>
      </c>
      <c r="O164" s="959"/>
      <c r="R164" s="9">
        <v>1983</v>
      </c>
      <c r="S164" s="8">
        <f>(O57*($E57/365)) + (O58*($E58/365))</f>
        <v>11.191232876712329</v>
      </c>
      <c r="T164" s="8">
        <f>(P57*($E57/365)) + (P58*($E58/365))</f>
        <v>0</v>
      </c>
      <c r="U164" s="8">
        <f>(Q57*($E57/365)) + (Q58*($E58/365))</f>
        <v>48.657534246575345</v>
      </c>
      <c r="W164" s="8">
        <f xml:space="preserve"> R57*(E57/365) + R58*(E58/365)</f>
        <v>59.848767123287672</v>
      </c>
    </row>
    <row r="165" spans="1:29">
      <c r="A165" s="54">
        <v>1984</v>
      </c>
      <c r="B165" s="8">
        <f>(K59*($E59/366)) + (K60*($E60/366))</f>
        <v>0</v>
      </c>
      <c r="C165" s="8">
        <f>(L59*($E59/366)) + (L60*($E60/366))</f>
        <v>0</v>
      </c>
      <c r="D165" s="8">
        <f>(M59*($E59/366)) + (M60*($E60/366))</f>
        <v>100</v>
      </c>
      <c r="E165" s="30">
        <f t="shared" si="50"/>
        <v>100</v>
      </c>
      <c r="G165" s="9">
        <v>1984</v>
      </c>
      <c r="H165" s="958">
        <f>(O59/$R59*100*($E59/366))+(O60/$R60*100*($E60/366))</f>
        <v>0</v>
      </c>
      <c r="I165" s="958"/>
      <c r="J165" s="958">
        <f>(P59/$R59*100*($E59/366))+(P60/$R60*100*($E60/366))</f>
        <v>0</v>
      </c>
      <c r="K165" s="958"/>
      <c r="L165" s="958">
        <f>(Q59/$R59*100*($E59/366))+(Q60/$R60*100*($E60/366))</f>
        <v>100</v>
      </c>
      <c r="M165" s="958"/>
      <c r="N165" s="959">
        <f t="shared" si="51"/>
        <v>100</v>
      </c>
      <c r="O165" s="959"/>
      <c r="R165" s="9">
        <v>1984</v>
      </c>
      <c r="S165" s="8">
        <f>(O59*($E59/366)) + (O60*($E60/366))</f>
        <v>0</v>
      </c>
      <c r="T165" s="8">
        <f>(P59*($E59/366)) + (P60*($E60/366))</f>
        <v>0</v>
      </c>
      <c r="U165" s="8">
        <f>(Q59*($E59/366)) + (Q60*($E60/366))</f>
        <v>59.761202185792357</v>
      </c>
      <c r="W165" s="8">
        <f xml:space="preserve"> R59*(E59/366) + R60*(E60/366)</f>
        <v>59.761202185792357</v>
      </c>
    </row>
    <row r="166" spans="1:29">
      <c r="A166" s="54">
        <v>1985</v>
      </c>
      <c r="B166" s="8">
        <f>(K61*($E61/365)) + (K62*($E62/365))</f>
        <v>0</v>
      </c>
      <c r="C166" s="8">
        <f>(L61*($E61/365)) + (L62*($E62/365))</f>
        <v>0</v>
      </c>
      <c r="D166" s="8">
        <f>(M61*($E61/365)) + (M62*($E62/365))</f>
        <v>100</v>
      </c>
      <c r="E166" s="30">
        <f t="shared" si="50"/>
        <v>100</v>
      </c>
      <c r="G166" s="9">
        <v>1985</v>
      </c>
      <c r="H166" s="958">
        <f>(O61/$R61*100*($E61/365))+(O62/$R62*100*($E62/365))</f>
        <v>0</v>
      </c>
      <c r="I166" s="958"/>
      <c r="J166" s="958">
        <f>(P61/$R61*100*($E61/365))+(P62/$R62*100*($E62/365))</f>
        <v>0</v>
      </c>
      <c r="K166" s="958"/>
      <c r="L166" s="958">
        <f>(Q61/$R61*100*($E61/365))+(Q62/$R62*100*($E62/365))</f>
        <v>100</v>
      </c>
      <c r="M166" s="958"/>
      <c r="N166" s="959">
        <f t="shared" si="51"/>
        <v>100</v>
      </c>
      <c r="O166" s="959"/>
      <c r="R166" s="9">
        <v>1985</v>
      </c>
      <c r="S166" s="8">
        <f>(O61*($E61/365)) + (O62*($E62/365))</f>
        <v>0</v>
      </c>
      <c r="T166" s="8">
        <f>(P61*($E61/365)) + (P62*($E62/365))</f>
        <v>0</v>
      </c>
      <c r="U166" s="8">
        <f>(Q61*($E61/365)) + (Q62*($E62/365))</f>
        <v>55.4</v>
      </c>
      <c r="W166" s="8">
        <f xml:space="preserve"> R61*(E61/365) + R62*(E62/365)</f>
        <v>55.4</v>
      </c>
    </row>
    <row r="167" spans="1:29">
      <c r="A167" s="54">
        <v>1986</v>
      </c>
      <c r="B167" s="8">
        <f>(K63*($E63/365)) + (K64*($E64/365))</f>
        <v>0</v>
      </c>
      <c r="C167" s="8">
        <f>(L63*($E63/365)) + (L64*($E64/365))</f>
        <v>0</v>
      </c>
      <c r="D167" s="8">
        <f>(M63*($E63/365)) + (M64*($E64/365))</f>
        <v>100</v>
      </c>
      <c r="E167" s="30">
        <f t="shared" si="50"/>
        <v>100</v>
      </c>
      <c r="G167" s="9">
        <v>1986</v>
      </c>
      <c r="H167" s="958">
        <f>(O63/$R63*100*($E63/365))+(O64/$R64*100*($E64/365))</f>
        <v>0</v>
      </c>
      <c r="I167" s="958"/>
      <c r="J167" s="958">
        <f>(P63/$R63*100*($E63/365))+(P64/$R64*100*($E64/365))</f>
        <v>0</v>
      </c>
      <c r="K167" s="958"/>
      <c r="L167" s="958">
        <f>(Q63/$R63*100*($E63/365))+(Q64/$R64*100*($E64/365))</f>
        <v>100</v>
      </c>
      <c r="M167" s="958"/>
      <c r="N167" s="959">
        <f t="shared" si="51"/>
        <v>100</v>
      </c>
      <c r="O167" s="959"/>
      <c r="R167" s="9">
        <v>1986</v>
      </c>
      <c r="S167" s="8">
        <f>(O63*($E63/365)) + (O64*($E64/365))</f>
        <v>0</v>
      </c>
      <c r="T167" s="8">
        <f>(P63*($E63/365)) + (P64*($E64/365))</f>
        <v>0</v>
      </c>
      <c r="U167" s="8">
        <f>(Q63*($E63/365)) + (Q64*($E64/365))</f>
        <v>55.4</v>
      </c>
      <c r="W167" s="8">
        <f xml:space="preserve"> R63*(E63/365) + R64*(E64/365)</f>
        <v>55.4</v>
      </c>
    </row>
    <row r="168" spans="1:29">
      <c r="A168" s="54">
        <v>1987</v>
      </c>
      <c r="B168" s="8">
        <f>(K65*($E65/365)) + (K66*($E66/365))</f>
        <v>0</v>
      </c>
      <c r="C168" s="8">
        <f>(L65*($E65/365)) + (L66*($E66/365))</f>
        <v>0</v>
      </c>
      <c r="D168" s="8">
        <f>(M65*($E65/365)) + (M66*($E66/365))</f>
        <v>100</v>
      </c>
      <c r="E168" s="30">
        <f t="shared" si="50"/>
        <v>100</v>
      </c>
      <c r="G168" s="9">
        <v>1987</v>
      </c>
      <c r="H168" s="958">
        <f>(O65/$R65*100*($E65/365))+(O66/$R66*100*($E66/365))</f>
        <v>0</v>
      </c>
      <c r="I168" s="958"/>
      <c r="J168" s="958">
        <f>(P65/$R65*100*($E65/365))+(P66/$R66*100*($E66/365))</f>
        <v>0</v>
      </c>
      <c r="K168" s="958"/>
      <c r="L168" s="958">
        <f>(Q65/$R65*100*($E65/365))+(Q66/$R66*100*($E66/365))</f>
        <v>100</v>
      </c>
      <c r="M168" s="958"/>
      <c r="N168" s="959">
        <f t="shared" si="51"/>
        <v>100</v>
      </c>
      <c r="O168" s="959"/>
      <c r="R168" s="9">
        <v>1987</v>
      </c>
      <c r="S168" s="8">
        <f>(O65*($E65/365)) + (O66*($E66/365))</f>
        <v>0</v>
      </c>
      <c r="T168" s="8">
        <f>(P65*($E65/365)) + (P66*($E66/365))</f>
        <v>0</v>
      </c>
      <c r="U168" s="8">
        <f>(Q65*($E65/365)) + (Q66*($E66/365))</f>
        <v>56.605753424657529</v>
      </c>
      <c r="W168" s="8">
        <f xml:space="preserve"> R65*(E65/365) + R66*(E66/365)</f>
        <v>56.605753424657529</v>
      </c>
    </row>
    <row r="169" spans="1:29">
      <c r="A169" s="54">
        <v>1988</v>
      </c>
      <c r="B169" s="8">
        <f>(K67*($E67/366)) + (K68*($E68/366))</f>
        <v>0</v>
      </c>
      <c r="C169" s="8">
        <f>(L67*($E67/366)) + (L68*($E68/366))</f>
        <v>0</v>
      </c>
      <c r="D169" s="8">
        <f>(M67*($E67/366)) + (M68*($E68/366))</f>
        <v>100</v>
      </c>
      <c r="E169" s="30">
        <f t="shared" si="50"/>
        <v>100</v>
      </c>
      <c r="G169" s="9">
        <v>1988</v>
      </c>
      <c r="H169" s="958">
        <f>(O67/$R67*100*($E67/366))+(O68/$R68*100*($E68/366))</f>
        <v>0</v>
      </c>
      <c r="I169" s="958"/>
      <c r="J169" s="958">
        <f>(P67/$R67*100*($E67/366))+(P68/$R68*100*($E68/366))</f>
        <v>0</v>
      </c>
      <c r="K169" s="958"/>
      <c r="L169" s="958">
        <f>(Q67/$R67*100*($E67/366))+(Q68/$R68*100*($E68/366))</f>
        <v>100</v>
      </c>
      <c r="M169" s="958"/>
      <c r="N169" s="959">
        <f t="shared" si="51"/>
        <v>100</v>
      </c>
      <c r="O169" s="959"/>
      <c r="R169" s="9">
        <v>1988</v>
      </c>
      <c r="S169" s="8">
        <f>(O67*($E67/366)) + (O68*($E68/366))</f>
        <v>0</v>
      </c>
      <c r="T169" s="8">
        <f>(P67*($E67/366)) + (P68*($E68/366))</f>
        <v>0</v>
      </c>
      <c r="U169" s="8">
        <f>(Q67*($E67/366)) + (Q68*($E68/366))</f>
        <v>58.1</v>
      </c>
      <c r="W169" s="8">
        <f xml:space="preserve"> R67*(E67/366) + R68*(E68/366)</f>
        <v>58.1</v>
      </c>
    </row>
    <row r="170" spans="1:29" s="19" customFormat="1">
      <c r="A170" s="55">
        <v>1989</v>
      </c>
      <c r="B170" s="11">
        <f>(K69*($E69/365)) + (K70*($E70/365))</f>
        <v>0</v>
      </c>
      <c r="C170" s="11">
        <f>(L69*($E69/365)) + (L70*($E70/365))</f>
        <v>0</v>
      </c>
      <c r="D170" s="11">
        <f>(M69*($E69/365)) + (M70*($E70/365))</f>
        <v>100</v>
      </c>
      <c r="E170" s="29">
        <f t="shared" si="50"/>
        <v>100</v>
      </c>
      <c r="G170" s="10">
        <v>1989</v>
      </c>
      <c r="H170" s="960">
        <f>(O69/$R69*100*($E69/365))+(O70/$R70*100*($E70/365))</f>
        <v>0</v>
      </c>
      <c r="I170" s="960"/>
      <c r="J170" s="960">
        <f>(P69/$R69*100*($E69/365))+(P70/$R70*100*($E70/365))</f>
        <v>0</v>
      </c>
      <c r="K170" s="960"/>
      <c r="L170" s="960">
        <f>(Q69/$R69*100*($E69/365))+(Q70/$R70*100*($E70/365))</f>
        <v>100</v>
      </c>
      <c r="M170" s="960"/>
      <c r="N170" s="987">
        <f t="shared" si="51"/>
        <v>100</v>
      </c>
      <c r="O170" s="987"/>
      <c r="R170" s="10">
        <v>1989</v>
      </c>
      <c r="S170" s="11">
        <f>(O69*($E69/365)) + (O70*($E70/365))</f>
        <v>0</v>
      </c>
      <c r="T170" s="11">
        <f>(P69*($E69/365)) + (P70*($E70/365))</f>
        <v>0</v>
      </c>
      <c r="U170" s="11">
        <f>(Q69*($E69/365)) + (Q70*($E70/365))</f>
        <v>58.1</v>
      </c>
      <c r="W170" s="11">
        <f xml:space="preserve"> R69*(E69/365) + R70*(E70/365)</f>
        <v>58.1</v>
      </c>
    </row>
    <row r="171" spans="1:29">
      <c r="A171" s="57">
        <v>1990</v>
      </c>
      <c r="B171" s="8">
        <f>(K71*($E71/365))+(K72*($E72/365))</f>
        <v>0</v>
      </c>
      <c r="C171" s="8">
        <f>(L71*($E71/365))+(L72*($E72/365))</f>
        <v>0</v>
      </c>
      <c r="D171" s="8">
        <f>(M71*($E71/365))+(M72*($E72/365))</f>
        <v>100</v>
      </c>
      <c r="E171" s="24">
        <f>SUM(B171:D171)</f>
        <v>100</v>
      </c>
      <c r="G171" s="9">
        <v>1990</v>
      </c>
      <c r="H171" s="961">
        <f>(O71/$R71*100*($E71/365))+(O72/$R72*100*($E72/365))</f>
        <v>0</v>
      </c>
      <c r="I171" s="961"/>
      <c r="J171" s="961">
        <f>(P71/$R71*100*($E71/365))+(P72/$R72*100*($E72/365))</f>
        <v>0</v>
      </c>
      <c r="K171" s="961"/>
      <c r="L171" s="961">
        <f>(Q71/$R71*100*($E71/365))+(Q72/$R72*100*($E72/365))</f>
        <v>100</v>
      </c>
      <c r="M171" s="961"/>
      <c r="N171" s="959">
        <f t="shared" ref="N171:N193" si="52">SUM(H171:M171)</f>
        <v>100</v>
      </c>
      <c r="O171" s="959"/>
      <c r="R171" s="9">
        <v>1990</v>
      </c>
      <c r="S171" s="8">
        <f>(O71*($E71/365))+(O72*($E72/365))</f>
        <v>0</v>
      </c>
      <c r="T171" s="8">
        <f>(P71*($E71/365))+(P72*($E72/365))</f>
        <v>0</v>
      </c>
      <c r="U171" s="8">
        <f>(Q71*($E71/365))+(Q72*($E72/365))</f>
        <v>54.075890410958905</v>
      </c>
      <c r="W171" s="8">
        <f xml:space="preserve"> R71*(E71/365) + R72*(E72/365)</f>
        <v>54.075890410958905</v>
      </c>
    </row>
    <row r="172" spans="1:29">
      <c r="A172" s="57">
        <v>1991</v>
      </c>
      <c r="B172" s="8">
        <f>(K73*($E73/365))+(K74*($E74/365))</f>
        <v>0</v>
      </c>
      <c r="C172" s="8">
        <f>(L73*($E73/365))+(L74*($E74/365))</f>
        <v>0</v>
      </c>
      <c r="D172" s="8">
        <f>(M73*($E73/365))+(M74*($E74/365))</f>
        <v>100</v>
      </c>
      <c r="E172" s="24">
        <f t="shared" ref="E172:E193" si="53">SUM(B172:D172)</f>
        <v>100</v>
      </c>
      <c r="G172" s="9">
        <v>1991</v>
      </c>
      <c r="H172" s="958">
        <f>(O73/$R73*100*($E73/365))+(O74/$R74*100*($E74/365))</f>
        <v>0</v>
      </c>
      <c r="I172" s="958"/>
      <c r="J172" s="958">
        <f>(P73/$R73*100*($E73/365))+(P74/$R74*100*($E74/365))</f>
        <v>0</v>
      </c>
      <c r="K172" s="958"/>
      <c r="L172" s="958">
        <f>(Q73/$R73*100*($E73/365))+(Q74/$R74*100*($E74/365))</f>
        <v>100</v>
      </c>
      <c r="M172" s="958"/>
      <c r="N172" s="959">
        <f t="shared" si="52"/>
        <v>100</v>
      </c>
      <c r="O172" s="959"/>
      <c r="R172" s="9">
        <v>1991</v>
      </c>
      <c r="S172" s="8">
        <f>(O73*($E73/365))+(O74*($E74/365))</f>
        <v>0</v>
      </c>
      <c r="T172" s="8">
        <f>(P73*($E73/365))+(P74*($E74/365))</f>
        <v>0</v>
      </c>
      <c r="U172" s="8">
        <f>(Q73*($E73/365))+(Q74*($E74/365))</f>
        <v>52.699999999999996</v>
      </c>
      <c r="W172" s="8">
        <f xml:space="preserve"> R73*(E73/365) + R74*(E74/365)</f>
        <v>52.699999999999996</v>
      </c>
    </row>
    <row r="173" spans="1:29">
      <c r="A173" s="57">
        <v>1992</v>
      </c>
      <c r="B173" s="8">
        <f>(K75*($E75/366))+(K76*($E76/366))</f>
        <v>0</v>
      </c>
      <c r="C173" s="8">
        <f>(L75*($E75/366))+(L76*($E76/366))</f>
        <v>0</v>
      </c>
      <c r="D173" s="8">
        <f>(M75*($E75/366))+(M76*($E76/366))</f>
        <v>100</v>
      </c>
      <c r="E173" s="24">
        <f t="shared" si="53"/>
        <v>100</v>
      </c>
      <c r="G173" s="9">
        <v>1992</v>
      </c>
      <c r="H173" s="958">
        <f>(O75/$R75*100*($E75/366))+(O76/$R76*100*($E76/366))</f>
        <v>0</v>
      </c>
      <c r="I173" s="958"/>
      <c r="J173" s="958">
        <f>(P75/$R75*100*($E75/366))+(P76/$R76*100*($E76/366))</f>
        <v>0</v>
      </c>
      <c r="K173" s="958"/>
      <c r="L173" s="958">
        <f>(Q75/$R75*100*($E75/366))+(Q76/$R76*100*($E76/366))</f>
        <v>100</v>
      </c>
      <c r="M173" s="958"/>
      <c r="N173" s="959">
        <f t="shared" si="52"/>
        <v>100</v>
      </c>
      <c r="O173" s="959"/>
      <c r="R173" s="9">
        <v>1992</v>
      </c>
      <c r="S173" s="8">
        <f>(O75*($E75/366))+(O76*($E76/366))</f>
        <v>0</v>
      </c>
      <c r="T173" s="8">
        <f>(P75*($E75/366))+(P76*($E76/366))</f>
        <v>0</v>
      </c>
      <c r="U173" s="8">
        <f>(Q75*($E75/366))+(Q76*($E76/366))</f>
        <v>52.7</v>
      </c>
      <c r="W173" s="8">
        <f xml:space="preserve"> R75*(E75/366) + R76*(E76/366)</f>
        <v>52.7</v>
      </c>
    </row>
    <row r="174" spans="1:29">
      <c r="A174" s="57">
        <v>1993</v>
      </c>
      <c r="B174" s="8">
        <f>(K77*($E77/365))+(K78*($E78/365))</f>
        <v>0</v>
      </c>
      <c r="C174" s="8">
        <f>(L77*($E77/365))+(L78*($E78/365))</f>
        <v>0</v>
      </c>
      <c r="D174" s="8">
        <f>(M77*($E77/365))+(M78*($E78/365))</f>
        <v>99.999999999999986</v>
      </c>
      <c r="E174" s="24">
        <f t="shared" si="53"/>
        <v>99.999999999999986</v>
      </c>
      <c r="G174" s="9">
        <v>1993</v>
      </c>
      <c r="H174" s="958">
        <f>(O77/$R77*100*($E77/365))+(O78/$R78*100*($E78/365))</f>
        <v>0</v>
      </c>
      <c r="I174" s="958"/>
      <c r="J174" s="958">
        <f>(P77/$R77*100*($E77/365))+(P78/$R78*100*($E78/365))</f>
        <v>0</v>
      </c>
      <c r="K174" s="958"/>
      <c r="L174" s="958">
        <f>(Q77/$R77*100*($E77/365))+(Q78/$R78*100*($E78/365))</f>
        <v>99.999999999999986</v>
      </c>
      <c r="M174" s="958"/>
      <c r="N174" s="959">
        <f t="shared" si="52"/>
        <v>99.999999999999986</v>
      </c>
      <c r="O174" s="959"/>
      <c r="R174" s="9">
        <v>1993</v>
      </c>
      <c r="S174" s="8">
        <f>(O77*($E77/365))+(O78*($E78/365))</f>
        <v>0</v>
      </c>
      <c r="T174" s="8">
        <f>(P77*($E77/365))+(P78*($E78/365))</f>
        <v>0</v>
      </c>
      <c r="U174" s="8">
        <f>(Q77*($E77/365))+(Q78*($E78/365))</f>
        <v>52.737260273972602</v>
      </c>
      <c r="W174" s="8">
        <f xml:space="preserve"> R77*(E77/365) + R78*(E78/365)</f>
        <v>52.737260273972602</v>
      </c>
    </row>
    <row r="175" spans="1:29">
      <c r="A175" s="57">
        <v>1994</v>
      </c>
      <c r="B175" s="8">
        <f>(K79*($E79/365))+(K80*($E80/365))</f>
        <v>0</v>
      </c>
      <c r="C175" s="8">
        <f>(L79*($E79/365))+(L80*($E80/365))</f>
        <v>0</v>
      </c>
      <c r="D175" s="8">
        <f>(M79*($E79/365))+(M80*($E80/365))</f>
        <v>100</v>
      </c>
      <c r="E175" s="24">
        <f t="shared" si="53"/>
        <v>100</v>
      </c>
      <c r="G175" s="9">
        <v>1994</v>
      </c>
      <c r="H175" s="958">
        <f>(O79/$R79*100*($E79/365))+(O80/$R80*100*($E80/365))</f>
        <v>0</v>
      </c>
      <c r="I175" s="958"/>
      <c r="J175" s="958">
        <f>(P79/$R79*100*($E79/365))+(P80/$R80*100*($E80/365))</f>
        <v>0</v>
      </c>
      <c r="K175" s="958"/>
      <c r="L175" s="958">
        <f>(Q79/$R79*100*($E79/365))+(Q80/$R80*100*($E80/365))</f>
        <v>100</v>
      </c>
      <c r="M175" s="958"/>
      <c r="N175" s="959">
        <f t="shared" si="52"/>
        <v>100</v>
      </c>
      <c r="O175" s="959"/>
      <c r="R175" s="9">
        <v>1994</v>
      </c>
      <c r="S175" s="8">
        <f>(O79*($E79/365))+(O80*($E80/365))</f>
        <v>0</v>
      </c>
      <c r="T175" s="8">
        <f>(P79*($E79/365))+(P80*($E80/365))</f>
        <v>0</v>
      </c>
      <c r="U175" s="8">
        <f>(Q79*($E79/365))+(Q80*($E80/365))</f>
        <v>54.4</v>
      </c>
      <c r="W175" s="8">
        <f xml:space="preserve"> R79*(E79/365) + R80*(E80/365)</f>
        <v>54.4</v>
      </c>
    </row>
    <row r="176" spans="1:29">
      <c r="A176" s="57">
        <v>1995</v>
      </c>
      <c r="B176" s="8">
        <f>(K81*($E81/365))+(K82*($E82/365))</f>
        <v>0</v>
      </c>
      <c r="C176" s="8">
        <f>(L81*($E81/365))+(L82*($E82/365))</f>
        <v>0</v>
      </c>
      <c r="D176" s="8">
        <f>(M81*($E81/365))+(M82*($E82/365))</f>
        <v>100</v>
      </c>
      <c r="E176" s="24">
        <f t="shared" si="53"/>
        <v>100</v>
      </c>
      <c r="G176" s="9">
        <v>1995</v>
      </c>
      <c r="H176" s="958">
        <f>(O81/$R81*100*($E81/365))+(O82/$R82*100*($E82/365))</f>
        <v>0</v>
      </c>
      <c r="I176" s="958"/>
      <c r="J176" s="958">
        <f>(P81/$R81*100*($E81/365))+(P82/$R82*100*($E82/365))</f>
        <v>0</v>
      </c>
      <c r="K176" s="958"/>
      <c r="L176" s="958">
        <f>(Q81/$R81*100*($E81/365))+(Q82/$R82*100*($E82/365))</f>
        <v>100</v>
      </c>
      <c r="M176" s="958"/>
      <c r="N176" s="959">
        <f t="shared" si="52"/>
        <v>100</v>
      </c>
      <c r="O176" s="959"/>
      <c r="R176" s="9">
        <v>1995</v>
      </c>
      <c r="S176" s="8">
        <f>(O81*($E81/365))+(O82*($E82/365))</f>
        <v>0</v>
      </c>
      <c r="T176" s="8">
        <f>(P81*($E81/365))+(P82*($E82/365))</f>
        <v>0</v>
      </c>
      <c r="U176" s="8">
        <f>(Q81*($E81/365))+(Q82*($E82/365))</f>
        <v>54.4</v>
      </c>
      <c r="W176" s="8">
        <f xml:space="preserve"> R81*(E81/365) + R82*(E82/365)</f>
        <v>54.4</v>
      </c>
    </row>
    <row r="177" spans="1:23">
      <c r="A177" s="57">
        <v>1996</v>
      </c>
      <c r="B177" s="8">
        <f>(K83*($E83/366))+(K84*($E84/366))</f>
        <v>80.874316939890718</v>
      </c>
      <c r="C177" s="8">
        <f>(L83*($E83/366))+(L84*($E84/366))</f>
        <v>0</v>
      </c>
      <c r="D177" s="8">
        <f>(M83*($E83/366))+(M84*($E84/366))</f>
        <v>19.125683060109289</v>
      </c>
      <c r="E177" s="24">
        <f t="shared" si="53"/>
        <v>100</v>
      </c>
      <c r="G177" s="9">
        <v>1996</v>
      </c>
      <c r="H177" s="958">
        <f>(O83/$R83*100*($E83/366))+(O84/$R84*100*($E84/366))</f>
        <v>80.874316939890718</v>
      </c>
      <c r="I177" s="958"/>
      <c r="J177" s="958">
        <f>(P83/$R83*100*($E83/366))+(P84/$R84*100*($E84/366))</f>
        <v>0</v>
      </c>
      <c r="K177" s="958"/>
      <c r="L177" s="958">
        <f>(Q83/$R83*100*($E83/366))+(Q84/$R84*100*($E84/366))</f>
        <v>19.125683060109289</v>
      </c>
      <c r="M177" s="958"/>
      <c r="N177" s="959">
        <f t="shared" si="52"/>
        <v>100</v>
      </c>
      <c r="O177" s="959"/>
      <c r="R177" s="9">
        <v>1996</v>
      </c>
      <c r="S177" s="8">
        <f>(O83*($E83/366))+(O84*($E84/366))</f>
        <v>51.355191256830601</v>
      </c>
      <c r="T177" s="8">
        <f>(P83*($E83/366))+(P84*($E84/366))</f>
        <v>0</v>
      </c>
      <c r="U177" s="8">
        <f>(Q83*($E83/366))+(Q84*($E84/366))</f>
        <v>10.404371584699453</v>
      </c>
      <c r="W177" s="8">
        <f xml:space="preserve"> R83*(E83/366) + R84*(E84/366)</f>
        <v>61.759562841530055</v>
      </c>
    </row>
    <row r="178" spans="1:23">
      <c r="A178" s="57">
        <v>1997</v>
      </c>
      <c r="B178" s="8">
        <f>(K85*($E85/365))+(K86*($E86/365))</f>
        <v>100</v>
      </c>
      <c r="C178" s="8">
        <f>(L85*($E85/365))+(L86*($E86/365))</f>
        <v>0</v>
      </c>
      <c r="D178" s="8">
        <f>(M85*($E85/365))+(M86*($E86/365))</f>
        <v>0</v>
      </c>
      <c r="E178" s="24">
        <f t="shared" si="53"/>
        <v>100</v>
      </c>
      <c r="G178" s="9">
        <v>1997</v>
      </c>
      <c r="H178" s="958">
        <f>(O85/$R85*100*($E85/365))+(O86/$R86*100*($E86/365))</f>
        <v>100</v>
      </c>
      <c r="I178" s="958"/>
      <c r="J178" s="958">
        <f>(P85/$R85*100*($E85/365))+(P86/$R86*100*($E86/365))</f>
        <v>0</v>
      </c>
      <c r="K178" s="958"/>
      <c r="L178" s="958">
        <f>(Q85/$R85*100*($E85/365))+(Q86/$R86*100*($E86/365))</f>
        <v>0</v>
      </c>
      <c r="M178" s="958"/>
      <c r="N178" s="959">
        <f t="shared" si="52"/>
        <v>100</v>
      </c>
      <c r="O178" s="959"/>
      <c r="R178" s="9">
        <v>1997</v>
      </c>
      <c r="S178" s="8">
        <f>(O85*($E85/365))+(O86*($E86/365))</f>
        <v>63.5</v>
      </c>
      <c r="T178" s="8">
        <f>(P85*($E85/365))+(P86*($E86/365))</f>
        <v>0</v>
      </c>
      <c r="U178" s="8">
        <f>(Q85*($E85/365))+(Q86*($E86/365))</f>
        <v>0</v>
      </c>
      <c r="W178" s="8">
        <f xml:space="preserve"> R85*(E85/365) + R86*(E86/365)</f>
        <v>63.5</v>
      </c>
    </row>
    <row r="179" spans="1:23">
      <c r="A179" s="57">
        <v>1998</v>
      </c>
      <c r="B179" s="8">
        <f>(K87*($E87/365))+(K88*($E88/365))</f>
        <v>100</v>
      </c>
      <c r="C179" s="8">
        <f>(L87*($E87/365))+(L88*($E88/365))</f>
        <v>0</v>
      </c>
      <c r="D179" s="8">
        <f>(M87*($E87/365))+(M88*($E88/365))</f>
        <v>0</v>
      </c>
      <c r="E179" s="24">
        <f t="shared" si="53"/>
        <v>100</v>
      </c>
      <c r="G179" s="9">
        <v>1998</v>
      </c>
      <c r="H179" s="958">
        <f>(O87/$R87*100*($E87/365))+(O88/$R88*100*($E88/365))</f>
        <v>100</v>
      </c>
      <c r="I179" s="958"/>
      <c r="J179" s="958">
        <f>(P87/$R87*100*($E87/365))+(P88/$R88*100*($E88/365))</f>
        <v>0</v>
      </c>
      <c r="K179" s="958"/>
      <c r="L179" s="958">
        <f>(Q87/$R87*100*($E87/365))+(Q88/$R88*100*($E88/365))</f>
        <v>0</v>
      </c>
      <c r="M179" s="958"/>
      <c r="N179" s="959">
        <f t="shared" si="52"/>
        <v>100</v>
      </c>
      <c r="O179" s="959"/>
      <c r="R179" s="9">
        <v>1998</v>
      </c>
      <c r="S179" s="8">
        <f>(O87*($E87/365))+(O88*($E88/365))</f>
        <v>61.626027397260273</v>
      </c>
      <c r="T179" s="8">
        <f>(P87*($E87/365))+(P88*($E88/365))</f>
        <v>0</v>
      </c>
      <c r="U179" s="8">
        <f>(Q87*($E87/365))+(Q88*($E88/365))</f>
        <v>0</v>
      </c>
      <c r="W179" s="8">
        <f xml:space="preserve"> R87*(E87/365) + R88*(E88/365)</f>
        <v>61.626027397260273</v>
      </c>
    </row>
    <row r="180" spans="1:23">
      <c r="A180" s="57">
        <v>1999</v>
      </c>
      <c r="B180" s="8">
        <f>(K89*($E89/365))+(K90*($E90/365))</f>
        <v>100</v>
      </c>
      <c r="C180" s="8">
        <f>(L89*($E89/365))+(L90*($E90/365))</f>
        <v>0</v>
      </c>
      <c r="D180" s="8">
        <f>(M89*($E89/365))+(M90*($E90/365))</f>
        <v>0</v>
      </c>
      <c r="E180" s="24">
        <f t="shared" si="53"/>
        <v>100</v>
      </c>
      <c r="G180" s="9">
        <v>1999</v>
      </c>
      <c r="H180" s="958">
        <f>(O89/$R89*100*($E89/365))+(O90/$R90*100*($E90/365))</f>
        <v>100</v>
      </c>
      <c r="I180" s="958"/>
      <c r="J180" s="958">
        <f>(P89/$R89*100*($E89/365))+(P90/$R90*100*($E90/365))</f>
        <v>0</v>
      </c>
      <c r="K180" s="958"/>
      <c r="L180" s="958">
        <f>(Q89/$R89*100*($E89/365))+(Q90/$R90*100*($E90/365))</f>
        <v>0</v>
      </c>
      <c r="M180" s="958"/>
      <c r="N180" s="959">
        <f t="shared" si="52"/>
        <v>100</v>
      </c>
      <c r="O180" s="959"/>
      <c r="R180" s="9">
        <v>1999</v>
      </c>
      <c r="S180" s="8">
        <f>(O89*($E89/365))+(O90*($E90/365))</f>
        <v>54</v>
      </c>
      <c r="T180" s="8">
        <f>(P89*($E89/365))+(P90*($E90/365))</f>
        <v>0</v>
      </c>
      <c r="U180" s="8">
        <f>(Q89*($E89/365))+(Q90*($E90/365))</f>
        <v>0</v>
      </c>
      <c r="W180" s="8">
        <f xml:space="preserve"> R89*(E89/365) + R90*(E90/365)</f>
        <v>54</v>
      </c>
    </row>
    <row r="181" spans="1:23">
      <c r="A181" s="57">
        <v>2000</v>
      </c>
      <c r="B181" s="8">
        <f>(K91*($E91/366))+(K92*($E92/366))</f>
        <v>100</v>
      </c>
      <c r="C181" s="8">
        <f>(L91*($E91/366))+(L92*($E92/366))</f>
        <v>0</v>
      </c>
      <c r="D181" s="8">
        <f>(M91*($E91/366))+(M92*($E92/366))</f>
        <v>0</v>
      </c>
      <c r="E181" s="24">
        <f t="shared" si="53"/>
        <v>100</v>
      </c>
      <c r="G181" s="9">
        <v>2000</v>
      </c>
      <c r="H181" s="958">
        <f>(O91/$R91*100*($E91/366))+(O92/$R92*100*($E92/366))</f>
        <v>100</v>
      </c>
      <c r="I181" s="958"/>
      <c r="J181" s="958">
        <f>(P91/$R91*100*($E91/366))+(P92/$R92*100*($E92/366))</f>
        <v>0</v>
      </c>
      <c r="K181" s="958"/>
      <c r="L181" s="958">
        <f>(Q91/$R91*100*($E91/366))+(Q92/$R92*100*($E92/366))</f>
        <v>0</v>
      </c>
      <c r="M181" s="958"/>
      <c r="N181" s="959">
        <f t="shared" si="52"/>
        <v>100</v>
      </c>
      <c r="O181" s="959"/>
      <c r="R181" s="9">
        <v>2000</v>
      </c>
      <c r="S181" s="8">
        <f>(O91*($E91/366))+(O92*($E92/366))</f>
        <v>54</v>
      </c>
      <c r="T181" s="8">
        <f>(P91*($E91/366))+(P92*($E92/366))</f>
        <v>0</v>
      </c>
      <c r="U181" s="8">
        <f>(Q91*($E91/366))+(Q92*($E92/366))</f>
        <v>0</v>
      </c>
      <c r="W181" s="8">
        <f xml:space="preserve"> R91*(E91/366) + R92*(E92/366)</f>
        <v>54</v>
      </c>
    </row>
    <row r="182" spans="1:23">
      <c r="A182" s="57">
        <v>2001</v>
      </c>
      <c r="B182" s="8">
        <f>(K93*($E93/365))+(K94*($E94/365))</f>
        <v>100</v>
      </c>
      <c r="C182" s="8">
        <f>(L93*($E93/365))+(L94*($E94/365))</f>
        <v>0</v>
      </c>
      <c r="D182" s="8">
        <f>(M93*($E93/365))+(M94*($E94/365))</f>
        <v>0</v>
      </c>
      <c r="E182" s="24">
        <f t="shared" si="53"/>
        <v>100</v>
      </c>
      <c r="G182" s="9">
        <v>2001</v>
      </c>
      <c r="H182" s="958">
        <f>(O93/$R93*100*($E93/365))+(O94/$R94*100*($E94/365))</f>
        <v>100</v>
      </c>
      <c r="I182" s="958"/>
      <c r="J182" s="958">
        <f>(P93/$R93*100*($E93/365))+(P94/$R94*100*($E94/365))</f>
        <v>0</v>
      </c>
      <c r="K182" s="958"/>
      <c r="L182" s="958">
        <f>(Q93/$R93*100*($E93/365))+(Q94/$R94*100*($E94/365))</f>
        <v>0</v>
      </c>
      <c r="M182" s="958"/>
      <c r="N182" s="959">
        <f t="shared" si="52"/>
        <v>100</v>
      </c>
      <c r="O182" s="959"/>
      <c r="R182" s="9">
        <v>2001</v>
      </c>
      <c r="S182" s="8">
        <f>(O93*($E93/365))+(O94*($E94/365))</f>
        <v>54.069041095890412</v>
      </c>
      <c r="T182" s="8">
        <f>(P93*($E93/365))+(P94*($E94/365))</f>
        <v>0</v>
      </c>
      <c r="U182" s="8">
        <f>(Q93*($E93/365))+(Q94*($E94/365))</f>
        <v>0</v>
      </c>
      <c r="W182" s="8">
        <f xml:space="preserve"> R93*(E93/365) + R94*(E94/365)</f>
        <v>54.069041095890412</v>
      </c>
    </row>
    <row r="183" spans="1:23">
      <c r="A183" s="57">
        <v>2002</v>
      </c>
      <c r="B183" s="8">
        <f>(K95*($E95/365))+(K96*($E96/365))</f>
        <v>100</v>
      </c>
      <c r="C183" s="8">
        <f>(L95*($E95/365))+(L96*($E96/365))</f>
        <v>0</v>
      </c>
      <c r="D183" s="8">
        <f>(M95*($E95/365))+(M96*($E96/365))</f>
        <v>0</v>
      </c>
      <c r="E183" s="24">
        <f t="shared" si="53"/>
        <v>100</v>
      </c>
      <c r="G183" s="9">
        <v>2002</v>
      </c>
      <c r="H183" s="958">
        <f>(O95/$R95*100*($E95/365))+(O96/$R96*100*($E96/365))</f>
        <v>100</v>
      </c>
      <c r="I183" s="958"/>
      <c r="J183" s="958">
        <f>(P95/$R95*100*($E95/365))+(P96/$R96*100*($E96/365))</f>
        <v>0</v>
      </c>
      <c r="K183" s="958"/>
      <c r="L183" s="958">
        <f>(Q95/$R95*100*($E95/365))+(Q96/$R96*100*($E96/365))</f>
        <v>0</v>
      </c>
      <c r="M183" s="958"/>
      <c r="N183" s="959">
        <f t="shared" si="52"/>
        <v>100</v>
      </c>
      <c r="O183" s="959"/>
      <c r="R183" s="9">
        <v>2002</v>
      </c>
      <c r="S183" s="8">
        <f>(O95*($E95/365))+(O96*($E96/365))</f>
        <v>54.7</v>
      </c>
      <c r="T183" s="8">
        <f>(P95*($E95/365))+(P96*($E96/365))</f>
        <v>0</v>
      </c>
      <c r="U183" s="8">
        <f>(Q95*($E95/365))+(Q96*($E96/365))</f>
        <v>0</v>
      </c>
      <c r="W183" s="8">
        <f xml:space="preserve"> R95*(E95/365) + R96*(E96/365)</f>
        <v>54.7</v>
      </c>
    </row>
    <row r="184" spans="1:23">
      <c r="A184" s="57">
        <v>2003</v>
      </c>
      <c r="B184" s="8">
        <f>(K97*($E97/365))+(K98*($E98/365))</f>
        <v>100</v>
      </c>
      <c r="C184" s="8">
        <f>(L97*($E97/365))+(L98*($E98/365))</f>
        <v>0</v>
      </c>
      <c r="D184" s="8">
        <f>(M97*($E97/365))+(M98*($E98/365))</f>
        <v>0</v>
      </c>
      <c r="E184" s="24">
        <f t="shared" si="53"/>
        <v>100</v>
      </c>
      <c r="G184" s="9">
        <v>2003</v>
      </c>
      <c r="H184" s="958">
        <f>(O97/$R97*100*($E97/365))+(O98/$R98*100*($E98/365))</f>
        <v>100</v>
      </c>
      <c r="I184" s="958"/>
      <c r="J184" s="958">
        <f>(P97/$R97*100*($E97/365))+(P98/$R98*100*($E98/365))</f>
        <v>0</v>
      </c>
      <c r="K184" s="958"/>
      <c r="L184" s="958">
        <f>(Q97/$R97*100*($E97/365))+(Q98/$R98*100*($E98/365))</f>
        <v>0</v>
      </c>
      <c r="M184" s="958"/>
      <c r="N184" s="959">
        <f t="shared" si="52"/>
        <v>100</v>
      </c>
      <c r="O184" s="959"/>
      <c r="R184" s="9">
        <v>2003</v>
      </c>
      <c r="S184" s="8">
        <f>(O97*($E97/365))+(O98*($E98/365))</f>
        <v>54.7</v>
      </c>
      <c r="T184" s="8">
        <f>(P97*($E97/365))+(P98*($E98/365))</f>
        <v>0</v>
      </c>
      <c r="U184" s="8">
        <f>(Q97*($E97/365))+(Q98*($E98/365))</f>
        <v>0</v>
      </c>
      <c r="W184" s="8">
        <f xml:space="preserve"> R97*(E97/365) + R98*(E98/365)</f>
        <v>54.7</v>
      </c>
    </row>
    <row r="185" spans="1:23">
      <c r="A185" s="57">
        <v>2004</v>
      </c>
      <c r="B185" s="8">
        <f>(K99*($E99/366))+(K100*($E100/366))</f>
        <v>100.00000000000001</v>
      </c>
      <c r="C185" s="8">
        <f>(L99*($E99/366))+(L100*($E100/366))</f>
        <v>0</v>
      </c>
      <c r="D185" s="8">
        <f>(M99*($E99/366))+(M100*($E100/366))</f>
        <v>0</v>
      </c>
      <c r="E185" s="24">
        <f t="shared" si="53"/>
        <v>100.00000000000001</v>
      </c>
      <c r="G185" s="9">
        <v>2004</v>
      </c>
      <c r="H185" s="958">
        <f>(O99/$R99*100*($E99/366))+(O100/$R100*100*($E100/366))</f>
        <v>100.00000000000001</v>
      </c>
      <c r="I185" s="958"/>
      <c r="J185" s="958">
        <f>(P99/$R99*100*($E99/366))+(P100/$R100*100*($E100/366))</f>
        <v>0</v>
      </c>
      <c r="K185" s="958"/>
      <c r="L185" s="958">
        <f>(Q99/$R99*100*($E99/366))+(Q100/$R100*100*($E100/366))</f>
        <v>0</v>
      </c>
      <c r="M185" s="958"/>
      <c r="N185" s="959">
        <f t="shared" si="52"/>
        <v>100.00000000000001</v>
      </c>
      <c r="O185" s="959"/>
      <c r="R185" s="9">
        <v>2004</v>
      </c>
      <c r="S185" s="8">
        <f>(O99*($E99/366))+(O100*($E100/366))</f>
        <v>55.304098360655743</v>
      </c>
      <c r="T185" s="8">
        <f>(P99*($E99/366))+(P100*($E100/366))</f>
        <v>0</v>
      </c>
      <c r="U185" s="8">
        <f>(Q99*($E99/366))+(Q100*($E100/366))</f>
        <v>0</v>
      </c>
      <c r="W185" s="8">
        <f xml:space="preserve"> R99*(E99/366) + R100*(E100/366)</f>
        <v>55.304098360655743</v>
      </c>
    </row>
    <row r="186" spans="1:23">
      <c r="A186" s="57">
        <v>2005</v>
      </c>
      <c r="B186" s="7">
        <f>(K101*($E101/365))+(K102*($E102/365))</f>
        <v>100</v>
      </c>
      <c r="C186" s="7">
        <f>(L101*($E101/365))+(L102*($E102/365))</f>
        <v>0</v>
      </c>
      <c r="D186" s="7">
        <f>(M101*($E101/365))+(M102*($E102/365))</f>
        <v>0</v>
      </c>
      <c r="E186" s="24">
        <f t="shared" si="53"/>
        <v>100</v>
      </c>
      <c r="G186" s="9">
        <v>2005</v>
      </c>
      <c r="H186" s="958">
        <f>(O101/$R101*100*($E101/365))+(O102/$R102*100*($E102/365))</f>
        <v>100</v>
      </c>
      <c r="I186" s="958"/>
      <c r="J186" s="958">
        <f>(P101/$R101*100*($E101/365))+(P102/$R102*100*($E102/365))</f>
        <v>0</v>
      </c>
      <c r="K186" s="958"/>
      <c r="L186" s="958">
        <f>(Q101/$R101*100*($E101/365))+(Q102/$R102*100*($E102/365))</f>
        <v>0</v>
      </c>
      <c r="M186" s="958"/>
      <c r="N186" s="959">
        <f t="shared" si="52"/>
        <v>100</v>
      </c>
      <c r="O186" s="959"/>
      <c r="R186" s="9">
        <v>2005</v>
      </c>
      <c r="S186" s="7">
        <f>(O101*($E101/365))+(O102*($E102/365))</f>
        <v>58</v>
      </c>
      <c r="T186" s="7">
        <f>(P101*($E101/365))+(P102*($E102/365))</f>
        <v>0</v>
      </c>
      <c r="U186" s="7">
        <f>(Q101*($E101/365))+(Q102*($E102/365))</f>
        <v>0</v>
      </c>
      <c r="W186" s="8">
        <f xml:space="preserve"> R101*(E101/365) + R102*(E102/365)</f>
        <v>58</v>
      </c>
    </row>
    <row r="187" spans="1:23">
      <c r="A187" s="58">
        <v>2006</v>
      </c>
      <c r="B187" s="7">
        <f>(K103*($E103/365))+(K104*($E104/365))</f>
        <v>100</v>
      </c>
      <c r="C187" s="7">
        <f>(L103*($E103/365))+(L104*($E104/365))</f>
        <v>0</v>
      </c>
      <c r="D187" s="7">
        <f>(M103*($E103/365))+(M104*($E104/365))</f>
        <v>0</v>
      </c>
      <c r="E187" s="24">
        <f t="shared" si="53"/>
        <v>100</v>
      </c>
      <c r="G187" s="9">
        <v>2006</v>
      </c>
      <c r="H187" s="958">
        <f>(O103/$R103*100*($E103/365))+(O104/$R104*100*($E104/365))</f>
        <v>100</v>
      </c>
      <c r="I187" s="958"/>
      <c r="J187" s="958">
        <f>(P103/$R103*100*($E103/365))+(P104/$R104*100*($E104/365))</f>
        <v>0</v>
      </c>
      <c r="K187" s="958"/>
      <c r="L187" s="958">
        <f>(Q103/$R103*100*($E103/365))+(Q104/$R104*100*($E104/365))</f>
        <v>0</v>
      </c>
      <c r="M187" s="958"/>
      <c r="N187" s="959">
        <f t="shared" si="52"/>
        <v>100</v>
      </c>
      <c r="O187" s="959"/>
      <c r="R187" s="9">
        <v>2006</v>
      </c>
      <c r="S187" s="7">
        <f>(O103*($E103/365))+(O104*($E104/365))</f>
        <v>58</v>
      </c>
      <c r="T187" s="7">
        <f>(P103*($E103/365))+(P104*($E104/365))</f>
        <v>0</v>
      </c>
      <c r="U187" s="7">
        <f>(Q103*($E103/365))+(Q104*($E104/365))</f>
        <v>0</v>
      </c>
      <c r="W187" s="8">
        <f xml:space="preserve"> R103*(E103/365) + R104*(E104/365)</f>
        <v>58</v>
      </c>
    </row>
    <row r="188" spans="1:23">
      <c r="A188" s="58">
        <v>2007</v>
      </c>
      <c r="B188" s="7">
        <f>(K105*($E105/365))+(K106*($E106/365))</f>
        <v>92.054794520547944</v>
      </c>
      <c r="C188" s="7">
        <f>(L105*($E105/365))+(L106*($E106/365))</f>
        <v>0</v>
      </c>
      <c r="D188" s="7">
        <f>(M105*($E105/365))+(M106*($E106/365))</f>
        <v>7.9452054794520555</v>
      </c>
      <c r="E188" s="24">
        <f t="shared" si="53"/>
        <v>100</v>
      </c>
      <c r="G188" s="9">
        <v>2007</v>
      </c>
      <c r="H188" s="958">
        <f>(O105/$R105*100*($E105/365))+(O106/$R106*100*($E106/365))</f>
        <v>92.054794520547944</v>
      </c>
      <c r="I188" s="958"/>
      <c r="J188" s="958">
        <f>(P105/$R105*100*($E105/365))+(P106/$R106*100*($E106/365))</f>
        <v>0</v>
      </c>
      <c r="K188" s="958"/>
      <c r="L188" s="958">
        <f>(Q105/$R105*100*($E105/365))+(Q106/$R106*100*($E106/365))</f>
        <v>7.9452054794520555</v>
      </c>
      <c r="M188" s="958"/>
      <c r="N188" s="959">
        <f t="shared" si="52"/>
        <v>100</v>
      </c>
      <c r="O188" s="959"/>
      <c r="R188" s="9">
        <v>2007</v>
      </c>
      <c r="S188" s="7">
        <f>(O105*($E105/365))+(O106*($E106/365))</f>
        <v>53.391780821917806</v>
      </c>
      <c r="T188" s="7">
        <f>(P105*($E105/365))+(P106*($E106/365))</f>
        <v>0</v>
      </c>
      <c r="U188" s="7">
        <f>(Q105*($E105/365))+(Q106*($E106/365))</f>
        <v>4.3936986301369867</v>
      </c>
      <c r="W188" s="8">
        <f xml:space="preserve"> R105*(E105/365) + R106*(E106/365)</f>
        <v>57.785479452054794</v>
      </c>
    </row>
    <row r="189" spans="1:23">
      <c r="A189" s="57">
        <v>2008</v>
      </c>
      <c r="B189" s="7">
        <f>(K107*($E107/366))+(K108*($E108/366))</f>
        <v>0</v>
      </c>
      <c r="C189" s="7">
        <f>(L107*($E107/366))+(L108*($E108/366))</f>
        <v>0</v>
      </c>
      <c r="D189" s="7">
        <f>(M107*($E107/366))+(M108*($E108/366))</f>
        <v>100</v>
      </c>
      <c r="E189" s="24">
        <f t="shared" si="53"/>
        <v>100</v>
      </c>
      <c r="G189" s="9">
        <v>2008</v>
      </c>
      <c r="H189" s="958">
        <f>(O107/$R107*100*($E107/366))+(O108/$R108*100*($E108/366))</f>
        <v>0</v>
      </c>
      <c r="I189" s="958"/>
      <c r="J189" s="958">
        <f>(P107/$R107*100*($E107/366))+(P108/$R108*100*($E108/366))</f>
        <v>0</v>
      </c>
      <c r="K189" s="958"/>
      <c r="L189" s="958">
        <f>(Q107/$R107*100*($E107/366))+(Q108/$R108*100*($E108/366))</f>
        <v>100</v>
      </c>
      <c r="M189" s="958"/>
      <c r="N189" s="959">
        <f t="shared" si="52"/>
        <v>100</v>
      </c>
      <c r="O189" s="959"/>
      <c r="R189" s="9">
        <v>2008</v>
      </c>
      <c r="S189" s="7">
        <f>(O107*($E107/366))+(O108*($E108/366))</f>
        <v>0</v>
      </c>
      <c r="T189" s="7">
        <f>(P107*($E107/366))+(P108*($E108/366))</f>
        <v>0</v>
      </c>
      <c r="U189" s="7">
        <f>(Q107*($E107/366))+(Q108*($E108/366))</f>
        <v>55.3</v>
      </c>
      <c r="W189" s="8">
        <f xml:space="preserve"> R107*(E107/366) + R108*(E108/366)</f>
        <v>55.3</v>
      </c>
    </row>
    <row r="190" spans="1:23">
      <c r="A190" s="57">
        <v>2009</v>
      </c>
      <c r="B190" s="7">
        <f>(K109*($E109/365))+(K110*($E110/365))</f>
        <v>0</v>
      </c>
      <c r="C190" s="7">
        <f>(L109*($E109/365))+(L110*($E110/365))</f>
        <v>0</v>
      </c>
      <c r="D190" s="7">
        <f>(M109*($E109/365))+(M110*($E110/365))</f>
        <v>100</v>
      </c>
      <c r="E190" s="24">
        <f t="shared" si="53"/>
        <v>100</v>
      </c>
      <c r="G190" s="9">
        <v>2009</v>
      </c>
      <c r="H190" s="958">
        <f>(O109/$R109*100*($E109/365))+(O110/$R110*100*($E110/365))</f>
        <v>0</v>
      </c>
      <c r="I190" s="958"/>
      <c r="J190" s="958">
        <f>(P109/$R109*100*($E109/365))+(P110/$R110*100*($E110/365))</f>
        <v>0</v>
      </c>
      <c r="K190" s="958"/>
      <c r="L190" s="958">
        <f>(Q109/$R109*100*($E109/365))+(Q110/$R110*100*($E110/365))</f>
        <v>100</v>
      </c>
      <c r="M190" s="958"/>
      <c r="N190" s="959">
        <f t="shared" si="52"/>
        <v>100</v>
      </c>
      <c r="O190" s="959"/>
      <c r="R190" s="9">
        <v>2009</v>
      </c>
      <c r="S190" s="7">
        <f>(O109*($E109/365))+(O110*($E110/365))</f>
        <v>0</v>
      </c>
      <c r="T190" s="7">
        <f>(P109*($E109/365))+(P110*($E110/365))</f>
        <v>0</v>
      </c>
      <c r="U190" s="7">
        <f>(Q109*($E109/365))+(Q110*($E110/365))</f>
        <v>55.3</v>
      </c>
      <c r="W190" s="8">
        <f xml:space="preserve"> R109*(E109/365) + R110*(E110/365)</f>
        <v>55.3</v>
      </c>
    </row>
    <row r="191" spans="1:23">
      <c r="A191" s="57">
        <v>2010</v>
      </c>
      <c r="B191" s="7">
        <f>(K111*($E111/365))+(K112*($E112/365))+(K113*($E113/365))</f>
        <v>0</v>
      </c>
      <c r="C191" s="7">
        <f>(L111*($E111/365))+(L112*($E112/365))+(L113*($E113/365))</f>
        <v>0</v>
      </c>
      <c r="D191" s="7">
        <f>(M111*($E111/365))+(M112*($E112/365))+(M113*($E113/365))</f>
        <v>100</v>
      </c>
      <c r="E191" s="24">
        <f t="shared" si="53"/>
        <v>100</v>
      </c>
      <c r="G191" s="9">
        <v>2010</v>
      </c>
      <c r="H191" s="958">
        <f>(O111/$R111*100*($E111/365))+(O112/$R112*100*($E112/365))+(O113/$R113*100*($E113/365))</f>
        <v>0</v>
      </c>
      <c r="I191" s="958"/>
      <c r="J191" s="958">
        <f>(P111/$R111*100*($E111/365))+(P112/$R112*100*($E112/365))+(P113/$R113*100*($E113/365))</f>
        <v>0</v>
      </c>
      <c r="K191" s="958"/>
      <c r="L191" s="958">
        <f>(Q111/$R111*100*($E111/365))+(Q112/$R112*100*($E112/365))+(Q113/$R113*100*($E113/365))</f>
        <v>100</v>
      </c>
      <c r="M191" s="958"/>
      <c r="N191" s="959">
        <f t="shared" si="52"/>
        <v>100</v>
      </c>
      <c r="O191" s="959"/>
      <c r="R191" s="9">
        <v>2010</v>
      </c>
      <c r="S191" s="7">
        <f>(O111*($E111/365))+(O112*($E112/365))+(O113*($E113/365))</f>
        <v>0</v>
      </c>
      <c r="T191" s="7">
        <f>(P111*($E111/365))+(P112*($E112/365))+(P113*($E113/365))</f>
        <v>0</v>
      </c>
      <c r="U191" s="7">
        <f>(Q111*($E111/365))+(Q112*($E112/365))+(Q113*($E113/365))</f>
        <v>53.11999999999999</v>
      </c>
      <c r="W191" s="8">
        <f xml:space="preserve"> R111*(E111/365) + R112*(E112/365) + R113*(E113/365)</f>
        <v>53.11999999999999</v>
      </c>
    </row>
    <row r="192" spans="1:23">
      <c r="A192" s="57">
        <v>2011</v>
      </c>
      <c r="B192" s="7">
        <f>(K114*($E114/365))+(K115*($E115/365))</f>
        <v>0</v>
      </c>
      <c r="C192" s="7">
        <f>(L114*($E114/365))+(L115*($E115/365))</f>
        <v>0</v>
      </c>
      <c r="D192" s="7">
        <f>(M114*($E114/365))+(M115*($E115/365))</f>
        <v>100</v>
      </c>
      <c r="E192" s="24">
        <f t="shared" si="53"/>
        <v>100</v>
      </c>
      <c r="G192" s="9">
        <v>2011</v>
      </c>
      <c r="H192" s="958">
        <f>(O114/$R114*100*($E114/365))+(O115/$R115*100*($E115/365))</f>
        <v>0</v>
      </c>
      <c r="I192" s="958"/>
      <c r="J192" s="958">
        <f>(P114/$R114*100*($E114/365))+(P115/$R115*100*($E115/365))</f>
        <v>0</v>
      </c>
      <c r="K192" s="958"/>
      <c r="L192" s="958">
        <f>(Q114/$R114*100*($E114/365))+(Q115/$R115*100*($E115/365))</f>
        <v>100</v>
      </c>
      <c r="M192" s="958"/>
      <c r="N192" s="959">
        <f t="shared" si="52"/>
        <v>100</v>
      </c>
      <c r="O192" s="959"/>
      <c r="R192" s="9">
        <v>2011</v>
      </c>
      <c r="S192" s="7">
        <f>(O114*($E114/365))+(O115*($E115/365))</f>
        <v>0</v>
      </c>
      <c r="T192" s="7">
        <f>(P114*($E114/365))+(P115*($E115/365))</f>
        <v>0</v>
      </c>
      <c r="U192" s="7">
        <f>(Q114*($E114/365))+(Q115*($E115/365))</f>
        <v>48</v>
      </c>
      <c r="W192" s="8">
        <f xml:space="preserve"> R114*(E114/365) + R115*(E115/365)</f>
        <v>48</v>
      </c>
    </row>
    <row r="193" spans="1:23">
      <c r="A193" s="57">
        <v>2012</v>
      </c>
      <c r="B193" s="7">
        <f>(K116*($E116/366))+(K117*($E117/366))</f>
        <v>0</v>
      </c>
      <c r="C193" s="7">
        <f>(L116*($E116/366))+(L117*($E117/366))</f>
        <v>0</v>
      </c>
      <c r="D193" s="7">
        <f>(M116*($E116/366))+(M117*($E117/366))</f>
        <v>100</v>
      </c>
      <c r="E193" s="24">
        <f t="shared" si="53"/>
        <v>100</v>
      </c>
      <c r="G193" s="9">
        <v>2012</v>
      </c>
      <c r="H193" s="958">
        <f>(O116/$R116*100*($E116/366))+(O117/$R117*100*($E117/366))</f>
        <v>0</v>
      </c>
      <c r="I193" s="958"/>
      <c r="J193" s="958">
        <f>(P116/$R116*100*($E116/366))+(P117/$R117*100*($E117/366))</f>
        <v>0</v>
      </c>
      <c r="K193" s="958"/>
      <c r="L193" s="958">
        <f>(Q116/$R116*100*($E116/366))+(Q117/$R117*100*($E117/366))</f>
        <v>100</v>
      </c>
      <c r="M193" s="958"/>
      <c r="N193" s="959">
        <f t="shared" si="52"/>
        <v>100</v>
      </c>
      <c r="O193" s="959"/>
      <c r="R193" s="9">
        <v>2012</v>
      </c>
      <c r="S193" s="7">
        <f>(O116*($E116/366))+(O117*($E117/366))</f>
        <v>0</v>
      </c>
      <c r="T193" s="7">
        <f>(P116*($E116/366))+(P117*($E117/366))</f>
        <v>0</v>
      </c>
      <c r="U193" s="7">
        <f>(Q116*($E116/366))+(Q117*($E117/366))</f>
        <v>48</v>
      </c>
      <c r="W193" s="8">
        <f xml:space="preserve"> R116*(E116/366) + R117*(E117/366)</f>
        <v>48</v>
      </c>
    </row>
    <row r="194" spans="1:23">
      <c r="A194" s="57">
        <v>2013</v>
      </c>
      <c r="B194" s="7">
        <f>(K118*($E118/365))+(K119*($E119/365))+(K120*($E120/365))+(K121*($E121/365))</f>
        <v>28.767123287671232</v>
      </c>
      <c r="C194" s="7">
        <f>(L118*($E118/365))+(L119*($E119/365))+(L120*($E120/365))+(L121*($E121/365))</f>
        <v>0</v>
      </c>
      <c r="D194" s="7">
        <f>(M118*($E118/365))+(M119*($E119/365))+(M120*($E120/365))+(M121*($E121/365))</f>
        <v>71.232876712328761</v>
      </c>
      <c r="E194" s="292">
        <f>SUM(B194:D194)</f>
        <v>100</v>
      </c>
      <c r="G194" s="9">
        <v>2013</v>
      </c>
      <c r="H194" s="958">
        <f>(O118/$R118*100*($E118/365))+(O119/$R119*100*($E119/365))+(O120/$R120*100*($E120/365))+(O121/$R121*100*($E121/365))</f>
        <v>28.767123287671232</v>
      </c>
      <c r="I194" s="958"/>
      <c r="J194" s="958">
        <f>(P118/$R118*100*($E118/365))+(P119/$R119*100*($E119/365))+(P120/$R120*100*($E120/365))+(P121/$R121*100*($E121/365))</f>
        <v>0</v>
      </c>
      <c r="K194" s="958"/>
      <c r="L194" s="958">
        <f>(Q118/$R118*100*($E118/365))+(Q119/$R119*100*($E119/365))+(Q120/$R120*100*($E120/365))+(Q121/$R121*100*($E121/365))</f>
        <v>71.232876712328761</v>
      </c>
      <c r="M194" s="958"/>
      <c r="N194" s="959">
        <f t="shared" ref="N194:N199" si="54">SUM(H194:M194)</f>
        <v>100</v>
      </c>
      <c r="O194" s="959"/>
      <c r="R194" s="9">
        <v>2013</v>
      </c>
      <c r="S194" s="7">
        <f>(O118*($E118/365))+(O119*($E119/365))+(O120*($E120/365))+(O121*($E121/365))</f>
        <v>17.260273972602739</v>
      </c>
      <c r="T194" s="7">
        <f>(P118*($E118/365))+(P119*($E119/365))+(P120*($E120/365))+(P121*($E121/365))</f>
        <v>0</v>
      </c>
      <c r="U194" s="7">
        <f>(Q118*($E118/365))+(Q119*($E119/365))+(Q120*($E120/365))+(Q121*($E121/365))</f>
        <v>34.032602739726023</v>
      </c>
      <c r="W194" s="8">
        <f xml:space="preserve"> R118*(E118/365) + R119*(E119/365) + R120*(E120/365) + R121*(E121/365)</f>
        <v>51.292876712328763</v>
      </c>
    </row>
    <row r="195" spans="1:23">
      <c r="A195" s="57">
        <v>2014</v>
      </c>
      <c r="B195" s="7">
        <f>(K122*($E122/365))+(K123*($E123/365))</f>
        <v>100</v>
      </c>
      <c r="C195" s="7">
        <f>(L122*($E122/365))+(L123*($E123/365))</f>
        <v>0</v>
      </c>
      <c r="D195" s="7">
        <f>(M122*($E122/365))+(M123*($E123/365))</f>
        <v>0</v>
      </c>
      <c r="E195" s="509">
        <f>SUM(B195:D195)</f>
        <v>100</v>
      </c>
      <c r="G195" s="9">
        <v>2014</v>
      </c>
      <c r="H195" s="958">
        <f>(O122/$R122*100*($E122/365))+(O123/$R123*100*($E123/365))</f>
        <v>100</v>
      </c>
      <c r="I195" s="958"/>
      <c r="J195" s="958">
        <f>(P122/$R122*100*($E122/365))+(P123/$R123*100*($E123/365))</f>
        <v>0</v>
      </c>
      <c r="K195" s="958"/>
      <c r="L195" s="958">
        <f>(Q122/$R122*100*($E122/365))+(Q123/$R123*100*($E123/365))</f>
        <v>0</v>
      </c>
      <c r="M195" s="958"/>
      <c r="N195" s="959">
        <f t="shared" si="54"/>
        <v>100</v>
      </c>
      <c r="O195" s="959"/>
      <c r="R195" s="9">
        <v>2014</v>
      </c>
      <c r="S195" s="7">
        <f>(O122*($E122/365))+(O123*($E123/365))</f>
        <v>60</v>
      </c>
      <c r="T195" s="7">
        <f>(P122*($E122/365))+(P123*($E123/365))</f>
        <v>0</v>
      </c>
      <c r="U195" s="7">
        <f>(Q122*($E122/365))+(Q123*($E123/365))</f>
        <v>0</v>
      </c>
      <c r="W195" s="8">
        <f xml:space="preserve"> R122*(E122/365) + R123*(E123/365)</f>
        <v>60</v>
      </c>
    </row>
    <row r="196" spans="1:23">
      <c r="A196" s="57">
        <v>2015</v>
      </c>
      <c r="B196" s="688">
        <f>(K124*($E124/365))+(K125*($E125/365))</f>
        <v>100</v>
      </c>
      <c r="C196" s="688">
        <f>(L124*($E124/365))+(L125*($E125/365))</f>
        <v>0</v>
      </c>
      <c r="D196" s="688">
        <f>(M124*($E124/365))+(M125*($E125/365))</f>
        <v>0</v>
      </c>
      <c r="E196" s="684">
        <f>SUM(B196:D196)</f>
        <v>100</v>
      </c>
      <c r="G196" s="9">
        <v>2015</v>
      </c>
      <c r="H196" s="958">
        <f>(O124/$R124*100*($E124/365))+(O125/$R125*100*($E125/365))</f>
        <v>100</v>
      </c>
      <c r="I196" s="958"/>
      <c r="J196" s="958">
        <f>(P124/$R124*100*($E124/365))+(P125/$R125*100*($E125/365))</f>
        <v>0</v>
      </c>
      <c r="K196" s="958"/>
      <c r="L196" s="958">
        <f>(Q124/$R124*100*($E124/365))+(Q125/$R125*100*($E125/365))</f>
        <v>0</v>
      </c>
      <c r="M196" s="958"/>
      <c r="N196" s="959">
        <f t="shared" si="54"/>
        <v>100</v>
      </c>
      <c r="O196" s="959"/>
      <c r="R196" s="9">
        <v>2015</v>
      </c>
      <c r="S196" s="688">
        <f>(O124*($E124/365))+(O125*($E125/365))</f>
        <v>60</v>
      </c>
      <c r="T196" s="688">
        <f>(P124*($E124/365))+(P125*($E125/365))</f>
        <v>0</v>
      </c>
      <c r="U196" s="688">
        <f>(Q124*($E124/365))+(Q125*($E125/365))</f>
        <v>0</v>
      </c>
      <c r="W196" s="683">
        <f xml:space="preserve"> R124*(E124/365) + R125*(E125/365)</f>
        <v>60</v>
      </c>
    </row>
    <row r="197" spans="1:23">
      <c r="A197" s="57">
        <v>2016</v>
      </c>
      <c r="B197" s="779">
        <f>(K126*($E126/366))+(K127*($E127/366))+(K128*($E128/366))</f>
        <v>100</v>
      </c>
      <c r="C197" s="779">
        <f>(L126*($E126/366))+(L127*($E127/366))+(L128*($E128/366))</f>
        <v>0</v>
      </c>
      <c r="D197" s="779">
        <f>(M126*($E126/366))+(M127*($E127/366))+(M128*($E128/366))</f>
        <v>0</v>
      </c>
      <c r="E197" s="776">
        <f>SUM(B197:D197)</f>
        <v>100</v>
      </c>
      <c r="G197" s="9">
        <v>2016</v>
      </c>
      <c r="H197" s="958">
        <f>(O126/$R126*100*($E126/366))+(O127/$R127*100*($E127/366))+(O128/$R128*100*($E128/366))</f>
        <v>100</v>
      </c>
      <c r="I197" s="958"/>
      <c r="J197" s="958">
        <f>(P126/$R126*100*($E126/366))+(P127/$R127*100*($E127/366))+(P128/$R128*100*($E128/366))</f>
        <v>0</v>
      </c>
      <c r="K197" s="958"/>
      <c r="L197" s="958">
        <f>(Q126/$R126*100*($E126/366))+(Q127/$R127*100*($E127/366))+(Q128/$R128*100*($E128/366))</f>
        <v>0</v>
      </c>
      <c r="M197" s="958"/>
      <c r="N197" s="959">
        <f t="shared" si="54"/>
        <v>100</v>
      </c>
      <c r="O197" s="959"/>
      <c r="R197" s="9">
        <v>2016</v>
      </c>
      <c r="S197" s="779">
        <f>(O126*($E126/366))+(O127*($E127/366))+(O128*($E128/366))</f>
        <v>55.781967213114754</v>
      </c>
      <c r="T197" s="779">
        <f>(P126*($E126/366))+(P127*($E127/366))+(P128*($E128/366))</f>
        <v>0</v>
      </c>
      <c r="U197" s="779">
        <f>(Q126*($E126/366))+(Q127*($E127/366))+(Q128*($E128/366))</f>
        <v>0</v>
      </c>
      <c r="W197" s="775">
        <f xml:space="preserve"> R126*(E126/366) + R127*(E127/366)+R128*(E128/366)</f>
        <v>55.781967213114754</v>
      </c>
    </row>
    <row r="198" spans="1:23">
      <c r="A198" s="57">
        <v>2017</v>
      </c>
      <c r="B198" s="910">
        <f>(K129*($E129/365))+(K130*($E130/365))</f>
        <v>100</v>
      </c>
      <c r="C198" s="910">
        <f>(L129*($E129/365))+(L130*($E130/365))</f>
        <v>0</v>
      </c>
      <c r="D198" s="910">
        <f>(M129*($E129/365))+(M130*($E130/365))</f>
        <v>0</v>
      </c>
      <c r="E198" s="908">
        <f>(N129*($E129/365))+(N130*($E130/365))</f>
        <v>100</v>
      </c>
      <c r="G198" s="9">
        <v>2017</v>
      </c>
      <c r="H198" s="958">
        <f>(O129/$R129*100*($E129/365))+(O130/$R130*100*($E130/365))</f>
        <v>100</v>
      </c>
      <c r="I198" s="958"/>
      <c r="J198" s="958">
        <f>(P129/$R129*100*($E129/365))+(P130/$R130*100*($E130/365))</f>
        <v>0</v>
      </c>
      <c r="K198" s="958"/>
      <c r="L198" s="958">
        <f>(Q129/$R129*100*($E129/365))+(Q130/$R130*100*($E130/365))</f>
        <v>0</v>
      </c>
      <c r="M198" s="958"/>
      <c r="N198" s="959">
        <f t="shared" si="54"/>
        <v>100</v>
      </c>
      <c r="O198" s="959"/>
      <c r="R198" s="9">
        <v>2017</v>
      </c>
      <c r="S198" s="910">
        <f>(O129*($E129/365))+(O130*($E130/365))</f>
        <v>50.7</v>
      </c>
      <c r="T198" s="910">
        <f t="shared" ref="T198:U198" si="55">(P129*($E129/365))+(P130*($E130/365))</f>
        <v>0</v>
      </c>
      <c r="U198" s="910">
        <f t="shared" si="55"/>
        <v>0</v>
      </c>
      <c r="W198" s="907">
        <f xml:space="preserve"> R129*(E129/365) + R130*(E130/365)</f>
        <v>50.7</v>
      </c>
    </row>
    <row r="199" spans="1:23">
      <c r="A199" s="57">
        <v>2018</v>
      </c>
      <c r="B199" s="935">
        <f>(K131*($E131/365))+(K132*($E132/365))</f>
        <v>100</v>
      </c>
      <c r="C199" s="935">
        <f>(L131*($E131/365))+(L132*($E132/365))</f>
        <v>0</v>
      </c>
      <c r="D199" s="935">
        <f>(M131*($E131/365))+(M132*($E132/365))</f>
        <v>0</v>
      </c>
      <c r="E199" s="931">
        <f>(N131*($E131/365))+(N132*($E132/365))</f>
        <v>100</v>
      </c>
      <c r="G199" s="9">
        <v>2018</v>
      </c>
      <c r="H199" s="958">
        <f>(O131/$R131*100*($E131/365))+(O132/$R132*100*($E132/365))</f>
        <v>100</v>
      </c>
      <c r="I199" s="958"/>
      <c r="J199" s="958">
        <f>(P131/$R131*100*($E131/365))+(P132/$R132*100*($E132/365))</f>
        <v>0</v>
      </c>
      <c r="K199" s="958"/>
      <c r="L199" s="958">
        <f>(Q131/$R131*100*($E131/365))+(Q132/$R132*100*($E132/365))</f>
        <v>0</v>
      </c>
      <c r="M199" s="958"/>
      <c r="N199" s="959">
        <f t="shared" si="54"/>
        <v>100</v>
      </c>
      <c r="O199" s="959"/>
      <c r="R199" s="9">
        <v>2018</v>
      </c>
      <c r="S199" s="935">
        <f>(O131*($E131/365))+(O132*($E132/365))</f>
        <v>50.7</v>
      </c>
      <c r="T199" s="935">
        <f>(P131*($E131/365))+(P132*($E132/365))</f>
        <v>0</v>
      </c>
      <c r="U199" s="935">
        <f>(Q131*($E131/365))+(Q132*($E132/365))</f>
        <v>0</v>
      </c>
      <c r="W199" s="930">
        <f xml:space="preserve"> R131*(E131/365) + R132*(E132/365)</f>
        <v>50.7</v>
      </c>
    </row>
    <row r="200" spans="1:23">
      <c r="A200" s="57"/>
      <c r="G200" s="9"/>
      <c r="R200" s="9"/>
    </row>
    <row r="201" spans="1:23">
      <c r="A201" s="57"/>
      <c r="B201" s="688"/>
      <c r="C201" s="688"/>
      <c r="D201" s="688"/>
      <c r="E201" s="684"/>
      <c r="G201" s="9"/>
      <c r="H201" s="958"/>
      <c r="I201" s="958"/>
      <c r="J201" s="958"/>
      <c r="K201" s="958"/>
      <c r="L201" s="958"/>
      <c r="M201" s="958"/>
      <c r="N201" s="959"/>
      <c r="O201" s="959"/>
      <c r="R201" s="9"/>
      <c r="S201" s="688"/>
      <c r="T201" s="688"/>
      <c r="U201" s="688"/>
      <c r="W201" s="683"/>
    </row>
  </sheetData>
  <mergeCells count="397">
    <mergeCell ref="H197:I197"/>
    <mergeCell ref="J197:K197"/>
    <mergeCell ref="L197:M197"/>
    <mergeCell ref="N197:O197"/>
    <mergeCell ref="H201:I201"/>
    <mergeCell ref="J201:K201"/>
    <mergeCell ref="L201:M201"/>
    <mergeCell ref="N201:O201"/>
    <mergeCell ref="N193:O193"/>
    <mergeCell ref="L193:M193"/>
    <mergeCell ref="N195:O195"/>
    <mergeCell ref="N194:O194"/>
    <mergeCell ref="H194:I194"/>
    <mergeCell ref="J194:K194"/>
    <mergeCell ref="L194:M194"/>
    <mergeCell ref="H195:I195"/>
    <mergeCell ref="J195:K195"/>
    <mergeCell ref="L195:M195"/>
    <mergeCell ref="H193:I193"/>
    <mergeCell ref="J193:K193"/>
    <mergeCell ref="H198:I198"/>
    <mergeCell ref="J198:K198"/>
    <mergeCell ref="L198:M198"/>
    <mergeCell ref="N198:O198"/>
    <mergeCell ref="AT4:AW4"/>
    <mergeCell ref="AX4:BA4"/>
    <mergeCell ref="N181:O181"/>
    <mergeCell ref="N190:O190"/>
    <mergeCell ref="N191:O191"/>
    <mergeCell ref="N192:O192"/>
    <mergeCell ref="N172:O172"/>
    <mergeCell ref="N173:O173"/>
    <mergeCell ref="N176:O176"/>
    <mergeCell ref="N177:O177"/>
    <mergeCell ref="N179:O179"/>
    <mergeCell ref="N175:O175"/>
    <mergeCell ref="N163:O163"/>
    <mergeCell ref="N164:O164"/>
    <mergeCell ref="N165:O165"/>
    <mergeCell ref="N166:O166"/>
    <mergeCell ref="N167:O167"/>
    <mergeCell ref="N168:O168"/>
    <mergeCell ref="N182:O182"/>
    <mergeCell ref="N183:O183"/>
    <mergeCell ref="N184:O184"/>
    <mergeCell ref="N185:O185"/>
    <mergeCell ref="N186:O186"/>
    <mergeCell ref="N188:O188"/>
    <mergeCell ref="N148:O148"/>
    <mergeCell ref="C124:D124"/>
    <mergeCell ref="C125:D125"/>
    <mergeCell ref="H196:I196"/>
    <mergeCell ref="J196:K196"/>
    <mergeCell ref="L196:M196"/>
    <mergeCell ref="N196:O196"/>
    <mergeCell ref="C128:D128"/>
    <mergeCell ref="N189:O189"/>
    <mergeCell ref="N187:O187"/>
    <mergeCell ref="N141:O141"/>
    <mergeCell ref="N142:O142"/>
    <mergeCell ref="N143:O143"/>
    <mergeCell ref="N144:O144"/>
    <mergeCell ref="N145:O145"/>
    <mergeCell ref="L162:M162"/>
    <mergeCell ref="J174:K174"/>
    <mergeCell ref="J162:K162"/>
    <mergeCell ref="J163:K163"/>
    <mergeCell ref="J172:K172"/>
    <mergeCell ref="L174:M174"/>
    <mergeCell ref="N146:O146"/>
    <mergeCell ref="N147:O147"/>
    <mergeCell ref="L182:M182"/>
    <mergeCell ref="L171:M171"/>
    <mergeCell ref="L172:M172"/>
    <mergeCell ref="L173:M173"/>
    <mergeCell ref="L181:M181"/>
    <mergeCell ref="L163:M163"/>
    <mergeCell ref="L164:M164"/>
    <mergeCell ref="L165:M165"/>
    <mergeCell ref="N178:O178"/>
    <mergeCell ref="N155:O155"/>
    <mergeCell ref="N156:O156"/>
    <mergeCell ref="N157:O157"/>
    <mergeCell ref="N158:O158"/>
    <mergeCell ref="N159:O159"/>
    <mergeCell ref="L175:M175"/>
    <mergeCell ref="L166:M166"/>
    <mergeCell ref="L167:M167"/>
    <mergeCell ref="L168:M168"/>
    <mergeCell ref="L169:M169"/>
    <mergeCell ref="L170:M170"/>
    <mergeCell ref="L155:M155"/>
    <mergeCell ref="L156:M156"/>
    <mergeCell ref="L157:M157"/>
    <mergeCell ref="L158:M158"/>
    <mergeCell ref="L159:M159"/>
    <mergeCell ref="N154:O154"/>
    <mergeCell ref="N180:O180"/>
    <mergeCell ref="N169:O169"/>
    <mergeCell ref="N170:O170"/>
    <mergeCell ref="N171:O171"/>
    <mergeCell ref="N149:O149"/>
    <mergeCell ref="N150:O150"/>
    <mergeCell ref="N151:O151"/>
    <mergeCell ref="N152:O152"/>
    <mergeCell ref="N153:O153"/>
    <mergeCell ref="N160:O160"/>
    <mergeCell ref="N161:O161"/>
    <mergeCell ref="N174:O174"/>
    <mergeCell ref="N162:O162"/>
    <mergeCell ref="L176:M176"/>
    <mergeCell ref="L178:M178"/>
    <mergeCell ref="L179:M179"/>
    <mergeCell ref="L180:M180"/>
    <mergeCell ref="J176:K176"/>
    <mergeCell ref="J177:K177"/>
    <mergeCell ref="J178:K178"/>
    <mergeCell ref="J179:K179"/>
    <mergeCell ref="J186:K186"/>
    <mergeCell ref="J180:K180"/>
    <mergeCell ref="J181:K181"/>
    <mergeCell ref="J182:K182"/>
    <mergeCell ref="J183:K183"/>
    <mergeCell ref="J184:K184"/>
    <mergeCell ref="L177:M177"/>
    <mergeCell ref="L185:M185"/>
    <mergeCell ref="L186:M186"/>
    <mergeCell ref="J191:K191"/>
    <mergeCell ref="L183:M183"/>
    <mergeCell ref="L184:M184"/>
    <mergeCell ref="H188:I188"/>
    <mergeCell ref="H189:I189"/>
    <mergeCell ref="H190:I190"/>
    <mergeCell ref="H191:I191"/>
    <mergeCell ref="H192:I192"/>
    <mergeCell ref="H184:I184"/>
    <mergeCell ref="H185:I185"/>
    <mergeCell ref="H186:I186"/>
    <mergeCell ref="H187:I187"/>
    <mergeCell ref="J189:K189"/>
    <mergeCell ref="L188:M188"/>
    <mergeCell ref="J190:K190"/>
    <mergeCell ref="J192:K192"/>
    <mergeCell ref="J187:K187"/>
    <mergeCell ref="L190:M190"/>
    <mergeCell ref="L191:M191"/>
    <mergeCell ref="L187:M187"/>
    <mergeCell ref="L192:M192"/>
    <mergeCell ref="L189:M189"/>
    <mergeCell ref="J185:K185"/>
    <mergeCell ref="L154:M154"/>
    <mergeCell ref="J142:K142"/>
    <mergeCell ref="J143:K143"/>
    <mergeCell ref="J144:K144"/>
    <mergeCell ref="J145:K145"/>
    <mergeCell ref="J146:K146"/>
    <mergeCell ref="J147:K147"/>
    <mergeCell ref="L142:M142"/>
    <mergeCell ref="L143:M143"/>
    <mergeCell ref="L144:M144"/>
    <mergeCell ref="L145:M145"/>
    <mergeCell ref="L146:M146"/>
    <mergeCell ref="J169:K169"/>
    <mergeCell ref="J148:K148"/>
    <mergeCell ref="J149:K149"/>
    <mergeCell ref="J150:K150"/>
    <mergeCell ref="J151:K151"/>
    <mergeCell ref="L147:M147"/>
    <mergeCell ref="L148:M148"/>
    <mergeCell ref="L160:M160"/>
    <mergeCell ref="L161:M161"/>
    <mergeCell ref="J152:K152"/>
    <mergeCell ref="J158:K158"/>
    <mergeCell ref="J159:K159"/>
    <mergeCell ref="J160:K160"/>
    <mergeCell ref="J161:K161"/>
    <mergeCell ref="J156:K156"/>
    <mergeCell ref="J157:K157"/>
    <mergeCell ref="J154:K154"/>
    <mergeCell ref="J155:K155"/>
    <mergeCell ref="J153:K153"/>
    <mergeCell ref="L149:M149"/>
    <mergeCell ref="L150:M150"/>
    <mergeCell ref="L151:M151"/>
    <mergeCell ref="L152:M152"/>
    <mergeCell ref="L153:M153"/>
    <mergeCell ref="R137:W137"/>
    <mergeCell ref="H139:I139"/>
    <mergeCell ref="J139:K139"/>
    <mergeCell ref="L139:M139"/>
    <mergeCell ref="N139:O139"/>
    <mergeCell ref="H141:I141"/>
    <mergeCell ref="J141:K141"/>
    <mergeCell ref="L141:M141"/>
    <mergeCell ref="H140:I140"/>
    <mergeCell ref="J140:K140"/>
    <mergeCell ref="N140:O140"/>
    <mergeCell ref="L140:M140"/>
    <mergeCell ref="O3:Q3"/>
    <mergeCell ref="G3:M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97:D97"/>
    <mergeCell ref="C98:D98"/>
    <mergeCell ref="C99:D99"/>
    <mergeCell ref="C100:D100"/>
    <mergeCell ref="C101:D101"/>
    <mergeCell ref="C102:D102"/>
    <mergeCell ref="C115:D115"/>
    <mergeCell ref="C116:D116"/>
    <mergeCell ref="C103:D103"/>
    <mergeCell ref="C104:D104"/>
    <mergeCell ref="C105:D105"/>
    <mergeCell ref="C106:D106"/>
    <mergeCell ref="C107:D107"/>
    <mergeCell ref="C108:D108"/>
    <mergeCell ref="C109:D109"/>
    <mergeCell ref="C110:D110"/>
    <mergeCell ref="C88:D88"/>
    <mergeCell ref="C89:D89"/>
    <mergeCell ref="C90:D90"/>
    <mergeCell ref="C91:D91"/>
    <mergeCell ref="C92:D92"/>
    <mergeCell ref="C93:D93"/>
    <mergeCell ref="C94:D94"/>
    <mergeCell ref="C95:D95"/>
    <mergeCell ref="C96:D96"/>
    <mergeCell ref="C118:D118"/>
    <mergeCell ref="C119:D119"/>
    <mergeCell ref="C122:D122"/>
    <mergeCell ref="C123:D123"/>
    <mergeCell ref="C120:D120"/>
    <mergeCell ref="C121:D121"/>
    <mergeCell ref="H142:I142"/>
    <mergeCell ref="H143:I143"/>
    <mergeCell ref="H144:I144"/>
    <mergeCell ref="C129:D129"/>
    <mergeCell ref="C126:D126"/>
    <mergeCell ref="C130:D130"/>
    <mergeCell ref="C131:D131"/>
    <mergeCell ref="C132:D132"/>
    <mergeCell ref="C117:D117"/>
    <mergeCell ref="C111:D111"/>
    <mergeCell ref="C112:D112"/>
    <mergeCell ref="C113:D113"/>
    <mergeCell ref="C114:D114"/>
    <mergeCell ref="C127:D127"/>
    <mergeCell ref="H147:I147"/>
    <mergeCell ref="H179:I179"/>
    <mergeCell ref="H180:I180"/>
    <mergeCell ref="H149:I149"/>
    <mergeCell ref="H150:I150"/>
    <mergeCell ref="H162:I162"/>
    <mergeCell ref="H163:I163"/>
    <mergeCell ref="H164:I164"/>
    <mergeCell ref="H165:I165"/>
    <mergeCell ref="H166:I166"/>
    <mergeCell ref="H167:I167"/>
    <mergeCell ref="H159:I159"/>
    <mergeCell ref="H168:I168"/>
    <mergeCell ref="H169:I169"/>
    <mergeCell ref="H170:I170"/>
    <mergeCell ref="H148:I148"/>
    <mergeCell ref="H145:I145"/>
    <mergeCell ref="H146:I146"/>
    <mergeCell ref="H161:I161"/>
    <mergeCell ref="H151:I151"/>
    <mergeCell ref="H152:I152"/>
    <mergeCell ref="H153:I153"/>
    <mergeCell ref="H171:I171"/>
    <mergeCell ref="H173:I173"/>
    <mergeCell ref="H174:I174"/>
    <mergeCell ref="H175:I175"/>
    <mergeCell ref="H178:I178"/>
    <mergeCell ref="H176:I176"/>
    <mergeCell ref="H172:I172"/>
    <mergeCell ref="H199:I199"/>
    <mergeCell ref="J199:K199"/>
    <mergeCell ref="L199:M199"/>
    <mergeCell ref="N199:O199"/>
    <mergeCell ref="H154:I154"/>
    <mergeCell ref="H155:I155"/>
    <mergeCell ref="H156:I156"/>
    <mergeCell ref="H157:I157"/>
    <mergeCell ref="J165:K165"/>
    <mergeCell ref="J188:K188"/>
    <mergeCell ref="J164:K164"/>
    <mergeCell ref="J166:K166"/>
    <mergeCell ref="J167:K167"/>
    <mergeCell ref="J168:K168"/>
    <mergeCell ref="H182:I182"/>
    <mergeCell ref="H183:I183"/>
    <mergeCell ref="J173:K173"/>
    <mergeCell ref="J170:K170"/>
    <mergeCell ref="J171:K171"/>
    <mergeCell ref="J175:K175"/>
    <mergeCell ref="H158:I158"/>
    <mergeCell ref="H181:I181"/>
    <mergeCell ref="H177:I177"/>
    <mergeCell ref="H160:I16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191"/>
  <sheetViews>
    <sheetView zoomScale="150" zoomScaleNormal="120" workbookViewId="0">
      <pane xSplit="1" ySplit="5" topLeftCell="B109" activePane="bottomRight" state="frozen"/>
      <selection pane="topRight" activeCell="B1" sqref="B1"/>
      <selection pane="bottomLeft" activeCell="A5" sqref="A5"/>
      <selection pane="bottomRight" activeCell="W191" sqref="W191"/>
    </sheetView>
  </sheetViews>
  <sheetFormatPr baseColWidth="10" defaultColWidth="10.6640625" defaultRowHeight="10"/>
  <cols>
    <col min="1" max="1" width="5.83203125" style="2" customWidth="1"/>
    <col min="2" max="6" width="7.83203125" style="2" customWidth="1"/>
    <col min="7" max="18" width="4.5" style="2" customWidth="1"/>
    <col min="19" max="21" width="7.83203125" style="2" customWidth="1"/>
    <col min="22" max="53" width="5.6640625" style="2" customWidth="1"/>
    <col min="54" max="16384" width="10.6640625" style="2"/>
  </cols>
  <sheetData>
    <row r="1" spans="1:53" ht="15" customHeight="1">
      <c r="B1" s="22" t="s">
        <v>14</v>
      </c>
    </row>
    <row r="2" spans="1:53" ht="15" customHeight="1">
      <c r="B2" s="22" t="s">
        <v>15</v>
      </c>
    </row>
    <row r="3" spans="1:53">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c r="A6" s="263">
        <v>1959</v>
      </c>
      <c r="B6" s="264"/>
      <c r="C6" s="995" t="s">
        <v>1240</v>
      </c>
      <c r="D6" s="995"/>
      <c r="E6" s="257">
        <v>196</v>
      </c>
      <c r="G6" s="265"/>
      <c r="H6" s="257">
        <v>7</v>
      </c>
      <c r="I6" s="257">
        <v>5</v>
      </c>
      <c r="J6" s="266">
        <v>12</v>
      </c>
      <c r="K6" s="247">
        <f>G6/J6*100</f>
        <v>0</v>
      </c>
      <c r="L6" s="248">
        <f>H6/J6*100</f>
        <v>58.333333333333336</v>
      </c>
      <c r="M6" s="248">
        <f>I6/J6*100</f>
        <v>41.666666666666671</v>
      </c>
      <c r="N6" s="249">
        <f>K6+L6+M6</f>
        <v>100</v>
      </c>
      <c r="O6" s="248"/>
      <c r="P6" s="248">
        <v>49.7</v>
      </c>
      <c r="Q6" s="248">
        <v>44.8</v>
      </c>
      <c r="R6" s="267">
        <f>P6+Q6</f>
        <v>94.5</v>
      </c>
      <c r="S6" s="268">
        <v>2</v>
      </c>
      <c r="T6" s="252"/>
      <c r="U6" s="269"/>
      <c r="V6" s="257" t="s">
        <v>16</v>
      </c>
      <c r="W6" s="257" t="s">
        <v>17</v>
      </c>
      <c r="X6" s="257" t="s">
        <v>18</v>
      </c>
      <c r="Y6" s="257">
        <v>49.7</v>
      </c>
      <c r="Z6" s="256" t="s">
        <v>19</v>
      </c>
      <c r="AA6" s="257" t="s">
        <v>20</v>
      </c>
      <c r="AB6" s="257" t="s">
        <v>12</v>
      </c>
      <c r="AC6" s="258">
        <v>44.8</v>
      </c>
      <c r="AD6" s="256"/>
      <c r="AG6" s="258"/>
      <c r="AL6" s="256"/>
      <c r="AO6" s="258"/>
      <c r="AS6" s="289"/>
      <c r="AW6" s="289"/>
      <c r="BA6" s="259"/>
    </row>
    <row r="7" spans="1:53" s="257" customFormat="1">
      <c r="A7" s="263">
        <v>1959</v>
      </c>
      <c r="B7" s="264">
        <v>21747</v>
      </c>
      <c r="C7" s="995" t="s">
        <v>28</v>
      </c>
      <c r="D7" s="995"/>
      <c r="E7" s="257">
        <f xml:space="preserve"> 365-E6</f>
        <v>169</v>
      </c>
      <c r="F7" s="257">
        <v>1</v>
      </c>
      <c r="G7" s="265"/>
      <c r="H7" s="257">
        <v>6</v>
      </c>
      <c r="I7" s="257">
        <v>6</v>
      </c>
      <c r="J7" s="266">
        <v>12</v>
      </c>
      <c r="K7" s="247">
        <f>G7/J7*100</f>
        <v>0</v>
      </c>
      <c r="L7" s="248">
        <f>H7/J7*100</f>
        <v>50</v>
      </c>
      <c r="M7" s="248">
        <f>I7/J7*100</f>
        <v>50</v>
      </c>
      <c r="N7" s="249">
        <f>SUM(K7:M7)</f>
        <v>100</v>
      </c>
      <c r="O7" s="248"/>
      <c r="P7" s="248">
        <v>47.9</v>
      </c>
      <c r="Q7" s="248">
        <v>47.3</v>
      </c>
      <c r="R7" s="267">
        <f>SUM(O7:Q7)</f>
        <v>95.199999999999989</v>
      </c>
      <c r="S7" s="268">
        <v>2</v>
      </c>
      <c r="T7" s="252">
        <v>21680</v>
      </c>
      <c r="U7" s="269">
        <v>21747</v>
      </c>
      <c r="V7" s="257" t="s">
        <v>16</v>
      </c>
      <c r="W7" s="257" t="s">
        <v>17</v>
      </c>
      <c r="X7" s="257" t="s">
        <v>18</v>
      </c>
      <c r="Y7" s="257">
        <v>47.9</v>
      </c>
      <c r="Z7" s="256" t="s">
        <v>19</v>
      </c>
      <c r="AA7" s="257" t="s">
        <v>20</v>
      </c>
      <c r="AB7" s="257" t="s">
        <v>12</v>
      </c>
      <c r="AC7" s="258">
        <v>47.3</v>
      </c>
      <c r="AD7" s="256"/>
      <c r="AG7" s="258"/>
      <c r="AL7" s="256"/>
      <c r="AO7" s="258"/>
      <c r="AS7" s="258"/>
      <c r="AW7" s="258"/>
      <c r="BA7" s="259"/>
    </row>
    <row r="8" spans="1:53" s="73" customFormat="1">
      <c r="A8" s="102">
        <v>1960</v>
      </c>
      <c r="B8" s="88"/>
      <c r="C8" s="988" t="s">
        <v>28</v>
      </c>
      <c r="D8" s="988"/>
      <c r="E8" s="73">
        <v>308</v>
      </c>
      <c r="G8" s="123"/>
      <c r="H8" s="73">
        <v>6</v>
      </c>
      <c r="I8" s="73">
        <v>6</v>
      </c>
      <c r="J8" s="124">
        <v>12</v>
      </c>
      <c r="K8" s="91">
        <f>G8/J8*100</f>
        <v>0</v>
      </c>
      <c r="L8" s="92">
        <f>H8/J8*100</f>
        <v>50</v>
      </c>
      <c r="M8" s="92">
        <f>I8/J8*100</f>
        <v>50</v>
      </c>
      <c r="N8" s="93">
        <f>SUM(K8:M8)</f>
        <v>100</v>
      </c>
      <c r="O8" s="92"/>
      <c r="P8" s="92">
        <v>47.9</v>
      </c>
      <c r="Q8" s="92">
        <v>47.3</v>
      </c>
      <c r="R8" s="125">
        <f>SUM(O8:Q8)</f>
        <v>95.199999999999989</v>
      </c>
      <c r="S8" s="126">
        <v>2</v>
      </c>
      <c r="T8" s="85"/>
      <c r="U8" s="127"/>
      <c r="V8" s="73" t="s">
        <v>16</v>
      </c>
      <c r="W8" s="73" t="s">
        <v>17</v>
      </c>
      <c r="X8" s="73" t="s">
        <v>18</v>
      </c>
      <c r="Y8" s="73">
        <v>47.9</v>
      </c>
      <c r="Z8" s="82" t="s">
        <v>19</v>
      </c>
      <c r="AA8" s="73" t="s">
        <v>20</v>
      </c>
      <c r="AB8" s="73" t="s">
        <v>12</v>
      </c>
      <c r="AC8" s="83">
        <v>47.3</v>
      </c>
      <c r="AD8" s="82"/>
      <c r="AG8" s="83"/>
      <c r="AL8" s="82"/>
      <c r="AO8" s="83"/>
      <c r="AS8" s="83"/>
      <c r="AW8" s="83"/>
      <c r="BA8" s="84"/>
    </row>
    <row r="9" spans="1:53" s="73" customFormat="1">
      <c r="A9" s="102">
        <v>1960</v>
      </c>
      <c r="B9" s="128">
        <v>22224</v>
      </c>
      <c r="C9" s="988" t="s">
        <v>28</v>
      </c>
      <c r="D9" s="988"/>
      <c r="E9" s="73">
        <v>58</v>
      </c>
      <c r="F9" s="129">
        <v>0</v>
      </c>
      <c r="G9" s="123"/>
      <c r="H9" s="73">
        <v>6</v>
      </c>
      <c r="I9" s="73">
        <v>6</v>
      </c>
      <c r="J9" s="124">
        <v>12</v>
      </c>
      <c r="K9" s="91">
        <f t="shared" ref="K9:K15" si="0">G9/J9*100</f>
        <v>0</v>
      </c>
      <c r="L9" s="92">
        <f t="shared" ref="L9:L15" si="1">H9/J9*100</f>
        <v>50</v>
      </c>
      <c r="M9" s="92">
        <f t="shared" ref="M9:M15" si="2">I9/J9*100</f>
        <v>50</v>
      </c>
      <c r="N9" s="93">
        <f t="shared" ref="N9:N72" si="3">SUM(K9:M9)</f>
        <v>100</v>
      </c>
      <c r="O9" s="92"/>
      <c r="P9" s="92">
        <v>47.9</v>
      </c>
      <c r="Q9" s="92">
        <v>47.3</v>
      </c>
      <c r="R9" s="125">
        <f t="shared" ref="R9:R72" si="4">SUM(O9:Q9)</f>
        <v>95.199999999999989</v>
      </c>
      <c r="S9" s="126">
        <v>2</v>
      </c>
      <c r="T9" s="85"/>
      <c r="U9" s="127"/>
      <c r="V9" s="73" t="s">
        <v>16</v>
      </c>
      <c r="W9" s="73" t="s">
        <v>17</v>
      </c>
      <c r="X9" s="73" t="s">
        <v>18</v>
      </c>
      <c r="Y9" s="73">
        <v>47.9</v>
      </c>
      <c r="Z9" s="82" t="s">
        <v>19</v>
      </c>
      <c r="AA9" s="73" t="s">
        <v>20</v>
      </c>
      <c r="AB9" s="73" t="s">
        <v>12</v>
      </c>
      <c r="AC9" s="83">
        <v>47.3</v>
      </c>
      <c r="AD9" s="82"/>
      <c r="AG9" s="83"/>
      <c r="AL9" s="82"/>
      <c r="AO9" s="83"/>
      <c r="AS9" s="83"/>
      <c r="AW9" s="83"/>
      <c r="BA9" s="84"/>
    </row>
    <row r="10" spans="1:53" s="73" customFormat="1">
      <c r="A10" s="102">
        <v>1961</v>
      </c>
      <c r="B10" s="88"/>
      <c r="C10" s="988" t="s">
        <v>28</v>
      </c>
      <c r="D10" s="988"/>
      <c r="E10" s="73">
        <v>101</v>
      </c>
      <c r="F10" s="84"/>
      <c r="G10" s="123"/>
      <c r="H10" s="73">
        <v>6</v>
      </c>
      <c r="I10" s="73">
        <v>6</v>
      </c>
      <c r="J10" s="130">
        <v>12</v>
      </c>
      <c r="K10" s="91">
        <f t="shared" si="0"/>
        <v>0</v>
      </c>
      <c r="L10" s="92">
        <f t="shared" si="1"/>
        <v>50</v>
      </c>
      <c r="M10" s="92">
        <f t="shared" si="2"/>
        <v>50</v>
      </c>
      <c r="N10" s="93">
        <f t="shared" si="3"/>
        <v>100</v>
      </c>
      <c r="O10" s="92"/>
      <c r="P10" s="92">
        <v>47.9</v>
      </c>
      <c r="Q10" s="92">
        <v>47.3</v>
      </c>
      <c r="R10" s="125">
        <f t="shared" si="4"/>
        <v>95.199999999999989</v>
      </c>
      <c r="S10" s="126">
        <v>2</v>
      </c>
      <c r="T10" s="85"/>
      <c r="U10" s="127"/>
      <c r="V10" s="73" t="s">
        <v>16</v>
      </c>
      <c r="W10" s="73" t="s">
        <v>17</v>
      </c>
      <c r="X10" s="73" t="s">
        <v>18</v>
      </c>
      <c r="Y10" s="73">
        <v>47.9</v>
      </c>
      <c r="Z10" s="82" t="s">
        <v>19</v>
      </c>
      <c r="AA10" s="73" t="s">
        <v>20</v>
      </c>
      <c r="AB10" s="73" t="s">
        <v>12</v>
      </c>
      <c r="AC10" s="83">
        <v>47.3</v>
      </c>
      <c r="AD10" s="82"/>
      <c r="AG10" s="83"/>
      <c r="AL10" s="82"/>
      <c r="AO10" s="83"/>
      <c r="AS10" s="83"/>
      <c r="AW10" s="83"/>
      <c r="BA10" s="84"/>
    </row>
    <row r="11" spans="1:53" s="334" customFormat="1">
      <c r="A11" s="386">
        <v>1961</v>
      </c>
      <c r="B11" s="380">
        <v>22383</v>
      </c>
      <c r="C11" s="992" t="s">
        <v>29</v>
      </c>
      <c r="D11" s="992"/>
      <c r="E11" s="334">
        <v>264</v>
      </c>
      <c r="F11" s="345">
        <v>3</v>
      </c>
      <c r="G11" s="419"/>
      <c r="H11" s="334">
        <v>6</v>
      </c>
      <c r="I11" s="334">
        <v>6</v>
      </c>
      <c r="J11" s="420">
        <v>12</v>
      </c>
      <c r="K11" s="383">
        <f t="shared" si="0"/>
        <v>0</v>
      </c>
      <c r="L11" s="384">
        <f t="shared" si="1"/>
        <v>50</v>
      </c>
      <c r="M11" s="384">
        <f t="shared" si="2"/>
        <v>50</v>
      </c>
      <c r="N11" s="385">
        <f t="shared" si="3"/>
        <v>100</v>
      </c>
      <c r="O11" s="384"/>
      <c r="P11" s="384">
        <v>47.9</v>
      </c>
      <c r="Q11" s="384">
        <v>47.3</v>
      </c>
      <c r="R11" s="421">
        <f t="shared" si="4"/>
        <v>95.199999999999989</v>
      </c>
      <c r="S11" s="396">
        <v>2</v>
      </c>
      <c r="T11" s="355"/>
      <c r="U11" s="422">
        <v>22383</v>
      </c>
      <c r="V11" s="334" t="s">
        <v>16</v>
      </c>
      <c r="W11" s="334" t="s">
        <v>17</v>
      </c>
      <c r="X11" s="334" t="s">
        <v>18</v>
      </c>
      <c r="Y11" s="334">
        <v>47.9</v>
      </c>
      <c r="Z11" s="343" t="s">
        <v>19</v>
      </c>
      <c r="AA11" s="334" t="s">
        <v>20</v>
      </c>
      <c r="AB11" s="334" t="s">
        <v>12</v>
      </c>
      <c r="AC11" s="344">
        <v>47.3</v>
      </c>
      <c r="AD11" s="343"/>
      <c r="AG11" s="344"/>
      <c r="AL11" s="343"/>
      <c r="AO11" s="344"/>
      <c r="AS11" s="344"/>
      <c r="AW11" s="344"/>
      <c r="BA11" s="345"/>
    </row>
    <row r="12" spans="1:53" s="334" customFormat="1">
      <c r="A12" s="386">
        <v>1962</v>
      </c>
      <c r="B12" s="380"/>
      <c r="C12" s="992" t="s">
        <v>29</v>
      </c>
      <c r="D12" s="992"/>
      <c r="E12" s="334">
        <v>0</v>
      </c>
      <c r="F12" s="345"/>
      <c r="G12" s="419"/>
      <c r="H12" s="334">
        <v>6</v>
      </c>
      <c r="I12" s="334">
        <v>6</v>
      </c>
      <c r="J12" s="420">
        <v>12</v>
      </c>
      <c r="K12" s="383">
        <f t="shared" si="0"/>
        <v>0</v>
      </c>
      <c r="L12" s="384">
        <f t="shared" si="1"/>
        <v>50</v>
      </c>
      <c r="M12" s="384">
        <f t="shared" si="2"/>
        <v>50</v>
      </c>
      <c r="N12" s="385">
        <f t="shared" si="3"/>
        <v>100</v>
      </c>
      <c r="O12" s="384"/>
      <c r="P12" s="384">
        <v>47.9</v>
      </c>
      <c r="Q12" s="384">
        <v>47.3</v>
      </c>
      <c r="R12" s="421">
        <f t="shared" si="4"/>
        <v>95.199999999999989</v>
      </c>
      <c r="S12" s="396">
        <v>2</v>
      </c>
      <c r="T12" s="355"/>
      <c r="U12" s="422"/>
      <c r="V12" s="334" t="s">
        <v>16</v>
      </c>
      <c r="W12" s="334" t="s">
        <v>17</v>
      </c>
      <c r="X12" s="334" t="s">
        <v>18</v>
      </c>
      <c r="Y12" s="334">
        <v>47.9</v>
      </c>
      <c r="Z12" s="343" t="s">
        <v>19</v>
      </c>
      <c r="AA12" s="334" t="s">
        <v>20</v>
      </c>
      <c r="AB12" s="334" t="s">
        <v>12</v>
      </c>
      <c r="AC12" s="344">
        <v>47.3</v>
      </c>
      <c r="AD12" s="343"/>
      <c r="AG12" s="344"/>
      <c r="AL12" s="343"/>
      <c r="AO12" s="344"/>
      <c r="AS12" s="344"/>
      <c r="AW12" s="344"/>
      <c r="BA12" s="345"/>
    </row>
    <row r="13" spans="1:53" s="334" customFormat="1">
      <c r="A13" s="386">
        <v>1962</v>
      </c>
      <c r="B13" s="380"/>
      <c r="C13" s="992" t="s">
        <v>29</v>
      </c>
      <c r="D13" s="992"/>
      <c r="E13" s="334">
        <v>365</v>
      </c>
      <c r="F13" s="345"/>
      <c r="G13" s="419"/>
      <c r="H13" s="334">
        <v>6</v>
      </c>
      <c r="I13" s="334">
        <v>6</v>
      </c>
      <c r="J13" s="420">
        <v>12</v>
      </c>
      <c r="K13" s="383">
        <f t="shared" si="0"/>
        <v>0</v>
      </c>
      <c r="L13" s="384">
        <f t="shared" si="1"/>
        <v>50</v>
      </c>
      <c r="M13" s="384">
        <f t="shared" si="2"/>
        <v>50</v>
      </c>
      <c r="N13" s="385">
        <f t="shared" si="3"/>
        <v>100</v>
      </c>
      <c r="O13" s="384"/>
      <c r="P13" s="384">
        <v>47.9</v>
      </c>
      <c r="Q13" s="384">
        <v>47.3</v>
      </c>
      <c r="R13" s="421">
        <f t="shared" si="4"/>
        <v>95.199999999999989</v>
      </c>
      <c r="S13" s="396">
        <v>2</v>
      </c>
      <c r="T13" s="355">
        <v>22968</v>
      </c>
      <c r="U13" s="422"/>
      <c r="V13" s="334" t="s">
        <v>16</v>
      </c>
      <c r="W13" s="334" t="s">
        <v>17</v>
      </c>
      <c r="X13" s="334" t="s">
        <v>18</v>
      </c>
      <c r="Y13" s="334">
        <v>47.9</v>
      </c>
      <c r="Z13" s="343" t="s">
        <v>19</v>
      </c>
      <c r="AA13" s="334" t="s">
        <v>20</v>
      </c>
      <c r="AB13" s="334" t="s">
        <v>12</v>
      </c>
      <c r="AC13" s="344">
        <v>47.3</v>
      </c>
      <c r="AD13" s="343"/>
      <c r="AG13" s="344"/>
      <c r="AL13" s="343"/>
      <c r="AO13" s="344"/>
      <c r="AS13" s="344"/>
      <c r="AW13" s="344"/>
      <c r="BA13" s="345"/>
    </row>
    <row r="14" spans="1:53" s="334" customFormat="1">
      <c r="A14" s="386">
        <v>1962.6</v>
      </c>
      <c r="B14" s="380"/>
      <c r="C14" s="992" t="s">
        <v>29</v>
      </c>
      <c r="D14" s="992"/>
      <c r="E14" s="334">
        <v>82</v>
      </c>
      <c r="F14" s="345"/>
      <c r="G14" s="419"/>
      <c r="H14" s="334">
        <v>6</v>
      </c>
      <c r="I14" s="334">
        <v>6</v>
      </c>
      <c r="J14" s="420">
        <v>12</v>
      </c>
      <c r="K14" s="383">
        <f t="shared" si="0"/>
        <v>0</v>
      </c>
      <c r="L14" s="384">
        <f t="shared" si="1"/>
        <v>50</v>
      </c>
      <c r="M14" s="384">
        <f t="shared" si="2"/>
        <v>50</v>
      </c>
      <c r="N14" s="385">
        <f t="shared" si="3"/>
        <v>100</v>
      </c>
      <c r="O14" s="384"/>
      <c r="P14" s="384">
        <v>47.9</v>
      </c>
      <c r="Q14" s="384">
        <v>47.3</v>
      </c>
      <c r="R14" s="421">
        <f t="shared" si="4"/>
        <v>95.199999999999989</v>
      </c>
      <c r="S14" s="396">
        <v>2</v>
      </c>
      <c r="T14" s="355"/>
      <c r="U14" s="422"/>
      <c r="V14" s="334" t="s">
        <v>16</v>
      </c>
      <c r="W14" s="334" t="s">
        <v>17</v>
      </c>
      <c r="X14" s="334" t="s">
        <v>18</v>
      </c>
      <c r="Y14" s="334">
        <v>47.9</v>
      </c>
      <c r="Z14" s="343" t="s">
        <v>19</v>
      </c>
      <c r="AA14" s="334" t="s">
        <v>20</v>
      </c>
      <c r="AB14" s="334" t="s">
        <v>12</v>
      </c>
      <c r="AC14" s="344">
        <v>47.3</v>
      </c>
      <c r="AD14" s="343"/>
      <c r="AG14" s="344"/>
      <c r="AL14" s="343"/>
      <c r="AO14" s="344"/>
      <c r="AS14" s="344"/>
      <c r="AW14" s="344"/>
      <c r="BA14" s="345"/>
    </row>
    <row r="15" spans="1:53" s="73" customFormat="1">
      <c r="A15" s="102">
        <v>1963.05714285714</v>
      </c>
      <c r="B15" s="88">
        <v>23094</v>
      </c>
      <c r="C15" s="988" t="s">
        <v>30</v>
      </c>
      <c r="D15" s="988"/>
      <c r="E15" s="73">
        <v>283</v>
      </c>
      <c r="F15" s="84">
        <v>1</v>
      </c>
      <c r="G15" s="123"/>
      <c r="H15" s="73">
        <v>6</v>
      </c>
      <c r="I15" s="73">
        <v>6</v>
      </c>
      <c r="J15" s="130">
        <v>12</v>
      </c>
      <c r="K15" s="91">
        <f t="shared" si="0"/>
        <v>0</v>
      </c>
      <c r="L15" s="92">
        <f t="shared" si="1"/>
        <v>50</v>
      </c>
      <c r="M15" s="92">
        <f t="shared" si="2"/>
        <v>50</v>
      </c>
      <c r="N15" s="93">
        <f t="shared" si="3"/>
        <v>100</v>
      </c>
      <c r="O15" s="92"/>
      <c r="P15" s="92">
        <v>49.1</v>
      </c>
      <c r="Q15" s="92">
        <v>46.1</v>
      </c>
      <c r="R15" s="125">
        <f t="shared" si="4"/>
        <v>95.2</v>
      </c>
      <c r="S15" s="126">
        <v>2</v>
      </c>
      <c r="T15" s="85"/>
      <c r="U15" s="127">
        <v>23094</v>
      </c>
      <c r="V15" s="73" t="s">
        <v>16</v>
      </c>
      <c r="W15" s="73" t="s">
        <v>17</v>
      </c>
      <c r="X15" s="73" t="s">
        <v>18</v>
      </c>
      <c r="Y15" s="73">
        <v>49.1</v>
      </c>
      <c r="Z15" s="82" t="s">
        <v>19</v>
      </c>
      <c r="AA15" s="73" t="s">
        <v>20</v>
      </c>
      <c r="AB15" s="73" t="s">
        <v>12</v>
      </c>
      <c r="AC15" s="83">
        <v>46.1</v>
      </c>
      <c r="AD15" s="82"/>
      <c r="AG15" s="83"/>
      <c r="AL15" s="82"/>
      <c r="AO15" s="83"/>
      <c r="AS15" s="83"/>
      <c r="AW15" s="83"/>
      <c r="BA15" s="84"/>
    </row>
    <row r="16" spans="1:53" s="73" customFormat="1">
      <c r="A16" s="102">
        <v>1963.5142857142901</v>
      </c>
      <c r="B16" s="88"/>
      <c r="C16" s="988" t="s">
        <v>30</v>
      </c>
      <c r="D16" s="988"/>
      <c r="E16" s="73">
        <v>93</v>
      </c>
      <c r="F16" s="84"/>
      <c r="G16" s="123"/>
      <c r="H16" s="73">
        <v>6</v>
      </c>
      <c r="I16" s="73">
        <v>6</v>
      </c>
      <c r="J16" s="130">
        <v>12</v>
      </c>
      <c r="K16" s="91">
        <f>G16/J16*100</f>
        <v>0</v>
      </c>
      <c r="L16" s="92">
        <f>H16/J16*100</f>
        <v>50</v>
      </c>
      <c r="M16" s="92">
        <f>I16/J16*100</f>
        <v>50</v>
      </c>
      <c r="N16" s="93">
        <f t="shared" si="3"/>
        <v>100</v>
      </c>
      <c r="O16" s="92"/>
      <c r="P16" s="92">
        <v>49.1</v>
      </c>
      <c r="Q16" s="92">
        <v>46.1</v>
      </c>
      <c r="R16" s="125">
        <f t="shared" si="4"/>
        <v>95.2</v>
      </c>
      <c r="S16" s="126">
        <v>2</v>
      </c>
      <c r="T16" s="85"/>
      <c r="U16" s="127"/>
      <c r="V16" s="73" t="s">
        <v>16</v>
      </c>
      <c r="W16" s="73" t="s">
        <v>17</v>
      </c>
      <c r="X16" s="73" t="s">
        <v>18</v>
      </c>
      <c r="Y16" s="73">
        <v>49.1</v>
      </c>
      <c r="Z16" s="82" t="s">
        <v>19</v>
      </c>
      <c r="AA16" s="73" t="s">
        <v>20</v>
      </c>
      <c r="AB16" s="73" t="s">
        <v>12</v>
      </c>
      <c r="AC16" s="83">
        <v>46.1</v>
      </c>
      <c r="AD16" s="82"/>
      <c r="AG16" s="83"/>
      <c r="AL16" s="82"/>
      <c r="AO16" s="83"/>
      <c r="AS16" s="83"/>
      <c r="AW16" s="83"/>
      <c r="BA16" s="84"/>
    </row>
    <row r="17" spans="1:53" s="334" customFormat="1">
      <c r="A17" s="386">
        <v>1963.9714285714299</v>
      </c>
      <c r="B17" s="380">
        <v>23470</v>
      </c>
      <c r="C17" s="965" t="s">
        <v>31</v>
      </c>
      <c r="D17" s="965"/>
      <c r="E17" s="334">
        <v>273</v>
      </c>
      <c r="F17" s="345">
        <v>2</v>
      </c>
      <c r="G17" s="419"/>
      <c r="H17" s="334">
        <v>6</v>
      </c>
      <c r="I17" s="334">
        <v>6</v>
      </c>
      <c r="J17" s="420">
        <v>12</v>
      </c>
      <c r="K17" s="383">
        <f t="shared" ref="K17:K23" si="5">G17/J17*100</f>
        <v>0</v>
      </c>
      <c r="L17" s="384">
        <f t="shared" ref="L17:L23" si="6">H17/J17*100</f>
        <v>50</v>
      </c>
      <c r="M17" s="384">
        <f t="shared" ref="M17:M23" si="7">I17/J17*100</f>
        <v>50</v>
      </c>
      <c r="N17" s="385">
        <f t="shared" si="3"/>
        <v>100</v>
      </c>
      <c r="O17" s="384"/>
      <c r="P17" s="384">
        <v>49.1</v>
      </c>
      <c r="Q17" s="384">
        <v>46.1</v>
      </c>
      <c r="R17" s="421">
        <f t="shared" si="4"/>
        <v>95.2</v>
      </c>
      <c r="S17" s="396">
        <v>2</v>
      </c>
      <c r="T17" s="355"/>
      <c r="U17" s="422">
        <v>23470</v>
      </c>
      <c r="V17" s="334" t="s">
        <v>16</v>
      </c>
      <c r="W17" s="334" t="s">
        <v>17</v>
      </c>
      <c r="X17" s="334" t="s">
        <v>18</v>
      </c>
      <c r="Y17" s="334">
        <v>49.1</v>
      </c>
      <c r="Z17" s="343" t="s">
        <v>19</v>
      </c>
      <c r="AA17" s="334" t="s">
        <v>20</v>
      </c>
      <c r="AB17" s="334" t="s">
        <v>12</v>
      </c>
      <c r="AC17" s="344">
        <v>46.1</v>
      </c>
      <c r="AD17" s="343"/>
      <c r="AG17" s="344"/>
      <c r="AL17" s="343"/>
      <c r="AO17" s="344"/>
      <c r="AS17" s="344"/>
      <c r="AW17" s="344"/>
      <c r="BA17" s="345"/>
    </row>
    <row r="18" spans="1:53" s="334" customFormat="1">
      <c r="A18" s="386">
        <v>1965</v>
      </c>
      <c r="B18" s="380"/>
      <c r="C18" s="965" t="s">
        <v>31</v>
      </c>
      <c r="D18" s="965"/>
      <c r="E18" s="334">
        <v>295</v>
      </c>
      <c r="F18" s="345"/>
      <c r="G18" s="419"/>
      <c r="H18" s="334">
        <v>6</v>
      </c>
      <c r="I18" s="334">
        <v>6</v>
      </c>
      <c r="J18" s="420">
        <v>12</v>
      </c>
      <c r="K18" s="383">
        <f t="shared" si="5"/>
        <v>0</v>
      </c>
      <c r="L18" s="384">
        <f t="shared" si="6"/>
        <v>50</v>
      </c>
      <c r="M18" s="384">
        <f t="shared" si="7"/>
        <v>50</v>
      </c>
      <c r="N18" s="385">
        <f t="shared" si="3"/>
        <v>100</v>
      </c>
      <c r="O18" s="384"/>
      <c r="P18" s="384">
        <v>49.1</v>
      </c>
      <c r="Q18" s="384">
        <v>46.1</v>
      </c>
      <c r="R18" s="421">
        <f t="shared" si="4"/>
        <v>95.2</v>
      </c>
      <c r="S18" s="396">
        <v>2</v>
      </c>
      <c r="T18" s="355"/>
      <c r="U18" s="422"/>
      <c r="V18" s="334" t="s">
        <v>16</v>
      </c>
      <c r="W18" s="334" t="s">
        <v>17</v>
      </c>
      <c r="X18" s="334" t="s">
        <v>18</v>
      </c>
      <c r="Y18" s="334">
        <v>49.1</v>
      </c>
      <c r="Z18" s="343" t="s">
        <v>19</v>
      </c>
      <c r="AA18" s="334" t="s">
        <v>20</v>
      </c>
      <c r="AB18" s="334" t="s">
        <v>12</v>
      </c>
      <c r="AC18" s="344">
        <v>46.1</v>
      </c>
      <c r="AD18" s="343"/>
      <c r="AG18" s="344"/>
      <c r="AL18" s="343"/>
      <c r="AO18" s="344"/>
      <c r="AS18" s="344"/>
      <c r="AW18" s="344"/>
      <c r="BA18" s="345"/>
    </row>
    <row r="19" spans="1:53" s="334" customFormat="1">
      <c r="A19" s="386">
        <v>1964.88571428572</v>
      </c>
      <c r="B19" s="423">
        <v>24038</v>
      </c>
      <c r="C19" s="965" t="s">
        <v>31</v>
      </c>
      <c r="D19" s="965"/>
      <c r="E19" s="334">
        <v>70</v>
      </c>
      <c r="F19" s="424">
        <v>0</v>
      </c>
      <c r="G19" s="419"/>
      <c r="H19" s="334">
        <v>6</v>
      </c>
      <c r="I19" s="334">
        <v>6</v>
      </c>
      <c r="J19" s="420">
        <v>12</v>
      </c>
      <c r="K19" s="383">
        <f t="shared" si="5"/>
        <v>0</v>
      </c>
      <c r="L19" s="384">
        <f t="shared" si="6"/>
        <v>50</v>
      </c>
      <c r="M19" s="384">
        <f t="shared" si="7"/>
        <v>50</v>
      </c>
      <c r="N19" s="385">
        <f t="shared" si="3"/>
        <v>100</v>
      </c>
      <c r="O19" s="384"/>
      <c r="P19" s="384">
        <v>49.1</v>
      </c>
      <c r="Q19" s="384">
        <v>46.1</v>
      </c>
      <c r="R19" s="421">
        <f t="shared" si="4"/>
        <v>95.2</v>
      </c>
      <c r="S19" s="396">
        <v>2</v>
      </c>
      <c r="T19" s="355"/>
      <c r="U19" s="422"/>
      <c r="V19" s="334" t="s">
        <v>16</v>
      </c>
      <c r="W19" s="334" t="s">
        <v>17</v>
      </c>
      <c r="X19" s="334" t="s">
        <v>18</v>
      </c>
      <c r="Y19" s="334">
        <v>49.1</v>
      </c>
      <c r="Z19" s="343" t="s">
        <v>19</v>
      </c>
      <c r="AA19" s="334" t="s">
        <v>20</v>
      </c>
      <c r="AB19" s="334" t="s">
        <v>12</v>
      </c>
      <c r="AC19" s="344">
        <v>46.1</v>
      </c>
      <c r="AD19" s="343"/>
      <c r="AG19" s="344"/>
      <c r="AL19" s="343"/>
      <c r="AO19" s="344"/>
      <c r="AS19" s="344"/>
      <c r="AW19" s="344"/>
      <c r="BA19" s="345"/>
    </row>
    <row r="20" spans="1:53" s="334" customFormat="1">
      <c r="A20" s="386">
        <v>1966</v>
      </c>
      <c r="B20" s="380"/>
      <c r="C20" s="965" t="s">
        <v>31</v>
      </c>
      <c r="D20" s="965"/>
      <c r="E20" s="334">
        <v>108</v>
      </c>
      <c r="F20" s="345"/>
      <c r="G20" s="419"/>
      <c r="H20" s="334">
        <v>6</v>
      </c>
      <c r="I20" s="334">
        <v>6</v>
      </c>
      <c r="J20" s="420">
        <v>12</v>
      </c>
      <c r="K20" s="383">
        <f t="shared" si="5"/>
        <v>0</v>
      </c>
      <c r="L20" s="384">
        <f t="shared" si="6"/>
        <v>50</v>
      </c>
      <c r="M20" s="384">
        <f t="shared" si="7"/>
        <v>50</v>
      </c>
      <c r="N20" s="385">
        <f t="shared" si="3"/>
        <v>100</v>
      </c>
      <c r="O20" s="384"/>
      <c r="P20" s="384">
        <v>49.1</v>
      </c>
      <c r="Q20" s="384">
        <v>46.1</v>
      </c>
      <c r="R20" s="421">
        <f t="shared" si="4"/>
        <v>95.2</v>
      </c>
      <c r="S20" s="396">
        <v>2</v>
      </c>
      <c r="T20" s="355"/>
      <c r="U20" s="422"/>
      <c r="V20" s="334" t="s">
        <v>16</v>
      </c>
      <c r="W20" s="334" t="s">
        <v>17</v>
      </c>
      <c r="X20" s="334" t="s">
        <v>18</v>
      </c>
      <c r="Y20" s="334">
        <v>49.1</v>
      </c>
      <c r="Z20" s="343" t="s">
        <v>19</v>
      </c>
      <c r="AA20" s="334" t="s">
        <v>20</v>
      </c>
      <c r="AB20" s="334" t="s">
        <v>12</v>
      </c>
      <c r="AC20" s="344">
        <v>46.1</v>
      </c>
      <c r="AD20" s="343"/>
      <c r="AG20" s="344"/>
      <c r="AL20" s="343"/>
      <c r="AO20" s="344"/>
      <c r="AS20" s="344"/>
      <c r="AW20" s="344"/>
      <c r="BA20" s="345"/>
    </row>
    <row r="21" spans="1:53" s="73" customFormat="1">
      <c r="A21" s="102">
        <v>1965.8</v>
      </c>
      <c r="B21" s="88">
        <v>24216</v>
      </c>
      <c r="C21" s="966" t="s">
        <v>32</v>
      </c>
      <c r="D21" s="966"/>
      <c r="E21" s="73">
        <v>257</v>
      </c>
      <c r="F21" s="84">
        <v>1</v>
      </c>
      <c r="G21" s="123"/>
      <c r="H21" s="73">
        <v>13</v>
      </c>
      <c r="J21" s="130">
        <v>13</v>
      </c>
      <c r="K21" s="91">
        <f t="shared" si="5"/>
        <v>0</v>
      </c>
      <c r="L21" s="92">
        <f t="shared" si="6"/>
        <v>100</v>
      </c>
      <c r="M21" s="92">
        <f t="shared" si="7"/>
        <v>0</v>
      </c>
      <c r="N21" s="93">
        <f t="shared" si="3"/>
        <v>100</v>
      </c>
      <c r="O21" s="92"/>
      <c r="P21" s="92">
        <v>51.5</v>
      </c>
      <c r="Q21" s="92"/>
      <c r="R21" s="125">
        <f t="shared" si="4"/>
        <v>51.5</v>
      </c>
      <c r="S21" s="126">
        <v>1</v>
      </c>
      <c r="T21" s="85">
        <v>24172</v>
      </c>
      <c r="U21" s="127">
        <v>24216</v>
      </c>
      <c r="V21" s="73" t="s">
        <v>16</v>
      </c>
      <c r="W21" s="73" t="s">
        <v>17</v>
      </c>
      <c r="X21" s="73" t="s">
        <v>18</v>
      </c>
      <c r="Y21" s="73">
        <v>51.5</v>
      </c>
      <c r="Z21" s="82"/>
      <c r="AC21" s="83"/>
      <c r="AD21" s="82"/>
      <c r="AG21" s="83"/>
      <c r="AL21" s="82"/>
      <c r="AO21" s="83"/>
      <c r="AS21" s="83"/>
      <c r="AW21" s="83"/>
      <c r="BA21" s="84"/>
    </row>
    <row r="22" spans="1:53" s="73" customFormat="1">
      <c r="A22" s="102">
        <v>1967</v>
      </c>
      <c r="B22" s="88"/>
      <c r="C22" s="966" t="s">
        <v>32</v>
      </c>
      <c r="D22" s="966"/>
      <c r="E22" s="73">
        <v>0</v>
      </c>
      <c r="F22" s="84"/>
      <c r="G22" s="123"/>
      <c r="H22" s="73">
        <v>13</v>
      </c>
      <c r="J22" s="130">
        <v>13</v>
      </c>
      <c r="K22" s="91">
        <f t="shared" si="5"/>
        <v>0</v>
      </c>
      <c r="L22" s="92">
        <f t="shared" si="6"/>
        <v>100</v>
      </c>
      <c r="M22" s="92">
        <f t="shared" si="7"/>
        <v>0</v>
      </c>
      <c r="N22" s="93">
        <f t="shared" si="3"/>
        <v>100</v>
      </c>
      <c r="O22" s="92"/>
      <c r="P22" s="92">
        <v>51.5</v>
      </c>
      <c r="Q22" s="92"/>
      <c r="R22" s="125">
        <f t="shared" si="4"/>
        <v>51.5</v>
      </c>
      <c r="S22" s="126">
        <v>1</v>
      </c>
      <c r="T22" s="85"/>
      <c r="U22" s="127"/>
      <c r="V22" s="73" t="s">
        <v>16</v>
      </c>
      <c r="W22" s="73" t="s">
        <v>17</v>
      </c>
      <c r="X22" s="73" t="s">
        <v>18</v>
      </c>
      <c r="Y22" s="73">
        <v>51.5</v>
      </c>
      <c r="Z22" s="82"/>
      <c r="AC22" s="83"/>
      <c r="AD22" s="82"/>
      <c r="AG22" s="83"/>
      <c r="AL22" s="82"/>
      <c r="AO22" s="83"/>
      <c r="AS22" s="83"/>
      <c r="AW22" s="83"/>
      <c r="BA22" s="84"/>
    </row>
    <row r="23" spans="1:53" s="73" customFormat="1">
      <c r="A23" s="102">
        <v>1966.7142857142901</v>
      </c>
      <c r="B23" s="88"/>
      <c r="C23" s="966" t="s">
        <v>32</v>
      </c>
      <c r="D23" s="966"/>
      <c r="E23" s="73">
        <v>365</v>
      </c>
      <c r="F23" s="84"/>
      <c r="G23" s="123"/>
      <c r="H23" s="73">
        <v>13</v>
      </c>
      <c r="J23" s="130">
        <v>13</v>
      </c>
      <c r="K23" s="91">
        <f t="shared" si="5"/>
        <v>0</v>
      </c>
      <c r="L23" s="92">
        <f t="shared" si="6"/>
        <v>100</v>
      </c>
      <c r="M23" s="92">
        <f t="shared" si="7"/>
        <v>0</v>
      </c>
      <c r="N23" s="93">
        <f t="shared" si="3"/>
        <v>100</v>
      </c>
      <c r="O23" s="92"/>
      <c r="P23" s="92">
        <v>51.5</v>
      </c>
      <c r="Q23" s="92"/>
      <c r="R23" s="125">
        <f t="shared" si="4"/>
        <v>51.5</v>
      </c>
      <c r="S23" s="126">
        <v>1</v>
      </c>
      <c r="T23" s="85"/>
      <c r="U23" s="127"/>
      <c r="V23" s="73" t="s">
        <v>16</v>
      </c>
      <c r="W23" s="73" t="s">
        <v>17</v>
      </c>
      <c r="X23" s="73" t="s">
        <v>18</v>
      </c>
      <c r="Y23" s="73">
        <v>51.5</v>
      </c>
      <c r="Z23" s="82"/>
      <c r="AC23" s="83"/>
      <c r="AD23" s="82"/>
      <c r="AG23" s="83"/>
      <c r="AL23" s="82"/>
      <c r="AO23" s="83"/>
      <c r="AS23" s="83"/>
      <c r="AW23" s="83"/>
      <c r="BA23" s="84"/>
    </row>
    <row r="24" spans="1:53" s="73" customFormat="1">
      <c r="A24" s="102">
        <v>1968</v>
      </c>
      <c r="B24" s="88"/>
      <c r="C24" s="966" t="s">
        <v>32</v>
      </c>
      <c r="D24" s="966"/>
      <c r="E24" s="73">
        <v>0</v>
      </c>
      <c r="F24" s="84"/>
      <c r="G24" s="123"/>
      <c r="H24" s="73">
        <v>13</v>
      </c>
      <c r="J24" s="130">
        <v>13</v>
      </c>
      <c r="K24" s="91">
        <f>G24/J24*100</f>
        <v>0</v>
      </c>
      <c r="L24" s="92">
        <f>H24/J24*100</f>
        <v>100</v>
      </c>
      <c r="M24" s="92">
        <f>I24/J24*100</f>
        <v>0</v>
      </c>
      <c r="N24" s="93">
        <f t="shared" si="3"/>
        <v>100</v>
      </c>
      <c r="O24" s="92"/>
      <c r="P24" s="92">
        <v>51.5</v>
      </c>
      <c r="Q24" s="92"/>
      <c r="R24" s="125">
        <f t="shared" si="4"/>
        <v>51.5</v>
      </c>
      <c r="S24" s="126">
        <v>1</v>
      </c>
      <c r="T24" s="85"/>
      <c r="U24" s="127"/>
      <c r="V24" s="73" t="s">
        <v>16</v>
      </c>
      <c r="W24" s="73" t="s">
        <v>17</v>
      </c>
      <c r="X24" s="73" t="s">
        <v>18</v>
      </c>
      <c r="Y24" s="73">
        <v>51.5</v>
      </c>
      <c r="Z24" s="82"/>
      <c r="AC24" s="83"/>
      <c r="AD24" s="82"/>
      <c r="AG24" s="83"/>
      <c r="AL24" s="82"/>
      <c r="AO24" s="83"/>
      <c r="AS24" s="83"/>
      <c r="AW24" s="83"/>
      <c r="BA24" s="84"/>
    </row>
    <row r="25" spans="1:53" s="73" customFormat="1">
      <c r="A25" s="102">
        <v>1967.62857142857</v>
      </c>
      <c r="B25" s="88"/>
      <c r="C25" s="966" t="s">
        <v>32</v>
      </c>
      <c r="D25" s="966"/>
      <c r="E25" s="73">
        <v>366</v>
      </c>
      <c r="F25" s="84"/>
      <c r="G25" s="123"/>
      <c r="H25" s="73">
        <v>13</v>
      </c>
      <c r="J25" s="130">
        <v>13</v>
      </c>
      <c r="K25" s="91">
        <f t="shared" ref="K25:K31" si="8">G25/J25*100</f>
        <v>0</v>
      </c>
      <c r="L25" s="92">
        <f t="shared" ref="L25:L31" si="9">H25/J25*100</f>
        <v>100</v>
      </c>
      <c r="M25" s="92">
        <f t="shared" ref="M25:M31" si="10">I25/J25*100</f>
        <v>0</v>
      </c>
      <c r="N25" s="93">
        <f t="shared" si="3"/>
        <v>100</v>
      </c>
      <c r="O25" s="92"/>
      <c r="P25" s="92">
        <v>51.5</v>
      </c>
      <c r="Q25" s="92"/>
      <c r="R25" s="125">
        <f t="shared" si="4"/>
        <v>51.5</v>
      </c>
      <c r="S25" s="126">
        <v>1</v>
      </c>
      <c r="T25" s="85"/>
      <c r="U25" s="127"/>
      <c r="V25" s="73" t="s">
        <v>16</v>
      </c>
      <c r="W25" s="73" t="s">
        <v>17</v>
      </c>
      <c r="X25" s="73" t="s">
        <v>18</v>
      </c>
      <c r="Y25" s="73">
        <v>51.5</v>
      </c>
      <c r="Z25" s="82"/>
      <c r="AC25" s="83"/>
      <c r="AD25" s="82"/>
      <c r="AG25" s="83"/>
      <c r="AL25" s="82"/>
      <c r="AO25" s="83"/>
      <c r="AS25" s="83"/>
      <c r="AW25" s="83"/>
      <c r="BA25" s="84"/>
    </row>
    <row r="26" spans="1:53" s="73" customFormat="1">
      <c r="A26" s="102">
        <v>1969</v>
      </c>
      <c r="B26" s="88"/>
      <c r="C26" s="966" t="s">
        <v>32</v>
      </c>
      <c r="D26" s="966"/>
      <c r="E26" s="73">
        <v>0</v>
      </c>
      <c r="F26" s="84"/>
      <c r="G26" s="123"/>
      <c r="H26" s="73">
        <v>13</v>
      </c>
      <c r="J26" s="130">
        <v>13</v>
      </c>
      <c r="K26" s="91">
        <f t="shared" si="8"/>
        <v>0</v>
      </c>
      <c r="L26" s="92">
        <f t="shared" si="9"/>
        <v>100</v>
      </c>
      <c r="M26" s="92">
        <f t="shared" si="10"/>
        <v>0</v>
      </c>
      <c r="N26" s="93">
        <f t="shared" si="3"/>
        <v>100</v>
      </c>
      <c r="O26" s="92"/>
      <c r="P26" s="92">
        <v>51.5</v>
      </c>
      <c r="Q26" s="92"/>
      <c r="R26" s="125">
        <f t="shared" si="4"/>
        <v>51.5</v>
      </c>
      <c r="S26" s="126">
        <v>1</v>
      </c>
      <c r="T26" s="85"/>
      <c r="U26" s="127"/>
      <c r="V26" s="73" t="s">
        <v>16</v>
      </c>
      <c r="W26" s="73" t="s">
        <v>17</v>
      </c>
      <c r="X26" s="73" t="s">
        <v>18</v>
      </c>
      <c r="Y26" s="73">
        <v>51.5</v>
      </c>
      <c r="Z26" s="82"/>
      <c r="AC26" s="83"/>
      <c r="AD26" s="82"/>
      <c r="AG26" s="83"/>
      <c r="AL26" s="82"/>
      <c r="AO26" s="83"/>
      <c r="AS26" s="83"/>
      <c r="AW26" s="83"/>
      <c r="BA26" s="84"/>
    </row>
    <row r="27" spans="1:53" s="73" customFormat="1">
      <c r="A27" s="102">
        <v>1968.5428571428599</v>
      </c>
      <c r="B27" s="88"/>
      <c r="C27" s="966" t="s">
        <v>32</v>
      </c>
      <c r="D27" s="966"/>
      <c r="E27" s="73">
        <v>365</v>
      </c>
      <c r="F27" s="84"/>
      <c r="G27" s="123"/>
      <c r="H27" s="73">
        <v>13</v>
      </c>
      <c r="J27" s="130">
        <v>13</v>
      </c>
      <c r="K27" s="91">
        <f t="shared" si="8"/>
        <v>0</v>
      </c>
      <c r="L27" s="92">
        <f t="shared" si="9"/>
        <v>100</v>
      </c>
      <c r="M27" s="92">
        <f t="shared" si="10"/>
        <v>0</v>
      </c>
      <c r="N27" s="93">
        <f t="shared" si="3"/>
        <v>100</v>
      </c>
      <c r="O27" s="92"/>
      <c r="P27" s="92">
        <v>51.5</v>
      </c>
      <c r="Q27" s="92"/>
      <c r="R27" s="125">
        <f t="shared" si="4"/>
        <v>51.5</v>
      </c>
      <c r="S27" s="126">
        <v>1</v>
      </c>
      <c r="T27" s="85"/>
      <c r="U27" s="127"/>
      <c r="V27" s="73" t="s">
        <v>16</v>
      </c>
      <c r="W27" s="73" t="s">
        <v>17</v>
      </c>
      <c r="X27" s="73" t="s">
        <v>18</v>
      </c>
      <c r="Y27" s="73">
        <v>51.5</v>
      </c>
      <c r="Z27" s="82"/>
      <c r="AC27" s="83"/>
      <c r="AD27" s="82"/>
      <c r="AG27" s="83"/>
      <c r="AL27" s="82"/>
      <c r="AO27" s="83"/>
      <c r="AS27" s="83"/>
      <c r="AW27" s="83"/>
      <c r="BA27" s="84"/>
    </row>
    <row r="28" spans="1:53" s="73" customFormat="1">
      <c r="A28" s="102">
        <v>1970</v>
      </c>
      <c r="B28" s="88"/>
      <c r="C28" s="966" t="s">
        <v>32</v>
      </c>
      <c r="D28" s="966"/>
      <c r="E28" s="73">
        <v>111</v>
      </c>
      <c r="F28" s="84"/>
      <c r="G28" s="123"/>
      <c r="H28" s="73">
        <v>13</v>
      </c>
      <c r="J28" s="130">
        <v>13</v>
      </c>
      <c r="K28" s="91">
        <f t="shared" si="8"/>
        <v>0</v>
      </c>
      <c r="L28" s="92">
        <f t="shared" si="9"/>
        <v>100</v>
      </c>
      <c r="M28" s="92">
        <f t="shared" si="10"/>
        <v>0</v>
      </c>
      <c r="N28" s="93">
        <f t="shared" si="3"/>
        <v>100</v>
      </c>
      <c r="O28" s="92"/>
      <c r="P28" s="92">
        <v>51.5</v>
      </c>
      <c r="Q28" s="92"/>
      <c r="R28" s="125">
        <f t="shared" si="4"/>
        <v>51.5</v>
      </c>
      <c r="S28" s="126">
        <v>1</v>
      </c>
      <c r="T28" s="85"/>
      <c r="U28" s="127"/>
      <c r="V28" s="73" t="s">
        <v>16</v>
      </c>
      <c r="W28" s="73" t="s">
        <v>17</v>
      </c>
      <c r="X28" s="73" t="s">
        <v>18</v>
      </c>
      <c r="Y28" s="73">
        <v>51.5</v>
      </c>
      <c r="Z28" s="82"/>
      <c r="AC28" s="83"/>
      <c r="AD28" s="82"/>
      <c r="AG28" s="83"/>
      <c r="AL28" s="82"/>
      <c r="AO28" s="83"/>
      <c r="AS28" s="83"/>
      <c r="AW28" s="83"/>
      <c r="BA28" s="84"/>
    </row>
    <row r="29" spans="1:53" s="334" customFormat="1">
      <c r="A29" s="386">
        <v>1970</v>
      </c>
      <c r="B29" s="380">
        <v>25680</v>
      </c>
      <c r="C29" s="965" t="s">
        <v>33</v>
      </c>
      <c r="D29" s="965"/>
      <c r="E29" s="334">
        <v>254</v>
      </c>
      <c r="F29" s="345">
        <v>1</v>
      </c>
      <c r="G29" s="419"/>
      <c r="I29" s="334">
        <v>12</v>
      </c>
      <c r="J29" s="420">
        <v>13</v>
      </c>
      <c r="K29" s="383">
        <f t="shared" si="8"/>
        <v>0</v>
      </c>
      <c r="L29" s="384">
        <f t="shared" si="9"/>
        <v>0</v>
      </c>
      <c r="M29" s="384">
        <f t="shared" si="10"/>
        <v>92.307692307692307</v>
      </c>
      <c r="N29" s="385">
        <f t="shared" si="3"/>
        <v>92.307692307692307</v>
      </c>
      <c r="O29" s="384"/>
      <c r="P29" s="384"/>
      <c r="Q29" s="384">
        <v>49.1</v>
      </c>
      <c r="R29" s="421">
        <f t="shared" si="4"/>
        <v>49.1</v>
      </c>
      <c r="S29" s="396">
        <v>4</v>
      </c>
      <c r="T29" s="355">
        <v>25628</v>
      </c>
      <c r="U29" s="422">
        <v>25680</v>
      </c>
      <c r="V29" s="334" t="s">
        <v>19</v>
      </c>
      <c r="W29" s="334" t="s">
        <v>20</v>
      </c>
      <c r="X29" s="334" t="s">
        <v>12</v>
      </c>
      <c r="Y29" s="334">
        <v>49.1</v>
      </c>
      <c r="Z29" s="343"/>
      <c r="AC29" s="344"/>
      <c r="AD29" s="343"/>
      <c r="AG29" s="344"/>
      <c r="AL29" s="343"/>
      <c r="AO29" s="344"/>
      <c r="AS29" s="344"/>
      <c r="AW29" s="344"/>
      <c r="BA29" s="345"/>
    </row>
    <row r="30" spans="1:53" s="334" customFormat="1">
      <c r="A30" s="386">
        <v>1971</v>
      </c>
      <c r="B30" s="380"/>
      <c r="C30" s="965" t="s">
        <v>33</v>
      </c>
      <c r="D30" s="965"/>
      <c r="E30" s="334">
        <v>294</v>
      </c>
      <c r="F30" s="345"/>
      <c r="G30" s="386"/>
      <c r="H30" s="386"/>
      <c r="I30" s="386">
        <v>12</v>
      </c>
      <c r="J30" s="420">
        <v>13</v>
      </c>
      <c r="K30" s="383">
        <f t="shared" si="8"/>
        <v>0</v>
      </c>
      <c r="L30" s="384">
        <f t="shared" si="9"/>
        <v>0</v>
      </c>
      <c r="M30" s="384">
        <f t="shared" si="10"/>
        <v>92.307692307692307</v>
      </c>
      <c r="N30" s="385">
        <f t="shared" si="3"/>
        <v>92.307692307692307</v>
      </c>
      <c r="O30" s="384"/>
      <c r="P30" s="384"/>
      <c r="Q30" s="384">
        <v>49.1</v>
      </c>
      <c r="R30" s="421">
        <f t="shared" si="4"/>
        <v>49.1</v>
      </c>
      <c r="S30" s="396">
        <v>4</v>
      </c>
      <c r="T30" s="355"/>
      <c r="U30" s="422"/>
      <c r="V30" s="334" t="s">
        <v>19</v>
      </c>
      <c r="W30" s="334" t="s">
        <v>20</v>
      </c>
      <c r="X30" s="334" t="s">
        <v>12</v>
      </c>
      <c r="Y30" s="334">
        <v>49.1</v>
      </c>
      <c r="Z30" s="343"/>
      <c r="AC30" s="344"/>
      <c r="AD30" s="343"/>
      <c r="AG30" s="344"/>
      <c r="AL30" s="343"/>
      <c r="AO30" s="344"/>
      <c r="AS30" s="344"/>
      <c r="AW30" s="344"/>
      <c r="BA30" s="345"/>
    </row>
    <row r="31" spans="1:53" s="73" customFormat="1">
      <c r="A31" s="102">
        <v>1971</v>
      </c>
      <c r="B31" s="88">
        <v>26228</v>
      </c>
      <c r="C31" s="966" t="s">
        <v>34</v>
      </c>
      <c r="D31" s="966"/>
      <c r="E31" s="73">
        <v>71</v>
      </c>
      <c r="F31" s="84">
        <v>1</v>
      </c>
      <c r="G31" s="123"/>
      <c r="H31" s="102"/>
      <c r="I31" s="102">
        <v>12</v>
      </c>
      <c r="J31" s="130">
        <v>14</v>
      </c>
      <c r="K31" s="91">
        <f t="shared" si="8"/>
        <v>0</v>
      </c>
      <c r="L31" s="92">
        <f t="shared" si="9"/>
        <v>0</v>
      </c>
      <c r="M31" s="92">
        <f t="shared" si="10"/>
        <v>85.714285714285708</v>
      </c>
      <c r="N31" s="93">
        <f t="shared" si="3"/>
        <v>85.714285714285708</v>
      </c>
      <c r="O31" s="92"/>
      <c r="P31" s="92"/>
      <c r="Q31" s="92">
        <v>50.8</v>
      </c>
      <c r="R31" s="125">
        <f t="shared" si="4"/>
        <v>50.8</v>
      </c>
      <c r="S31" s="126">
        <v>1</v>
      </c>
      <c r="T31" s="85">
        <v>26216</v>
      </c>
      <c r="U31" s="127">
        <v>26228</v>
      </c>
      <c r="V31" s="73" t="s">
        <v>19</v>
      </c>
      <c r="W31" s="73" t="s">
        <v>20</v>
      </c>
      <c r="X31" s="73" t="s">
        <v>12</v>
      </c>
      <c r="Y31" s="73">
        <v>50.8</v>
      </c>
      <c r="Z31" s="82"/>
      <c r="AC31" s="83"/>
      <c r="AD31" s="82"/>
      <c r="AG31" s="83"/>
      <c r="AL31" s="82"/>
      <c r="AO31" s="83"/>
      <c r="AS31" s="83"/>
      <c r="AW31" s="83"/>
      <c r="BA31" s="84"/>
    </row>
    <row r="32" spans="1:53" s="73" customFormat="1">
      <c r="A32" s="102">
        <v>1972</v>
      </c>
      <c r="B32" s="88"/>
      <c r="C32" s="966" t="s">
        <v>34</v>
      </c>
      <c r="D32" s="966"/>
      <c r="E32" s="73">
        <v>0</v>
      </c>
      <c r="F32" s="84"/>
      <c r="G32" s="123"/>
      <c r="I32" s="102">
        <v>12</v>
      </c>
      <c r="J32" s="130">
        <v>14</v>
      </c>
      <c r="K32" s="91">
        <f>G32/J32*100</f>
        <v>0</v>
      </c>
      <c r="L32" s="92">
        <f>H32/J32*100</f>
        <v>0</v>
      </c>
      <c r="M32" s="92">
        <f>I32/J32*100</f>
        <v>85.714285714285708</v>
      </c>
      <c r="N32" s="93">
        <f t="shared" si="3"/>
        <v>85.714285714285708</v>
      </c>
      <c r="O32" s="92"/>
      <c r="P32" s="92"/>
      <c r="Q32" s="92">
        <v>50.8</v>
      </c>
      <c r="R32" s="125">
        <f t="shared" si="4"/>
        <v>50.8</v>
      </c>
      <c r="S32" s="126">
        <v>1</v>
      </c>
      <c r="T32" s="85"/>
      <c r="U32" s="127"/>
      <c r="V32" s="73" t="s">
        <v>19</v>
      </c>
      <c r="W32" s="73" t="s">
        <v>20</v>
      </c>
      <c r="X32" s="73" t="s">
        <v>12</v>
      </c>
      <c r="Y32" s="73">
        <v>50.8</v>
      </c>
      <c r="Z32" s="82"/>
      <c r="AC32" s="83"/>
      <c r="AD32" s="82"/>
      <c r="AG32" s="83"/>
      <c r="AL32" s="82"/>
      <c r="AO32" s="83"/>
      <c r="AS32" s="83"/>
      <c r="AW32" s="83"/>
      <c r="BA32" s="84"/>
    </row>
    <row r="33" spans="1:53" s="73" customFormat="1">
      <c r="A33" s="102">
        <v>1972</v>
      </c>
      <c r="B33" s="88"/>
      <c r="C33" s="966" t="s">
        <v>34</v>
      </c>
      <c r="D33" s="966"/>
      <c r="E33" s="73">
        <v>366</v>
      </c>
      <c r="F33" s="84"/>
      <c r="G33" s="102"/>
      <c r="H33" s="102"/>
      <c r="I33" s="102">
        <v>12</v>
      </c>
      <c r="J33" s="130">
        <v>14</v>
      </c>
      <c r="K33" s="91">
        <f t="shared" ref="K33:K39" si="11">G33/J33*100</f>
        <v>0</v>
      </c>
      <c r="L33" s="92">
        <f t="shared" ref="L33:L39" si="12">H33/J33*100</f>
        <v>0</v>
      </c>
      <c r="M33" s="92">
        <f t="shared" ref="M33:M39" si="13">I33/J33*100</f>
        <v>85.714285714285708</v>
      </c>
      <c r="N33" s="93">
        <f t="shared" si="3"/>
        <v>85.714285714285708</v>
      </c>
      <c r="O33" s="92"/>
      <c r="P33" s="92"/>
      <c r="Q33" s="92">
        <v>50.8</v>
      </c>
      <c r="R33" s="125">
        <f t="shared" si="4"/>
        <v>50.8</v>
      </c>
      <c r="S33" s="126">
        <v>1</v>
      </c>
      <c r="T33" s="85"/>
      <c r="U33" s="127"/>
      <c r="V33" s="73" t="s">
        <v>19</v>
      </c>
      <c r="W33" s="73" t="s">
        <v>20</v>
      </c>
      <c r="X33" s="73" t="s">
        <v>12</v>
      </c>
      <c r="Y33" s="73">
        <v>50.8</v>
      </c>
      <c r="Z33" s="82"/>
      <c r="AC33" s="83"/>
      <c r="AD33" s="82"/>
      <c r="AG33" s="83"/>
      <c r="AL33" s="82"/>
      <c r="AO33" s="83"/>
      <c r="AS33" s="83"/>
      <c r="AW33" s="83"/>
      <c r="BA33" s="84"/>
    </row>
    <row r="34" spans="1:53" s="73" customFormat="1">
      <c r="A34" s="102">
        <v>1973</v>
      </c>
      <c r="B34" s="88"/>
      <c r="C34" s="966" t="s">
        <v>34</v>
      </c>
      <c r="D34" s="966"/>
      <c r="E34" s="73">
        <v>0</v>
      </c>
      <c r="F34" s="84"/>
      <c r="G34" s="123"/>
      <c r="H34" s="102"/>
      <c r="I34" s="102">
        <v>12</v>
      </c>
      <c r="J34" s="130">
        <v>14</v>
      </c>
      <c r="K34" s="91">
        <f t="shared" si="11"/>
        <v>0</v>
      </c>
      <c r="L34" s="92">
        <f t="shared" si="12"/>
        <v>0</v>
      </c>
      <c r="M34" s="92">
        <f t="shared" si="13"/>
        <v>85.714285714285708</v>
      </c>
      <c r="N34" s="93">
        <f t="shared" si="3"/>
        <v>85.714285714285708</v>
      </c>
      <c r="O34" s="92"/>
      <c r="P34" s="92"/>
      <c r="Q34" s="92">
        <v>50.8</v>
      </c>
      <c r="R34" s="125">
        <f t="shared" si="4"/>
        <v>50.8</v>
      </c>
      <c r="S34" s="126">
        <v>1</v>
      </c>
      <c r="T34" s="85"/>
      <c r="U34" s="127"/>
      <c r="V34" s="73" t="s">
        <v>19</v>
      </c>
      <c r="W34" s="73" t="s">
        <v>20</v>
      </c>
      <c r="X34" s="73" t="s">
        <v>12</v>
      </c>
      <c r="Y34" s="73">
        <v>50.8</v>
      </c>
      <c r="Z34" s="82"/>
      <c r="AC34" s="83"/>
      <c r="AD34" s="82"/>
      <c r="AG34" s="83"/>
      <c r="AL34" s="82"/>
      <c r="AO34" s="83"/>
      <c r="AS34" s="83"/>
      <c r="AW34" s="83"/>
      <c r="BA34" s="84"/>
    </row>
    <row r="35" spans="1:53" s="73" customFormat="1">
      <c r="A35" s="102">
        <v>1973</v>
      </c>
      <c r="B35" s="88"/>
      <c r="C35" s="966" t="s">
        <v>34</v>
      </c>
      <c r="D35" s="966"/>
      <c r="E35" s="73">
        <v>365</v>
      </c>
      <c r="F35" s="84"/>
      <c r="G35" s="123"/>
      <c r="I35" s="102">
        <v>12</v>
      </c>
      <c r="J35" s="130">
        <v>14</v>
      </c>
      <c r="K35" s="91">
        <f t="shared" si="11"/>
        <v>0</v>
      </c>
      <c r="L35" s="92">
        <f t="shared" si="12"/>
        <v>0</v>
      </c>
      <c r="M35" s="92">
        <f t="shared" si="13"/>
        <v>85.714285714285708</v>
      </c>
      <c r="N35" s="93">
        <f t="shared" si="3"/>
        <v>85.714285714285708</v>
      </c>
      <c r="O35" s="92"/>
      <c r="P35" s="92"/>
      <c r="Q35" s="92">
        <v>50.8</v>
      </c>
      <c r="R35" s="125">
        <f t="shared" si="4"/>
        <v>50.8</v>
      </c>
      <c r="S35" s="126">
        <v>1</v>
      </c>
      <c r="T35" s="85"/>
      <c r="U35" s="127"/>
      <c r="V35" s="73" t="s">
        <v>19</v>
      </c>
      <c r="W35" s="73" t="s">
        <v>20</v>
      </c>
      <c r="X35" s="73" t="s">
        <v>12</v>
      </c>
      <c r="Y35" s="73">
        <v>50.8</v>
      </c>
      <c r="Z35" s="82"/>
      <c r="AC35" s="83"/>
      <c r="AD35" s="82"/>
      <c r="AG35" s="83"/>
      <c r="AL35" s="82"/>
      <c r="AO35" s="83"/>
      <c r="AS35" s="83"/>
      <c r="AW35" s="83"/>
      <c r="BA35" s="84"/>
    </row>
    <row r="36" spans="1:53" s="73" customFormat="1">
      <c r="A36" s="102">
        <v>1974</v>
      </c>
      <c r="B36" s="88"/>
      <c r="C36" s="966" t="s">
        <v>34</v>
      </c>
      <c r="D36" s="966"/>
      <c r="E36" s="73">
        <v>0</v>
      </c>
      <c r="F36" s="84"/>
      <c r="G36" s="102"/>
      <c r="H36" s="102"/>
      <c r="I36" s="102">
        <v>12</v>
      </c>
      <c r="J36" s="130">
        <v>14</v>
      </c>
      <c r="K36" s="91">
        <f t="shared" si="11"/>
        <v>0</v>
      </c>
      <c r="L36" s="92">
        <f t="shared" si="12"/>
        <v>0</v>
      </c>
      <c r="M36" s="92">
        <f t="shared" si="13"/>
        <v>85.714285714285708</v>
      </c>
      <c r="N36" s="93">
        <f t="shared" si="3"/>
        <v>85.714285714285708</v>
      </c>
      <c r="O36" s="92"/>
      <c r="P36" s="92"/>
      <c r="Q36" s="92">
        <v>50.8</v>
      </c>
      <c r="R36" s="125">
        <f t="shared" si="4"/>
        <v>50.8</v>
      </c>
      <c r="S36" s="126">
        <v>1</v>
      </c>
      <c r="T36" s="85"/>
      <c r="U36" s="127"/>
      <c r="V36" s="73" t="s">
        <v>19</v>
      </c>
      <c r="W36" s="73" t="s">
        <v>20</v>
      </c>
      <c r="X36" s="73" t="s">
        <v>12</v>
      </c>
      <c r="Y36" s="73">
        <v>50.8</v>
      </c>
      <c r="Z36" s="82"/>
      <c r="AC36" s="83"/>
      <c r="AD36" s="82"/>
      <c r="AG36" s="83"/>
      <c r="AL36" s="82"/>
      <c r="AO36" s="83"/>
      <c r="AS36" s="83"/>
      <c r="AW36" s="83"/>
      <c r="BA36" s="84"/>
    </row>
    <row r="37" spans="1:53" s="73" customFormat="1">
      <c r="A37" s="102">
        <v>1974</v>
      </c>
      <c r="B37" s="88"/>
      <c r="C37" s="966" t="s">
        <v>34</v>
      </c>
      <c r="D37" s="966"/>
      <c r="E37" s="73">
        <v>365</v>
      </c>
      <c r="F37" s="84"/>
      <c r="G37" s="123"/>
      <c r="H37" s="102"/>
      <c r="I37" s="102">
        <v>12</v>
      </c>
      <c r="J37" s="130">
        <v>14</v>
      </c>
      <c r="K37" s="91">
        <f t="shared" si="11"/>
        <v>0</v>
      </c>
      <c r="L37" s="92">
        <f t="shared" si="12"/>
        <v>0</v>
      </c>
      <c r="M37" s="92">
        <f t="shared" si="13"/>
        <v>85.714285714285708</v>
      </c>
      <c r="N37" s="93">
        <f t="shared" si="3"/>
        <v>85.714285714285708</v>
      </c>
      <c r="O37" s="92"/>
      <c r="P37" s="92"/>
      <c r="Q37" s="92">
        <v>50.8</v>
      </c>
      <c r="R37" s="125">
        <f t="shared" si="4"/>
        <v>50.8</v>
      </c>
      <c r="S37" s="126">
        <v>1</v>
      </c>
      <c r="T37" s="85"/>
      <c r="U37" s="127"/>
      <c r="V37" s="73" t="s">
        <v>19</v>
      </c>
      <c r="W37" s="73" t="s">
        <v>20</v>
      </c>
      <c r="X37" s="73" t="s">
        <v>12</v>
      </c>
      <c r="Y37" s="73">
        <v>50.8</v>
      </c>
      <c r="Z37" s="82"/>
      <c r="AC37" s="83"/>
      <c r="AD37" s="82"/>
      <c r="AG37" s="83"/>
      <c r="AL37" s="82"/>
      <c r="AO37" s="83"/>
      <c r="AS37" s="83"/>
      <c r="AW37" s="83"/>
      <c r="BA37" s="84"/>
    </row>
    <row r="38" spans="1:53" s="73" customFormat="1">
      <c r="A38" s="102">
        <v>1975</v>
      </c>
      <c r="B38" s="88"/>
      <c r="C38" s="966" t="s">
        <v>34</v>
      </c>
      <c r="D38" s="966"/>
      <c r="E38" s="73">
        <v>301</v>
      </c>
      <c r="F38" s="84"/>
      <c r="G38" s="123"/>
      <c r="I38" s="102">
        <v>12</v>
      </c>
      <c r="J38" s="130">
        <v>14</v>
      </c>
      <c r="K38" s="91">
        <f t="shared" si="11"/>
        <v>0</v>
      </c>
      <c r="L38" s="92">
        <f t="shared" si="12"/>
        <v>0</v>
      </c>
      <c r="M38" s="92">
        <f t="shared" si="13"/>
        <v>85.714285714285708</v>
      </c>
      <c r="N38" s="93">
        <f t="shared" si="3"/>
        <v>85.714285714285708</v>
      </c>
      <c r="O38" s="92"/>
      <c r="P38" s="92"/>
      <c r="Q38" s="92">
        <v>50.8</v>
      </c>
      <c r="R38" s="125">
        <f t="shared" si="4"/>
        <v>50.8</v>
      </c>
      <c r="S38" s="126">
        <v>1</v>
      </c>
      <c r="T38" s="85"/>
      <c r="U38" s="127"/>
      <c r="V38" s="73" t="s">
        <v>19</v>
      </c>
      <c r="W38" s="73" t="s">
        <v>20</v>
      </c>
      <c r="X38" s="73" t="s">
        <v>12</v>
      </c>
      <c r="Y38" s="73">
        <v>50.8</v>
      </c>
      <c r="Z38" s="82"/>
      <c r="AC38" s="83"/>
      <c r="AD38" s="82"/>
      <c r="AG38" s="83"/>
      <c r="AL38" s="82"/>
      <c r="AO38" s="83"/>
      <c r="AS38" s="83"/>
      <c r="AW38" s="83"/>
      <c r="BA38" s="84"/>
    </row>
    <row r="39" spans="1:53" s="334" customFormat="1">
      <c r="A39" s="386">
        <v>1975</v>
      </c>
      <c r="B39" s="380">
        <v>27696</v>
      </c>
      <c r="C39" s="965" t="s">
        <v>35</v>
      </c>
      <c r="D39" s="965"/>
      <c r="E39" s="334">
        <v>64</v>
      </c>
      <c r="F39" s="345">
        <v>1</v>
      </c>
      <c r="G39" s="386"/>
      <c r="H39" s="386"/>
      <c r="I39" s="386">
        <v>12</v>
      </c>
      <c r="J39" s="420">
        <v>14</v>
      </c>
      <c r="K39" s="383">
        <f t="shared" si="11"/>
        <v>0</v>
      </c>
      <c r="L39" s="384">
        <f t="shared" si="12"/>
        <v>0</v>
      </c>
      <c r="M39" s="384">
        <f t="shared" si="13"/>
        <v>85.714285714285708</v>
      </c>
      <c r="N39" s="385">
        <f t="shared" si="3"/>
        <v>85.714285714285708</v>
      </c>
      <c r="O39" s="384"/>
      <c r="P39" s="384"/>
      <c r="Q39" s="384">
        <v>50.8</v>
      </c>
      <c r="R39" s="421">
        <f t="shared" si="4"/>
        <v>50.8</v>
      </c>
      <c r="S39" s="396">
        <v>1</v>
      </c>
      <c r="T39" s="355">
        <v>27672</v>
      </c>
      <c r="U39" s="422">
        <v>27696</v>
      </c>
      <c r="V39" s="334" t="s">
        <v>19</v>
      </c>
      <c r="W39" s="334" t="s">
        <v>20</v>
      </c>
      <c r="X39" s="334" t="s">
        <v>12</v>
      </c>
      <c r="Y39" s="334">
        <v>50.8</v>
      </c>
      <c r="Z39" s="343"/>
      <c r="AC39" s="344"/>
      <c r="AD39" s="343"/>
      <c r="AG39" s="344"/>
      <c r="AL39" s="343"/>
      <c r="AO39" s="344"/>
      <c r="AS39" s="344"/>
      <c r="AW39" s="344"/>
      <c r="BA39" s="345"/>
    </row>
    <row r="40" spans="1:53" s="334" customFormat="1">
      <c r="A40" s="386">
        <v>1976</v>
      </c>
      <c r="B40" s="380"/>
      <c r="C40" s="965" t="s">
        <v>35</v>
      </c>
      <c r="D40" s="965"/>
      <c r="E40" s="334">
        <v>0</v>
      </c>
      <c r="F40" s="345"/>
      <c r="G40" s="419"/>
      <c r="H40" s="386"/>
      <c r="I40" s="386">
        <v>12</v>
      </c>
      <c r="J40" s="420">
        <v>14</v>
      </c>
      <c r="K40" s="383">
        <f>G40/J40*100</f>
        <v>0</v>
      </c>
      <c r="L40" s="384">
        <f>H40/J40*100</f>
        <v>0</v>
      </c>
      <c r="M40" s="384">
        <f>I40/J40*100</f>
        <v>85.714285714285708</v>
      </c>
      <c r="N40" s="385">
        <f t="shared" si="3"/>
        <v>85.714285714285708</v>
      </c>
      <c r="O40" s="384"/>
      <c r="P40" s="384"/>
      <c r="Q40" s="384">
        <v>50.8</v>
      </c>
      <c r="R40" s="421">
        <f t="shared" si="4"/>
        <v>50.8</v>
      </c>
      <c r="S40" s="396">
        <v>1</v>
      </c>
      <c r="T40" s="355"/>
      <c r="U40" s="422"/>
      <c r="V40" s="334" t="s">
        <v>19</v>
      </c>
      <c r="W40" s="334" t="s">
        <v>20</v>
      </c>
      <c r="X40" s="334" t="s">
        <v>12</v>
      </c>
      <c r="Y40" s="334">
        <v>50.8</v>
      </c>
      <c r="Z40" s="343"/>
      <c r="AC40" s="344"/>
      <c r="AD40" s="343"/>
      <c r="AG40" s="344"/>
      <c r="AL40" s="343"/>
      <c r="AO40" s="344"/>
      <c r="AS40" s="344"/>
      <c r="AW40" s="344"/>
      <c r="BA40" s="345"/>
    </row>
    <row r="41" spans="1:53" s="334" customFormat="1">
      <c r="A41" s="386">
        <v>1976</v>
      </c>
      <c r="B41" s="380"/>
      <c r="C41" s="965" t="s">
        <v>35</v>
      </c>
      <c r="D41" s="965"/>
      <c r="E41" s="334">
        <v>366</v>
      </c>
      <c r="F41" s="345"/>
      <c r="G41" s="419"/>
      <c r="I41" s="386">
        <v>12</v>
      </c>
      <c r="J41" s="420">
        <v>14</v>
      </c>
      <c r="K41" s="383">
        <f t="shared" ref="K41:K47" si="14">G41/J41*100</f>
        <v>0</v>
      </c>
      <c r="L41" s="384">
        <f t="shared" ref="L41:L47" si="15">H41/J41*100</f>
        <v>0</v>
      </c>
      <c r="M41" s="384">
        <f t="shared" ref="M41:M47" si="16">I41/J41*100</f>
        <v>85.714285714285708</v>
      </c>
      <c r="N41" s="385">
        <f t="shared" si="3"/>
        <v>85.714285714285708</v>
      </c>
      <c r="O41" s="384"/>
      <c r="P41" s="384"/>
      <c r="Q41" s="384">
        <v>50.8</v>
      </c>
      <c r="R41" s="421">
        <f t="shared" si="4"/>
        <v>50.8</v>
      </c>
      <c r="S41" s="396">
        <v>1</v>
      </c>
      <c r="T41" s="355"/>
      <c r="U41" s="422"/>
      <c r="V41" s="334" t="s">
        <v>19</v>
      </c>
      <c r="W41" s="334" t="s">
        <v>20</v>
      </c>
      <c r="X41" s="334" t="s">
        <v>12</v>
      </c>
      <c r="Y41" s="334">
        <v>50.8</v>
      </c>
      <c r="Z41" s="343"/>
      <c r="AC41" s="344"/>
      <c r="AD41" s="343"/>
      <c r="AG41" s="344"/>
      <c r="AL41" s="343"/>
      <c r="AO41" s="344"/>
      <c r="AS41" s="344"/>
      <c r="AW41" s="344"/>
      <c r="BA41" s="345"/>
    </row>
    <row r="42" spans="1:53" s="334" customFormat="1">
      <c r="A42" s="386">
        <v>1977</v>
      </c>
      <c r="B42" s="380"/>
      <c r="C42" s="965" t="s">
        <v>35</v>
      </c>
      <c r="D42" s="965"/>
      <c r="E42" s="334">
        <v>0</v>
      </c>
      <c r="F42" s="345"/>
      <c r="G42" s="386"/>
      <c r="H42" s="386"/>
      <c r="I42" s="386">
        <v>12</v>
      </c>
      <c r="J42" s="420">
        <v>14</v>
      </c>
      <c r="K42" s="383">
        <f t="shared" si="14"/>
        <v>0</v>
      </c>
      <c r="L42" s="384">
        <f t="shared" si="15"/>
        <v>0</v>
      </c>
      <c r="M42" s="384">
        <f t="shared" si="16"/>
        <v>85.714285714285708</v>
      </c>
      <c r="N42" s="385">
        <f t="shared" si="3"/>
        <v>85.714285714285708</v>
      </c>
      <c r="O42" s="384"/>
      <c r="P42" s="384"/>
      <c r="Q42" s="384">
        <v>50.8</v>
      </c>
      <c r="R42" s="421">
        <f t="shared" si="4"/>
        <v>50.8</v>
      </c>
      <c r="S42" s="396">
        <v>1</v>
      </c>
      <c r="T42" s="355"/>
      <c r="U42" s="422"/>
      <c r="V42" s="334" t="s">
        <v>19</v>
      </c>
      <c r="W42" s="334" t="s">
        <v>20</v>
      </c>
      <c r="X42" s="334" t="s">
        <v>12</v>
      </c>
      <c r="Y42" s="334">
        <v>50.8</v>
      </c>
      <c r="Z42" s="343"/>
      <c r="AC42" s="344"/>
      <c r="AD42" s="343"/>
      <c r="AG42" s="344"/>
      <c r="AL42" s="343"/>
      <c r="AO42" s="344"/>
      <c r="AS42" s="344"/>
      <c r="AW42" s="344"/>
      <c r="BA42" s="345"/>
    </row>
    <row r="43" spans="1:53" s="334" customFormat="1">
      <c r="A43" s="386">
        <v>1977</v>
      </c>
      <c r="B43" s="380"/>
      <c r="C43" s="965" t="s">
        <v>35</v>
      </c>
      <c r="D43" s="965"/>
      <c r="E43" s="334">
        <v>365</v>
      </c>
      <c r="F43" s="345"/>
      <c r="G43" s="419"/>
      <c r="H43" s="386"/>
      <c r="I43" s="386">
        <v>12</v>
      </c>
      <c r="J43" s="420">
        <v>14</v>
      </c>
      <c r="K43" s="383">
        <f t="shared" si="14"/>
        <v>0</v>
      </c>
      <c r="L43" s="384">
        <f t="shared" si="15"/>
        <v>0</v>
      </c>
      <c r="M43" s="384">
        <f t="shared" si="16"/>
        <v>85.714285714285708</v>
      </c>
      <c r="N43" s="385">
        <f t="shared" si="3"/>
        <v>85.714285714285708</v>
      </c>
      <c r="O43" s="384"/>
      <c r="P43" s="384"/>
      <c r="Q43" s="384">
        <v>50.8</v>
      </c>
      <c r="R43" s="421">
        <f t="shared" si="4"/>
        <v>50.8</v>
      </c>
      <c r="S43" s="396">
        <v>1</v>
      </c>
      <c r="T43" s="355"/>
      <c r="U43" s="422"/>
      <c r="V43" s="334" t="s">
        <v>19</v>
      </c>
      <c r="W43" s="334" t="s">
        <v>20</v>
      </c>
      <c r="X43" s="334" t="s">
        <v>12</v>
      </c>
      <c r="Y43" s="334">
        <v>50.8</v>
      </c>
      <c r="Z43" s="343"/>
      <c r="AC43" s="344"/>
      <c r="AD43" s="343"/>
      <c r="AG43" s="344"/>
      <c r="AL43" s="343"/>
      <c r="AO43" s="344"/>
      <c r="AS43" s="344"/>
      <c r="AW43" s="344"/>
      <c r="BA43" s="345"/>
    </row>
    <row r="44" spans="1:53" s="334" customFormat="1">
      <c r="A44" s="386">
        <v>1978</v>
      </c>
      <c r="B44" s="380"/>
      <c r="C44" s="965" t="s">
        <v>35</v>
      </c>
      <c r="D44" s="965"/>
      <c r="E44" s="334">
        <v>0</v>
      </c>
      <c r="F44" s="345"/>
      <c r="G44" s="419"/>
      <c r="I44" s="386">
        <v>12</v>
      </c>
      <c r="J44" s="420">
        <v>14</v>
      </c>
      <c r="K44" s="383">
        <f t="shared" si="14"/>
        <v>0</v>
      </c>
      <c r="L44" s="384">
        <f t="shared" si="15"/>
        <v>0</v>
      </c>
      <c r="M44" s="384">
        <f t="shared" si="16"/>
        <v>85.714285714285708</v>
      </c>
      <c r="N44" s="385">
        <f t="shared" si="3"/>
        <v>85.714285714285708</v>
      </c>
      <c r="O44" s="384"/>
      <c r="P44" s="384"/>
      <c r="Q44" s="384">
        <v>50.8</v>
      </c>
      <c r="R44" s="421">
        <f t="shared" si="4"/>
        <v>50.8</v>
      </c>
      <c r="S44" s="396">
        <v>1</v>
      </c>
      <c r="T44" s="355"/>
      <c r="U44" s="422"/>
      <c r="V44" s="334" t="s">
        <v>19</v>
      </c>
      <c r="W44" s="334" t="s">
        <v>20</v>
      </c>
      <c r="X44" s="334" t="s">
        <v>12</v>
      </c>
      <c r="Y44" s="334">
        <v>50.8</v>
      </c>
      <c r="Z44" s="343"/>
      <c r="AC44" s="344"/>
      <c r="AD44" s="343"/>
      <c r="AG44" s="344"/>
      <c r="AL44" s="343"/>
      <c r="AO44" s="344"/>
      <c r="AS44" s="344"/>
      <c r="AW44" s="344"/>
      <c r="BA44" s="345"/>
    </row>
    <row r="45" spans="1:53" s="334" customFormat="1">
      <c r="A45" s="386">
        <v>1978</v>
      </c>
      <c r="B45" s="380"/>
      <c r="C45" s="965" t="s">
        <v>35</v>
      </c>
      <c r="D45" s="965"/>
      <c r="E45" s="334">
        <v>365</v>
      </c>
      <c r="F45" s="345"/>
      <c r="G45" s="386"/>
      <c r="H45" s="386"/>
      <c r="I45" s="386">
        <v>12</v>
      </c>
      <c r="J45" s="420">
        <v>14</v>
      </c>
      <c r="K45" s="383">
        <f t="shared" si="14"/>
        <v>0</v>
      </c>
      <c r="L45" s="384">
        <f t="shared" si="15"/>
        <v>0</v>
      </c>
      <c r="M45" s="384">
        <f t="shared" si="16"/>
        <v>85.714285714285708</v>
      </c>
      <c r="N45" s="385">
        <f t="shared" si="3"/>
        <v>85.714285714285708</v>
      </c>
      <c r="O45" s="384"/>
      <c r="P45" s="384"/>
      <c r="Q45" s="384">
        <v>50.8</v>
      </c>
      <c r="R45" s="421">
        <f t="shared" si="4"/>
        <v>50.8</v>
      </c>
      <c r="S45" s="396">
        <v>1</v>
      </c>
      <c r="T45" s="355"/>
      <c r="U45" s="422"/>
      <c r="V45" s="334" t="s">
        <v>19</v>
      </c>
      <c r="W45" s="334" t="s">
        <v>20</v>
      </c>
      <c r="X45" s="334" t="s">
        <v>12</v>
      </c>
      <c r="Y45" s="334">
        <v>50.8</v>
      </c>
      <c r="Z45" s="343"/>
      <c r="AC45" s="344"/>
      <c r="AD45" s="343"/>
      <c r="AG45" s="344"/>
      <c r="AL45" s="343"/>
      <c r="AO45" s="344"/>
      <c r="AS45" s="344"/>
      <c r="AW45" s="344"/>
      <c r="BA45" s="345"/>
    </row>
    <row r="46" spans="1:53" s="334" customFormat="1">
      <c r="A46" s="386">
        <v>1979</v>
      </c>
      <c r="B46" s="380"/>
      <c r="C46" s="965" t="s">
        <v>35</v>
      </c>
      <c r="D46" s="965"/>
      <c r="E46" s="334">
        <v>129</v>
      </c>
      <c r="F46" s="345"/>
      <c r="G46" s="419"/>
      <c r="H46" s="386"/>
      <c r="I46" s="386">
        <v>12</v>
      </c>
      <c r="J46" s="420">
        <v>14</v>
      </c>
      <c r="K46" s="383">
        <f t="shared" si="14"/>
        <v>0</v>
      </c>
      <c r="L46" s="384">
        <f t="shared" si="15"/>
        <v>0</v>
      </c>
      <c r="M46" s="384">
        <f t="shared" si="16"/>
        <v>85.714285714285708</v>
      </c>
      <c r="N46" s="385">
        <f t="shared" si="3"/>
        <v>85.714285714285708</v>
      </c>
      <c r="O46" s="384"/>
      <c r="P46" s="384"/>
      <c r="Q46" s="384">
        <v>50.8</v>
      </c>
      <c r="R46" s="421">
        <f t="shared" si="4"/>
        <v>50.8</v>
      </c>
      <c r="S46" s="396">
        <v>1</v>
      </c>
      <c r="T46" s="355"/>
      <c r="U46" s="422"/>
      <c r="V46" s="334" t="s">
        <v>19</v>
      </c>
      <c r="W46" s="334" t="s">
        <v>20</v>
      </c>
      <c r="X46" s="334" t="s">
        <v>12</v>
      </c>
      <c r="Y46" s="334">
        <v>50.8</v>
      </c>
      <c r="Z46" s="343"/>
      <c r="AC46" s="344"/>
      <c r="AD46" s="343"/>
      <c r="AG46" s="344"/>
      <c r="AL46" s="343"/>
      <c r="AO46" s="344"/>
      <c r="AS46" s="344"/>
      <c r="AW46" s="344"/>
      <c r="BA46" s="345"/>
    </row>
    <row r="47" spans="1:53" s="73" customFormat="1">
      <c r="A47" s="102">
        <v>1979</v>
      </c>
      <c r="B47" s="127">
        <v>29011</v>
      </c>
      <c r="C47" s="966" t="s">
        <v>36</v>
      </c>
      <c r="D47" s="966"/>
      <c r="E47" s="73">
        <v>236</v>
      </c>
      <c r="F47" s="84">
        <v>1</v>
      </c>
      <c r="G47" s="123"/>
      <c r="I47" s="102">
        <v>15</v>
      </c>
      <c r="J47" s="130">
        <v>15</v>
      </c>
      <c r="K47" s="91">
        <f t="shared" si="14"/>
        <v>0</v>
      </c>
      <c r="L47" s="92">
        <f t="shared" si="15"/>
        <v>0</v>
      </c>
      <c r="M47" s="92">
        <f t="shared" si="16"/>
        <v>100</v>
      </c>
      <c r="N47" s="93">
        <f t="shared" si="3"/>
        <v>100</v>
      </c>
      <c r="O47" s="92"/>
      <c r="P47" s="92"/>
      <c r="Q47" s="92">
        <v>51.9</v>
      </c>
      <c r="R47" s="125">
        <f t="shared" si="4"/>
        <v>51.9</v>
      </c>
      <c r="S47" s="126">
        <v>1</v>
      </c>
      <c r="T47" s="85">
        <v>28981</v>
      </c>
      <c r="U47" s="127">
        <v>29011</v>
      </c>
      <c r="V47" s="73" t="s">
        <v>19</v>
      </c>
      <c r="W47" s="73" t="s">
        <v>20</v>
      </c>
      <c r="X47" s="73" t="s">
        <v>12</v>
      </c>
      <c r="Y47" s="73">
        <v>51.9</v>
      </c>
      <c r="Z47" s="82"/>
      <c r="AC47" s="83"/>
      <c r="AD47" s="82"/>
      <c r="AG47" s="83"/>
      <c r="AL47" s="82"/>
      <c r="AO47" s="83"/>
      <c r="AS47" s="83"/>
      <c r="AW47" s="83"/>
      <c r="BA47" s="84"/>
    </row>
    <row r="48" spans="1:53" s="73" customFormat="1">
      <c r="A48" s="102">
        <v>1980</v>
      </c>
      <c r="B48" s="88"/>
      <c r="C48" s="966" t="s">
        <v>36</v>
      </c>
      <c r="D48" s="966"/>
      <c r="E48" s="73">
        <v>0</v>
      </c>
      <c r="F48" s="84"/>
      <c r="G48" s="102"/>
      <c r="H48" s="102"/>
      <c r="I48" s="102">
        <v>15</v>
      </c>
      <c r="J48" s="130">
        <v>15</v>
      </c>
      <c r="K48" s="91">
        <f>G48/J48*100</f>
        <v>0</v>
      </c>
      <c r="L48" s="92">
        <f>H48/J48*100</f>
        <v>0</v>
      </c>
      <c r="M48" s="92">
        <f>I48/J48*100</f>
        <v>100</v>
      </c>
      <c r="N48" s="93">
        <f t="shared" si="3"/>
        <v>100</v>
      </c>
      <c r="O48" s="92"/>
      <c r="P48" s="92"/>
      <c r="Q48" s="92">
        <v>51.9</v>
      </c>
      <c r="R48" s="125">
        <f t="shared" si="4"/>
        <v>51.9</v>
      </c>
      <c r="S48" s="126">
        <v>1</v>
      </c>
      <c r="U48" s="127"/>
      <c r="V48" s="73" t="s">
        <v>19</v>
      </c>
      <c r="W48" s="73" t="s">
        <v>20</v>
      </c>
      <c r="X48" s="73" t="s">
        <v>12</v>
      </c>
      <c r="Y48" s="73">
        <v>51.9</v>
      </c>
      <c r="Z48" s="82"/>
      <c r="AC48" s="83"/>
      <c r="AD48" s="82"/>
      <c r="AG48" s="83"/>
      <c r="AL48" s="82"/>
      <c r="AO48" s="83"/>
      <c r="AS48" s="83"/>
      <c r="AW48" s="83"/>
      <c r="BA48" s="84"/>
    </row>
    <row r="49" spans="1:53" s="73" customFormat="1">
      <c r="A49" s="102">
        <v>1980</v>
      </c>
      <c r="B49" s="88"/>
      <c r="C49" s="966" t="s">
        <v>36</v>
      </c>
      <c r="D49" s="966"/>
      <c r="E49" s="73">
        <v>366</v>
      </c>
      <c r="F49" s="84"/>
      <c r="G49" s="123"/>
      <c r="H49" s="102"/>
      <c r="I49" s="102">
        <v>15</v>
      </c>
      <c r="J49" s="130">
        <v>15</v>
      </c>
      <c r="K49" s="91">
        <f t="shared" ref="K49:K55" si="17">G49/J49*100</f>
        <v>0</v>
      </c>
      <c r="L49" s="92">
        <f t="shared" ref="L49:L55" si="18">H49/J49*100</f>
        <v>0</v>
      </c>
      <c r="M49" s="92">
        <f t="shared" ref="M49:M55" si="19">I49/J49*100</f>
        <v>100</v>
      </c>
      <c r="N49" s="93">
        <f t="shared" si="3"/>
        <v>100</v>
      </c>
      <c r="O49" s="92"/>
      <c r="P49" s="92"/>
      <c r="Q49" s="92">
        <v>51.9</v>
      </c>
      <c r="R49" s="125">
        <f t="shared" si="4"/>
        <v>51.9</v>
      </c>
      <c r="S49" s="126">
        <v>1</v>
      </c>
      <c r="T49" s="85"/>
      <c r="U49" s="127"/>
      <c r="V49" s="73" t="s">
        <v>19</v>
      </c>
      <c r="W49" s="73" t="s">
        <v>20</v>
      </c>
      <c r="X49" s="73" t="s">
        <v>12</v>
      </c>
      <c r="Y49" s="73">
        <v>51.9</v>
      </c>
      <c r="Z49" s="82"/>
      <c r="AC49" s="83"/>
      <c r="AD49" s="82"/>
      <c r="AG49" s="83"/>
      <c r="AL49" s="82"/>
      <c r="AO49" s="83"/>
      <c r="AS49" s="83"/>
      <c r="AW49" s="83"/>
      <c r="BA49" s="84"/>
    </row>
    <row r="50" spans="1:53" s="73" customFormat="1">
      <c r="A50" s="102">
        <v>1981</v>
      </c>
      <c r="B50" s="88"/>
      <c r="C50" s="966" t="s">
        <v>36</v>
      </c>
      <c r="D50" s="966"/>
      <c r="E50" s="73">
        <v>0</v>
      </c>
      <c r="F50" s="84"/>
      <c r="G50" s="123"/>
      <c r="I50" s="102">
        <v>15</v>
      </c>
      <c r="J50" s="130">
        <v>15</v>
      </c>
      <c r="K50" s="91">
        <f t="shared" si="17"/>
        <v>0</v>
      </c>
      <c r="L50" s="92">
        <f t="shared" si="18"/>
        <v>0</v>
      </c>
      <c r="M50" s="92">
        <f t="shared" si="19"/>
        <v>100</v>
      </c>
      <c r="N50" s="93">
        <f t="shared" si="3"/>
        <v>100</v>
      </c>
      <c r="O50" s="92"/>
      <c r="P50" s="92"/>
      <c r="Q50" s="92">
        <v>51.9</v>
      </c>
      <c r="R50" s="125">
        <f t="shared" si="4"/>
        <v>51.9</v>
      </c>
      <c r="S50" s="126">
        <v>1</v>
      </c>
      <c r="T50" s="85"/>
      <c r="U50" s="127"/>
      <c r="V50" s="73" t="s">
        <v>19</v>
      </c>
      <c r="W50" s="73" t="s">
        <v>20</v>
      </c>
      <c r="X50" s="73" t="s">
        <v>12</v>
      </c>
      <c r="Y50" s="73">
        <v>51.9</v>
      </c>
      <c r="Z50" s="82"/>
      <c r="AC50" s="83"/>
      <c r="AD50" s="82"/>
      <c r="AG50" s="83"/>
      <c r="AL50" s="82"/>
      <c r="AO50" s="83"/>
      <c r="AS50" s="83"/>
      <c r="AW50" s="83"/>
      <c r="BA50" s="84"/>
    </row>
    <row r="51" spans="1:53" s="73" customFormat="1">
      <c r="A51" s="102">
        <v>1981</v>
      </c>
      <c r="B51" s="88"/>
      <c r="C51" s="966" t="s">
        <v>36</v>
      </c>
      <c r="D51" s="966"/>
      <c r="E51" s="73">
        <v>365</v>
      </c>
      <c r="F51" s="84"/>
      <c r="G51" s="102"/>
      <c r="H51" s="102"/>
      <c r="I51" s="102">
        <v>15</v>
      </c>
      <c r="J51" s="130">
        <v>15</v>
      </c>
      <c r="K51" s="91">
        <f t="shared" si="17"/>
        <v>0</v>
      </c>
      <c r="L51" s="92">
        <f t="shared" si="18"/>
        <v>0</v>
      </c>
      <c r="M51" s="92">
        <f t="shared" si="19"/>
        <v>100</v>
      </c>
      <c r="N51" s="93">
        <f t="shared" si="3"/>
        <v>100</v>
      </c>
      <c r="O51" s="92"/>
      <c r="P51" s="92"/>
      <c r="Q51" s="92">
        <v>51.9</v>
      </c>
      <c r="R51" s="125">
        <f t="shared" si="4"/>
        <v>51.9</v>
      </c>
      <c r="S51" s="126">
        <v>1</v>
      </c>
      <c r="T51" s="85"/>
      <c r="U51" s="127"/>
      <c r="V51" s="73" t="s">
        <v>19</v>
      </c>
      <c r="W51" s="73" t="s">
        <v>20</v>
      </c>
      <c r="X51" s="73" t="s">
        <v>12</v>
      </c>
      <c r="Y51" s="73">
        <v>51.9</v>
      </c>
      <c r="Z51" s="82"/>
      <c r="AC51" s="83"/>
      <c r="AD51" s="82"/>
      <c r="AG51" s="83"/>
      <c r="AL51" s="82"/>
      <c r="AO51" s="83"/>
      <c r="AS51" s="83"/>
      <c r="AW51" s="83"/>
      <c r="BA51" s="84"/>
    </row>
    <row r="52" spans="1:53" s="73" customFormat="1">
      <c r="A52" s="102">
        <v>1982</v>
      </c>
      <c r="B52" s="88"/>
      <c r="C52" s="966" t="s">
        <v>36</v>
      </c>
      <c r="D52" s="966"/>
      <c r="E52" s="73">
        <v>0</v>
      </c>
      <c r="F52" s="84"/>
      <c r="G52" s="123"/>
      <c r="H52" s="102"/>
      <c r="I52" s="102">
        <v>15</v>
      </c>
      <c r="J52" s="130">
        <v>15</v>
      </c>
      <c r="K52" s="91">
        <f t="shared" si="17"/>
        <v>0</v>
      </c>
      <c r="L52" s="92">
        <f t="shared" si="18"/>
        <v>0</v>
      </c>
      <c r="M52" s="92">
        <f t="shared" si="19"/>
        <v>100</v>
      </c>
      <c r="N52" s="93">
        <f t="shared" si="3"/>
        <v>100</v>
      </c>
      <c r="O52" s="92"/>
      <c r="P52" s="92"/>
      <c r="Q52" s="92">
        <v>51.9</v>
      </c>
      <c r="R52" s="125">
        <f t="shared" si="4"/>
        <v>51.9</v>
      </c>
      <c r="S52" s="126">
        <v>1</v>
      </c>
      <c r="T52" s="85"/>
      <c r="U52" s="127"/>
      <c r="V52" s="73" t="s">
        <v>19</v>
      </c>
      <c r="W52" s="73" t="s">
        <v>20</v>
      </c>
      <c r="X52" s="73" t="s">
        <v>12</v>
      </c>
      <c r="Y52" s="73">
        <v>51.9</v>
      </c>
      <c r="Z52" s="82"/>
      <c r="AC52" s="83"/>
      <c r="AD52" s="82"/>
      <c r="AG52" s="83"/>
      <c r="AL52" s="82"/>
      <c r="AO52" s="83"/>
      <c r="AS52" s="83"/>
      <c r="AW52" s="83"/>
      <c r="BA52" s="84"/>
    </row>
    <row r="53" spans="1:53" s="73" customFormat="1">
      <c r="A53" s="102">
        <v>1982</v>
      </c>
      <c r="B53" s="88"/>
      <c r="C53" s="966" t="s">
        <v>36</v>
      </c>
      <c r="D53" s="966"/>
      <c r="E53" s="73">
        <v>365</v>
      </c>
      <c r="F53" s="84"/>
      <c r="G53" s="123"/>
      <c r="I53" s="102">
        <v>15</v>
      </c>
      <c r="J53" s="130">
        <v>15</v>
      </c>
      <c r="K53" s="91">
        <f t="shared" si="17"/>
        <v>0</v>
      </c>
      <c r="L53" s="92">
        <f t="shared" si="18"/>
        <v>0</v>
      </c>
      <c r="M53" s="92">
        <f t="shared" si="19"/>
        <v>100</v>
      </c>
      <c r="N53" s="93">
        <f t="shared" si="3"/>
        <v>100</v>
      </c>
      <c r="O53" s="92"/>
      <c r="P53" s="92"/>
      <c r="Q53" s="92">
        <v>51.9</v>
      </c>
      <c r="R53" s="125">
        <f t="shared" si="4"/>
        <v>51.9</v>
      </c>
      <c r="S53" s="126">
        <v>1</v>
      </c>
      <c r="T53" s="85"/>
      <c r="U53" s="127"/>
      <c r="V53" s="73" t="s">
        <v>19</v>
      </c>
      <c r="W53" s="73" t="s">
        <v>20</v>
      </c>
      <c r="X53" s="73" t="s">
        <v>12</v>
      </c>
      <c r="Y53" s="73">
        <v>51.9</v>
      </c>
      <c r="Z53" s="82"/>
      <c r="AC53" s="83"/>
      <c r="AD53" s="82"/>
      <c r="AG53" s="83"/>
      <c r="AL53" s="82"/>
      <c r="AO53" s="83"/>
      <c r="AS53" s="83"/>
      <c r="AW53" s="83"/>
      <c r="BA53" s="84"/>
    </row>
    <row r="54" spans="1:53" s="73" customFormat="1">
      <c r="A54" s="102">
        <v>1983</v>
      </c>
      <c r="B54" s="88"/>
      <c r="C54" s="966" t="s">
        <v>36</v>
      </c>
      <c r="D54" s="966"/>
      <c r="E54" s="73">
        <v>143</v>
      </c>
      <c r="F54" s="84"/>
      <c r="G54" s="102"/>
      <c r="H54" s="102"/>
      <c r="I54" s="102">
        <v>15</v>
      </c>
      <c r="J54" s="130">
        <v>15</v>
      </c>
      <c r="K54" s="91">
        <f t="shared" si="17"/>
        <v>0</v>
      </c>
      <c r="L54" s="92">
        <f t="shared" si="18"/>
        <v>0</v>
      </c>
      <c r="M54" s="92">
        <f t="shared" si="19"/>
        <v>100</v>
      </c>
      <c r="N54" s="93">
        <f t="shared" si="3"/>
        <v>100</v>
      </c>
      <c r="O54" s="92"/>
      <c r="P54" s="92"/>
      <c r="Q54" s="92">
        <v>51.9</v>
      </c>
      <c r="R54" s="125">
        <f t="shared" si="4"/>
        <v>51.9</v>
      </c>
      <c r="S54" s="126">
        <v>1</v>
      </c>
      <c r="T54" s="85"/>
      <c r="U54" s="127"/>
      <c r="V54" s="73" t="s">
        <v>19</v>
      </c>
      <c r="W54" s="73" t="s">
        <v>20</v>
      </c>
      <c r="X54" s="73" t="s">
        <v>12</v>
      </c>
      <c r="Y54" s="73">
        <v>51.9</v>
      </c>
      <c r="Z54" s="82"/>
      <c r="AC54" s="83"/>
      <c r="AD54" s="82"/>
      <c r="AG54" s="83"/>
      <c r="AL54" s="82"/>
      <c r="AO54" s="83"/>
      <c r="AS54" s="83"/>
      <c r="AW54" s="83"/>
      <c r="BA54" s="84"/>
    </row>
    <row r="55" spans="1:53" s="334" customFormat="1">
      <c r="A55" s="386">
        <v>1983</v>
      </c>
      <c r="B55" s="380">
        <v>30460</v>
      </c>
      <c r="C55" s="996" t="s">
        <v>38</v>
      </c>
      <c r="D55" s="996"/>
      <c r="E55" s="334">
        <v>222</v>
      </c>
      <c r="F55" s="345">
        <v>1</v>
      </c>
      <c r="G55" s="386">
        <v>3</v>
      </c>
      <c r="H55" s="386"/>
      <c r="I55" s="386">
        <v>12</v>
      </c>
      <c r="J55" s="420">
        <v>15</v>
      </c>
      <c r="K55" s="383">
        <f t="shared" si="17"/>
        <v>20</v>
      </c>
      <c r="L55" s="384">
        <f t="shared" si="18"/>
        <v>0</v>
      </c>
      <c r="M55" s="384">
        <f t="shared" si="19"/>
        <v>80</v>
      </c>
      <c r="N55" s="385">
        <f t="shared" si="3"/>
        <v>100</v>
      </c>
      <c r="O55" s="384">
        <v>6.6</v>
      </c>
      <c r="P55" s="384"/>
      <c r="Q55" s="384">
        <v>49.2</v>
      </c>
      <c r="R55" s="421">
        <f t="shared" si="4"/>
        <v>55.800000000000004</v>
      </c>
      <c r="S55" s="396">
        <v>2</v>
      </c>
      <c r="T55" s="355">
        <v>30430</v>
      </c>
      <c r="U55" s="422">
        <v>30460</v>
      </c>
      <c r="V55" s="334" t="s">
        <v>19</v>
      </c>
      <c r="W55" s="334" t="s">
        <v>20</v>
      </c>
      <c r="X55" s="334" t="s">
        <v>12</v>
      </c>
      <c r="Y55" s="334">
        <v>49.2</v>
      </c>
      <c r="Z55" s="343" t="s">
        <v>21</v>
      </c>
      <c r="AA55" s="334" t="s">
        <v>22</v>
      </c>
      <c r="AB55" s="334" t="s">
        <v>11</v>
      </c>
      <c r="AC55" s="344">
        <v>6.6</v>
      </c>
      <c r="AD55" s="343"/>
      <c r="AG55" s="344"/>
      <c r="AL55" s="343"/>
      <c r="AO55" s="344"/>
      <c r="AS55" s="344"/>
      <c r="AW55" s="344"/>
      <c r="BA55" s="345"/>
    </row>
    <row r="56" spans="1:53" s="334" customFormat="1">
      <c r="A56" s="386">
        <v>1984</v>
      </c>
      <c r="B56" s="380"/>
      <c r="C56" s="996" t="s">
        <v>38</v>
      </c>
      <c r="D56" s="996"/>
      <c r="E56" s="334">
        <v>0</v>
      </c>
      <c r="F56" s="345"/>
      <c r="G56" s="386">
        <v>3</v>
      </c>
      <c r="I56" s="386">
        <v>12</v>
      </c>
      <c r="J56" s="420">
        <v>15</v>
      </c>
      <c r="K56" s="383">
        <f>G56/J56*100</f>
        <v>20</v>
      </c>
      <c r="L56" s="384">
        <f>H56/J56*100</f>
        <v>0</v>
      </c>
      <c r="M56" s="384">
        <f>I56/J56*100</f>
        <v>80</v>
      </c>
      <c r="N56" s="385">
        <f t="shared" si="3"/>
        <v>100</v>
      </c>
      <c r="O56" s="384">
        <v>6.6</v>
      </c>
      <c r="P56" s="384"/>
      <c r="Q56" s="384">
        <v>49.2</v>
      </c>
      <c r="R56" s="421">
        <f t="shared" si="4"/>
        <v>55.800000000000004</v>
      </c>
      <c r="S56" s="396">
        <v>2</v>
      </c>
      <c r="T56" s="355"/>
      <c r="U56" s="422"/>
      <c r="V56" s="334" t="s">
        <v>19</v>
      </c>
      <c r="W56" s="334" t="s">
        <v>20</v>
      </c>
      <c r="X56" s="334" t="s">
        <v>12</v>
      </c>
      <c r="Y56" s="334">
        <v>49.2</v>
      </c>
      <c r="Z56" s="343" t="s">
        <v>21</v>
      </c>
      <c r="AA56" s="334" t="s">
        <v>22</v>
      </c>
      <c r="AB56" s="334" t="s">
        <v>11</v>
      </c>
      <c r="AC56" s="344">
        <v>6.6</v>
      </c>
      <c r="AD56" s="343"/>
      <c r="AG56" s="344"/>
      <c r="AL56" s="343"/>
      <c r="AO56" s="344"/>
      <c r="AS56" s="344"/>
      <c r="AW56" s="344"/>
      <c r="BA56" s="345"/>
    </row>
    <row r="57" spans="1:53" s="334" customFormat="1">
      <c r="A57" s="386">
        <v>1984</v>
      </c>
      <c r="B57" s="380"/>
      <c r="C57" s="996" t="s">
        <v>38</v>
      </c>
      <c r="D57" s="996"/>
      <c r="E57" s="334">
        <v>366</v>
      </c>
      <c r="F57" s="345"/>
      <c r="G57" s="386">
        <v>3</v>
      </c>
      <c r="H57" s="386"/>
      <c r="I57" s="386">
        <v>12</v>
      </c>
      <c r="J57" s="420">
        <v>15</v>
      </c>
      <c r="K57" s="383">
        <f t="shared" ref="K57:K63" si="20">G57/J57*100</f>
        <v>20</v>
      </c>
      <c r="L57" s="384">
        <f t="shared" ref="L57:L63" si="21">H57/J57*100</f>
        <v>0</v>
      </c>
      <c r="M57" s="384">
        <f t="shared" ref="M57:M63" si="22">I57/J57*100</f>
        <v>80</v>
      </c>
      <c r="N57" s="385">
        <f t="shared" si="3"/>
        <v>100</v>
      </c>
      <c r="O57" s="384">
        <v>6.6</v>
      </c>
      <c r="P57" s="384"/>
      <c r="Q57" s="384">
        <v>49.2</v>
      </c>
      <c r="R57" s="421">
        <f t="shared" si="4"/>
        <v>55.800000000000004</v>
      </c>
      <c r="S57" s="396">
        <v>2</v>
      </c>
      <c r="T57" s="355"/>
      <c r="U57" s="422"/>
      <c r="V57" s="334" t="s">
        <v>19</v>
      </c>
      <c r="W57" s="334" t="s">
        <v>20</v>
      </c>
      <c r="X57" s="334" t="s">
        <v>12</v>
      </c>
      <c r="Y57" s="334">
        <v>49.2</v>
      </c>
      <c r="Z57" s="343" t="s">
        <v>21</v>
      </c>
      <c r="AA57" s="334" t="s">
        <v>22</v>
      </c>
      <c r="AB57" s="334" t="s">
        <v>11</v>
      </c>
      <c r="AC57" s="344">
        <v>6.6</v>
      </c>
      <c r="AD57" s="343"/>
      <c r="AG57" s="344"/>
      <c r="AL57" s="343"/>
      <c r="AO57" s="344"/>
      <c r="AS57" s="344"/>
      <c r="AW57" s="344"/>
      <c r="BA57" s="345"/>
    </row>
    <row r="58" spans="1:53" s="334" customFormat="1">
      <c r="A58" s="386">
        <v>1985</v>
      </c>
      <c r="B58" s="380"/>
      <c r="C58" s="996" t="s">
        <v>38</v>
      </c>
      <c r="D58" s="996"/>
      <c r="E58" s="334">
        <v>0</v>
      </c>
      <c r="F58" s="345"/>
      <c r="G58" s="386">
        <v>3</v>
      </c>
      <c r="H58" s="386"/>
      <c r="I58" s="386">
        <v>12</v>
      </c>
      <c r="J58" s="420">
        <v>15</v>
      </c>
      <c r="K58" s="383">
        <f t="shared" si="20"/>
        <v>20</v>
      </c>
      <c r="L58" s="384">
        <f t="shared" si="21"/>
        <v>0</v>
      </c>
      <c r="M58" s="384">
        <f t="shared" si="22"/>
        <v>80</v>
      </c>
      <c r="N58" s="385">
        <f t="shared" si="3"/>
        <v>100</v>
      </c>
      <c r="O58" s="384">
        <v>6.6</v>
      </c>
      <c r="P58" s="384"/>
      <c r="Q58" s="384">
        <v>49.2</v>
      </c>
      <c r="R58" s="421">
        <f t="shared" si="4"/>
        <v>55.800000000000004</v>
      </c>
      <c r="S58" s="396">
        <v>2</v>
      </c>
      <c r="T58" s="355"/>
      <c r="U58" s="422"/>
      <c r="V58" s="334" t="s">
        <v>19</v>
      </c>
      <c r="W58" s="334" t="s">
        <v>20</v>
      </c>
      <c r="X58" s="334" t="s">
        <v>12</v>
      </c>
      <c r="Y58" s="334">
        <v>49.2</v>
      </c>
      <c r="Z58" s="343" t="s">
        <v>21</v>
      </c>
      <c r="AA58" s="334" t="s">
        <v>22</v>
      </c>
      <c r="AB58" s="334" t="s">
        <v>11</v>
      </c>
      <c r="AC58" s="344">
        <v>6.6</v>
      </c>
      <c r="AD58" s="343"/>
      <c r="AG58" s="344"/>
      <c r="AL58" s="343"/>
      <c r="AO58" s="344"/>
      <c r="AS58" s="344"/>
      <c r="AW58" s="344"/>
      <c r="BA58" s="345"/>
    </row>
    <row r="59" spans="1:53" s="334" customFormat="1">
      <c r="A59" s="386">
        <v>1985</v>
      </c>
      <c r="B59" s="380"/>
      <c r="C59" s="996" t="s">
        <v>38</v>
      </c>
      <c r="D59" s="996"/>
      <c r="E59" s="334">
        <v>365</v>
      </c>
      <c r="F59" s="345"/>
      <c r="G59" s="386">
        <v>3</v>
      </c>
      <c r="I59" s="386">
        <v>12</v>
      </c>
      <c r="J59" s="420">
        <v>15</v>
      </c>
      <c r="K59" s="383">
        <f t="shared" si="20"/>
        <v>20</v>
      </c>
      <c r="L59" s="384">
        <f t="shared" si="21"/>
        <v>0</v>
      </c>
      <c r="M59" s="384">
        <f t="shared" si="22"/>
        <v>80</v>
      </c>
      <c r="N59" s="385">
        <f t="shared" si="3"/>
        <v>100</v>
      </c>
      <c r="O59" s="384">
        <v>6.6</v>
      </c>
      <c r="P59" s="384"/>
      <c r="Q59" s="384">
        <v>49.2</v>
      </c>
      <c r="R59" s="421">
        <f t="shared" si="4"/>
        <v>55.800000000000004</v>
      </c>
      <c r="S59" s="396">
        <v>2</v>
      </c>
      <c r="T59" s="355"/>
      <c r="U59" s="422"/>
      <c r="V59" s="334" t="s">
        <v>19</v>
      </c>
      <c r="W59" s="334" t="s">
        <v>20</v>
      </c>
      <c r="X59" s="334" t="s">
        <v>12</v>
      </c>
      <c r="Y59" s="334">
        <v>49.2</v>
      </c>
      <c r="Z59" s="343" t="s">
        <v>21</v>
      </c>
      <c r="AA59" s="334" t="s">
        <v>22</v>
      </c>
      <c r="AB59" s="334" t="s">
        <v>11</v>
      </c>
      <c r="AC59" s="344">
        <v>6.6</v>
      </c>
      <c r="AD59" s="343"/>
      <c r="AG59" s="344"/>
      <c r="AL59" s="343"/>
      <c r="AO59" s="344"/>
      <c r="AS59" s="344"/>
      <c r="AW59" s="344"/>
      <c r="BA59" s="345"/>
    </row>
    <row r="60" spans="1:53" s="334" customFormat="1">
      <c r="A60" s="386">
        <v>1986</v>
      </c>
      <c r="B60" s="380"/>
      <c r="C60" s="996" t="s">
        <v>38</v>
      </c>
      <c r="D60" s="996"/>
      <c r="E60" s="334">
        <v>166</v>
      </c>
      <c r="F60" s="345"/>
      <c r="G60" s="386">
        <v>3</v>
      </c>
      <c r="H60" s="386"/>
      <c r="I60" s="386">
        <v>12</v>
      </c>
      <c r="J60" s="420">
        <v>15</v>
      </c>
      <c r="K60" s="383">
        <f t="shared" si="20"/>
        <v>20</v>
      </c>
      <c r="L60" s="384">
        <f t="shared" si="21"/>
        <v>0</v>
      </c>
      <c r="M60" s="384">
        <f t="shared" si="22"/>
        <v>80</v>
      </c>
      <c r="N60" s="385">
        <f t="shared" si="3"/>
        <v>100</v>
      </c>
      <c r="O60" s="384">
        <v>6.6</v>
      </c>
      <c r="P60" s="384"/>
      <c r="Q60" s="384">
        <v>49.2</v>
      </c>
      <c r="R60" s="421">
        <f t="shared" si="4"/>
        <v>55.800000000000004</v>
      </c>
      <c r="S60" s="396">
        <v>2</v>
      </c>
      <c r="T60" s="355"/>
      <c r="U60" s="422"/>
      <c r="V60" s="334" t="s">
        <v>19</v>
      </c>
      <c r="W60" s="334" t="s">
        <v>20</v>
      </c>
      <c r="X60" s="334" t="s">
        <v>12</v>
      </c>
      <c r="Y60" s="334">
        <v>49.2</v>
      </c>
      <c r="Z60" s="343" t="s">
        <v>21</v>
      </c>
      <c r="AA60" s="334" t="s">
        <v>22</v>
      </c>
      <c r="AB60" s="334" t="s">
        <v>11</v>
      </c>
      <c r="AC60" s="344">
        <v>6.6</v>
      </c>
      <c r="AD60" s="343"/>
      <c r="AG60" s="344"/>
      <c r="AL60" s="343"/>
      <c r="AO60" s="344"/>
      <c r="AS60" s="344"/>
      <c r="AW60" s="344"/>
      <c r="BA60" s="345"/>
    </row>
    <row r="61" spans="1:53" s="73" customFormat="1">
      <c r="A61" s="102">
        <v>1986</v>
      </c>
      <c r="B61" s="88">
        <v>31579</v>
      </c>
      <c r="C61" s="997" t="s">
        <v>37</v>
      </c>
      <c r="D61" s="997"/>
      <c r="E61" s="73">
        <v>199</v>
      </c>
      <c r="F61" s="84">
        <v>2</v>
      </c>
      <c r="G61" s="102">
        <v>3</v>
      </c>
      <c r="H61" s="102"/>
      <c r="I61" s="102">
        <v>13</v>
      </c>
      <c r="J61" s="130">
        <v>16</v>
      </c>
      <c r="K61" s="91">
        <f t="shared" si="20"/>
        <v>18.75</v>
      </c>
      <c r="L61" s="92">
        <f t="shared" si="21"/>
        <v>0</v>
      </c>
      <c r="M61" s="92">
        <f t="shared" si="22"/>
        <v>81.25</v>
      </c>
      <c r="N61" s="93">
        <f t="shared" si="3"/>
        <v>100</v>
      </c>
      <c r="O61" s="92">
        <v>6.6</v>
      </c>
      <c r="P61" s="92"/>
      <c r="Q61" s="92">
        <v>49.2</v>
      </c>
      <c r="R61" s="125">
        <f t="shared" si="4"/>
        <v>55.800000000000004</v>
      </c>
      <c r="S61" s="126">
        <v>2</v>
      </c>
      <c r="T61" s="85"/>
      <c r="U61" s="127">
        <v>31579</v>
      </c>
      <c r="V61" s="73" t="s">
        <v>19</v>
      </c>
      <c r="W61" s="73" t="s">
        <v>20</v>
      </c>
      <c r="X61" s="73" t="s">
        <v>12</v>
      </c>
      <c r="Y61" s="73">
        <v>49.2</v>
      </c>
      <c r="Z61" s="82" t="s">
        <v>21</v>
      </c>
      <c r="AA61" s="73" t="s">
        <v>22</v>
      </c>
      <c r="AB61" s="73" t="s">
        <v>11</v>
      </c>
      <c r="AC61" s="83">
        <v>6.6</v>
      </c>
      <c r="AD61" s="82"/>
      <c r="AG61" s="83"/>
      <c r="AL61" s="82"/>
      <c r="AO61" s="83"/>
      <c r="AS61" s="83"/>
      <c r="AW61" s="83"/>
      <c r="BA61" s="84"/>
    </row>
    <row r="62" spans="1:53" s="73" customFormat="1">
      <c r="A62" s="102">
        <v>1987</v>
      </c>
      <c r="B62" s="88"/>
      <c r="C62" s="997" t="s">
        <v>37</v>
      </c>
      <c r="D62" s="997"/>
      <c r="E62" s="73">
        <v>20</v>
      </c>
      <c r="F62" s="84"/>
      <c r="G62" s="102">
        <v>3</v>
      </c>
      <c r="I62" s="102">
        <v>13</v>
      </c>
      <c r="J62" s="130">
        <v>16</v>
      </c>
      <c r="K62" s="91">
        <f t="shared" si="20"/>
        <v>18.75</v>
      </c>
      <c r="L62" s="92">
        <f t="shared" si="21"/>
        <v>0</v>
      </c>
      <c r="M62" s="92">
        <f t="shared" si="22"/>
        <v>81.25</v>
      </c>
      <c r="N62" s="93">
        <f t="shared" si="3"/>
        <v>100</v>
      </c>
      <c r="O62" s="92">
        <v>6.6</v>
      </c>
      <c r="P62" s="92"/>
      <c r="Q62" s="92">
        <v>49.2</v>
      </c>
      <c r="R62" s="125">
        <f t="shared" si="4"/>
        <v>55.800000000000004</v>
      </c>
      <c r="S62" s="126">
        <v>2</v>
      </c>
      <c r="T62" s="85">
        <v>31739</v>
      </c>
      <c r="U62" s="127"/>
      <c r="V62" s="73" t="s">
        <v>19</v>
      </c>
      <c r="W62" s="73" t="s">
        <v>20</v>
      </c>
      <c r="X62" s="73" t="s">
        <v>12</v>
      </c>
      <c r="Y62" s="73">
        <v>49.2</v>
      </c>
      <c r="Z62" s="82" t="s">
        <v>21</v>
      </c>
      <c r="AA62" s="73" t="s">
        <v>22</v>
      </c>
      <c r="AB62" s="73" t="s">
        <v>11</v>
      </c>
      <c r="AC62" s="83">
        <v>6.6</v>
      </c>
      <c r="AD62" s="82"/>
      <c r="AG62" s="83"/>
      <c r="AL62" s="82"/>
      <c r="AO62" s="83"/>
      <c r="AS62" s="83"/>
      <c r="AW62" s="83"/>
      <c r="BA62" s="84"/>
    </row>
    <row r="63" spans="1:53" s="334" customFormat="1">
      <c r="A63" s="386">
        <v>1987</v>
      </c>
      <c r="B63" s="380">
        <v>31798</v>
      </c>
      <c r="C63" s="996" t="s">
        <v>39</v>
      </c>
      <c r="D63" s="996"/>
      <c r="E63" s="334">
        <v>345</v>
      </c>
      <c r="F63" s="345">
        <v>1</v>
      </c>
      <c r="G63" s="386"/>
      <c r="H63" s="386">
        <v>7</v>
      </c>
      <c r="I63" s="386">
        <v>7</v>
      </c>
      <c r="J63" s="420">
        <v>15</v>
      </c>
      <c r="K63" s="383">
        <f t="shared" si="20"/>
        <v>0</v>
      </c>
      <c r="L63" s="384">
        <f t="shared" si="21"/>
        <v>46.666666666666664</v>
      </c>
      <c r="M63" s="384">
        <f t="shared" si="22"/>
        <v>46.666666666666664</v>
      </c>
      <c r="N63" s="385">
        <f t="shared" si="3"/>
        <v>93.333333333333329</v>
      </c>
      <c r="O63" s="384"/>
      <c r="P63" s="384">
        <v>42.1</v>
      </c>
      <c r="Q63" s="384">
        <v>43.7</v>
      </c>
      <c r="R63" s="421">
        <f t="shared" si="4"/>
        <v>85.800000000000011</v>
      </c>
      <c r="S63" s="396">
        <v>2</v>
      </c>
      <c r="T63" s="355"/>
      <c r="U63" s="422">
        <v>31798</v>
      </c>
      <c r="V63" s="334" t="s">
        <v>19</v>
      </c>
      <c r="W63" s="334" t="s">
        <v>20</v>
      </c>
      <c r="X63" s="334" t="s">
        <v>12</v>
      </c>
      <c r="Y63" s="334">
        <v>43.7</v>
      </c>
      <c r="Z63" s="343" t="s">
        <v>16</v>
      </c>
      <c r="AA63" s="334" t="s">
        <v>17</v>
      </c>
      <c r="AB63" s="334" t="s">
        <v>18</v>
      </c>
      <c r="AC63" s="344">
        <v>42.1</v>
      </c>
      <c r="AD63" s="343"/>
      <c r="AG63" s="344"/>
      <c r="AL63" s="343"/>
      <c r="AO63" s="344"/>
      <c r="AS63" s="344"/>
      <c r="AW63" s="344"/>
      <c r="BA63" s="345"/>
    </row>
    <row r="64" spans="1:53" s="334" customFormat="1">
      <c r="A64" s="386">
        <v>1988</v>
      </c>
      <c r="B64" s="380"/>
      <c r="C64" s="996" t="s">
        <v>39</v>
      </c>
      <c r="D64" s="996"/>
      <c r="E64" s="334">
        <v>0</v>
      </c>
      <c r="F64" s="345"/>
      <c r="G64" s="386"/>
      <c r="H64" s="386">
        <v>7</v>
      </c>
      <c r="I64" s="386">
        <v>7</v>
      </c>
      <c r="J64" s="420">
        <v>15</v>
      </c>
      <c r="K64" s="383">
        <f>G64/J64*100</f>
        <v>0</v>
      </c>
      <c r="L64" s="384">
        <f>H64/J64*100</f>
        <v>46.666666666666664</v>
      </c>
      <c r="M64" s="384">
        <f>I64/J64*100</f>
        <v>46.666666666666664</v>
      </c>
      <c r="N64" s="385">
        <f t="shared" si="3"/>
        <v>93.333333333333329</v>
      </c>
      <c r="O64" s="384"/>
      <c r="P64" s="384">
        <v>42.1</v>
      </c>
      <c r="Q64" s="384">
        <v>43.7</v>
      </c>
      <c r="R64" s="421">
        <f t="shared" si="4"/>
        <v>85.800000000000011</v>
      </c>
      <c r="S64" s="396">
        <v>2</v>
      </c>
      <c r="T64" s="355"/>
      <c r="U64" s="422"/>
      <c r="V64" s="334" t="s">
        <v>19</v>
      </c>
      <c r="W64" s="334" t="s">
        <v>20</v>
      </c>
      <c r="X64" s="334" t="s">
        <v>12</v>
      </c>
      <c r="Y64" s="334">
        <v>43.7</v>
      </c>
      <c r="Z64" s="343" t="s">
        <v>16</v>
      </c>
      <c r="AA64" s="334" t="s">
        <v>17</v>
      </c>
      <c r="AB64" s="334" t="s">
        <v>18</v>
      </c>
      <c r="AC64" s="344">
        <v>42.1</v>
      </c>
      <c r="AD64" s="343"/>
      <c r="AG64" s="344"/>
      <c r="AL64" s="343"/>
      <c r="AO64" s="344"/>
      <c r="AS64" s="344"/>
      <c r="AW64" s="344"/>
      <c r="BA64" s="345"/>
    </row>
    <row r="65" spans="1:53" s="334" customFormat="1">
      <c r="A65" s="386">
        <v>1988</v>
      </c>
      <c r="B65" s="380"/>
      <c r="C65" s="996" t="s">
        <v>39</v>
      </c>
      <c r="D65" s="996"/>
      <c r="E65" s="334">
        <v>366</v>
      </c>
      <c r="F65" s="345"/>
      <c r="G65" s="386"/>
      <c r="H65" s="386">
        <v>7</v>
      </c>
      <c r="I65" s="386">
        <v>7</v>
      </c>
      <c r="J65" s="420">
        <v>15</v>
      </c>
      <c r="K65" s="383">
        <f>G65/J65*100</f>
        <v>0</v>
      </c>
      <c r="L65" s="384">
        <f>H65/J65*100</f>
        <v>46.666666666666664</v>
      </c>
      <c r="M65" s="384">
        <f>I65/J65*100</f>
        <v>46.666666666666664</v>
      </c>
      <c r="N65" s="385">
        <f t="shared" si="3"/>
        <v>93.333333333333329</v>
      </c>
      <c r="O65" s="384"/>
      <c r="P65" s="384">
        <v>42.1</v>
      </c>
      <c r="Q65" s="384">
        <v>43.7</v>
      </c>
      <c r="R65" s="421">
        <f t="shared" si="4"/>
        <v>85.800000000000011</v>
      </c>
      <c r="S65" s="396">
        <v>2</v>
      </c>
      <c r="T65" s="355"/>
      <c r="U65" s="422"/>
      <c r="V65" s="334" t="s">
        <v>19</v>
      </c>
      <c r="W65" s="334" t="s">
        <v>20</v>
      </c>
      <c r="X65" s="334" t="s">
        <v>12</v>
      </c>
      <c r="Y65" s="334">
        <v>43.7</v>
      </c>
      <c r="Z65" s="343" t="s">
        <v>16</v>
      </c>
      <c r="AA65" s="334" t="s">
        <v>17</v>
      </c>
      <c r="AB65" s="334" t="s">
        <v>18</v>
      </c>
      <c r="AC65" s="344">
        <v>42.1</v>
      </c>
      <c r="AD65" s="343"/>
      <c r="AG65" s="344"/>
      <c r="AL65" s="343"/>
      <c r="AO65" s="344"/>
      <c r="AS65" s="344"/>
      <c r="AW65" s="344"/>
      <c r="BA65" s="345"/>
    </row>
    <row r="66" spans="1:53" s="334" customFormat="1">
      <c r="A66" s="386">
        <v>1989</v>
      </c>
      <c r="B66" s="380"/>
      <c r="C66" s="996" t="s">
        <v>39</v>
      </c>
      <c r="D66" s="996"/>
      <c r="E66" s="334">
        <v>0</v>
      </c>
      <c r="F66" s="345"/>
      <c r="G66" s="386"/>
      <c r="H66" s="386">
        <v>7</v>
      </c>
      <c r="I66" s="386">
        <v>7</v>
      </c>
      <c r="J66" s="420">
        <v>15</v>
      </c>
      <c r="K66" s="383">
        <f>G66/J66*100</f>
        <v>0</v>
      </c>
      <c r="L66" s="384">
        <f>H66/J66*100</f>
        <v>46.666666666666664</v>
      </c>
      <c r="M66" s="384">
        <f>I66/J66*100</f>
        <v>46.666666666666664</v>
      </c>
      <c r="N66" s="385">
        <f t="shared" si="3"/>
        <v>93.333333333333329</v>
      </c>
      <c r="O66" s="384"/>
      <c r="P66" s="384">
        <v>42.1</v>
      </c>
      <c r="Q66" s="384">
        <v>43.7</v>
      </c>
      <c r="R66" s="421">
        <f t="shared" si="4"/>
        <v>85.800000000000011</v>
      </c>
      <c r="S66" s="396">
        <v>2</v>
      </c>
      <c r="T66" s="355"/>
      <c r="U66" s="422"/>
      <c r="V66" s="334" t="s">
        <v>19</v>
      </c>
      <c r="W66" s="334" t="s">
        <v>20</v>
      </c>
      <c r="X66" s="334" t="s">
        <v>12</v>
      </c>
      <c r="Y66" s="334">
        <v>43.7</v>
      </c>
      <c r="Z66" s="343" t="s">
        <v>16</v>
      </c>
      <c r="AA66" s="334" t="s">
        <v>17</v>
      </c>
      <c r="AB66" s="334" t="s">
        <v>18</v>
      </c>
      <c r="AC66" s="344">
        <v>42.1</v>
      </c>
      <c r="AD66" s="343"/>
      <c r="AG66" s="344"/>
      <c r="AL66" s="343"/>
      <c r="AO66" s="344"/>
      <c r="AS66" s="344"/>
      <c r="AW66" s="344"/>
      <c r="BA66" s="345"/>
    </row>
    <row r="67" spans="1:53" s="104" customFormat="1">
      <c r="A67" s="201">
        <v>1989</v>
      </c>
      <c r="B67" s="407"/>
      <c r="C67" s="998" t="s">
        <v>39</v>
      </c>
      <c r="D67" s="998"/>
      <c r="E67" s="104">
        <v>365</v>
      </c>
      <c r="F67" s="107"/>
      <c r="G67" s="201"/>
      <c r="H67" s="201">
        <v>7</v>
      </c>
      <c r="I67" s="201">
        <v>7</v>
      </c>
      <c r="J67" s="425">
        <v>15</v>
      </c>
      <c r="K67" s="403">
        <f>G67/J67*100</f>
        <v>0</v>
      </c>
      <c r="L67" s="404">
        <f>H67/J67*100</f>
        <v>46.666666666666664</v>
      </c>
      <c r="M67" s="404">
        <f>I67/J67*100</f>
        <v>46.666666666666664</v>
      </c>
      <c r="N67" s="405">
        <f t="shared" si="3"/>
        <v>93.333333333333329</v>
      </c>
      <c r="O67" s="404"/>
      <c r="P67" s="404">
        <v>42.1</v>
      </c>
      <c r="Q67" s="404">
        <v>43.7</v>
      </c>
      <c r="R67" s="426">
        <f>SUM(O67:Q67)</f>
        <v>85.800000000000011</v>
      </c>
      <c r="S67" s="427">
        <v>2</v>
      </c>
      <c r="T67" s="407"/>
      <c r="U67" s="428"/>
      <c r="V67" s="104" t="s">
        <v>19</v>
      </c>
      <c r="W67" s="104" t="s">
        <v>20</v>
      </c>
      <c r="X67" s="104" t="s">
        <v>12</v>
      </c>
      <c r="Y67" s="104">
        <v>43.7</v>
      </c>
      <c r="Z67" s="105" t="s">
        <v>16</v>
      </c>
      <c r="AA67" s="104" t="s">
        <v>17</v>
      </c>
      <c r="AB67" s="104" t="s">
        <v>18</v>
      </c>
      <c r="AC67" s="106">
        <v>42.1</v>
      </c>
      <c r="AD67" s="105"/>
      <c r="AG67" s="106"/>
      <c r="AL67" s="105"/>
      <c r="AO67" s="106"/>
      <c r="AS67" s="106"/>
      <c r="AW67" s="106"/>
      <c r="BA67" s="107"/>
    </row>
    <row r="68" spans="1:53" s="334" customFormat="1">
      <c r="A68" s="334">
        <v>1990</v>
      </c>
      <c r="B68" s="355"/>
      <c r="C68" s="992" t="s">
        <v>39</v>
      </c>
      <c r="D68" s="992"/>
      <c r="E68" s="334">
        <v>350</v>
      </c>
      <c r="F68" s="345"/>
      <c r="G68" s="388"/>
      <c r="H68" s="388">
        <v>7</v>
      </c>
      <c r="I68" s="388">
        <v>7</v>
      </c>
      <c r="J68" s="429">
        <v>15</v>
      </c>
      <c r="K68" s="383">
        <v>0</v>
      </c>
      <c r="L68" s="384">
        <v>46.7</v>
      </c>
      <c r="M68" s="384">
        <v>46.7</v>
      </c>
      <c r="N68" s="385">
        <f t="shared" si="3"/>
        <v>93.4</v>
      </c>
      <c r="O68" s="384"/>
      <c r="P68" s="384">
        <v>42.1</v>
      </c>
      <c r="Q68" s="384">
        <v>43.7</v>
      </c>
      <c r="R68" s="421">
        <f>SUM(O68:Q68)</f>
        <v>85.800000000000011</v>
      </c>
      <c r="S68" s="396">
        <v>2</v>
      </c>
      <c r="T68" s="355"/>
      <c r="U68" s="422"/>
      <c r="V68" s="334" t="s">
        <v>19</v>
      </c>
      <c r="W68" s="334" t="s">
        <v>20</v>
      </c>
      <c r="X68" s="334" t="s">
        <v>12</v>
      </c>
      <c r="Y68" s="334">
        <v>43.7</v>
      </c>
      <c r="Z68" s="343" t="s">
        <v>16</v>
      </c>
      <c r="AA68" s="334" t="s">
        <v>17</v>
      </c>
      <c r="AB68" s="334" t="s">
        <v>18</v>
      </c>
      <c r="AC68" s="344">
        <v>42.1</v>
      </c>
      <c r="AD68" s="343"/>
      <c r="AG68" s="344"/>
      <c r="AL68" s="343"/>
      <c r="AO68" s="344"/>
      <c r="AS68" s="344"/>
      <c r="AW68" s="344"/>
      <c r="BA68" s="345"/>
    </row>
    <row r="69" spans="1:53" s="73" customFormat="1">
      <c r="A69" s="73">
        <v>1990</v>
      </c>
      <c r="B69" s="131">
        <v>33224</v>
      </c>
      <c r="C69" s="997" t="s">
        <v>40</v>
      </c>
      <c r="D69" s="997"/>
      <c r="E69" s="73">
        <v>15</v>
      </c>
      <c r="F69" s="84">
        <v>1</v>
      </c>
      <c r="G69" s="97"/>
      <c r="H69" s="97">
        <v>8</v>
      </c>
      <c r="I69" s="97">
        <v>8</v>
      </c>
      <c r="J69" s="132">
        <v>17</v>
      </c>
      <c r="K69" s="91">
        <f>G69/J69*100</f>
        <v>0</v>
      </c>
      <c r="L69" s="92">
        <f>H69/J69*100</f>
        <v>47.058823529411761</v>
      </c>
      <c r="M69" s="92">
        <f>I69/J69*100</f>
        <v>47.058823529411761</v>
      </c>
      <c r="N69" s="93">
        <f t="shared" si="3"/>
        <v>94.117647058823522</v>
      </c>
      <c r="O69" s="92"/>
      <c r="P69" s="92">
        <v>32.799999999999997</v>
      </c>
      <c r="Q69" s="92">
        <v>43.7</v>
      </c>
      <c r="R69" s="125">
        <f t="shared" si="4"/>
        <v>76.5</v>
      </c>
      <c r="S69" s="126">
        <v>2</v>
      </c>
      <c r="T69" s="85">
        <v>33153</v>
      </c>
      <c r="U69" s="127">
        <v>33224</v>
      </c>
      <c r="V69" s="73" t="s">
        <v>19</v>
      </c>
      <c r="W69" s="73" t="s">
        <v>20</v>
      </c>
      <c r="X69" s="73" t="s">
        <v>12</v>
      </c>
      <c r="Y69" s="73">
        <v>43.7</v>
      </c>
      <c r="Z69" s="82" t="s">
        <v>16</v>
      </c>
      <c r="AA69" s="73" t="s">
        <v>17</v>
      </c>
      <c r="AB69" s="73" t="s">
        <v>18</v>
      </c>
      <c r="AC69" s="83">
        <v>32.799999999999997</v>
      </c>
      <c r="AD69" s="82"/>
      <c r="AG69" s="83"/>
      <c r="AL69" s="82"/>
      <c r="AO69" s="83"/>
      <c r="AS69" s="83"/>
      <c r="AW69" s="83"/>
      <c r="BA69" s="84"/>
    </row>
    <row r="70" spans="1:53" s="73" customFormat="1">
      <c r="A70" s="73">
        <v>1991</v>
      </c>
      <c r="B70" s="131"/>
      <c r="C70" s="997" t="s">
        <v>40</v>
      </c>
      <c r="D70" s="997"/>
      <c r="E70" s="73">
        <v>0</v>
      </c>
      <c r="F70" s="84"/>
      <c r="G70" s="97"/>
      <c r="H70" s="97">
        <v>8</v>
      </c>
      <c r="I70" s="97">
        <v>8</v>
      </c>
      <c r="J70" s="132">
        <v>17</v>
      </c>
      <c r="K70" s="91">
        <f>G70/J70*100</f>
        <v>0</v>
      </c>
      <c r="L70" s="92">
        <f>H70/J70*100</f>
        <v>47.058823529411761</v>
      </c>
      <c r="M70" s="92">
        <f>I70/J70*100</f>
        <v>47.058823529411761</v>
      </c>
      <c r="N70" s="93">
        <f t="shared" si="3"/>
        <v>94.117647058823522</v>
      </c>
      <c r="O70" s="92"/>
      <c r="P70" s="92">
        <v>32.799999999999997</v>
      </c>
      <c r="Q70" s="92">
        <v>43.7</v>
      </c>
      <c r="R70" s="125">
        <f t="shared" si="4"/>
        <v>76.5</v>
      </c>
      <c r="S70" s="126">
        <v>2</v>
      </c>
      <c r="T70" s="85"/>
      <c r="U70" s="127"/>
      <c r="V70" s="73" t="s">
        <v>19</v>
      </c>
      <c r="W70" s="73" t="s">
        <v>20</v>
      </c>
      <c r="X70" s="73" t="s">
        <v>12</v>
      </c>
      <c r="Y70" s="73">
        <v>43.7</v>
      </c>
      <c r="Z70" s="82" t="s">
        <v>16</v>
      </c>
      <c r="AA70" s="73" t="s">
        <v>17</v>
      </c>
      <c r="AB70" s="73" t="s">
        <v>18</v>
      </c>
      <c r="AC70" s="83">
        <v>32.799999999999997</v>
      </c>
      <c r="AD70" s="82"/>
      <c r="AG70" s="83"/>
      <c r="AL70" s="82"/>
      <c r="AO70" s="83"/>
      <c r="AS70" s="83"/>
      <c r="AW70" s="83"/>
      <c r="BA70" s="84"/>
    </row>
    <row r="71" spans="1:53" s="73" customFormat="1">
      <c r="A71" s="73">
        <v>1991</v>
      </c>
      <c r="B71" s="131"/>
      <c r="C71" s="997" t="s">
        <v>40</v>
      </c>
      <c r="D71" s="997"/>
      <c r="E71" s="73">
        <v>365</v>
      </c>
      <c r="F71" s="84"/>
      <c r="G71" s="97"/>
      <c r="H71" s="97">
        <v>8</v>
      </c>
      <c r="I71" s="97">
        <v>8</v>
      </c>
      <c r="J71" s="132">
        <v>17</v>
      </c>
      <c r="K71" s="91">
        <f>G71/J71*100</f>
        <v>0</v>
      </c>
      <c r="L71" s="92">
        <f>H71/J71*100</f>
        <v>47.058823529411761</v>
      </c>
      <c r="M71" s="92">
        <f>I71/J71*100</f>
        <v>47.058823529411761</v>
      </c>
      <c r="N71" s="93">
        <f t="shared" si="3"/>
        <v>94.117647058823522</v>
      </c>
      <c r="O71" s="92"/>
      <c r="P71" s="92">
        <v>32.799999999999997</v>
      </c>
      <c r="Q71" s="92">
        <v>43.7</v>
      </c>
      <c r="R71" s="125">
        <f t="shared" si="4"/>
        <v>76.5</v>
      </c>
      <c r="S71" s="126">
        <v>2</v>
      </c>
      <c r="T71" s="85"/>
      <c r="U71" s="127"/>
      <c r="V71" s="73" t="s">
        <v>19</v>
      </c>
      <c r="W71" s="73" t="s">
        <v>20</v>
      </c>
      <c r="X71" s="73" t="s">
        <v>12</v>
      </c>
      <c r="Y71" s="73">
        <v>43.7</v>
      </c>
      <c r="Z71" s="82" t="s">
        <v>16</v>
      </c>
      <c r="AA71" s="73" t="s">
        <v>17</v>
      </c>
      <c r="AB71" s="73" t="s">
        <v>18</v>
      </c>
      <c r="AC71" s="83">
        <v>32.799999999999997</v>
      </c>
      <c r="AD71" s="82"/>
      <c r="AG71" s="83"/>
      <c r="AL71" s="82"/>
      <c r="AO71" s="83"/>
      <c r="AS71" s="83"/>
      <c r="AW71" s="83"/>
      <c r="BA71" s="84"/>
    </row>
    <row r="72" spans="1:53" s="73" customFormat="1">
      <c r="A72" s="73">
        <v>1992</v>
      </c>
      <c r="B72" s="131"/>
      <c r="C72" s="997" t="s">
        <v>40</v>
      </c>
      <c r="D72" s="997"/>
      <c r="E72" s="73">
        <v>0</v>
      </c>
      <c r="F72" s="84"/>
      <c r="G72" s="97"/>
      <c r="H72" s="97">
        <v>7</v>
      </c>
      <c r="I72" s="97">
        <v>8</v>
      </c>
      <c r="J72" s="132">
        <v>16</v>
      </c>
      <c r="K72" s="91">
        <f>G72/J72*100</f>
        <v>0</v>
      </c>
      <c r="L72" s="92">
        <f>H72/J72*100</f>
        <v>43.75</v>
      </c>
      <c r="M72" s="92">
        <f>I72/J72*100</f>
        <v>50</v>
      </c>
      <c r="N72" s="93">
        <f t="shared" si="3"/>
        <v>93.75</v>
      </c>
      <c r="O72" s="92"/>
      <c r="P72" s="92">
        <v>32.799999999999997</v>
      </c>
      <c r="Q72" s="92">
        <v>43.7</v>
      </c>
      <c r="R72" s="125">
        <f t="shared" si="4"/>
        <v>76.5</v>
      </c>
      <c r="S72" s="126">
        <v>2</v>
      </c>
      <c r="T72" s="85"/>
      <c r="U72" s="127"/>
      <c r="V72" s="73" t="s">
        <v>19</v>
      </c>
      <c r="W72" s="73" t="s">
        <v>20</v>
      </c>
      <c r="X72" s="73" t="s">
        <v>12</v>
      </c>
      <c r="Y72" s="73">
        <v>43.7</v>
      </c>
      <c r="Z72" s="82" t="s">
        <v>16</v>
      </c>
      <c r="AA72" s="73" t="s">
        <v>17</v>
      </c>
      <c r="AB72" s="73" t="s">
        <v>18</v>
      </c>
      <c r="AC72" s="83">
        <v>32.799999999999997</v>
      </c>
      <c r="AD72" s="82"/>
      <c r="AG72" s="83"/>
      <c r="AL72" s="82"/>
      <c r="AO72" s="83"/>
      <c r="AS72" s="83"/>
      <c r="AW72" s="83"/>
      <c r="BA72" s="84"/>
    </row>
    <row r="73" spans="1:53" s="73" customFormat="1">
      <c r="A73" s="73">
        <v>1992</v>
      </c>
      <c r="B73" s="131"/>
      <c r="C73" s="997" t="s">
        <v>40</v>
      </c>
      <c r="D73" s="997"/>
      <c r="E73" s="73">
        <v>366</v>
      </c>
      <c r="F73" s="84"/>
      <c r="G73" s="97"/>
      <c r="H73" s="97">
        <v>7</v>
      </c>
      <c r="I73" s="97">
        <v>8</v>
      </c>
      <c r="J73" s="132">
        <v>16</v>
      </c>
      <c r="K73" s="91">
        <f>G73/J73*100</f>
        <v>0</v>
      </c>
      <c r="L73" s="92">
        <f>H73/J73*100</f>
        <v>43.75</v>
      </c>
      <c r="M73" s="92">
        <f>I73/J73*100</f>
        <v>50</v>
      </c>
      <c r="N73" s="93">
        <f t="shared" ref="N73:N116" si="23">SUM(K73:M73)</f>
        <v>93.75</v>
      </c>
      <c r="O73" s="92"/>
      <c r="P73" s="92">
        <v>32.799999999999997</v>
      </c>
      <c r="Q73" s="92">
        <v>43.7</v>
      </c>
      <c r="R73" s="125">
        <f t="shared" ref="R73:R117" si="24">SUM(O73:Q73)</f>
        <v>76.5</v>
      </c>
      <c r="S73" s="126">
        <v>2</v>
      </c>
      <c r="T73" s="85"/>
      <c r="U73" s="127"/>
      <c r="V73" s="73" t="s">
        <v>19</v>
      </c>
      <c r="W73" s="73" t="s">
        <v>20</v>
      </c>
      <c r="X73" s="73" t="s">
        <v>12</v>
      </c>
      <c r="Y73" s="73">
        <v>43.7</v>
      </c>
      <c r="Z73" s="82" t="s">
        <v>16</v>
      </c>
      <c r="AA73" s="73" t="s">
        <v>17</v>
      </c>
      <c r="AB73" s="73" t="s">
        <v>18</v>
      </c>
      <c r="AC73" s="83">
        <v>32.799999999999997</v>
      </c>
      <c r="AD73" s="82"/>
      <c r="AG73" s="83"/>
      <c r="AL73" s="82"/>
      <c r="AO73" s="83"/>
      <c r="AS73" s="83"/>
      <c r="AW73" s="83"/>
      <c r="BA73" s="84"/>
    </row>
    <row r="74" spans="1:53" s="73" customFormat="1">
      <c r="A74" s="73">
        <v>1993</v>
      </c>
      <c r="B74" s="131"/>
      <c r="C74" s="997" t="s">
        <v>40</v>
      </c>
      <c r="D74" s="997"/>
      <c r="E74" s="73">
        <v>0</v>
      </c>
      <c r="F74" s="84"/>
      <c r="G74" s="97"/>
      <c r="H74" s="97">
        <v>7</v>
      </c>
      <c r="I74" s="97">
        <v>8</v>
      </c>
      <c r="J74" s="132">
        <v>16</v>
      </c>
      <c r="K74" s="91">
        <f t="shared" ref="K74:K97" si="25">G74/J74*100</f>
        <v>0</v>
      </c>
      <c r="L74" s="92">
        <f t="shared" ref="L74:L97" si="26">H74/J74*100</f>
        <v>43.75</v>
      </c>
      <c r="M74" s="92">
        <f t="shared" ref="M74:M97" si="27">I74/J74*100</f>
        <v>50</v>
      </c>
      <c r="N74" s="93">
        <f t="shared" si="23"/>
        <v>93.75</v>
      </c>
      <c r="O74" s="92"/>
      <c r="P74" s="92">
        <v>32.799999999999997</v>
      </c>
      <c r="Q74" s="92">
        <v>43.7</v>
      </c>
      <c r="R74" s="125">
        <f t="shared" si="24"/>
        <v>76.5</v>
      </c>
      <c r="S74" s="126">
        <v>2</v>
      </c>
      <c r="T74" s="85"/>
      <c r="U74" s="127"/>
      <c r="V74" s="73" t="s">
        <v>19</v>
      </c>
      <c r="W74" s="73" t="s">
        <v>20</v>
      </c>
      <c r="X74" s="73" t="s">
        <v>12</v>
      </c>
      <c r="Y74" s="73">
        <v>43.7</v>
      </c>
      <c r="Z74" s="82" t="s">
        <v>16</v>
      </c>
      <c r="AA74" s="73" t="s">
        <v>17</v>
      </c>
      <c r="AB74" s="73" t="s">
        <v>18</v>
      </c>
      <c r="AC74" s="83">
        <v>32.799999999999997</v>
      </c>
      <c r="AD74" s="82"/>
      <c r="AG74" s="83"/>
      <c r="AL74" s="82"/>
      <c r="AO74" s="83"/>
      <c r="AS74" s="83"/>
      <c r="AW74" s="83"/>
      <c r="BA74" s="84"/>
    </row>
    <row r="75" spans="1:53" s="73" customFormat="1">
      <c r="A75" s="73">
        <v>1993</v>
      </c>
      <c r="B75" s="131"/>
      <c r="C75" s="997" t="s">
        <v>40</v>
      </c>
      <c r="D75" s="997"/>
      <c r="E75" s="73">
        <v>365</v>
      </c>
      <c r="F75" s="84"/>
      <c r="G75" s="97"/>
      <c r="H75" s="97">
        <v>7</v>
      </c>
      <c r="I75" s="97">
        <v>8</v>
      </c>
      <c r="J75" s="132">
        <v>16</v>
      </c>
      <c r="K75" s="91">
        <f t="shared" si="25"/>
        <v>0</v>
      </c>
      <c r="L75" s="92">
        <f t="shared" si="26"/>
        <v>43.75</v>
      </c>
      <c r="M75" s="92">
        <f t="shared" si="27"/>
        <v>50</v>
      </c>
      <c r="N75" s="93">
        <f t="shared" si="23"/>
        <v>93.75</v>
      </c>
      <c r="O75" s="92"/>
      <c r="P75" s="92">
        <v>32.799999999999997</v>
      </c>
      <c r="Q75" s="92">
        <v>43.7</v>
      </c>
      <c r="R75" s="125">
        <f t="shared" si="24"/>
        <v>76.5</v>
      </c>
      <c r="S75" s="126">
        <v>2</v>
      </c>
      <c r="T75" s="85"/>
      <c r="U75" s="127"/>
      <c r="V75" s="73" t="s">
        <v>19</v>
      </c>
      <c r="W75" s="73" t="s">
        <v>20</v>
      </c>
      <c r="X75" s="73" t="s">
        <v>12</v>
      </c>
      <c r="Y75" s="73">
        <v>43.7</v>
      </c>
      <c r="Z75" s="82" t="s">
        <v>16</v>
      </c>
      <c r="AA75" s="73" t="s">
        <v>17</v>
      </c>
      <c r="AB75" s="73" t="s">
        <v>18</v>
      </c>
      <c r="AC75" s="83">
        <v>32.799999999999997</v>
      </c>
      <c r="AD75" s="82"/>
      <c r="AG75" s="83"/>
      <c r="AL75" s="82"/>
      <c r="AO75" s="83"/>
      <c r="AS75" s="83"/>
      <c r="AW75" s="83"/>
      <c r="BA75" s="84"/>
    </row>
    <row r="76" spans="1:53" s="73" customFormat="1">
      <c r="A76" s="73">
        <v>1994</v>
      </c>
      <c r="B76" s="131"/>
      <c r="C76" s="997" t="s">
        <v>40</v>
      </c>
      <c r="D76" s="997"/>
      <c r="E76" s="73">
        <v>332</v>
      </c>
      <c r="F76" s="84"/>
      <c r="G76" s="97"/>
      <c r="H76" s="97">
        <v>7</v>
      </c>
      <c r="I76" s="97">
        <v>8</v>
      </c>
      <c r="J76" s="132">
        <v>16</v>
      </c>
      <c r="K76" s="91">
        <f t="shared" si="25"/>
        <v>0</v>
      </c>
      <c r="L76" s="92">
        <f t="shared" si="26"/>
        <v>43.75</v>
      </c>
      <c r="M76" s="92">
        <f t="shared" si="27"/>
        <v>50</v>
      </c>
      <c r="N76" s="93">
        <f t="shared" si="23"/>
        <v>93.75</v>
      </c>
      <c r="O76" s="92"/>
      <c r="P76" s="92">
        <v>32.799999999999997</v>
      </c>
      <c r="Q76" s="92">
        <v>43.7</v>
      </c>
      <c r="R76" s="125">
        <f t="shared" si="24"/>
        <v>76.5</v>
      </c>
      <c r="S76" s="126">
        <v>2</v>
      </c>
      <c r="T76" s="85"/>
      <c r="U76" s="127"/>
      <c r="V76" s="73" t="s">
        <v>19</v>
      </c>
      <c r="W76" s="73" t="s">
        <v>20</v>
      </c>
      <c r="X76" s="73" t="s">
        <v>12</v>
      </c>
      <c r="Y76" s="73">
        <v>43.7</v>
      </c>
      <c r="Z76" s="82" t="s">
        <v>16</v>
      </c>
      <c r="AA76" s="73" t="s">
        <v>17</v>
      </c>
      <c r="AB76" s="73" t="s">
        <v>18</v>
      </c>
      <c r="AC76" s="83">
        <v>32.799999999999997</v>
      </c>
      <c r="AD76" s="82"/>
      <c r="AG76" s="83"/>
      <c r="AL76" s="82"/>
      <c r="AO76" s="83"/>
      <c r="AS76" s="83"/>
      <c r="AW76" s="83"/>
      <c r="BA76" s="84"/>
    </row>
    <row r="77" spans="1:53" s="334" customFormat="1">
      <c r="A77" s="334">
        <v>1994</v>
      </c>
      <c r="B77" s="430">
        <v>34667</v>
      </c>
      <c r="C77" s="996" t="s">
        <v>41</v>
      </c>
      <c r="D77" s="996"/>
      <c r="E77" s="334">
        <v>33</v>
      </c>
      <c r="F77" s="345">
        <v>1</v>
      </c>
      <c r="G77" s="388"/>
      <c r="H77" s="388">
        <v>7</v>
      </c>
      <c r="I77" s="388">
        <v>8</v>
      </c>
      <c r="J77" s="429">
        <v>16</v>
      </c>
      <c r="K77" s="383">
        <f t="shared" si="25"/>
        <v>0</v>
      </c>
      <c r="L77" s="384">
        <f t="shared" si="26"/>
        <v>43.75</v>
      </c>
      <c r="M77" s="384">
        <f t="shared" si="27"/>
        <v>50</v>
      </c>
      <c r="N77" s="385">
        <f t="shared" si="23"/>
        <v>93.75</v>
      </c>
      <c r="O77" s="384"/>
      <c r="P77" s="384">
        <v>28.4</v>
      </c>
      <c r="Q77" s="384">
        <v>35.5</v>
      </c>
      <c r="R77" s="421">
        <f t="shared" si="24"/>
        <v>63.9</v>
      </c>
      <c r="S77" s="396">
        <v>2</v>
      </c>
      <c r="T77" s="355">
        <v>34616</v>
      </c>
      <c r="U77" s="422">
        <v>34667</v>
      </c>
      <c r="V77" s="334" t="s">
        <v>19</v>
      </c>
      <c r="W77" s="334" t="s">
        <v>20</v>
      </c>
      <c r="X77" s="334" t="s">
        <v>12</v>
      </c>
      <c r="Y77" s="334">
        <v>35.5</v>
      </c>
      <c r="Z77" s="343" t="s">
        <v>16</v>
      </c>
      <c r="AA77" s="334" t="s">
        <v>17</v>
      </c>
      <c r="AB77" s="334" t="s">
        <v>18</v>
      </c>
      <c r="AC77" s="344">
        <v>28.4</v>
      </c>
      <c r="AD77" s="343"/>
      <c r="AG77" s="344"/>
      <c r="AL77" s="343"/>
      <c r="AO77" s="344"/>
      <c r="AS77" s="344"/>
      <c r="AW77" s="344"/>
      <c r="BA77" s="345"/>
    </row>
    <row r="78" spans="1:53" s="334" customFormat="1">
      <c r="A78" s="334">
        <v>1995</v>
      </c>
      <c r="B78" s="430"/>
      <c r="C78" s="996" t="s">
        <v>41</v>
      </c>
      <c r="D78" s="996"/>
      <c r="E78" s="334">
        <v>0</v>
      </c>
      <c r="F78" s="345"/>
      <c r="G78" s="388"/>
      <c r="H78" s="388">
        <v>7</v>
      </c>
      <c r="I78" s="388">
        <v>8</v>
      </c>
      <c r="J78" s="429">
        <v>16</v>
      </c>
      <c r="K78" s="383">
        <f t="shared" si="25"/>
        <v>0</v>
      </c>
      <c r="L78" s="384">
        <f t="shared" si="26"/>
        <v>43.75</v>
      </c>
      <c r="M78" s="384">
        <f t="shared" si="27"/>
        <v>50</v>
      </c>
      <c r="N78" s="385">
        <f t="shared" si="23"/>
        <v>93.75</v>
      </c>
      <c r="O78" s="384"/>
      <c r="P78" s="384">
        <v>28.4</v>
      </c>
      <c r="Q78" s="384">
        <v>35.5</v>
      </c>
      <c r="R78" s="421">
        <f t="shared" si="24"/>
        <v>63.9</v>
      </c>
      <c r="S78" s="396">
        <v>2</v>
      </c>
      <c r="T78" s="355"/>
      <c r="U78" s="422"/>
      <c r="V78" s="334" t="s">
        <v>19</v>
      </c>
      <c r="W78" s="334" t="s">
        <v>20</v>
      </c>
      <c r="X78" s="334" t="s">
        <v>12</v>
      </c>
      <c r="Y78" s="334">
        <v>35.5</v>
      </c>
      <c r="Z78" s="343" t="s">
        <v>16</v>
      </c>
      <c r="AA78" s="334" t="s">
        <v>17</v>
      </c>
      <c r="AB78" s="334" t="s">
        <v>18</v>
      </c>
      <c r="AC78" s="344">
        <v>28.4</v>
      </c>
      <c r="AD78" s="343"/>
      <c r="AG78" s="344"/>
      <c r="AL78" s="343"/>
      <c r="AO78" s="344"/>
      <c r="AS78" s="344"/>
      <c r="AW78" s="344"/>
      <c r="BA78" s="345"/>
    </row>
    <row r="79" spans="1:53" s="334" customFormat="1">
      <c r="A79" s="334">
        <v>1995</v>
      </c>
      <c r="B79" s="430"/>
      <c r="C79" s="996" t="s">
        <v>41</v>
      </c>
      <c r="D79" s="996"/>
      <c r="E79" s="334">
        <v>365</v>
      </c>
      <c r="F79" s="345"/>
      <c r="G79" s="388"/>
      <c r="H79" s="388">
        <v>7</v>
      </c>
      <c r="I79" s="388">
        <v>8</v>
      </c>
      <c r="J79" s="429">
        <v>16</v>
      </c>
      <c r="K79" s="383">
        <f t="shared" si="25"/>
        <v>0</v>
      </c>
      <c r="L79" s="384">
        <f t="shared" si="26"/>
        <v>43.75</v>
      </c>
      <c r="M79" s="384">
        <f t="shared" si="27"/>
        <v>50</v>
      </c>
      <c r="N79" s="385">
        <f t="shared" si="23"/>
        <v>93.75</v>
      </c>
      <c r="O79" s="384"/>
      <c r="P79" s="384">
        <v>28.4</v>
      </c>
      <c r="Q79" s="384">
        <v>35.5</v>
      </c>
      <c r="R79" s="421">
        <f t="shared" si="24"/>
        <v>63.9</v>
      </c>
      <c r="S79" s="396">
        <v>2</v>
      </c>
      <c r="T79" s="355">
        <v>35050</v>
      </c>
      <c r="U79" s="422"/>
      <c r="V79" s="334" t="s">
        <v>19</v>
      </c>
      <c r="W79" s="334" t="s">
        <v>20</v>
      </c>
      <c r="X79" s="334" t="s">
        <v>12</v>
      </c>
      <c r="Y79" s="334">
        <v>35.5</v>
      </c>
      <c r="Z79" s="343" t="s">
        <v>16</v>
      </c>
      <c r="AA79" s="334" t="s">
        <v>17</v>
      </c>
      <c r="AB79" s="334" t="s">
        <v>18</v>
      </c>
      <c r="AC79" s="344">
        <v>28.4</v>
      </c>
      <c r="AD79" s="343"/>
      <c r="AG79" s="344"/>
      <c r="AL79" s="343"/>
      <c r="AO79" s="344"/>
      <c r="AS79" s="344"/>
      <c r="AW79" s="344"/>
      <c r="BA79" s="345"/>
    </row>
    <row r="80" spans="1:53" s="334" customFormat="1">
      <c r="A80" s="334">
        <v>1996</v>
      </c>
      <c r="B80" s="430"/>
      <c r="C80" s="996" t="s">
        <v>41</v>
      </c>
      <c r="D80" s="996"/>
      <c r="E80" s="334">
        <v>71</v>
      </c>
      <c r="F80" s="345"/>
      <c r="G80" s="388"/>
      <c r="H80" s="388">
        <v>7</v>
      </c>
      <c r="I80" s="388">
        <v>8</v>
      </c>
      <c r="J80" s="429">
        <v>16</v>
      </c>
      <c r="K80" s="383">
        <f t="shared" si="25"/>
        <v>0</v>
      </c>
      <c r="L80" s="384">
        <f t="shared" si="26"/>
        <v>43.75</v>
      </c>
      <c r="M80" s="384">
        <f t="shared" si="27"/>
        <v>50</v>
      </c>
      <c r="N80" s="385">
        <f t="shared" si="23"/>
        <v>93.75</v>
      </c>
      <c r="O80" s="384"/>
      <c r="P80" s="384">
        <v>28.4</v>
      </c>
      <c r="Q80" s="384">
        <v>35.5</v>
      </c>
      <c r="R80" s="421">
        <f t="shared" si="24"/>
        <v>63.9</v>
      </c>
      <c r="S80" s="396">
        <v>2</v>
      </c>
      <c r="T80" s="355"/>
      <c r="U80" s="422"/>
      <c r="V80" s="334" t="s">
        <v>19</v>
      </c>
      <c r="W80" s="334" t="s">
        <v>20</v>
      </c>
      <c r="X80" s="334" t="s">
        <v>12</v>
      </c>
      <c r="Y80" s="334">
        <v>35.5</v>
      </c>
      <c r="Z80" s="343" t="s">
        <v>16</v>
      </c>
      <c r="AA80" s="334" t="s">
        <v>17</v>
      </c>
      <c r="AB80" s="334" t="s">
        <v>18</v>
      </c>
      <c r="AC80" s="344">
        <v>28.4</v>
      </c>
      <c r="AD80" s="343"/>
      <c r="AG80" s="344"/>
      <c r="AL80" s="343"/>
      <c r="AO80" s="344"/>
      <c r="AS80" s="344"/>
      <c r="AW80" s="344"/>
      <c r="BA80" s="345"/>
    </row>
    <row r="81" spans="1:53" s="73" customFormat="1">
      <c r="A81" s="73">
        <v>1996</v>
      </c>
      <c r="B81" s="131">
        <v>35136</v>
      </c>
      <c r="C81" s="997" t="s">
        <v>42</v>
      </c>
      <c r="D81" s="997"/>
      <c r="E81" s="73">
        <v>295</v>
      </c>
      <c r="F81" s="84">
        <v>1</v>
      </c>
      <c r="G81" s="97"/>
      <c r="H81" s="97">
        <v>6</v>
      </c>
      <c r="I81" s="97">
        <v>7</v>
      </c>
      <c r="J81" s="132">
        <v>14</v>
      </c>
      <c r="K81" s="91">
        <f t="shared" si="25"/>
        <v>0</v>
      </c>
      <c r="L81" s="92">
        <f t="shared" si="26"/>
        <v>42.857142857142854</v>
      </c>
      <c r="M81" s="92">
        <f t="shared" si="27"/>
        <v>50</v>
      </c>
      <c r="N81" s="93">
        <f t="shared" si="23"/>
        <v>92.857142857142861</v>
      </c>
      <c r="O81" s="92"/>
      <c r="P81" s="92">
        <v>28.4</v>
      </c>
      <c r="Q81" s="92">
        <v>38.799999999999997</v>
      </c>
      <c r="R81" s="125">
        <f t="shared" si="24"/>
        <v>67.199999999999989</v>
      </c>
      <c r="S81" s="126">
        <v>2</v>
      </c>
      <c r="T81" s="85"/>
      <c r="U81" s="127">
        <v>35136</v>
      </c>
      <c r="V81" s="73" t="s">
        <v>19</v>
      </c>
      <c r="W81" s="73" t="s">
        <v>20</v>
      </c>
      <c r="X81" s="73" t="s">
        <v>12</v>
      </c>
      <c r="Y81" s="73">
        <v>38.799999999999997</v>
      </c>
      <c r="Z81" s="82" t="s">
        <v>16</v>
      </c>
      <c r="AA81" s="73" t="s">
        <v>17</v>
      </c>
      <c r="AB81" s="73" t="s">
        <v>18</v>
      </c>
      <c r="AC81" s="83">
        <v>28.4</v>
      </c>
      <c r="AD81" s="82"/>
      <c r="AG81" s="83"/>
      <c r="AL81" s="82"/>
      <c r="AO81" s="83"/>
      <c r="AS81" s="83"/>
      <c r="AW81" s="83"/>
      <c r="BA81" s="84"/>
    </row>
    <row r="82" spans="1:53" s="73" customFormat="1">
      <c r="A82" s="73">
        <v>1997</v>
      </c>
      <c r="B82" s="131"/>
      <c r="C82" s="997" t="s">
        <v>42</v>
      </c>
      <c r="D82" s="997"/>
      <c r="E82" s="73">
        <v>27</v>
      </c>
      <c r="F82" s="84"/>
      <c r="G82" s="97"/>
      <c r="H82" s="97">
        <v>6</v>
      </c>
      <c r="I82" s="97">
        <v>7</v>
      </c>
      <c r="J82" s="132">
        <v>14</v>
      </c>
      <c r="K82" s="91">
        <f t="shared" si="25"/>
        <v>0</v>
      </c>
      <c r="L82" s="92">
        <f t="shared" si="26"/>
        <v>42.857142857142854</v>
      </c>
      <c r="M82" s="92">
        <f t="shared" si="27"/>
        <v>50</v>
      </c>
      <c r="N82" s="93">
        <f t="shared" si="23"/>
        <v>92.857142857142861</v>
      </c>
      <c r="O82" s="92"/>
      <c r="P82" s="92">
        <v>28.4</v>
      </c>
      <c r="Q82" s="92">
        <v>38.799999999999997</v>
      </c>
      <c r="R82" s="125">
        <f t="shared" si="24"/>
        <v>67.199999999999989</v>
      </c>
      <c r="S82" s="126">
        <v>2</v>
      </c>
      <c r="T82" s="85"/>
      <c r="U82" s="127"/>
      <c r="V82" s="73" t="s">
        <v>19</v>
      </c>
      <c r="W82" s="73" t="s">
        <v>20</v>
      </c>
      <c r="X82" s="73" t="s">
        <v>12</v>
      </c>
      <c r="Y82" s="73">
        <v>38.799999999999997</v>
      </c>
      <c r="Z82" s="82" t="s">
        <v>16</v>
      </c>
      <c r="AA82" s="73" t="s">
        <v>17</v>
      </c>
      <c r="AB82" s="73" t="s">
        <v>18</v>
      </c>
      <c r="AC82" s="83">
        <v>28.4</v>
      </c>
      <c r="AD82" s="82"/>
      <c r="AG82" s="83"/>
      <c r="AL82" s="82"/>
      <c r="AO82" s="83"/>
      <c r="AS82" s="83"/>
      <c r="AW82" s="83"/>
      <c r="BA82" s="84"/>
    </row>
    <row r="83" spans="1:53" s="334" customFormat="1">
      <c r="A83" s="334">
        <v>1997</v>
      </c>
      <c r="B83" s="430">
        <v>35458</v>
      </c>
      <c r="C83" s="992" t="s">
        <v>43</v>
      </c>
      <c r="D83" s="992"/>
      <c r="E83" s="334">
        <v>338</v>
      </c>
      <c r="F83" s="345">
        <v>2</v>
      </c>
      <c r="G83" s="388"/>
      <c r="H83" s="388">
        <v>6</v>
      </c>
      <c r="I83" s="388">
        <v>6</v>
      </c>
      <c r="J83" s="429">
        <v>13</v>
      </c>
      <c r="K83" s="383">
        <f t="shared" si="25"/>
        <v>0</v>
      </c>
      <c r="L83" s="384">
        <f t="shared" si="26"/>
        <v>46.153846153846153</v>
      </c>
      <c r="M83" s="384">
        <f t="shared" si="27"/>
        <v>46.153846153846153</v>
      </c>
      <c r="N83" s="385">
        <f t="shared" si="23"/>
        <v>92.307692307692307</v>
      </c>
      <c r="O83" s="384"/>
      <c r="P83" s="384">
        <v>28.4</v>
      </c>
      <c r="Q83" s="384">
        <v>38.799999999999997</v>
      </c>
      <c r="R83" s="421">
        <f t="shared" si="24"/>
        <v>67.199999999999989</v>
      </c>
      <c r="S83" s="396">
        <v>2</v>
      </c>
      <c r="T83" s="355"/>
      <c r="U83" s="422">
        <v>35458</v>
      </c>
      <c r="V83" s="334" t="s">
        <v>19</v>
      </c>
      <c r="W83" s="334" t="s">
        <v>20</v>
      </c>
      <c r="X83" s="334" t="s">
        <v>12</v>
      </c>
      <c r="Y83" s="334">
        <v>38.799999999999997</v>
      </c>
      <c r="Z83" s="343" t="s">
        <v>16</v>
      </c>
      <c r="AA83" s="334" t="s">
        <v>17</v>
      </c>
      <c r="AB83" s="334" t="s">
        <v>18</v>
      </c>
      <c r="AC83" s="344">
        <v>28.4</v>
      </c>
      <c r="AD83" s="343"/>
      <c r="AG83" s="344"/>
      <c r="AL83" s="343"/>
      <c r="AO83" s="344"/>
      <c r="AS83" s="344"/>
      <c r="AW83" s="344"/>
      <c r="BA83" s="345"/>
    </row>
    <row r="84" spans="1:53" s="334" customFormat="1">
      <c r="A84" s="334">
        <v>1998</v>
      </c>
      <c r="B84" s="430"/>
      <c r="C84" s="992" t="s">
        <v>43</v>
      </c>
      <c r="D84" s="992"/>
      <c r="E84" s="334">
        <v>0</v>
      </c>
      <c r="F84" s="345"/>
      <c r="G84" s="388"/>
      <c r="H84" s="388">
        <v>6</v>
      </c>
      <c r="I84" s="388">
        <v>6</v>
      </c>
      <c r="J84" s="429">
        <v>13</v>
      </c>
      <c r="K84" s="383">
        <f t="shared" si="25"/>
        <v>0</v>
      </c>
      <c r="L84" s="384">
        <f t="shared" si="26"/>
        <v>46.153846153846153</v>
      </c>
      <c r="M84" s="384">
        <f t="shared" si="27"/>
        <v>46.153846153846153</v>
      </c>
      <c r="N84" s="385">
        <f t="shared" si="23"/>
        <v>92.307692307692307</v>
      </c>
      <c r="O84" s="384"/>
      <c r="P84" s="384">
        <v>28.4</v>
      </c>
      <c r="Q84" s="384">
        <v>38.799999999999997</v>
      </c>
      <c r="R84" s="421">
        <f t="shared" si="24"/>
        <v>67.199999999999989</v>
      </c>
      <c r="S84" s="396">
        <v>2</v>
      </c>
      <c r="T84" s="355"/>
      <c r="U84" s="422"/>
      <c r="V84" s="334" t="s">
        <v>19</v>
      </c>
      <c r="W84" s="334" t="s">
        <v>20</v>
      </c>
      <c r="X84" s="334" t="s">
        <v>12</v>
      </c>
      <c r="Y84" s="334">
        <v>38.799999999999997</v>
      </c>
      <c r="Z84" s="343" t="s">
        <v>16</v>
      </c>
      <c r="AA84" s="334" t="s">
        <v>17</v>
      </c>
      <c r="AB84" s="334" t="s">
        <v>18</v>
      </c>
      <c r="AC84" s="344">
        <v>28.4</v>
      </c>
      <c r="AD84" s="343"/>
      <c r="AG84" s="344"/>
      <c r="AL84" s="343"/>
      <c r="AO84" s="344"/>
      <c r="AS84" s="344"/>
      <c r="AW84" s="344"/>
      <c r="BA84" s="345"/>
    </row>
    <row r="85" spans="1:53" s="334" customFormat="1">
      <c r="A85" s="334">
        <v>1998</v>
      </c>
      <c r="B85" s="430"/>
      <c r="C85" s="992" t="s">
        <v>43</v>
      </c>
      <c r="D85" s="992"/>
      <c r="E85" s="334">
        <v>365</v>
      </c>
      <c r="F85" s="345"/>
      <c r="G85" s="388"/>
      <c r="H85" s="388">
        <v>6</v>
      </c>
      <c r="I85" s="388">
        <v>6</v>
      </c>
      <c r="J85" s="429">
        <v>13</v>
      </c>
      <c r="K85" s="383">
        <f t="shared" si="25"/>
        <v>0</v>
      </c>
      <c r="L85" s="384">
        <f t="shared" si="26"/>
        <v>46.153846153846153</v>
      </c>
      <c r="M85" s="384">
        <f t="shared" si="27"/>
        <v>46.153846153846153</v>
      </c>
      <c r="N85" s="385">
        <f t="shared" si="23"/>
        <v>92.307692307692307</v>
      </c>
      <c r="O85" s="384"/>
      <c r="P85" s="384">
        <v>28.4</v>
      </c>
      <c r="Q85" s="384">
        <v>38.799999999999997</v>
      </c>
      <c r="R85" s="421">
        <f t="shared" si="24"/>
        <v>67.199999999999989</v>
      </c>
      <c r="S85" s="396">
        <v>2</v>
      </c>
      <c r="T85" s="355"/>
      <c r="U85" s="422"/>
      <c r="V85" s="334" t="s">
        <v>19</v>
      </c>
      <c r="W85" s="334" t="s">
        <v>20</v>
      </c>
      <c r="X85" s="334" t="s">
        <v>12</v>
      </c>
      <c r="Y85" s="334">
        <v>38.799999999999997</v>
      </c>
      <c r="Z85" s="343" t="s">
        <v>16</v>
      </c>
      <c r="AA85" s="334" t="s">
        <v>17</v>
      </c>
      <c r="AB85" s="334" t="s">
        <v>18</v>
      </c>
      <c r="AC85" s="344">
        <v>28.4</v>
      </c>
      <c r="AD85" s="343"/>
      <c r="AG85" s="344"/>
      <c r="AL85" s="343"/>
      <c r="AO85" s="344"/>
      <c r="AS85" s="344"/>
      <c r="AW85" s="344"/>
      <c r="BA85" s="345"/>
    </row>
    <row r="86" spans="1:53" s="334" customFormat="1">
      <c r="A86" s="334">
        <v>1999</v>
      </c>
      <c r="B86" s="430"/>
      <c r="C86" s="992" t="s">
        <v>43</v>
      </c>
      <c r="D86" s="992"/>
      <c r="E86" s="334">
        <v>0</v>
      </c>
      <c r="F86" s="345"/>
      <c r="G86" s="388"/>
      <c r="H86" s="388">
        <v>6</v>
      </c>
      <c r="I86" s="388">
        <v>6</v>
      </c>
      <c r="J86" s="429">
        <v>13</v>
      </c>
      <c r="K86" s="383">
        <f t="shared" si="25"/>
        <v>0</v>
      </c>
      <c r="L86" s="384">
        <f t="shared" si="26"/>
        <v>46.153846153846153</v>
      </c>
      <c r="M86" s="384">
        <f t="shared" si="27"/>
        <v>46.153846153846153</v>
      </c>
      <c r="N86" s="385">
        <f t="shared" si="23"/>
        <v>92.307692307692307</v>
      </c>
      <c r="O86" s="384"/>
      <c r="P86" s="384">
        <v>28.4</v>
      </c>
      <c r="Q86" s="384">
        <v>38.799999999999997</v>
      </c>
      <c r="R86" s="421">
        <f t="shared" si="24"/>
        <v>67.199999999999989</v>
      </c>
      <c r="S86" s="396">
        <v>2</v>
      </c>
      <c r="T86" s="355"/>
      <c r="U86" s="422"/>
      <c r="V86" s="334" t="s">
        <v>19</v>
      </c>
      <c r="W86" s="334" t="s">
        <v>20</v>
      </c>
      <c r="X86" s="334" t="s">
        <v>12</v>
      </c>
      <c r="Y86" s="334">
        <v>38.799999999999997</v>
      </c>
      <c r="Z86" s="343" t="s">
        <v>16</v>
      </c>
      <c r="AA86" s="334" t="s">
        <v>17</v>
      </c>
      <c r="AB86" s="334" t="s">
        <v>18</v>
      </c>
      <c r="AC86" s="344">
        <v>28.4</v>
      </c>
      <c r="AD86" s="343"/>
      <c r="AG86" s="344"/>
      <c r="AL86" s="343"/>
      <c r="AO86" s="344"/>
      <c r="AS86" s="344"/>
      <c r="AW86" s="344"/>
      <c r="BA86" s="345"/>
    </row>
    <row r="87" spans="1:53" s="334" customFormat="1">
      <c r="A87" s="334">
        <v>1999</v>
      </c>
      <c r="B87" s="430"/>
      <c r="C87" s="992" t="s">
        <v>43</v>
      </c>
      <c r="D87" s="992"/>
      <c r="E87" s="334">
        <v>365</v>
      </c>
      <c r="F87" s="345"/>
      <c r="G87" s="388"/>
      <c r="H87" s="388">
        <v>6</v>
      </c>
      <c r="I87" s="388">
        <v>6</v>
      </c>
      <c r="J87" s="429">
        <v>13</v>
      </c>
      <c r="K87" s="383">
        <f t="shared" si="25"/>
        <v>0</v>
      </c>
      <c r="L87" s="384">
        <f t="shared" si="26"/>
        <v>46.153846153846153</v>
      </c>
      <c r="M87" s="384">
        <f t="shared" si="27"/>
        <v>46.153846153846153</v>
      </c>
      <c r="N87" s="385">
        <f t="shared" si="23"/>
        <v>92.307692307692307</v>
      </c>
      <c r="O87" s="384"/>
      <c r="P87" s="384">
        <v>28.4</v>
      </c>
      <c r="Q87" s="384">
        <v>38.799999999999997</v>
      </c>
      <c r="R87" s="421">
        <f t="shared" si="24"/>
        <v>67.199999999999989</v>
      </c>
      <c r="S87" s="396">
        <v>2</v>
      </c>
      <c r="T87" s="355">
        <v>36436</v>
      </c>
      <c r="U87" s="422"/>
      <c r="V87" s="334" t="s">
        <v>19</v>
      </c>
      <c r="W87" s="334" t="s">
        <v>20</v>
      </c>
      <c r="X87" s="334" t="s">
        <v>12</v>
      </c>
      <c r="Y87" s="334">
        <v>38.799999999999997</v>
      </c>
      <c r="Z87" s="343" t="s">
        <v>16</v>
      </c>
      <c r="AA87" s="334" t="s">
        <v>17</v>
      </c>
      <c r="AB87" s="334" t="s">
        <v>18</v>
      </c>
      <c r="AC87" s="344">
        <v>28.4</v>
      </c>
      <c r="AD87" s="343"/>
      <c r="AG87" s="344"/>
      <c r="AL87" s="343"/>
      <c r="AO87" s="344"/>
      <c r="AS87" s="344"/>
      <c r="AW87" s="344"/>
      <c r="BA87" s="345"/>
    </row>
    <row r="88" spans="1:53" s="334" customFormat="1">
      <c r="A88" s="334">
        <v>2000</v>
      </c>
      <c r="B88" s="430"/>
      <c r="C88" s="992" t="s">
        <v>43</v>
      </c>
      <c r="D88" s="992"/>
      <c r="E88" s="334">
        <v>34</v>
      </c>
      <c r="F88" s="345"/>
      <c r="G88" s="388"/>
      <c r="H88" s="388">
        <v>6</v>
      </c>
      <c r="I88" s="388">
        <v>6</v>
      </c>
      <c r="J88" s="429">
        <v>13</v>
      </c>
      <c r="K88" s="383">
        <f t="shared" si="25"/>
        <v>0</v>
      </c>
      <c r="L88" s="384">
        <f t="shared" si="26"/>
        <v>46.153846153846153</v>
      </c>
      <c r="M88" s="384">
        <f t="shared" si="27"/>
        <v>46.153846153846153</v>
      </c>
      <c r="N88" s="385">
        <f t="shared" si="23"/>
        <v>92.307692307692307</v>
      </c>
      <c r="O88" s="384"/>
      <c r="P88" s="384">
        <v>28.4</v>
      </c>
      <c r="Q88" s="384">
        <v>38.799999999999997</v>
      </c>
      <c r="R88" s="421">
        <f t="shared" si="24"/>
        <v>67.199999999999989</v>
      </c>
      <c r="S88" s="396">
        <v>2</v>
      </c>
      <c r="T88" s="355"/>
      <c r="U88" s="422"/>
      <c r="V88" s="334" t="s">
        <v>19</v>
      </c>
      <c r="W88" s="334" t="s">
        <v>20</v>
      </c>
      <c r="X88" s="334" t="s">
        <v>12</v>
      </c>
      <c r="Y88" s="334">
        <v>38.799999999999997</v>
      </c>
      <c r="Z88" s="343" t="s">
        <v>16</v>
      </c>
      <c r="AA88" s="334" t="s">
        <v>17</v>
      </c>
      <c r="AB88" s="334" t="s">
        <v>18</v>
      </c>
      <c r="AC88" s="344">
        <v>28.4</v>
      </c>
      <c r="AD88" s="343"/>
      <c r="AG88" s="344"/>
      <c r="AL88" s="343"/>
      <c r="AO88" s="344"/>
      <c r="AS88" s="344"/>
      <c r="AW88" s="344"/>
      <c r="BA88" s="345"/>
    </row>
    <row r="89" spans="1:53" s="73" customFormat="1">
      <c r="A89" s="73">
        <v>2000</v>
      </c>
      <c r="B89" s="131">
        <v>36560</v>
      </c>
      <c r="C89" s="988" t="s">
        <v>44</v>
      </c>
      <c r="D89" s="988"/>
      <c r="E89" s="73">
        <v>332</v>
      </c>
      <c r="F89" s="84">
        <v>1</v>
      </c>
      <c r="G89" s="97">
        <v>6</v>
      </c>
      <c r="H89" s="97">
        <v>6</v>
      </c>
      <c r="I89" s="97"/>
      <c r="J89" s="132">
        <v>12</v>
      </c>
      <c r="K89" s="91">
        <f t="shared" si="25"/>
        <v>50</v>
      </c>
      <c r="L89" s="92">
        <f t="shared" si="26"/>
        <v>50</v>
      </c>
      <c r="M89" s="92">
        <f t="shared" si="27"/>
        <v>0</v>
      </c>
      <c r="N89" s="93">
        <f t="shared" si="23"/>
        <v>100</v>
      </c>
      <c r="O89" s="92">
        <v>28.4</v>
      </c>
      <c r="P89" s="92">
        <v>28.4</v>
      </c>
      <c r="Q89" s="92"/>
      <c r="R89" s="125">
        <f t="shared" si="24"/>
        <v>56.8</v>
      </c>
      <c r="S89" s="126">
        <v>2</v>
      </c>
      <c r="T89" s="85"/>
      <c r="U89" s="127">
        <v>36560</v>
      </c>
      <c r="V89" s="73" t="s">
        <v>16</v>
      </c>
      <c r="W89" s="73" t="s">
        <v>17</v>
      </c>
      <c r="X89" s="73" t="s">
        <v>18</v>
      </c>
      <c r="Y89" s="73">
        <v>28.4</v>
      </c>
      <c r="Z89" s="82" t="s">
        <v>21</v>
      </c>
      <c r="AA89" s="73" t="s">
        <v>27</v>
      </c>
      <c r="AB89" s="73" t="s">
        <v>11</v>
      </c>
      <c r="AC89" s="83">
        <v>28.4</v>
      </c>
      <c r="AD89" s="82"/>
      <c r="AG89" s="83"/>
      <c r="AL89" s="82"/>
      <c r="AO89" s="83"/>
      <c r="AS89" s="83"/>
      <c r="AW89" s="83"/>
      <c r="BA89" s="84"/>
    </row>
    <row r="90" spans="1:53" s="73" customFormat="1">
      <c r="A90" s="73">
        <v>2001</v>
      </c>
      <c r="B90" s="131"/>
      <c r="C90" s="988" t="s">
        <v>44</v>
      </c>
      <c r="D90" s="988"/>
      <c r="E90" s="73">
        <v>0</v>
      </c>
      <c r="F90" s="84"/>
      <c r="G90" s="97">
        <v>6</v>
      </c>
      <c r="H90" s="97">
        <v>6</v>
      </c>
      <c r="I90" s="97"/>
      <c r="J90" s="132">
        <v>12</v>
      </c>
      <c r="K90" s="91">
        <f t="shared" si="25"/>
        <v>50</v>
      </c>
      <c r="L90" s="92">
        <f t="shared" si="26"/>
        <v>50</v>
      </c>
      <c r="M90" s="92">
        <f t="shared" si="27"/>
        <v>0</v>
      </c>
      <c r="N90" s="93">
        <f t="shared" si="23"/>
        <v>100</v>
      </c>
      <c r="O90" s="92">
        <v>28.4</v>
      </c>
      <c r="P90" s="92">
        <v>28.4</v>
      </c>
      <c r="Q90" s="92"/>
      <c r="R90" s="125">
        <f t="shared" si="24"/>
        <v>56.8</v>
      </c>
      <c r="S90" s="126">
        <v>2</v>
      </c>
      <c r="T90" s="85"/>
      <c r="U90" s="127"/>
      <c r="V90" s="73" t="s">
        <v>16</v>
      </c>
      <c r="W90" s="73" t="s">
        <v>17</v>
      </c>
      <c r="X90" s="73" t="s">
        <v>18</v>
      </c>
      <c r="Y90" s="73">
        <v>28.4</v>
      </c>
      <c r="Z90" s="82" t="s">
        <v>21</v>
      </c>
      <c r="AA90" s="73" t="s">
        <v>27</v>
      </c>
      <c r="AB90" s="73" t="s">
        <v>11</v>
      </c>
      <c r="AC90" s="83">
        <v>28.4</v>
      </c>
      <c r="AD90" s="82"/>
      <c r="AG90" s="83"/>
      <c r="AL90" s="82"/>
      <c r="AO90" s="83"/>
      <c r="AS90" s="83"/>
      <c r="AW90" s="83"/>
      <c r="BA90" s="84"/>
    </row>
    <row r="91" spans="1:53" s="73" customFormat="1">
      <c r="A91" s="73">
        <v>2001</v>
      </c>
      <c r="B91" s="131"/>
      <c r="C91" s="988" t="s">
        <v>44</v>
      </c>
      <c r="D91" s="988"/>
      <c r="E91" s="73">
        <v>365</v>
      </c>
      <c r="F91" s="84"/>
      <c r="G91" s="97">
        <v>6</v>
      </c>
      <c r="H91" s="97">
        <v>6</v>
      </c>
      <c r="I91" s="97"/>
      <c r="J91" s="132">
        <v>12</v>
      </c>
      <c r="K91" s="91">
        <f t="shared" si="25"/>
        <v>50</v>
      </c>
      <c r="L91" s="92">
        <f t="shared" si="26"/>
        <v>50</v>
      </c>
      <c r="M91" s="92">
        <f t="shared" si="27"/>
        <v>0</v>
      </c>
      <c r="N91" s="93">
        <f t="shared" si="23"/>
        <v>100</v>
      </c>
      <c r="O91" s="92">
        <v>28.4</v>
      </c>
      <c r="P91" s="92">
        <v>28.4</v>
      </c>
      <c r="Q91" s="92"/>
      <c r="R91" s="125">
        <f t="shared" si="24"/>
        <v>56.8</v>
      </c>
      <c r="S91" s="126">
        <v>2</v>
      </c>
      <c r="T91" s="85"/>
      <c r="U91" s="127"/>
      <c r="V91" s="73" t="s">
        <v>16</v>
      </c>
      <c r="W91" s="73" t="s">
        <v>17</v>
      </c>
      <c r="X91" s="73" t="s">
        <v>18</v>
      </c>
      <c r="Y91" s="73">
        <v>28.4</v>
      </c>
      <c r="Z91" s="82" t="s">
        <v>21</v>
      </c>
      <c r="AA91" s="73" t="s">
        <v>27</v>
      </c>
      <c r="AB91" s="73" t="s">
        <v>11</v>
      </c>
      <c r="AC91" s="83">
        <v>28.4</v>
      </c>
      <c r="AD91" s="82"/>
      <c r="AG91" s="83"/>
      <c r="AL91" s="82"/>
      <c r="AO91" s="83"/>
      <c r="AS91" s="83"/>
      <c r="AW91" s="83"/>
      <c r="BA91" s="84"/>
    </row>
    <row r="92" spans="1:53" s="73" customFormat="1">
      <c r="A92" s="73">
        <v>2002</v>
      </c>
      <c r="B92" s="131"/>
      <c r="C92" s="988" t="s">
        <v>44</v>
      </c>
      <c r="D92" s="988"/>
      <c r="E92" s="73">
        <v>0</v>
      </c>
      <c r="F92" s="84"/>
      <c r="G92" s="97">
        <v>6</v>
      </c>
      <c r="H92" s="97">
        <v>6</v>
      </c>
      <c r="I92" s="97"/>
      <c r="J92" s="132">
        <v>12</v>
      </c>
      <c r="K92" s="91">
        <f t="shared" si="25"/>
        <v>50</v>
      </c>
      <c r="L92" s="92">
        <f t="shared" si="26"/>
        <v>50</v>
      </c>
      <c r="M92" s="92">
        <f t="shared" si="27"/>
        <v>0</v>
      </c>
      <c r="N92" s="93">
        <f t="shared" si="23"/>
        <v>100</v>
      </c>
      <c r="O92" s="92">
        <v>28.4</v>
      </c>
      <c r="P92" s="92">
        <v>28.4</v>
      </c>
      <c r="Q92" s="92"/>
      <c r="R92" s="125">
        <f t="shared" si="24"/>
        <v>56.8</v>
      </c>
      <c r="S92" s="126">
        <v>2</v>
      </c>
      <c r="T92" s="85"/>
      <c r="U92" s="127"/>
      <c r="V92" s="73" t="s">
        <v>16</v>
      </c>
      <c r="W92" s="73" t="s">
        <v>17</v>
      </c>
      <c r="X92" s="73" t="s">
        <v>18</v>
      </c>
      <c r="Y92" s="73">
        <v>28.4</v>
      </c>
      <c r="Z92" s="82" t="s">
        <v>21</v>
      </c>
      <c r="AA92" s="73" t="s">
        <v>27</v>
      </c>
      <c r="AB92" s="73" t="s">
        <v>11</v>
      </c>
      <c r="AC92" s="83">
        <v>28.4</v>
      </c>
      <c r="AD92" s="82"/>
      <c r="AG92" s="83"/>
      <c r="AL92" s="82"/>
      <c r="AO92" s="83"/>
      <c r="AS92" s="83"/>
      <c r="AW92" s="83"/>
      <c r="BA92" s="84"/>
    </row>
    <row r="93" spans="1:53" s="73" customFormat="1" ht="11" customHeight="1">
      <c r="A93" s="73">
        <v>2002</v>
      </c>
      <c r="B93" s="131"/>
      <c r="C93" s="988" t="s">
        <v>44</v>
      </c>
      <c r="D93" s="988"/>
      <c r="E93" s="73">
        <v>365</v>
      </c>
      <c r="F93" s="84"/>
      <c r="G93" s="97">
        <v>6</v>
      </c>
      <c r="H93" s="97">
        <v>6</v>
      </c>
      <c r="I93" s="97"/>
      <c r="J93" s="132">
        <v>12</v>
      </c>
      <c r="K93" s="91">
        <f t="shared" si="25"/>
        <v>50</v>
      </c>
      <c r="L93" s="92">
        <f t="shared" si="26"/>
        <v>50</v>
      </c>
      <c r="M93" s="92">
        <f t="shared" si="27"/>
        <v>0</v>
      </c>
      <c r="N93" s="93">
        <f t="shared" si="23"/>
        <v>100</v>
      </c>
      <c r="O93" s="92">
        <v>28.4</v>
      </c>
      <c r="P93" s="92">
        <v>28.4</v>
      </c>
      <c r="Q93" s="92"/>
      <c r="R93" s="125">
        <f t="shared" si="24"/>
        <v>56.8</v>
      </c>
      <c r="S93" s="126">
        <v>2</v>
      </c>
      <c r="T93" s="85">
        <v>37584</v>
      </c>
      <c r="U93" s="127"/>
      <c r="V93" s="73" t="s">
        <v>16</v>
      </c>
      <c r="W93" s="73" t="s">
        <v>17</v>
      </c>
      <c r="X93" s="73" t="s">
        <v>18</v>
      </c>
      <c r="Y93" s="73">
        <v>28.4</v>
      </c>
      <c r="Z93" s="82" t="s">
        <v>21</v>
      </c>
      <c r="AA93" s="73" t="s">
        <v>27</v>
      </c>
      <c r="AB93" s="73" t="s">
        <v>11</v>
      </c>
      <c r="AC93" s="83">
        <v>28.4</v>
      </c>
      <c r="AD93" s="82"/>
      <c r="AG93" s="83"/>
      <c r="AL93" s="82"/>
      <c r="AO93" s="83"/>
      <c r="AS93" s="83"/>
      <c r="AW93" s="83"/>
      <c r="BA93" s="84"/>
    </row>
    <row r="94" spans="1:53" s="73" customFormat="1" ht="11" customHeight="1">
      <c r="A94" s="73">
        <v>2003</v>
      </c>
      <c r="B94" s="131"/>
      <c r="C94" s="988" t="s">
        <v>44</v>
      </c>
      <c r="D94" s="988"/>
      <c r="E94" s="73">
        <v>58</v>
      </c>
      <c r="F94" s="84"/>
      <c r="G94" s="97">
        <v>6</v>
      </c>
      <c r="H94" s="97">
        <v>6</v>
      </c>
      <c r="I94" s="97"/>
      <c r="J94" s="132">
        <v>12</v>
      </c>
      <c r="K94" s="91">
        <f t="shared" si="25"/>
        <v>50</v>
      </c>
      <c r="L94" s="92">
        <f t="shared" si="26"/>
        <v>50</v>
      </c>
      <c r="M94" s="92">
        <f t="shared" si="27"/>
        <v>0</v>
      </c>
      <c r="N94" s="93">
        <f t="shared" si="23"/>
        <v>100</v>
      </c>
      <c r="O94" s="92">
        <v>28.4</v>
      </c>
      <c r="P94" s="92">
        <v>28.4</v>
      </c>
      <c r="Q94" s="92"/>
      <c r="R94" s="125">
        <f t="shared" si="24"/>
        <v>56.8</v>
      </c>
      <c r="S94" s="126">
        <v>2</v>
      </c>
      <c r="T94" s="85"/>
      <c r="U94" s="127"/>
      <c r="V94" s="73" t="s">
        <v>16</v>
      </c>
      <c r="W94" s="73" t="s">
        <v>17</v>
      </c>
      <c r="X94" s="73" t="s">
        <v>18</v>
      </c>
      <c r="Y94" s="73">
        <v>28.4</v>
      </c>
      <c r="Z94" s="82" t="s">
        <v>21</v>
      </c>
      <c r="AA94" s="73" t="s">
        <v>27</v>
      </c>
      <c r="AB94" s="73" t="s">
        <v>11</v>
      </c>
      <c r="AC94" s="83">
        <v>28.4</v>
      </c>
      <c r="AD94" s="82"/>
      <c r="AG94" s="83"/>
      <c r="AL94" s="82"/>
      <c r="AO94" s="83"/>
      <c r="AS94" s="83"/>
      <c r="AW94" s="83"/>
      <c r="BA94" s="84"/>
    </row>
    <row r="95" spans="1:53" s="334" customFormat="1" ht="11" customHeight="1">
      <c r="A95" s="334">
        <v>2003</v>
      </c>
      <c r="B95" s="430">
        <v>37680</v>
      </c>
      <c r="C95" s="992" t="s">
        <v>45</v>
      </c>
      <c r="D95" s="992"/>
      <c r="E95" s="334">
        <v>307</v>
      </c>
      <c r="F95" s="345">
        <v>1</v>
      </c>
      <c r="G95" s="388">
        <v>3</v>
      </c>
      <c r="H95" s="388">
        <v>8</v>
      </c>
      <c r="I95" s="388"/>
      <c r="J95" s="429">
        <v>12</v>
      </c>
      <c r="K95" s="383">
        <f t="shared" si="25"/>
        <v>25</v>
      </c>
      <c r="L95" s="384">
        <f t="shared" si="26"/>
        <v>66.666666666666657</v>
      </c>
      <c r="M95" s="384">
        <f t="shared" si="27"/>
        <v>0</v>
      </c>
      <c r="N95" s="385">
        <f t="shared" si="23"/>
        <v>91.666666666666657</v>
      </c>
      <c r="O95" s="384">
        <v>9.8000000000000007</v>
      </c>
      <c r="P95" s="384">
        <v>43.2</v>
      </c>
      <c r="Q95" s="384"/>
      <c r="R95" s="421">
        <f t="shared" si="24"/>
        <v>53</v>
      </c>
      <c r="S95" s="396">
        <v>2</v>
      </c>
      <c r="T95" s="355"/>
      <c r="U95" s="422">
        <v>37680</v>
      </c>
      <c r="V95" s="334" t="s">
        <v>16</v>
      </c>
      <c r="W95" s="334" t="s">
        <v>17</v>
      </c>
      <c r="X95" s="334" t="s">
        <v>18</v>
      </c>
      <c r="Y95" s="334">
        <v>43.2</v>
      </c>
      <c r="Z95" s="343" t="s">
        <v>21</v>
      </c>
      <c r="AA95" s="334" t="s">
        <v>27</v>
      </c>
      <c r="AB95" s="334" t="s">
        <v>11</v>
      </c>
      <c r="AC95" s="344">
        <v>9.8000000000000007</v>
      </c>
      <c r="AD95" s="343"/>
      <c r="AG95" s="344"/>
      <c r="AL95" s="343"/>
      <c r="AO95" s="344"/>
      <c r="AS95" s="344"/>
      <c r="AW95" s="344"/>
      <c r="BA95" s="345"/>
    </row>
    <row r="96" spans="1:53" s="334" customFormat="1" ht="11" customHeight="1">
      <c r="A96" s="334">
        <v>2004</v>
      </c>
      <c r="B96" s="430"/>
      <c r="C96" s="992" t="s">
        <v>45</v>
      </c>
      <c r="D96" s="992"/>
      <c r="E96" s="334">
        <v>0</v>
      </c>
      <c r="F96" s="345"/>
      <c r="G96" s="388">
        <v>3</v>
      </c>
      <c r="H96" s="388">
        <v>8</v>
      </c>
      <c r="I96" s="388"/>
      <c r="J96" s="429">
        <v>12</v>
      </c>
      <c r="K96" s="383">
        <f t="shared" si="25"/>
        <v>25</v>
      </c>
      <c r="L96" s="384">
        <f t="shared" si="26"/>
        <v>66.666666666666657</v>
      </c>
      <c r="M96" s="384">
        <f t="shared" si="27"/>
        <v>0</v>
      </c>
      <c r="N96" s="385">
        <f t="shared" si="23"/>
        <v>91.666666666666657</v>
      </c>
      <c r="O96" s="384">
        <v>9.8000000000000007</v>
      </c>
      <c r="P96" s="384">
        <v>43.2</v>
      </c>
      <c r="Q96" s="384"/>
      <c r="R96" s="421">
        <f t="shared" si="24"/>
        <v>53</v>
      </c>
      <c r="S96" s="396">
        <v>2</v>
      </c>
      <c r="T96" s="355"/>
      <c r="U96" s="422"/>
      <c r="V96" s="334" t="s">
        <v>16</v>
      </c>
      <c r="W96" s="334" t="s">
        <v>17</v>
      </c>
      <c r="X96" s="334" t="s">
        <v>18</v>
      </c>
      <c r="Y96" s="334">
        <v>43.2</v>
      </c>
      <c r="Z96" s="343" t="s">
        <v>21</v>
      </c>
      <c r="AA96" s="334" t="s">
        <v>27</v>
      </c>
      <c r="AB96" s="334" t="s">
        <v>11</v>
      </c>
      <c r="AC96" s="344">
        <v>9.8000000000000007</v>
      </c>
      <c r="AD96" s="343"/>
      <c r="AG96" s="344"/>
      <c r="AL96" s="343"/>
      <c r="AO96" s="344"/>
      <c r="AS96" s="344"/>
      <c r="AW96" s="344"/>
      <c r="BA96" s="345"/>
    </row>
    <row r="97" spans="1:53" s="334" customFormat="1" ht="11" customHeight="1">
      <c r="A97" s="334">
        <v>2004</v>
      </c>
      <c r="B97" s="430"/>
      <c r="C97" s="992" t="s">
        <v>45</v>
      </c>
      <c r="D97" s="992"/>
      <c r="E97" s="334">
        <v>366</v>
      </c>
      <c r="F97" s="345"/>
      <c r="G97" s="388">
        <v>3</v>
      </c>
      <c r="H97" s="388">
        <v>8</v>
      </c>
      <c r="I97" s="388"/>
      <c r="J97" s="429">
        <v>12</v>
      </c>
      <c r="K97" s="383">
        <f t="shared" si="25"/>
        <v>25</v>
      </c>
      <c r="L97" s="384">
        <f t="shared" si="26"/>
        <v>66.666666666666657</v>
      </c>
      <c r="M97" s="384">
        <f t="shared" si="27"/>
        <v>0</v>
      </c>
      <c r="N97" s="385">
        <f t="shared" si="23"/>
        <v>91.666666666666657</v>
      </c>
      <c r="O97" s="384">
        <v>9.8000000000000007</v>
      </c>
      <c r="P97" s="384">
        <v>43.2</v>
      </c>
      <c r="Q97" s="384"/>
      <c r="R97" s="421">
        <f t="shared" si="24"/>
        <v>53</v>
      </c>
      <c r="S97" s="396">
        <v>2</v>
      </c>
      <c r="T97" s="355"/>
      <c r="U97" s="422"/>
      <c r="V97" s="334" t="s">
        <v>16</v>
      </c>
      <c r="W97" s="334" t="s">
        <v>17</v>
      </c>
      <c r="X97" s="334" t="s">
        <v>18</v>
      </c>
      <c r="Y97" s="334">
        <v>43.2</v>
      </c>
      <c r="Z97" s="343" t="s">
        <v>21</v>
      </c>
      <c r="AA97" s="334" t="s">
        <v>27</v>
      </c>
      <c r="AB97" s="334" t="s">
        <v>11</v>
      </c>
      <c r="AC97" s="344">
        <v>9.8000000000000007</v>
      </c>
      <c r="AD97" s="343"/>
      <c r="AG97" s="344"/>
      <c r="AL97" s="343"/>
      <c r="AO97" s="344"/>
      <c r="AS97" s="344"/>
      <c r="AW97" s="344"/>
      <c r="BA97" s="345"/>
    </row>
    <row r="98" spans="1:53" s="417" customFormat="1" ht="11" customHeight="1">
      <c r="A98" s="334">
        <v>2005</v>
      </c>
      <c r="B98" s="431"/>
      <c r="C98" s="992" t="s">
        <v>45</v>
      </c>
      <c r="D98" s="992"/>
      <c r="E98" s="334">
        <v>0</v>
      </c>
      <c r="F98" s="345"/>
      <c r="G98" s="388">
        <v>3</v>
      </c>
      <c r="H98" s="388">
        <v>8</v>
      </c>
      <c r="I98" s="388"/>
      <c r="J98" s="429">
        <v>12</v>
      </c>
      <c r="K98" s="383">
        <f t="shared" ref="K98:K111" si="28">G98/J98*100</f>
        <v>25</v>
      </c>
      <c r="L98" s="384">
        <f t="shared" ref="L98:L111" si="29">H98/J98*100</f>
        <v>66.666666666666657</v>
      </c>
      <c r="M98" s="384">
        <f t="shared" ref="M98:M111" si="30">I98/J98*100</f>
        <v>0</v>
      </c>
      <c r="N98" s="385">
        <f t="shared" si="23"/>
        <v>91.666666666666657</v>
      </c>
      <c r="O98" s="384">
        <v>9.8000000000000007</v>
      </c>
      <c r="P98" s="384">
        <v>43.2</v>
      </c>
      <c r="Q98" s="384"/>
      <c r="R98" s="421">
        <f t="shared" si="24"/>
        <v>53</v>
      </c>
      <c r="S98" s="396">
        <v>2</v>
      </c>
      <c r="T98" s="355"/>
      <c r="U98" s="422"/>
      <c r="V98" s="334" t="s">
        <v>16</v>
      </c>
      <c r="W98" s="334" t="s">
        <v>17</v>
      </c>
      <c r="X98" s="334" t="s">
        <v>18</v>
      </c>
      <c r="Y98" s="334">
        <v>43.2</v>
      </c>
      <c r="Z98" s="343" t="s">
        <v>21</v>
      </c>
      <c r="AA98" s="334" t="s">
        <v>27</v>
      </c>
      <c r="AB98" s="334" t="s">
        <v>11</v>
      </c>
      <c r="AC98" s="344">
        <v>9.8000000000000007</v>
      </c>
      <c r="AD98" s="432"/>
      <c r="AG98" s="433"/>
      <c r="AL98" s="432"/>
      <c r="AO98" s="433"/>
      <c r="AS98" s="433"/>
      <c r="AW98" s="433"/>
      <c r="BA98" s="418"/>
    </row>
    <row r="99" spans="1:53" s="417" customFormat="1" ht="11" customHeight="1">
      <c r="A99" s="334">
        <v>2005</v>
      </c>
      <c r="B99" s="431"/>
      <c r="C99" s="992" t="s">
        <v>45</v>
      </c>
      <c r="D99" s="992"/>
      <c r="E99" s="334">
        <v>365</v>
      </c>
      <c r="F99" s="345"/>
      <c r="G99" s="388">
        <v>3</v>
      </c>
      <c r="H99" s="388">
        <v>8</v>
      </c>
      <c r="I99" s="388"/>
      <c r="J99" s="429">
        <v>12</v>
      </c>
      <c r="K99" s="383">
        <f t="shared" si="28"/>
        <v>25</v>
      </c>
      <c r="L99" s="384">
        <f t="shared" si="29"/>
        <v>66.666666666666657</v>
      </c>
      <c r="M99" s="384">
        <f t="shared" si="30"/>
        <v>0</v>
      </c>
      <c r="N99" s="385">
        <f t="shared" si="23"/>
        <v>91.666666666666657</v>
      </c>
      <c r="O99" s="384">
        <v>9.8000000000000007</v>
      </c>
      <c r="P99" s="384">
        <v>43.2</v>
      </c>
      <c r="Q99" s="384"/>
      <c r="R99" s="421">
        <f t="shared" si="24"/>
        <v>53</v>
      </c>
      <c r="S99" s="396">
        <v>2</v>
      </c>
      <c r="T99" s="355"/>
      <c r="U99" s="422"/>
      <c r="V99" s="334" t="s">
        <v>16</v>
      </c>
      <c r="W99" s="334" t="s">
        <v>17</v>
      </c>
      <c r="X99" s="334" t="s">
        <v>18</v>
      </c>
      <c r="Y99" s="334">
        <v>43.2</v>
      </c>
      <c r="Z99" s="343" t="s">
        <v>21</v>
      </c>
      <c r="AA99" s="334" t="s">
        <v>27</v>
      </c>
      <c r="AB99" s="334" t="s">
        <v>11</v>
      </c>
      <c r="AC99" s="344">
        <v>9.8000000000000007</v>
      </c>
      <c r="AD99" s="432"/>
      <c r="AG99" s="433"/>
      <c r="AL99" s="432"/>
      <c r="AO99" s="433"/>
      <c r="AS99" s="433"/>
      <c r="AW99" s="433"/>
      <c r="BA99" s="418"/>
    </row>
    <row r="100" spans="1:53" s="334" customFormat="1" ht="11" customHeight="1">
      <c r="A100" s="334">
        <v>2006</v>
      </c>
      <c r="B100" s="361"/>
      <c r="C100" s="992" t="s">
        <v>45</v>
      </c>
      <c r="D100" s="992"/>
      <c r="E100" s="334">
        <v>0</v>
      </c>
      <c r="F100" s="345"/>
      <c r="G100" s="388">
        <v>3</v>
      </c>
      <c r="H100" s="388">
        <v>8</v>
      </c>
      <c r="I100" s="388"/>
      <c r="J100" s="429">
        <v>12</v>
      </c>
      <c r="K100" s="383">
        <f t="shared" si="28"/>
        <v>25</v>
      </c>
      <c r="L100" s="384">
        <f t="shared" si="29"/>
        <v>66.666666666666657</v>
      </c>
      <c r="M100" s="384">
        <f t="shared" si="30"/>
        <v>0</v>
      </c>
      <c r="N100" s="385">
        <f t="shared" si="23"/>
        <v>91.666666666666657</v>
      </c>
      <c r="O100" s="384">
        <v>9.8000000000000007</v>
      </c>
      <c r="P100" s="384">
        <v>43.2</v>
      </c>
      <c r="Q100" s="384"/>
      <c r="R100" s="421">
        <f t="shared" si="24"/>
        <v>53</v>
      </c>
      <c r="S100" s="396">
        <v>2</v>
      </c>
      <c r="T100" s="355"/>
      <c r="U100" s="422"/>
      <c r="V100" s="334" t="s">
        <v>16</v>
      </c>
      <c r="W100" s="334" t="s">
        <v>17</v>
      </c>
      <c r="X100" s="334" t="s">
        <v>18</v>
      </c>
      <c r="Y100" s="334">
        <v>43.2</v>
      </c>
      <c r="Z100" s="343" t="s">
        <v>21</v>
      </c>
      <c r="AA100" s="334" t="s">
        <v>27</v>
      </c>
      <c r="AB100" s="334" t="s">
        <v>11</v>
      </c>
      <c r="AC100" s="344">
        <v>9.8000000000000007</v>
      </c>
      <c r="AD100" s="343"/>
      <c r="AG100" s="344"/>
      <c r="AL100" s="343"/>
      <c r="AO100" s="344"/>
      <c r="AS100" s="344"/>
      <c r="AW100" s="344"/>
      <c r="BA100" s="345"/>
    </row>
    <row r="101" spans="1:53" s="334" customFormat="1" ht="11" customHeight="1">
      <c r="A101" s="334">
        <v>2006</v>
      </c>
      <c r="B101" s="361"/>
      <c r="C101" s="992" t="s">
        <v>45</v>
      </c>
      <c r="D101" s="992"/>
      <c r="E101" s="334">
        <v>365</v>
      </c>
      <c r="F101" s="345"/>
      <c r="G101" s="388">
        <v>3</v>
      </c>
      <c r="H101" s="388">
        <v>8</v>
      </c>
      <c r="I101" s="388"/>
      <c r="J101" s="429">
        <v>12</v>
      </c>
      <c r="K101" s="383">
        <f t="shared" si="28"/>
        <v>25</v>
      </c>
      <c r="L101" s="384">
        <f t="shared" si="29"/>
        <v>66.666666666666657</v>
      </c>
      <c r="M101" s="384">
        <f t="shared" si="30"/>
        <v>0</v>
      </c>
      <c r="N101" s="385">
        <f t="shared" si="23"/>
        <v>91.666666666666657</v>
      </c>
      <c r="O101" s="384">
        <v>9.8000000000000007</v>
      </c>
      <c r="P101" s="384">
        <v>43.2</v>
      </c>
      <c r="Q101" s="384"/>
      <c r="R101" s="421">
        <f t="shared" si="24"/>
        <v>53</v>
      </c>
      <c r="S101" s="396">
        <v>2</v>
      </c>
      <c r="T101" s="355">
        <v>38991</v>
      </c>
      <c r="U101" s="422"/>
      <c r="V101" s="334" t="s">
        <v>16</v>
      </c>
      <c r="W101" s="334" t="s">
        <v>17</v>
      </c>
      <c r="X101" s="334" t="s">
        <v>18</v>
      </c>
      <c r="Y101" s="334">
        <v>43.2</v>
      </c>
      <c r="Z101" s="343" t="s">
        <v>21</v>
      </c>
      <c r="AA101" s="334" t="s">
        <v>27</v>
      </c>
      <c r="AB101" s="334" t="s">
        <v>11</v>
      </c>
      <c r="AC101" s="344">
        <v>9.8000000000000007</v>
      </c>
      <c r="AD101" s="343"/>
      <c r="AG101" s="344"/>
      <c r="AL101" s="343"/>
      <c r="AO101" s="344"/>
      <c r="AS101" s="344"/>
      <c r="AW101" s="344"/>
      <c r="BA101" s="345"/>
    </row>
    <row r="102" spans="1:53" s="334" customFormat="1" ht="11" customHeight="1">
      <c r="A102" s="334">
        <v>2007</v>
      </c>
      <c r="B102" s="361"/>
      <c r="C102" s="992" t="s">
        <v>45</v>
      </c>
      <c r="D102" s="992"/>
      <c r="E102" s="334">
        <v>10</v>
      </c>
      <c r="F102" s="345"/>
      <c r="G102" s="388">
        <v>3</v>
      </c>
      <c r="H102" s="388">
        <v>8</v>
      </c>
      <c r="I102" s="388"/>
      <c r="J102" s="429">
        <v>12</v>
      </c>
      <c r="K102" s="383">
        <f t="shared" si="28"/>
        <v>25</v>
      </c>
      <c r="L102" s="384">
        <f t="shared" si="29"/>
        <v>66.666666666666657</v>
      </c>
      <c r="M102" s="384">
        <f t="shared" si="30"/>
        <v>0</v>
      </c>
      <c r="N102" s="385">
        <f t="shared" si="23"/>
        <v>91.666666666666657</v>
      </c>
      <c r="O102" s="384">
        <v>9.8000000000000007</v>
      </c>
      <c r="P102" s="384">
        <v>43.2</v>
      </c>
      <c r="Q102" s="384"/>
      <c r="R102" s="421">
        <f t="shared" si="24"/>
        <v>53</v>
      </c>
      <c r="S102" s="396">
        <v>2</v>
      </c>
      <c r="T102" s="355"/>
      <c r="U102" s="422"/>
      <c r="V102" s="334" t="s">
        <v>16</v>
      </c>
      <c r="W102" s="334" t="s">
        <v>17</v>
      </c>
      <c r="X102" s="334" t="s">
        <v>18</v>
      </c>
      <c r="Y102" s="334">
        <v>43.2</v>
      </c>
      <c r="Z102" s="343" t="s">
        <v>21</v>
      </c>
      <c r="AA102" s="334" t="s">
        <v>27</v>
      </c>
      <c r="AB102" s="334" t="s">
        <v>11</v>
      </c>
      <c r="AC102" s="344">
        <v>9.8000000000000007</v>
      </c>
      <c r="AD102" s="343"/>
      <c r="AG102" s="344"/>
      <c r="AL102" s="343"/>
      <c r="AO102" s="344"/>
      <c r="AS102" s="344"/>
      <c r="AW102" s="344"/>
      <c r="BA102" s="345"/>
    </row>
    <row r="103" spans="1:53" s="73" customFormat="1" ht="11" customHeight="1">
      <c r="A103" s="73">
        <v>2007</v>
      </c>
      <c r="B103" s="131">
        <v>39093</v>
      </c>
      <c r="C103" s="988" t="s">
        <v>46</v>
      </c>
      <c r="D103" s="988"/>
      <c r="E103" s="73">
        <v>355</v>
      </c>
      <c r="F103" s="84">
        <v>1</v>
      </c>
      <c r="G103" s="97"/>
      <c r="H103" s="97">
        <v>7</v>
      </c>
      <c r="I103" s="97">
        <v>7</v>
      </c>
      <c r="J103" s="132">
        <v>14</v>
      </c>
      <c r="K103" s="91">
        <f t="shared" si="28"/>
        <v>0</v>
      </c>
      <c r="L103" s="92">
        <f t="shared" si="29"/>
        <v>50</v>
      </c>
      <c r="M103" s="92">
        <f t="shared" si="30"/>
        <v>50</v>
      </c>
      <c r="N103" s="93">
        <f t="shared" si="23"/>
        <v>100</v>
      </c>
      <c r="O103" s="92"/>
      <c r="P103" s="92">
        <v>36.1</v>
      </c>
      <c r="Q103" s="92">
        <v>37.200000000000003</v>
      </c>
      <c r="R103" s="125">
        <f t="shared" si="24"/>
        <v>73.300000000000011</v>
      </c>
      <c r="S103" s="126">
        <v>2</v>
      </c>
      <c r="T103" s="85"/>
      <c r="U103" s="127">
        <v>39093</v>
      </c>
      <c r="V103" s="73" t="s">
        <v>19</v>
      </c>
      <c r="W103" s="73" t="s">
        <v>20</v>
      </c>
      <c r="X103" s="73" t="s">
        <v>12</v>
      </c>
      <c r="Y103" s="73">
        <v>37.200000000000003</v>
      </c>
      <c r="Z103" s="82" t="s">
        <v>16</v>
      </c>
      <c r="AA103" s="73" t="s">
        <v>17</v>
      </c>
      <c r="AB103" s="73" t="s">
        <v>18</v>
      </c>
      <c r="AC103" s="83">
        <v>36.1</v>
      </c>
      <c r="AD103" s="82"/>
      <c r="AG103" s="83"/>
      <c r="AL103" s="82"/>
      <c r="AO103" s="83"/>
      <c r="AS103" s="83"/>
      <c r="AW103" s="83"/>
      <c r="BA103" s="84"/>
    </row>
    <row r="104" spans="1:53" s="297" customFormat="1" ht="11" customHeight="1">
      <c r="A104" s="297">
        <v>2008</v>
      </c>
      <c r="B104" s="133"/>
      <c r="C104" s="988" t="s">
        <v>46</v>
      </c>
      <c r="D104" s="988"/>
      <c r="E104" s="297">
        <v>336</v>
      </c>
      <c r="F104" s="84"/>
      <c r="G104" s="97"/>
      <c r="H104" s="97">
        <v>7</v>
      </c>
      <c r="I104" s="97">
        <v>7</v>
      </c>
      <c r="J104" s="132">
        <v>14</v>
      </c>
      <c r="K104" s="91">
        <f t="shared" si="28"/>
        <v>0</v>
      </c>
      <c r="L104" s="92">
        <f t="shared" si="29"/>
        <v>50</v>
      </c>
      <c r="M104" s="92">
        <f t="shared" si="30"/>
        <v>50</v>
      </c>
      <c r="N104" s="93">
        <f t="shared" si="23"/>
        <v>100</v>
      </c>
      <c r="O104" s="92"/>
      <c r="P104" s="92">
        <v>36.1</v>
      </c>
      <c r="Q104" s="92">
        <v>37.200000000000003</v>
      </c>
      <c r="R104" s="125">
        <f t="shared" si="24"/>
        <v>73.300000000000011</v>
      </c>
      <c r="S104" s="126">
        <v>2</v>
      </c>
      <c r="T104" s="295"/>
      <c r="U104" s="127"/>
      <c r="V104" s="297" t="s">
        <v>19</v>
      </c>
      <c r="W104" s="297" t="s">
        <v>20</v>
      </c>
      <c r="X104" s="297" t="s">
        <v>12</v>
      </c>
      <c r="Y104" s="297">
        <v>37.200000000000003</v>
      </c>
      <c r="Z104" s="82" t="s">
        <v>16</v>
      </c>
      <c r="AA104" s="297" t="s">
        <v>17</v>
      </c>
      <c r="AB104" s="297" t="s">
        <v>18</v>
      </c>
      <c r="AC104" s="83">
        <v>36.1</v>
      </c>
      <c r="AD104" s="82"/>
      <c r="AG104" s="83"/>
      <c r="AL104" s="82"/>
      <c r="AO104" s="83"/>
      <c r="AS104" s="83"/>
      <c r="AW104" s="83"/>
      <c r="BA104" s="84"/>
    </row>
    <row r="105" spans="1:53" s="334" customFormat="1" ht="11" customHeight="1">
      <c r="A105" s="334">
        <v>2008</v>
      </c>
      <c r="B105" s="430">
        <v>39784</v>
      </c>
      <c r="C105" s="992" t="s">
        <v>47</v>
      </c>
      <c r="D105" s="992"/>
      <c r="E105" s="334">
        <v>30</v>
      </c>
      <c r="F105" s="345">
        <v>1</v>
      </c>
      <c r="G105" s="388"/>
      <c r="H105" s="388">
        <v>7</v>
      </c>
      <c r="I105" s="388">
        <v>7</v>
      </c>
      <c r="J105" s="429">
        <v>14</v>
      </c>
      <c r="K105" s="383">
        <f t="shared" si="28"/>
        <v>0</v>
      </c>
      <c r="L105" s="384">
        <f t="shared" si="29"/>
        <v>50</v>
      </c>
      <c r="M105" s="384">
        <f t="shared" si="30"/>
        <v>50</v>
      </c>
      <c r="N105" s="385">
        <f t="shared" si="23"/>
        <v>100</v>
      </c>
      <c r="O105" s="384"/>
      <c r="P105" s="384">
        <v>27.9</v>
      </c>
      <c r="Q105" s="384">
        <v>31.1</v>
      </c>
      <c r="R105" s="421">
        <f t="shared" si="24"/>
        <v>59</v>
      </c>
      <c r="S105" s="396">
        <v>2</v>
      </c>
      <c r="T105" s="355">
        <v>39719</v>
      </c>
      <c r="U105" s="422">
        <v>39784</v>
      </c>
      <c r="V105" s="334" t="s">
        <v>19</v>
      </c>
      <c r="W105" s="334" t="s">
        <v>20</v>
      </c>
      <c r="X105" s="334" t="s">
        <v>12</v>
      </c>
      <c r="Y105" s="334">
        <v>31.1</v>
      </c>
      <c r="Z105" s="343" t="s">
        <v>16</v>
      </c>
      <c r="AA105" s="334" t="s">
        <v>17</v>
      </c>
      <c r="AB105" s="334" t="s">
        <v>18</v>
      </c>
      <c r="AC105" s="344">
        <v>27.9</v>
      </c>
      <c r="AD105" s="343"/>
      <c r="AG105" s="344"/>
      <c r="AL105" s="343"/>
      <c r="AO105" s="344"/>
      <c r="AS105" s="344"/>
      <c r="AW105" s="344"/>
      <c r="BA105" s="345"/>
    </row>
    <row r="106" spans="1:53" s="334" customFormat="1" ht="11" customHeight="1">
      <c r="A106" s="334">
        <v>2009</v>
      </c>
      <c r="B106" s="355"/>
      <c r="C106" s="992" t="s">
        <v>47</v>
      </c>
      <c r="D106" s="992"/>
      <c r="E106" s="334">
        <v>0</v>
      </c>
      <c r="F106" s="345"/>
      <c r="G106" s="388"/>
      <c r="H106" s="388">
        <v>7</v>
      </c>
      <c r="I106" s="388">
        <v>7</v>
      </c>
      <c r="J106" s="429">
        <v>14</v>
      </c>
      <c r="K106" s="383">
        <f t="shared" si="28"/>
        <v>0</v>
      </c>
      <c r="L106" s="384">
        <f>H106/J106*100</f>
        <v>50</v>
      </c>
      <c r="M106" s="384">
        <f t="shared" si="30"/>
        <v>50</v>
      </c>
      <c r="N106" s="385">
        <f t="shared" si="23"/>
        <v>100</v>
      </c>
      <c r="O106" s="384"/>
      <c r="P106" s="384">
        <v>27.9</v>
      </c>
      <c r="Q106" s="384">
        <v>31.1</v>
      </c>
      <c r="R106" s="421">
        <f t="shared" si="24"/>
        <v>59</v>
      </c>
      <c r="S106" s="396">
        <v>2</v>
      </c>
      <c r="T106" s="355"/>
      <c r="U106" s="422"/>
      <c r="V106" s="334" t="s">
        <v>19</v>
      </c>
      <c r="W106" s="334" t="s">
        <v>20</v>
      </c>
      <c r="X106" s="334" t="s">
        <v>12</v>
      </c>
      <c r="Y106" s="334">
        <v>31.1</v>
      </c>
      <c r="Z106" s="343" t="s">
        <v>16</v>
      </c>
      <c r="AA106" s="334" t="s">
        <v>17</v>
      </c>
      <c r="AB106" s="334" t="s">
        <v>18</v>
      </c>
      <c r="AC106" s="344">
        <v>27.9</v>
      </c>
      <c r="AD106" s="343"/>
      <c r="AG106" s="344"/>
      <c r="AL106" s="343"/>
      <c r="AO106" s="344"/>
      <c r="AS106" s="344"/>
      <c r="AW106" s="344"/>
      <c r="BA106" s="345"/>
    </row>
    <row r="107" spans="1:53" s="334" customFormat="1" ht="11" customHeight="1">
      <c r="A107" s="334">
        <v>2009</v>
      </c>
      <c r="B107" s="355"/>
      <c r="C107" s="992" t="s">
        <v>47</v>
      </c>
      <c r="D107" s="992"/>
      <c r="E107" s="334">
        <v>365</v>
      </c>
      <c r="F107" s="345"/>
      <c r="G107" s="388"/>
      <c r="H107" s="388">
        <v>7</v>
      </c>
      <c r="I107" s="388">
        <v>7</v>
      </c>
      <c r="J107" s="429">
        <v>14</v>
      </c>
      <c r="K107" s="383">
        <f t="shared" si="28"/>
        <v>0</v>
      </c>
      <c r="L107" s="384">
        <f t="shared" si="29"/>
        <v>50</v>
      </c>
      <c r="M107" s="384">
        <f t="shared" si="30"/>
        <v>50</v>
      </c>
      <c r="N107" s="385">
        <f t="shared" si="23"/>
        <v>100</v>
      </c>
      <c r="O107" s="384"/>
      <c r="P107" s="384">
        <v>27.9</v>
      </c>
      <c r="Q107" s="384">
        <v>31.1</v>
      </c>
      <c r="R107" s="421">
        <f t="shared" si="24"/>
        <v>59</v>
      </c>
      <c r="S107" s="396">
        <v>2</v>
      </c>
      <c r="T107" s="355"/>
      <c r="U107" s="422"/>
      <c r="V107" s="334" t="s">
        <v>19</v>
      </c>
      <c r="W107" s="334" t="s">
        <v>20</v>
      </c>
      <c r="X107" s="334" t="s">
        <v>12</v>
      </c>
      <c r="Y107" s="334">
        <v>31.1</v>
      </c>
      <c r="Z107" s="343" t="s">
        <v>16</v>
      </c>
      <c r="AA107" s="334" t="s">
        <v>17</v>
      </c>
      <c r="AB107" s="334" t="s">
        <v>18</v>
      </c>
      <c r="AC107" s="344">
        <v>27.9</v>
      </c>
      <c r="AD107" s="343"/>
      <c r="AG107" s="344"/>
      <c r="AL107" s="343"/>
      <c r="AO107" s="344"/>
      <c r="AS107" s="344"/>
      <c r="AW107" s="344"/>
      <c r="BA107" s="345"/>
    </row>
    <row r="108" spans="1:53" s="334" customFormat="1" ht="11" customHeight="1">
      <c r="A108" s="334">
        <v>2010</v>
      </c>
      <c r="B108" s="355"/>
      <c r="C108" s="992" t="s">
        <v>47</v>
      </c>
      <c r="D108" s="992"/>
      <c r="E108" s="334">
        <v>0</v>
      </c>
      <c r="F108" s="345"/>
      <c r="G108" s="388"/>
      <c r="H108" s="388">
        <v>7</v>
      </c>
      <c r="I108" s="388">
        <v>7</v>
      </c>
      <c r="J108" s="429">
        <v>14</v>
      </c>
      <c r="K108" s="383">
        <f t="shared" si="28"/>
        <v>0</v>
      </c>
      <c r="L108" s="384">
        <f t="shared" si="29"/>
        <v>50</v>
      </c>
      <c r="M108" s="384">
        <f t="shared" si="30"/>
        <v>50</v>
      </c>
      <c r="N108" s="385">
        <f t="shared" si="23"/>
        <v>100</v>
      </c>
      <c r="O108" s="384"/>
      <c r="P108" s="384">
        <v>27.9</v>
      </c>
      <c r="Q108" s="384">
        <v>31.1</v>
      </c>
      <c r="R108" s="421">
        <f t="shared" si="24"/>
        <v>59</v>
      </c>
      <c r="S108" s="396">
        <v>2</v>
      </c>
      <c r="T108" s="355"/>
      <c r="U108" s="422"/>
      <c r="V108" s="334" t="s">
        <v>19</v>
      </c>
      <c r="W108" s="334" t="s">
        <v>20</v>
      </c>
      <c r="X108" s="334" t="s">
        <v>12</v>
      </c>
      <c r="Y108" s="334">
        <v>31.1</v>
      </c>
      <c r="Z108" s="343" t="s">
        <v>16</v>
      </c>
      <c r="AA108" s="334" t="s">
        <v>17</v>
      </c>
      <c r="AB108" s="334" t="s">
        <v>18</v>
      </c>
      <c r="AC108" s="344">
        <v>27.9</v>
      </c>
      <c r="AD108" s="343"/>
      <c r="AG108" s="344"/>
      <c r="AL108" s="343"/>
      <c r="AO108" s="344"/>
      <c r="AS108" s="344"/>
      <c r="AW108" s="344"/>
      <c r="BA108" s="345"/>
    </row>
    <row r="109" spans="1:53" s="334" customFormat="1" ht="11" customHeight="1">
      <c r="A109" s="334">
        <v>2010</v>
      </c>
      <c r="B109" s="355"/>
      <c r="C109" s="992" t="s">
        <v>47</v>
      </c>
      <c r="D109" s="992"/>
      <c r="E109" s="334">
        <v>365</v>
      </c>
      <c r="F109" s="345"/>
      <c r="G109" s="388"/>
      <c r="H109" s="388">
        <v>7</v>
      </c>
      <c r="I109" s="388">
        <v>7</v>
      </c>
      <c r="J109" s="429">
        <v>14</v>
      </c>
      <c r="K109" s="383">
        <f t="shared" si="28"/>
        <v>0</v>
      </c>
      <c r="L109" s="384">
        <f t="shared" si="29"/>
        <v>50</v>
      </c>
      <c r="M109" s="384">
        <f t="shared" si="30"/>
        <v>50</v>
      </c>
      <c r="N109" s="385">
        <f t="shared" si="23"/>
        <v>100</v>
      </c>
      <c r="O109" s="384"/>
      <c r="P109" s="384">
        <v>27.9</v>
      </c>
      <c r="Q109" s="384">
        <v>31.1</v>
      </c>
      <c r="R109" s="421">
        <f t="shared" si="24"/>
        <v>59</v>
      </c>
      <c r="S109" s="396">
        <v>2</v>
      </c>
      <c r="T109" s="355"/>
      <c r="U109" s="422"/>
      <c r="V109" s="334" t="s">
        <v>19</v>
      </c>
      <c r="W109" s="334" t="s">
        <v>20</v>
      </c>
      <c r="X109" s="334" t="s">
        <v>12</v>
      </c>
      <c r="Y109" s="334">
        <v>31.1</v>
      </c>
      <c r="Z109" s="343" t="s">
        <v>16</v>
      </c>
      <c r="AA109" s="334" t="s">
        <v>17</v>
      </c>
      <c r="AB109" s="334" t="s">
        <v>18</v>
      </c>
      <c r="AC109" s="344">
        <v>27.9</v>
      </c>
      <c r="AD109" s="343"/>
      <c r="AG109" s="344"/>
      <c r="AL109" s="343"/>
      <c r="AO109" s="344"/>
      <c r="AS109" s="344"/>
      <c r="AW109" s="344"/>
      <c r="BA109" s="345"/>
    </row>
    <row r="110" spans="1:53" s="334" customFormat="1" ht="11" customHeight="1">
      <c r="A110" s="334">
        <v>2011</v>
      </c>
      <c r="B110" s="355"/>
      <c r="C110" s="992" t="s">
        <v>47</v>
      </c>
      <c r="D110" s="992"/>
      <c r="E110" s="334">
        <v>0</v>
      </c>
      <c r="F110" s="345"/>
      <c r="G110" s="388"/>
      <c r="H110" s="388">
        <v>7</v>
      </c>
      <c r="I110" s="388">
        <v>7</v>
      </c>
      <c r="J110" s="429">
        <v>14</v>
      </c>
      <c r="K110" s="383">
        <f t="shared" si="28"/>
        <v>0</v>
      </c>
      <c r="L110" s="384">
        <f t="shared" si="29"/>
        <v>50</v>
      </c>
      <c r="M110" s="384">
        <f t="shared" si="30"/>
        <v>50</v>
      </c>
      <c r="N110" s="385">
        <f t="shared" si="23"/>
        <v>100</v>
      </c>
      <c r="O110" s="384"/>
      <c r="P110" s="384">
        <v>27.9</v>
      </c>
      <c r="Q110" s="384">
        <v>31.1</v>
      </c>
      <c r="R110" s="421">
        <f t="shared" si="24"/>
        <v>59</v>
      </c>
      <c r="S110" s="396">
        <v>2</v>
      </c>
      <c r="T110" s="355"/>
      <c r="U110" s="422"/>
      <c r="V110" s="334" t="s">
        <v>19</v>
      </c>
      <c r="W110" s="334" t="s">
        <v>20</v>
      </c>
      <c r="X110" s="334" t="s">
        <v>12</v>
      </c>
      <c r="Y110" s="334">
        <v>31.1</v>
      </c>
      <c r="Z110" s="343" t="s">
        <v>16</v>
      </c>
      <c r="AA110" s="334" t="s">
        <v>17</v>
      </c>
      <c r="AB110" s="334" t="s">
        <v>18</v>
      </c>
      <c r="AC110" s="344">
        <v>27.9</v>
      </c>
      <c r="AD110" s="343"/>
      <c r="AG110" s="344"/>
      <c r="AL110" s="343"/>
      <c r="AO110" s="344"/>
      <c r="AS110" s="344"/>
      <c r="AW110" s="344"/>
      <c r="BA110" s="345"/>
    </row>
    <row r="111" spans="1:53" s="334" customFormat="1" ht="11" customHeight="1">
      <c r="A111" s="334">
        <v>2011</v>
      </c>
      <c r="B111" s="355"/>
      <c r="C111" s="992" t="s">
        <v>47</v>
      </c>
      <c r="D111" s="992"/>
      <c r="E111" s="388">
        <v>365</v>
      </c>
      <c r="F111" s="434"/>
      <c r="G111" s="388"/>
      <c r="H111" s="388">
        <v>7</v>
      </c>
      <c r="I111" s="388">
        <v>7</v>
      </c>
      <c r="J111" s="429">
        <v>14</v>
      </c>
      <c r="K111" s="383">
        <f t="shared" si="28"/>
        <v>0</v>
      </c>
      <c r="L111" s="384">
        <f t="shared" si="29"/>
        <v>50</v>
      </c>
      <c r="M111" s="384">
        <f t="shared" si="30"/>
        <v>50</v>
      </c>
      <c r="N111" s="385">
        <f t="shared" si="23"/>
        <v>100</v>
      </c>
      <c r="O111" s="384"/>
      <c r="P111" s="384">
        <v>27.9</v>
      </c>
      <c r="Q111" s="384">
        <v>31.1</v>
      </c>
      <c r="R111" s="421">
        <f t="shared" si="24"/>
        <v>59</v>
      </c>
      <c r="S111" s="396">
        <v>2</v>
      </c>
      <c r="T111" s="355"/>
      <c r="U111" s="422"/>
      <c r="V111" s="334" t="s">
        <v>19</v>
      </c>
      <c r="W111" s="334" t="s">
        <v>20</v>
      </c>
      <c r="X111" s="334" t="s">
        <v>12</v>
      </c>
      <c r="Y111" s="334">
        <v>31.1</v>
      </c>
      <c r="Z111" s="343" t="s">
        <v>16</v>
      </c>
      <c r="AA111" s="334" t="s">
        <v>17</v>
      </c>
      <c r="AB111" s="334" t="s">
        <v>18</v>
      </c>
      <c r="AC111" s="344">
        <v>27.9</v>
      </c>
      <c r="AD111" s="343"/>
      <c r="AG111" s="344"/>
      <c r="AL111" s="343"/>
      <c r="AO111" s="344"/>
      <c r="AS111" s="344"/>
      <c r="AW111" s="344"/>
      <c r="BA111" s="345"/>
    </row>
    <row r="112" spans="1:53" s="334" customFormat="1" ht="11" customHeight="1">
      <c r="A112" s="334">
        <v>2012</v>
      </c>
      <c r="B112" s="355"/>
      <c r="C112" s="992" t="s">
        <v>47</v>
      </c>
      <c r="D112" s="992"/>
      <c r="E112" s="388">
        <v>0</v>
      </c>
      <c r="F112" s="434"/>
      <c r="G112" s="388"/>
      <c r="H112" s="388">
        <v>7</v>
      </c>
      <c r="I112" s="388">
        <v>7</v>
      </c>
      <c r="J112" s="429">
        <v>14</v>
      </c>
      <c r="K112" s="383">
        <f t="shared" ref="K112:K117" si="31">G112/J112*100</f>
        <v>0</v>
      </c>
      <c r="L112" s="384">
        <f t="shared" ref="L112:L117" si="32">H112/J112*100</f>
        <v>50</v>
      </c>
      <c r="M112" s="384">
        <f t="shared" ref="M112:M117" si="33">I112/J112*100</f>
        <v>50</v>
      </c>
      <c r="N112" s="385">
        <f t="shared" si="23"/>
        <v>100</v>
      </c>
      <c r="O112" s="384"/>
      <c r="P112" s="384">
        <v>27.9</v>
      </c>
      <c r="Q112" s="384">
        <v>31.1</v>
      </c>
      <c r="R112" s="421">
        <f t="shared" si="24"/>
        <v>59</v>
      </c>
      <c r="S112" s="396">
        <v>2</v>
      </c>
      <c r="T112" s="355"/>
      <c r="U112" s="422"/>
      <c r="V112" s="334" t="s">
        <v>19</v>
      </c>
      <c r="W112" s="334" t="s">
        <v>20</v>
      </c>
      <c r="X112" s="334" t="s">
        <v>12</v>
      </c>
      <c r="Y112" s="334">
        <v>31.1</v>
      </c>
      <c r="Z112" s="343" t="s">
        <v>16</v>
      </c>
      <c r="AA112" s="334" t="s">
        <v>17</v>
      </c>
      <c r="AB112" s="334" t="s">
        <v>18</v>
      </c>
      <c r="AC112" s="344">
        <v>27.9</v>
      </c>
      <c r="AD112" s="343"/>
      <c r="AG112" s="344"/>
      <c r="AL112" s="343"/>
      <c r="AO112" s="344"/>
      <c r="AS112" s="344"/>
      <c r="AW112" s="344"/>
      <c r="BA112" s="345"/>
    </row>
    <row r="113" spans="1:53" s="334" customFormat="1" ht="11" customHeight="1">
      <c r="A113" s="334">
        <v>2012</v>
      </c>
      <c r="B113" s="355"/>
      <c r="C113" s="992" t="s">
        <v>47</v>
      </c>
      <c r="D113" s="992"/>
      <c r="E113" s="334">
        <v>366</v>
      </c>
      <c r="F113" s="345"/>
      <c r="G113" s="388"/>
      <c r="H113" s="388">
        <v>7</v>
      </c>
      <c r="I113" s="388">
        <v>7</v>
      </c>
      <c r="J113" s="429">
        <v>14</v>
      </c>
      <c r="K113" s="383">
        <f t="shared" si="31"/>
        <v>0</v>
      </c>
      <c r="L113" s="384">
        <f t="shared" si="32"/>
        <v>50</v>
      </c>
      <c r="M113" s="384">
        <f t="shared" si="33"/>
        <v>50</v>
      </c>
      <c r="N113" s="385">
        <f t="shared" si="23"/>
        <v>100</v>
      </c>
      <c r="O113" s="384"/>
      <c r="P113" s="384">
        <v>27.9</v>
      </c>
      <c r="Q113" s="384">
        <v>31.1</v>
      </c>
      <c r="R113" s="421">
        <f t="shared" si="24"/>
        <v>59</v>
      </c>
      <c r="S113" s="396">
        <v>2</v>
      </c>
      <c r="T113" s="355"/>
      <c r="U113" s="422"/>
      <c r="V113" s="334" t="s">
        <v>19</v>
      </c>
      <c r="W113" s="334" t="s">
        <v>20</v>
      </c>
      <c r="X113" s="334" t="s">
        <v>12</v>
      </c>
      <c r="Y113" s="334">
        <v>31.1</v>
      </c>
      <c r="Z113" s="343" t="s">
        <v>16</v>
      </c>
      <c r="AA113" s="334" t="s">
        <v>17</v>
      </c>
      <c r="AB113" s="334" t="s">
        <v>18</v>
      </c>
      <c r="AC113" s="344">
        <v>27.9</v>
      </c>
      <c r="AD113" s="343"/>
      <c r="AG113" s="344"/>
      <c r="AL113" s="343"/>
      <c r="AO113" s="344"/>
      <c r="AS113" s="344"/>
      <c r="AW113" s="344"/>
      <c r="BA113" s="345"/>
    </row>
    <row r="114" spans="1:53" s="334" customFormat="1" ht="11" customHeight="1">
      <c r="A114" s="334">
        <v>2013</v>
      </c>
      <c r="B114" s="355"/>
      <c r="C114" s="992" t="s">
        <v>47</v>
      </c>
      <c r="D114" s="992"/>
      <c r="E114" s="334">
        <v>349</v>
      </c>
      <c r="F114" s="345"/>
      <c r="G114" s="388"/>
      <c r="H114" s="388">
        <v>7</v>
      </c>
      <c r="I114" s="388">
        <v>7</v>
      </c>
      <c r="J114" s="429">
        <v>14</v>
      </c>
      <c r="K114" s="383">
        <f t="shared" si="31"/>
        <v>0</v>
      </c>
      <c r="L114" s="384">
        <f t="shared" si="32"/>
        <v>50</v>
      </c>
      <c r="M114" s="384">
        <f t="shared" si="33"/>
        <v>50</v>
      </c>
      <c r="N114" s="385">
        <f t="shared" si="23"/>
        <v>100</v>
      </c>
      <c r="O114" s="384"/>
      <c r="P114" s="384">
        <v>27.9</v>
      </c>
      <c r="Q114" s="384">
        <v>31.1</v>
      </c>
      <c r="R114" s="421">
        <f t="shared" si="24"/>
        <v>59</v>
      </c>
      <c r="S114" s="396">
        <v>2</v>
      </c>
      <c r="T114" s="355"/>
      <c r="U114" s="422"/>
      <c r="V114" s="334" t="s">
        <v>19</v>
      </c>
      <c r="W114" s="334" t="s">
        <v>20</v>
      </c>
      <c r="X114" s="334" t="s">
        <v>12</v>
      </c>
      <c r="Y114" s="334">
        <v>31.1</v>
      </c>
      <c r="Z114" s="343" t="s">
        <v>16</v>
      </c>
      <c r="AA114" s="334" t="s">
        <v>17</v>
      </c>
      <c r="AB114" s="334" t="s">
        <v>18</v>
      </c>
      <c r="AC114" s="344">
        <v>27.9</v>
      </c>
      <c r="AD114" s="343"/>
      <c r="AG114" s="344"/>
      <c r="AL114" s="343"/>
      <c r="AO114" s="344"/>
      <c r="AS114" s="344"/>
      <c r="AW114" s="344"/>
      <c r="BA114" s="345"/>
    </row>
    <row r="115" spans="1:53" s="297" customFormat="1" ht="11" customHeight="1">
      <c r="A115" s="297">
        <v>2013</v>
      </c>
      <c r="B115" s="133">
        <v>41624</v>
      </c>
      <c r="C115" s="988" t="s">
        <v>1252</v>
      </c>
      <c r="D115" s="988"/>
      <c r="E115" s="297">
        <f>365-E114</f>
        <v>16</v>
      </c>
      <c r="F115" s="84">
        <v>1</v>
      </c>
      <c r="G115" s="97"/>
      <c r="H115" s="97">
        <v>7</v>
      </c>
      <c r="I115" s="97">
        <v>7</v>
      </c>
      <c r="J115" s="132">
        <v>14</v>
      </c>
      <c r="K115" s="91">
        <f t="shared" si="31"/>
        <v>0</v>
      </c>
      <c r="L115" s="92">
        <f t="shared" si="32"/>
        <v>50</v>
      </c>
      <c r="M115" s="92">
        <f t="shared" si="33"/>
        <v>50</v>
      </c>
      <c r="N115" s="93">
        <f t="shared" si="23"/>
        <v>100</v>
      </c>
      <c r="O115" s="92"/>
      <c r="P115" s="92">
        <v>25.7</v>
      </c>
      <c r="Q115" s="92">
        <v>28.4</v>
      </c>
      <c r="R115" s="125">
        <f t="shared" si="24"/>
        <v>54.099999999999994</v>
      </c>
      <c r="S115" s="126">
        <v>2</v>
      </c>
      <c r="T115" s="295">
        <v>41546</v>
      </c>
      <c r="U115" s="127">
        <v>41624</v>
      </c>
      <c r="V115" s="297" t="s">
        <v>19</v>
      </c>
      <c r="W115" s="297" t="s">
        <v>20</v>
      </c>
      <c r="X115" s="297" t="s">
        <v>12</v>
      </c>
      <c r="Y115" s="297">
        <v>28.4</v>
      </c>
      <c r="Z115" s="82" t="s">
        <v>16</v>
      </c>
      <c r="AA115" s="297" t="s">
        <v>17</v>
      </c>
      <c r="AB115" s="297" t="s">
        <v>18</v>
      </c>
      <c r="AC115" s="83">
        <v>25.7</v>
      </c>
      <c r="AD115" s="82"/>
      <c r="AG115" s="83"/>
      <c r="AL115" s="82"/>
      <c r="AO115" s="83"/>
      <c r="AS115" s="83"/>
      <c r="AW115" s="83"/>
      <c r="BA115" s="84"/>
    </row>
    <row r="116" spans="1:53" s="514" customFormat="1" ht="11" customHeight="1">
      <c r="A116" s="514">
        <v>2014</v>
      </c>
      <c r="B116" s="133"/>
      <c r="C116" s="988" t="s">
        <v>1252</v>
      </c>
      <c r="D116" s="988"/>
      <c r="E116" s="514">
        <v>0</v>
      </c>
      <c r="F116" s="474"/>
      <c r="G116" s="97"/>
      <c r="H116" s="97">
        <v>7</v>
      </c>
      <c r="I116" s="97">
        <v>7</v>
      </c>
      <c r="J116" s="132">
        <v>14</v>
      </c>
      <c r="K116" s="476">
        <f t="shared" si="31"/>
        <v>0</v>
      </c>
      <c r="L116" s="477">
        <f t="shared" si="32"/>
        <v>50</v>
      </c>
      <c r="M116" s="477">
        <f t="shared" si="33"/>
        <v>50</v>
      </c>
      <c r="N116" s="478">
        <f t="shared" si="23"/>
        <v>100</v>
      </c>
      <c r="O116" s="477"/>
      <c r="P116" s="477">
        <v>25.7</v>
      </c>
      <c r="Q116" s="477">
        <v>28.4</v>
      </c>
      <c r="R116" s="481">
        <f t="shared" si="24"/>
        <v>54.099999999999994</v>
      </c>
      <c r="S116" s="126">
        <v>2</v>
      </c>
      <c r="T116" s="510"/>
      <c r="U116" s="127"/>
      <c r="V116" s="514" t="s">
        <v>19</v>
      </c>
      <c r="W116" s="514" t="s">
        <v>20</v>
      </c>
      <c r="X116" s="514" t="s">
        <v>12</v>
      </c>
      <c r="Y116" s="514">
        <v>28.4</v>
      </c>
      <c r="Z116" s="472" t="s">
        <v>16</v>
      </c>
      <c r="AA116" s="514" t="s">
        <v>17</v>
      </c>
      <c r="AB116" s="514" t="s">
        <v>18</v>
      </c>
      <c r="AC116" s="473">
        <v>25.7</v>
      </c>
      <c r="AD116" s="472"/>
      <c r="AG116" s="473"/>
      <c r="AL116" s="472"/>
      <c r="AO116" s="473"/>
      <c r="AS116" s="473"/>
      <c r="AW116" s="473"/>
      <c r="BA116" s="474"/>
    </row>
    <row r="117" spans="1:53" s="514" customFormat="1" ht="11" customHeight="1">
      <c r="A117" s="514">
        <v>2014</v>
      </c>
      <c r="B117" s="133"/>
      <c r="C117" s="988" t="s">
        <v>1252</v>
      </c>
      <c r="D117" s="988"/>
      <c r="E117" s="514">
        <v>365</v>
      </c>
      <c r="F117" s="474"/>
      <c r="G117" s="97"/>
      <c r="H117" s="97">
        <v>7</v>
      </c>
      <c r="I117" s="97">
        <v>7</v>
      </c>
      <c r="J117" s="132">
        <v>14</v>
      </c>
      <c r="K117" s="476">
        <f t="shared" si="31"/>
        <v>0</v>
      </c>
      <c r="L117" s="477">
        <f t="shared" si="32"/>
        <v>50</v>
      </c>
      <c r="M117" s="477">
        <f t="shared" si="33"/>
        <v>50</v>
      </c>
      <c r="N117" s="478">
        <f>SUM(K117:M117)</f>
        <v>100</v>
      </c>
      <c r="O117" s="477"/>
      <c r="P117" s="477">
        <v>25.7</v>
      </c>
      <c r="Q117" s="477">
        <v>28.4</v>
      </c>
      <c r="R117" s="481">
        <f t="shared" si="24"/>
        <v>54.099999999999994</v>
      </c>
      <c r="S117" s="126">
        <v>2</v>
      </c>
      <c r="T117" s="510"/>
      <c r="U117" s="127"/>
      <c r="V117" s="514" t="s">
        <v>19</v>
      </c>
      <c r="W117" s="514" t="s">
        <v>20</v>
      </c>
      <c r="X117" s="514" t="s">
        <v>12</v>
      </c>
      <c r="Y117" s="514">
        <v>28.4</v>
      </c>
      <c r="Z117" s="472" t="s">
        <v>16</v>
      </c>
      <c r="AA117" s="514" t="s">
        <v>17</v>
      </c>
      <c r="AB117" s="514" t="s">
        <v>18</v>
      </c>
      <c r="AC117" s="473">
        <v>25.7</v>
      </c>
      <c r="AD117" s="472"/>
      <c r="AG117" s="473"/>
      <c r="AL117" s="472"/>
      <c r="AO117" s="473"/>
      <c r="AS117" s="473"/>
      <c r="AW117" s="473"/>
      <c r="BA117" s="474"/>
    </row>
    <row r="118" spans="1:53" s="685" customFormat="1" ht="11" customHeight="1">
      <c r="A118" s="685">
        <v>2015</v>
      </c>
      <c r="B118" s="133"/>
      <c r="C118" s="988" t="s">
        <v>1252</v>
      </c>
      <c r="D118" s="988"/>
      <c r="E118" s="685">
        <v>0</v>
      </c>
      <c r="F118" s="590"/>
      <c r="G118" s="97"/>
      <c r="H118" s="97">
        <v>7</v>
      </c>
      <c r="I118" s="97">
        <v>7</v>
      </c>
      <c r="J118" s="132">
        <v>14</v>
      </c>
      <c r="K118" s="592">
        <f t="shared" ref="K118:K120" si="34">G118/J118*100</f>
        <v>0</v>
      </c>
      <c r="L118" s="593">
        <f t="shared" ref="L118:L120" si="35">H118/J118*100</f>
        <v>50</v>
      </c>
      <c r="M118" s="593">
        <f t="shared" ref="M118:M120" si="36">I118/J118*100</f>
        <v>50</v>
      </c>
      <c r="N118" s="594">
        <f t="shared" ref="N118:N120" si="37">SUM(K118:M118)</f>
        <v>100</v>
      </c>
      <c r="O118" s="593"/>
      <c r="P118" s="593">
        <v>25.7</v>
      </c>
      <c r="Q118" s="593">
        <v>28.4</v>
      </c>
      <c r="R118" s="597">
        <f t="shared" ref="R118:R121" si="38">SUM(O118:Q118)</f>
        <v>54.099999999999994</v>
      </c>
      <c r="S118" s="126">
        <v>2</v>
      </c>
      <c r="T118" s="680"/>
      <c r="U118" s="127"/>
      <c r="V118" s="685" t="s">
        <v>19</v>
      </c>
      <c r="W118" s="685" t="s">
        <v>20</v>
      </c>
      <c r="X118" s="685" t="s">
        <v>12</v>
      </c>
      <c r="Y118" s="685">
        <v>28.4</v>
      </c>
      <c r="Z118" s="588" t="s">
        <v>16</v>
      </c>
      <c r="AA118" s="685" t="s">
        <v>17</v>
      </c>
      <c r="AB118" s="685" t="s">
        <v>18</v>
      </c>
      <c r="AC118" s="589">
        <v>25.7</v>
      </c>
      <c r="AD118" s="588"/>
      <c r="AG118" s="589"/>
      <c r="AL118" s="588"/>
      <c r="AO118" s="589"/>
      <c r="AS118" s="589"/>
      <c r="AW118" s="589"/>
      <c r="BA118" s="590"/>
    </row>
    <row r="119" spans="1:53" s="685" customFormat="1" ht="11" customHeight="1">
      <c r="A119" s="685">
        <v>2015</v>
      </c>
      <c r="B119" s="133"/>
      <c r="C119" s="988" t="s">
        <v>1252</v>
      </c>
      <c r="D119" s="988"/>
      <c r="E119" s="685">
        <v>365</v>
      </c>
      <c r="F119" s="590"/>
      <c r="G119" s="97"/>
      <c r="H119" s="97">
        <v>7</v>
      </c>
      <c r="I119" s="97">
        <v>7</v>
      </c>
      <c r="J119" s="132">
        <v>14</v>
      </c>
      <c r="K119" s="592">
        <f t="shared" si="34"/>
        <v>0</v>
      </c>
      <c r="L119" s="593">
        <f t="shared" si="35"/>
        <v>50</v>
      </c>
      <c r="M119" s="593">
        <f t="shared" si="36"/>
        <v>50</v>
      </c>
      <c r="N119" s="594">
        <f t="shared" si="37"/>
        <v>100</v>
      </c>
      <c r="O119" s="593"/>
      <c r="P119" s="593">
        <v>25.7</v>
      </c>
      <c r="Q119" s="593">
        <v>28.4</v>
      </c>
      <c r="R119" s="597">
        <f t="shared" si="38"/>
        <v>54.099999999999994</v>
      </c>
      <c r="S119" s="126">
        <v>2</v>
      </c>
      <c r="T119" s="680"/>
      <c r="U119" s="127"/>
      <c r="V119" s="685" t="s">
        <v>19</v>
      </c>
      <c r="W119" s="685" t="s">
        <v>20</v>
      </c>
      <c r="X119" s="685" t="s">
        <v>12</v>
      </c>
      <c r="Y119" s="685">
        <v>28.4</v>
      </c>
      <c r="Z119" s="588" t="s">
        <v>16</v>
      </c>
      <c r="AA119" s="685" t="s">
        <v>17</v>
      </c>
      <c r="AB119" s="685" t="s">
        <v>18</v>
      </c>
      <c r="AC119" s="589">
        <v>25.7</v>
      </c>
      <c r="AD119" s="588"/>
      <c r="AG119" s="589"/>
      <c r="AL119" s="588"/>
      <c r="AO119" s="589"/>
      <c r="AS119" s="589"/>
      <c r="AW119" s="589"/>
      <c r="BA119" s="590"/>
    </row>
    <row r="120" spans="1:53" s="773" customFormat="1" ht="11" customHeight="1">
      <c r="A120" s="773">
        <v>2016</v>
      </c>
      <c r="C120" s="988" t="s">
        <v>1252</v>
      </c>
      <c r="D120" s="988"/>
      <c r="E120" s="773">
        <v>137</v>
      </c>
      <c r="F120" s="590"/>
      <c r="G120" s="97"/>
      <c r="H120" s="97">
        <v>7</v>
      </c>
      <c r="I120" s="97">
        <v>7</v>
      </c>
      <c r="J120" s="132">
        <v>14</v>
      </c>
      <c r="K120" s="592">
        <f t="shared" si="34"/>
        <v>0</v>
      </c>
      <c r="L120" s="593">
        <f t="shared" si="35"/>
        <v>50</v>
      </c>
      <c r="M120" s="593">
        <f t="shared" si="36"/>
        <v>50</v>
      </c>
      <c r="N120" s="594">
        <f t="shared" si="37"/>
        <v>100</v>
      </c>
      <c r="O120" s="593"/>
      <c r="P120" s="593">
        <v>25.7</v>
      </c>
      <c r="Q120" s="593">
        <v>28.4</v>
      </c>
      <c r="R120" s="597">
        <f t="shared" si="38"/>
        <v>54.099999999999994</v>
      </c>
      <c r="S120" s="126">
        <v>2</v>
      </c>
      <c r="T120" s="772"/>
      <c r="U120" s="127"/>
      <c r="V120" s="777" t="s">
        <v>19</v>
      </c>
      <c r="W120" s="777" t="s">
        <v>20</v>
      </c>
      <c r="X120" s="777" t="s">
        <v>12</v>
      </c>
      <c r="Y120" s="777">
        <v>28.4</v>
      </c>
      <c r="Z120" s="588" t="s">
        <v>16</v>
      </c>
      <c r="AA120" s="777" t="s">
        <v>17</v>
      </c>
      <c r="AB120" s="777" t="s">
        <v>18</v>
      </c>
      <c r="AC120" s="589">
        <v>25.7</v>
      </c>
      <c r="AD120" s="588"/>
      <c r="AG120" s="589"/>
      <c r="AL120" s="588"/>
      <c r="AO120" s="589"/>
      <c r="AS120" s="589"/>
      <c r="AW120" s="589"/>
      <c r="BA120" s="590"/>
    </row>
    <row r="121" spans="1:53" s="778" customFormat="1" ht="11" customHeight="1">
      <c r="A121" s="778">
        <v>2016</v>
      </c>
      <c r="B121" s="774">
        <v>42507</v>
      </c>
      <c r="C121" s="992" t="s">
        <v>1349</v>
      </c>
      <c r="D121" s="992"/>
      <c r="E121" s="778">
        <v>229</v>
      </c>
      <c r="F121" s="778">
        <v>2</v>
      </c>
      <c r="G121" s="642"/>
      <c r="H121" s="778">
        <v>7</v>
      </c>
      <c r="I121" s="778">
        <v>7</v>
      </c>
      <c r="J121" s="778">
        <v>14</v>
      </c>
      <c r="K121" s="639">
        <f t="shared" ref="K121" si="39">G121/J121*100</f>
        <v>0</v>
      </c>
      <c r="L121" s="640">
        <f t="shared" ref="L121" si="40">H121/J121*100</f>
        <v>50</v>
      </c>
      <c r="M121" s="640">
        <f t="shared" ref="M121" si="41">I121/J121*100</f>
        <v>50</v>
      </c>
      <c r="N121" s="641">
        <f t="shared" ref="N121" si="42">SUM(K121:M121)</f>
        <v>100</v>
      </c>
      <c r="P121" s="778">
        <v>27.3</v>
      </c>
      <c r="Q121" s="778">
        <v>28.4</v>
      </c>
      <c r="R121" s="643">
        <f t="shared" si="38"/>
        <v>55.7</v>
      </c>
      <c r="S121" s="638">
        <v>2</v>
      </c>
      <c r="U121" s="791">
        <v>42507</v>
      </c>
      <c r="V121" s="634" t="s">
        <v>19</v>
      </c>
      <c r="W121" s="778" t="s">
        <v>20</v>
      </c>
      <c r="X121" s="778" t="s">
        <v>12</v>
      </c>
      <c r="Y121" s="778">
        <v>28.4</v>
      </c>
      <c r="Z121" s="634" t="s">
        <v>16</v>
      </c>
      <c r="AA121" s="778" t="s">
        <v>17</v>
      </c>
      <c r="AB121" s="778" t="s">
        <v>18</v>
      </c>
      <c r="AC121" s="778">
        <v>27.3</v>
      </c>
      <c r="AD121" s="634"/>
    </row>
    <row r="122" spans="1:53" s="885" customFormat="1" ht="11" customHeight="1">
      <c r="A122" s="885">
        <v>2017</v>
      </c>
      <c r="B122" s="883"/>
      <c r="C122" s="992" t="s">
        <v>1349</v>
      </c>
      <c r="D122" s="992"/>
      <c r="E122" s="885">
        <v>351</v>
      </c>
      <c r="G122" s="642"/>
      <c r="H122" s="885">
        <v>7</v>
      </c>
      <c r="I122" s="885">
        <v>7</v>
      </c>
      <c r="J122" s="885">
        <v>14</v>
      </c>
      <c r="K122" s="639">
        <f t="shared" ref="K122" si="43">G122/J122*100</f>
        <v>0</v>
      </c>
      <c r="L122" s="640">
        <f t="shared" ref="L122" si="44">H122/J122*100</f>
        <v>50</v>
      </c>
      <c r="M122" s="640">
        <f t="shared" ref="M122" si="45">I122/J122*100</f>
        <v>50</v>
      </c>
      <c r="N122" s="641">
        <f t="shared" ref="N122" si="46">SUM(K122:M122)</f>
        <v>100</v>
      </c>
      <c r="P122" s="885">
        <v>27.3</v>
      </c>
      <c r="Q122" s="885">
        <v>28.4</v>
      </c>
      <c r="R122" s="643">
        <f t="shared" ref="R122:R123" si="47">SUM(O122:Q122)</f>
        <v>55.7</v>
      </c>
      <c r="S122" s="638">
        <v>2</v>
      </c>
      <c r="U122" s="791"/>
      <c r="V122" s="634" t="s">
        <v>19</v>
      </c>
      <c r="W122" s="885" t="s">
        <v>20</v>
      </c>
      <c r="X122" s="885" t="s">
        <v>12</v>
      </c>
      <c r="Y122" s="885">
        <v>28.4</v>
      </c>
      <c r="Z122" s="634" t="s">
        <v>16</v>
      </c>
      <c r="AA122" s="885" t="s">
        <v>17</v>
      </c>
      <c r="AB122" s="885" t="s">
        <v>18</v>
      </c>
      <c r="AC122" s="885">
        <v>27.3</v>
      </c>
      <c r="AD122" s="634"/>
    </row>
    <row r="123" spans="1:53" s="933" customFormat="1" ht="11" customHeight="1">
      <c r="A123" s="933">
        <v>2017</v>
      </c>
      <c r="B123" s="929">
        <v>43087</v>
      </c>
      <c r="C123" s="988" t="s">
        <v>1378</v>
      </c>
      <c r="D123" s="988"/>
      <c r="E123" s="933">
        <v>14</v>
      </c>
      <c r="F123" s="590">
        <v>1</v>
      </c>
      <c r="G123" s="97">
        <v>6</v>
      </c>
      <c r="H123" s="97">
        <v>8</v>
      </c>
      <c r="I123" s="97"/>
      <c r="J123" s="132">
        <v>14</v>
      </c>
      <c r="K123" s="592">
        <f t="shared" ref="K123" si="48">G123/J123*100</f>
        <v>42.857142857142854</v>
      </c>
      <c r="L123" s="593">
        <f t="shared" ref="L123" si="49">H123/J123*100</f>
        <v>57.142857142857139</v>
      </c>
      <c r="M123" s="593">
        <f t="shared" ref="M123" si="50">I123/J123*100</f>
        <v>0</v>
      </c>
      <c r="N123" s="594">
        <f t="shared" ref="N123" si="51">SUM(K123:M123)</f>
        <v>100</v>
      </c>
      <c r="O123" s="593">
        <v>27.9</v>
      </c>
      <c r="P123" s="593">
        <v>33.9</v>
      </c>
      <c r="Q123" s="593"/>
      <c r="R123" s="597">
        <f t="shared" si="47"/>
        <v>61.8</v>
      </c>
      <c r="S123" s="126">
        <v>2</v>
      </c>
      <c r="T123" s="929">
        <v>43023</v>
      </c>
      <c r="U123" s="127">
        <v>43087</v>
      </c>
      <c r="V123" s="933" t="s">
        <v>16</v>
      </c>
      <c r="W123" s="933" t="s">
        <v>17</v>
      </c>
      <c r="X123" s="933" t="s">
        <v>18</v>
      </c>
      <c r="Y123" s="933">
        <v>33.9</v>
      </c>
      <c r="Z123" s="588" t="s">
        <v>21</v>
      </c>
      <c r="AA123" s="933" t="s">
        <v>27</v>
      </c>
      <c r="AB123" s="933" t="s">
        <v>11</v>
      </c>
      <c r="AC123" s="589">
        <v>27.9</v>
      </c>
      <c r="AD123" s="588"/>
      <c r="AG123" s="589"/>
      <c r="AL123" s="588"/>
      <c r="AO123" s="589"/>
      <c r="AS123" s="589"/>
      <c r="AW123" s="589"/>
      <c r="BA123" s="590"/>
    </row>
    <row r="124" spans="1:53" s="933" customFormat="1" ht="11" customHeight="1">
      <c r="A124" s="933">
        <v>2018</v>
      </c>
      <c r="C124" s="988" t="s">
        <v>1378</v>
      </c>
      <c r="D124" s="988"/>
      <c r="E124" s="933">
        <v>0</v>
      </c>
      <c r="F124" s="590"/>
      <c r="G124" s="97">
        <v>7</v>
      </c>
      <c r="H124" s="97">
        <v>7</v>
      </c>
      <c r="I124" s="97"/>
      <c r="J124" s="132">
        <v>14</v>
      </c>
      <c r="K124" s="592">
        <f t="shared" ref="K124:K125" si="52">G124/J124*100</f>
        <v>50</v>
      </c>
      <c r="L124" s="593">
        <f t="shared" ref="L124:L125" si="53">H124/J124*100</f>
        <v>50</v>
      </c>
      <c r="M124" s="593">
        <f t="shared" ref="M124:M125" si="54">I124/J124*100</f>
        <v>0</v>
      </c>
      <c r="N124" s="594">
        <f t="shared" ref="N124:N125" si="55">SUM(K124:M124)</f>
        <v>100</v>
      </c>
      <c r="O124" s="593">
        <v>27.9</v>
      </c>
      <c r="P124" s="593">
        <v>33.9</v>
      </c>
      <c r="Q124" s="593"/>
      <c r="R124" s="597">
        <f t="shared" ref="R124:R125" si="56">SUM(O124:Q124)</f>
        <v>61.8</v>
      </c>
      <c r="S124" s="126">
        <v>2</v>
      </c>
      <c r="T124" s="929"/>
      <c r="U124" s="127"/>
      <c r="V124" s="933" t="s">
        <v>16</v>
      </c>
      <c r="W124" s="933" t="s">
        <v>17</v>
      </c>
      <c r="X124" s="933" t="s">
        <v>18</v>
      </c>
      <c r="Y124" s="933">
        <v>33.9</v>
      </c>
      <c r="Z124" s="588" t="s">
        <v>21</v>
      </c>
      <c r="AA124" s="933" t="s">
        <v>27</v>
      </c>
      <c r="AB124" s="933" t="s">
        <v>11</v>
      </c>
      <c r="AC124" s="589">
        <v>27.9</v>
      </c>
      <c r="AD124" s="588"/>
      <c r="AG124" s="589"/>
      <c r="AL124" s="588"/>
      <c r="AO124" s="589"/>
      <c r="AS124" s="589"/>
      <c r="AW124" s="589"/>
      <c r="BA124" s="590"/>
    </row>
    <row r="125" spans="1:53" s="933" customFormat="1" ht="11" customHeight="1">
      <c r="A125" s="933">
        <v>2018</v>
      </c>
      <c r="C125" s="988" t="s">
        <v>1378</v>
      </c>
      <c r="D125" s="988"/>
      <c r="E125" s="933">
        <v>365</v>
      </c>
      <c r="F125" s="590"/>
      <c r="G125" s="97">
        <v>7</v>
      </c>
      <c r="H125" s="97">
        <v>7</v>
      </c>
      <c r="I125" s="97"/>
      <c r="J125" s="132">
        <v>14</v>
      </c>
      <c r="K125" s="592">
        <f t="shared" si="52"/>
        <v>50</v>
      </c>
      <c r="L125" s="593">
        <f t="shared" si="53"/>
        <v>50</v>
      </c>
      <c r="M125" s="593">
        <f t="shared" si="54"/>
        <v>0</v>
      </c>
      <c r="N125" s="594">
        <f t="shared" si="55"/>
        <v>100</v>
      </c>
      <c r="O125" s="593">
        <v>27.9</v>
      </c>
      <c r="P125" s="593">
        <v>33.9</v>
      </c>
      <c r="Q125" s="593"/>
      <c r="R125" s="597">
        <f t="shared" si="56"/>
        <v>61.8</v>
      </c>
      <c r="S125" s="126">
        <v>2</v>
      </c>
      <c r="T125" s="929"/>
      <c r="U125" s="127"/>
      <c r="V125" s="933" t="s">
        <v>16</v>
      </c>
      <c r="W125" s="933" t="s">
        <v>17</v>
      </c>
      <c r="X125" s="933" t="s">
        <v>18</v>
      </c>
      <c r="Y125" s="933">
        <v>33.9</v>
      </c>
      <c r="Z125" s="588" t="s">
        <v>21</v>
      </c>
      <c r="AA125" s="933" t="s">
        <v>27</v>
      </c>
      <c r="AB125" s="933" t="s">
        <v>11</v>
      </c>
      <c r="AC125" s="589">
        <v>27.9</v>
      </c>
      <c r="AD125" s="588"/>
      <c r="AG125" s="589"/>
      <c r="AL125" s="588"/>
      <c r="AO125" s="589"/>
      <c r="AS125" s="589"/>
      <c r="AW125" s="589"/>
      <c r="BA125" s="590"/>
    </row>
    <row r="126" spans="1:53" ht="9" customHeight="1"/>
    <row r="127" spans="1:53" ht="18" customHeight="1">
      <c r="B127" s="22" t="s">
        <v>1278</v>
      </c>
    </row>
    <row r="128" spans="1:53" ht="9" customHeight="1"/>
    <row r="129" spans="1:30" s="364" customFormat="1" ht="9" customHeight="1">
      <c r="A129" s="362"/>
      <c r="B129" s="363" t="s">
        <v>1229</v>
      </c>
      <c r="C129" s="363"/>
      <c r="D129" s="363"/>
      <c r="E129" s="363"/>
      <c r="F129" s="363"/>
      <c r="G129" s="363" t="s">
        <v>1230</v>
      </c>
      <c r="H129" s="363"/>
      <c r="I129" s="363"/>
      <c r="J129" s="363"/>
      <c r="K129" s="363"/>
      <c r="L129" s="363"/>
      <c r="M129" s="363"/>
      <c r="N129" s="363"/>
      <c r="R129" s="982" t="s">
        <v>1231</v>
      </c>
      <c r="S129" s="982"/>
      <c r="T129" s="982"/>
      <c r="U129" s="982"/>
      <c r="V129" s="982"/>
      <c r="W129" s="982"/>
      <c r="X129" s="365"/>
      <c r="Y129" s="365"/>
      <c r="AA129" s="365"/>
      <c r="AB129" s="365"/>
      <c r="AC129" s="365"/>
      <c r="AD129" s="365"/>
    </row>
    <row r="130" spans="1:30" s="369" customFormat="1" ht="9" customHeight="1">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c r="A131" s="373" t="s">
        <v>3</v>
      </c>
      <c r="B131" s="374" t="s">
        <v>8</v>
      </c>
      <c r="C131" s="374" t="s">
        <v>9</v>
      </c>
      <c r="D131" s="374" t="s">
        <v>10</v>
      </c>
      <c r="E131" s="375" t="s">
        <v>1209</v>
      </c>
      <c r="F131" s="374"/>
      <c r="G131" s="351" t="s">
        <v>3</v>
      </c>
      <c r="H131" s="983" t="s">
        <v>0</v>
      </c>
      <c r="I131" s="983"/>
      <c r="J131" s="983" t="s">
        <v>1</v>
      </c>
      <c r="K131" s="983"/>
      <c r="L131" s="983" t="s">
        <v>2</v>
      </c>
      <c r="M131" s="983"/>
      <c r="N131" s="984" t="s">
        <v>1209</v>
      </c>
      <c r="O131" s="984"/>
      <c r="P131" s="376"/>
      <c r="Q131" s="376"/>
      <c r="R131" s="377" t="s">
        <v>3</v>
      </c>
      <c r="S131" s="378" t="s">
        <v>136</v>
      </c>
      <c r="T131" s="376" t="s">
        <v>134</v>
      </c>
      <c r="U131" s="374" t="s">
        <v>135</v>
      </c>
      <c r="V131" s="376"/>
      <c r="W131" s="379" t="s">
        <v>26</v>
      </c>
    </row>
    <row r="132" spans="1:30" s="257" customFormat="1" ht="9" customHeight="1">
      <c r="A132" s="257">
        <v>1959</v>
      </c>
      <c r="B132" s="260">
        <f>(K6*($E6/365)) + (K7*($E7/365))</f>
        <v>0</v>
      </c>
      <c r="C132" s="260">
        <f>(L6*($E6/365)) + (L7*($E7/365))</f>
        <v>54.474885844748862</v>
      </c>
      <c r="D132" s="260">
        <f>(M6*($E6/365)) + (M7*($E7/365))</f>
        <v>45.525114155251146</v>
      </c>
      <c r="E132" s="261">
        <f>B132+C132+D132</f>
        <v>100</v>
      </c>
      <c r="F132" s="270"/>
      <c r="G132" s="263">
        <v>1959</v>
      </c>
      <c r="H132" s="991">
        <f xml:space="preserve"> (O6/$R6*100*($E6/365))+ (O7/$R7*100*($E7/365))</f>
        <v>0</v>
      </c>
      <c r="I132" s="991"/>
      <c r="J132" s="991">
        <f xml:space="preserve"> (P6/$R6*100*($E6/365))+ (P7/$R7*100*($E7/365))</f>
        <v>51.538094385394956</v>
      </c>
      <c r="K132" s="991"/>
      <c r="L132" s="991">
        <f xml:space="preserve"> (Q6/$R6*100*($E6/365))+ (Q7/$R7*100*($E7/365))</f>
        <v>48.461905614605044</v>
      </c>
      <c r="M132" s="991"/>
      <c r="N132" s="993">
        <f>H132+J132+K132</f>
        <v>51.538094385394956</v>
      </c>
      <c r="O132" s="993"/>
      <c r="R132" s="263">
        <v>1959</v>
      </c>
      <c r="S132" s="260">
        <f>O6*($E6/365) + O7*($E7/365)</f>
        <v>0</v>
      </c>
      <c r="T132" s="260">
        <f>P6*($E6/365) + P7*($E7/365)</f>
        <v>48.866575342465751</v>
      </c>
      <c r="U132" s="260">
        <f>Q6*($E6/365) + Q7*($E7/365)</f>
        <v>45.957534246575335</v>
      </c>
      <c r="V132" s="271"/>
      <c r="W132" s="260">
        <f>S132+T132+U132</f>
        <v>94.824109589041086</v>
      </c>
    </row>
    <row r="133" spans="1:30" ht="9" customHeight="1">
      <c r="A133" s="2">
        <v>1960</v>
      </c>
      <c r="B133" s="8">
        <f>(K8*($E8/366))+(K9*($E9/366))</f>
        <v>0</v>
      </c>
      <c r="C133" s="8">
        <f>(L8*($E8/366))+(L9*($E9/366))</f>
        <v>50.000000000000007</v>
      </c>
      <c r="D133" s="8">
        <f>(M8*($E8/366))+(M9*($E9/366))</f>
        <v>50.000000000000007</v>
      </c>
      <c r="E133" s="24">
        <f t="shared" ref="E133:E162" si="57">SUM(B133:D133)</f>
        <v>100.00000000000001</v>
      </c>
      <c r="F133" s="6"/>
      <c r="G133" s="20">
        <v>1960</v>
      </c>
      <c r="H133" s="989">
        <f>(O8*100*($E8/366)/($O8+$P8+$Q8))+(O9*100*($E9/366)/($O9+$P9+$Q9))</f>
        <v>0</v>
      </c>
      <c r="I133" s="989"/>
      <c r="J133" s="989">
        <f>(P8*100*($E8/366)/($O8+$P8+$Q8))+(P9*100*($E9/366)/($O9+$P9+$Q9))</f>
        <v>50.315126050420176</v>
      </c>
      <c r="K133" s="989"/>
      <c r="L133" s="989">
        <f>(Q8*100*($E8/366)/($O8+$P8+$Q8))+(Q9*100*($E9/366)/($O9+$P9+$Q9))</f>
        <v>49.684873949579845</v>
      </c>
      <c r="M133" s="989"/>
      <c r="N133" s="990">
        <f>SUM(H133:M133)</f>
        <v>100.00000000000003</v>
      </c>
      <c r="O133" s="990"/>
      <c r="R133" s="20">
        <v>1960</v>
      </c>
      <c r="S133" s="8">
        <f>O8*($E8/366) + O9*($E9/366)</f>
        <v>0</v>
      </c>
      <c r="T133" s="8">
        <f>P8*($E8/366) + P9*($E9/366)</f>
        <v>47.900000000000006</v>
      </c>
      <c r="U133" s="8">
        <f>Q8*($E8/366) + Q9*($E9/366)</f>
        <v>47.3</v>
      </c>
      <c r="V133" s="13"/>
      <c r="W133" s="8">
        <f>R8*($E8/366) + R9*($E9/366)</f>
        <v>95.199999999999989</v>
      </c>
    </row>
    <row r="134" spans="1:30" ht="9" customHeight="1">
      <c r="A134" s="2">
        <v>1961</v>
      </c>
      <c r="B134" s="8">
        <f>(K10*($E10/365))+(K11*($E11/365))</f>
        <v>0</v>
      </c>
      <c r="C134" s="8">
        <f>(L10*($E10/365))+(L11*($E11/365))</f>
        <v>50</v>
      </c>
      <c r="D134" s="8">
        <f>(M10*($E10/365))+(M11*($E11/365))</f>
        <v>50</v>
      </c>
      <c r="E134" s="24">
        <f t="shared" si="57"/>
        <v>100</v>
      </c>
      <c r="F134" s="6"/>
      <c r="G134" s="20">
        <v>1961</v>
      </c>
      <c r="H134" s="989">
        <f>(O10*100*($E10/365)/($O10+$P10+$Q10))+(O11*100*($E11/365)/($O11+$P11+$Q11))</f>
        <v>0</v>
      </c>
      <c r="I134" s="989"/>
      <c r="J134" s="989">
        <f>(P10*100*($E10/365)/($O10+$P10+$Q10))+(P11*100*($E11/365)/($O11+$P11+$Q11))</f>
        <v>50.315126050420176</v>
      </c>
      <c r="K134" s="989"/>
      <c r="L134" s="989">
        <f>(Q10*100*($E10/365)/($O10+$P10+$Q10))+(Q11*100*($E11/365)/($O11+$P11+$Q11))</f>
        <v>49.684873949579838</v>
      </c>
      <c r="M134" s="989"/>
      <c r="N134" s="990">
        <f t="shared" ref="N134:N185" si="58">SUM(H134:M134)</f>
        <v>100.00000000000001</v>
      </c>
      <c r="O134" s="990"/>
      <c r="R134" s="20">
        <v>1961</v>
      </c>
      <c r="S134" s="8">
        <f>O10*($E10/365) + O11*($E11/365)</f>
        <v>0</v>
      </c>
      <c r="T134" s="8">
        <f>P10*($E10/365) + P11*($E11/365)</f>
        <v>47.9</v>
      </c>
      <c r="U134" s="8">
        <f>Q10*($E10/365) + Q11*($E11/365)</f>
        <v>47.3</v>
      </c>
      <c r="V134" s="13"/>
      <c r="W134" s="8">
        <f>R10*($E10/365) + R11*($E11/365)</f>
        <v>95.199999999999989</v>
      </c>
    </row>
    <row r="135" spans="1:30" ht="9" customHeight="1">
      <c r="A135" s="2">
        <v>1962</v>
      </c>
      <c r="B135" s="8">
        <f>(K12*($E12/365))+(K13*($E13/365))</f>
        <v>0</v>
      </c>
      <c r="C135" s="8">
        <f>(L12*($E12/365))+(L13*($E13/365))</f>
        <v>50</v>
      </c>
      <c r="D135" s="8">
        <f>(M12*($E12/365))+(M13*($E13/365))</f>
        <v>50</v>
      </c>
      <c r="E135" s="24">
        <f t="shared" si="57"/>
        <v>100</v>
      </c>
      <c r="F135" s="6"/>
      <c r="G135" s="20">
        <v>1962</v>
      </c>
      <c r="H135" s="989">
        <f>(O12*100*($E12/365)/($O12+$P12+$Q12))+(O13*100*($E13/365)/($O13+$P13+$Q13))</f>
        <v>0</v>
      </c>
      <c r="I135" s="989"/>
      <c r="J135" s="989">
        <f>(P12*100*($E12/365)/($O12+$P12+$Q12))+(P13*100*($E13/365)/($O13+$P13+$Q13))</f>
        <v>50.315126050420176</v>
      </c>
      <c r="K135" s="989"/>
      <c r="L135" s="989">
        <f>(Q12*100*($E12/365)/($O12+$P12+$Q12))+(Q13*100*($E13/365)/($O13+$P13+$Q13))</f>
        <v>49.684873949579838</v>
      </c>
      <c r="M135" s="989"/>
      <c r="N135" s="990">
        <f t="shared" si="58"/>
        <v>100.00000000000001</v>
      </c>
      <c r="O135" s="990"/>
      <c r="R135" s="20">
        <v>1962</v>
      </c>
      <c r="S135" s="8">
        <f>O12*($E12/365) + O13*($E13/365)</f>
        <v>0</v>
      </c>
      <c r="T135" s="8">
        <f>P12*($E12/365) + P13*($E13/365)</f>
        <v>47.9</v>
      </c>
      <c r="U135" s="8">
        <f>Q12*($E12/365) + Q13*($E13/365)</f>
        <v>47.3</v>
      </c>
      <c r="V135" s="13"/>
      <c r="W135" s="8">
        <f>R12*($E12/365) + R13*($E13/365)</f>
        <v>95.199999999999989</v>
      </c>
    </row>
    <row r="136" spans="1:30" ht="9" customHeight="1">
      <c r="A136" s="2">
        <v>1963</v>
      </c>
      <c r="B136" s="8">
        <f>(K14*($E14/365))+(K15*($E15/365))</f>
        <v>0</v>
      </c>
      <c r="C136" s="8">
        <f>(L14*($E14/365))+(L15*($E15/365))</f>
        <v>50</v>
      </c>
      <c r="D136" s="8">
        <f>(M14*($E14/365))+(M15*($E15/365))</f>
        <v>50</v>
      </c>
      <c r="E136" s="24">
        <f t="shared" si="57"/>
        <v>100</v>
      </c>
      <c r="F136" s="6"/>
      <c r="G136" s="20">
        <v>1963</v>
      </c>
      <c r="H136" s="989">
        <f>(O14*100*($E14/365)/($O14+$P14+$Q14))+(O15*100*($E15/365)/($O15+$P15+$Q15))</f>
        <v>0</v>
      </c>
      <c r="I136" s="989"/>
      <c r="J136" s="989">
        <f>(P14*100*($E14/365)/($O14+$P14+$Q14))+(P15*100*($E15/365)/($O15+$P15+$Q15))</f>
        <v>51.292448486243813</v>
      </c>
      <c r="K136" s="989"/>
      <c r="L136" s="989">
        <f>(Q14*100*($E14/365)/($O14+$P14+$Q14))+(Q15*100*($E15/365)/($O15+$P15+$Q15))</f>
        <v>48.707551513756194</v>
      </c>
      <c r="M136" s="989"/>
      <c r="N136" s="990">
        <f t="shared" si="58"/>
        <v>100</v>
      </c>
      <c r="O136" s="990"/>
      <c r="R136" s="20">
        <v>1963</v>
      </c>
      <c r="S136" s="8">
        <f>O14*($E14/365) + O15*($E15/365)</f>
        <v>0</v>
      </c>
      <c r="T136" s="8">
        <f>P14*($E14/365) + P15*($E15/365)</f>
        <v>48.83041095890411</v>
      </c>
      <c r="U136" s="8">
        <f>Q14*($E14/365) + Q15*($E15/365)</f>
        <v>46.369589041095892</v>
      </c>
      <c r="V136" s="13"/>
      <c r="W136" s="8">
        <f>R14*($E14/365) + R15*($E15/365)</f>
        <v>95.2</v>
      </c>
    </row>
    <row r="137" spans="1:30" ht="9" customHeight="1">
      <c r="A137" s="2">
        <v>1964</v>
      </c>
      <c r="B137" s="8">
        <f>(K16*($E16/366))+(K17*($E17/366))</f>
        <v>0</v>
      </c>
      <c r="C137" s="8">
        <f>(L16*($E16/366))+(L17*($E17/366))</f>
        <v>50</v>
      </c>
      <c r="D137" s="8">
        <f>(M16*($E16/366))+(M17*($E17/366))</f>
        <v>50</v>
      </c>
      <c r="E137" s="24">
        <f t="shared" si="57"/>
        <v>100</v>
      </c>
      <c r="F137" s="6"/>
      <c r="G137" s="20">
        <v>1964</v>
      </c>
      <c r="H137" s="989">
        <f>(O16*100*($E16/366)/($O16+$P16+$Q16))+(O17*100*($E17/366)/($O17+$P17+$Q17))</f>
        <v>0</v>
      </c>
      <c r="I137" s="989"/>
      <c r="J137" s="989">
        <f>(P16*100*($E16/366)/($O16+$P16+$Q16))+(P17*100*($E17/366)/($O17+$P17+$Q17))</f>
        <v>51.575630252100837</v>
      </c>
      <c r="K137" s="989"/>
      <c r="L137" s="989">
        <f>(Q16*100*($E16/366)/($O16+$P16+$Q16))+(Q17*100*($E17/366)/($O17+$P17+$Q17))</f>
        <v>48.424369747899163</v>
      </c>
      <c r="M137" s="989"/>
      <c r="N137" s="990">
        <f t="shared" si="58"/>
        <v>100</v>
      </c>
      <c r="O137" s="990"/>
      <c r="R137" s="20">
        <v>1964</v>
      </c>
      <c r="S137" s="8">
        <f>O16*($E16/366) + O17*($E17/366)</f>
        <v>0</v>
      </c>
      <c r="T137" s="8">
        <f>P16*($E16/366) + P17*($E17/366)</f>
        <v>49.100000000000009</v>
      </c>
      <c r="U137" s="8">
        <f>Q16*($E16/366) + Q17*($E17/366)</f>
        <v>46.1</v>
      </c>
      <c r="V137" s="13"/>
      <c r="W137" s="8">
        <f>R16*($E16/366) + R17*($E17/366)</f>
        <v>95.200000000000017</v>
      </c>
    </row>
    <row r="138" spans="1:30" ht="9" customHeight="1">
      <c r="A138" s="2">
        <v>1965</v>
      </c>
      <c r="B138" s="8">
        <f>(K18*($E18/365))+(K19*($E19/365))</f>
        <v>0</v>
      </c>
      <c r="C138" s="8">
        <f>(L18*($E18/365))+(L19*($E19/365))</f>
        <v>50</v>
      </c>
      <c r="D138" s="8">
        <f>(M18*($E18/365))+(M19*($E19/365))</f>
        <v>50</v>
      </c>
      <c r="E138" s="24">
        <f t="shared" si="57"/>
        <v>100</v>
      </c>
      <c r="F138" s="6"/>
      <c r="G138" s="20">
        <v>1965</v>
      </c>
      <c r="H138" s="989">
        <f>(O18*100*($E18/365)/($O18+$P18+$Q18))+(O19*100*($E19/365)/($O19+$P19+$Q19))</f>
        <v>0</v>
      </c>
      <c r="I138" s="989"/>
      <c r="J138" s="989">
        <f>(P18*100*($E18/365)/($O18+$P18+$Q18))+(P19*100*($E19/365)/($O19+$P19+$Q19))</f>
        <v>51.575630252100837</v>
      </c>
      <c r="K138" s="989"/>
      <c r="L138" s="989">
        <f>(Q18*100*($E18/365)/($O18+$P18+$Q18))+(Q19*100*($E19/365)/($O19+$P19+$Q19))</f>
        <v>48.424369747899163</v>
      </c>
      <c r="M138" s="989"/>
      <c r="N138" s="990">
        <f t="shared" si="58"/>
        <v>100</v>
      </c>
      <c r="O138" s="990"/>
      <c r="R138" s="20">
        <v>1965</v>
      </c>
      <c r="S138" s="8">
        <f>O18*($E18/365) + O19*($E19/365)</f>
        <v>0</v>
      </c>
      <c r="T138" s="8">
        <f>P18*($E18/365) + P19*($E19/365)</f>
        <v>49.1</v>
      </c>
      <c r="U138" s="8">
        <f>Q18*($E18/365) + Q19*($E19/365)</f>
        <v>46.099999999999994</v>
      </c>
      <c r="V138" s="13"/>
      <c r="W138" s="8">
        <f>R18*($E18/365) + R19*($E19/365)</f>
        <v>95.2</v>
      </c>
    </row>
    <row r="139" spans="1:30" ht="9" customHeight="1">
      <c r="A139" s="2">
        <v>1966</v>
      </c>
      <c r="B139" s="8">
        <f>(K20*($E20/365))+(K21*($E21/365))</f>
        <v>0</v>
      </c>
      <c r="C139" s="8">
        <f>(L20*($E20/365))+(L21*($E21/365))</f>
        <v>85.205479452054803</v>
      </c>
      <c r="D139" s="8">
        <f>(M20*($E20/365))+(M21*($E21/365))</f>
        <v>14.794520547945206</v>
      </c>
      <c r="E139" s="24">
        <f t="shared" si="57"/>
        <v>100.00000000000001</v>
      </c>
      <c r="F139" s="6"/>
      <c r="G139" s="20">
        <v>1966</v>
      </c>
      <c r="H139" s="989">
        <f>(O20*100*($E20/365)/($O20+$P20+$Q20))+(O21*100*($E21/365)/($O21+$P21+$Q21))</f>
        <v>0</v>
      </c>
      <c r="I139" s="989"/>
      <c r="J139" s="989">
        <f>(P20*100*($E20/365)/($O20+$P20+$Q20))+(P21*100*($E21/365)/($O21+$P21+$Q21))</f>
        <v>85.671693334868195</v>
      </c>
      <c r="K139" s="989"/>
      <c r="L139" s="989">
        <f>(Q20*100*($E20/365)/($O20+$P20+$Q20))+(Q21*100*($E21/365)/($O21+$P21+$Q21))</f>
        <v>14.328306665131807</v>
      </c>
      <c r="M139" s="989"/>
      <c r="N139" s="990">
        <f t="shared" si="58"/>
        <v>100</v>
      </c>
      <c r="O139" s="990"/>
      <c r="R139" s="20">
        <v>1966</v>
      </c>
      <c r="S139" s="8">
        <f>O20*($E20/365) + O21*($E21/365)</f>
        <v>0</v>
      </c>
      <c r="T139" s="8">
        <f>P20*($E20/365) + P21*($E21/365)</f>
        <v>50.789863013698636</v>
      </c>
      <c r="U139" s="8">
        <f>Q20*($E20/365) + Q21*($E21/365)</f>
        <v>13.64054794520548</v>
      </c>
      <c r="V139" s="13"/>
      <c r="W139" s="8">
        <f>R20*($E20/365) + R21*($E21/365)</f>
        <v>64.430410958904105</v>
      </c>
    </row>
    <row r="140" spans="1:30" ht="9" customHeight="1">
      <c r="A140" s="2">
        <v>1967</v>
      </c>
      <c r="B140" s="8">
        <f>(K22*($E22/365))+(K23*($E23/365))</f>
        <v>0</v>
      </c>
      <c r="C140" s="8">
        <f>(L22*($E22/365))+(L23*($E23/365))</f>
        <v>100</v>
      </c>
      <c r="D140" s="8">
        <f>(M22*($E22/365))+(M23*($E23/365))</f>
        <v>0</v>
      </c>
      <c r="E140" s="24">
        <f t="shared" si="57"/>
        <v>100</v>
      </c>
      <c r="F140" s="6"/>
      <c r="G140" s="20">
        <v>1967</v>
      </c>
      <c r="H140" s="989">
        <f>(O22*100*($E22/365)/($O22+$P22+$Q22))+(O23*100*($E23/365)/($O23+$P23+$Q23))</f>
        <v>0</v>
      </c>
      <c r="I140" s="989"/>
      <c r="J140" s="989">
        <f>(P22*100*($E22/365)/($O22+$P22+$Q22))+(P23*100*($E23/365)/($O23+$P23+$Q23))</f>
        <v>100</v>
      </c>
      <c r="K140" s="989"/>
      <c r="L140" s="989">
        <f>(Q22*100*($E22/365)/($O22+$P22+$Q22))+(Q23*100*($E23/365)/($O23+$P23+$Q23))</f>
        <v>0</v>
      </c>
      <c r="M140" s="989"/>
      <c r="N140" s="990">
        <f t="shared" si="58"/>
        <v>100</v>
      </c>
      <c r="O140" s="990"/>
      <c r="R140" s="20">
        <v>1967</v>
      </c>
      <c r="S140" s="8">
        <f>O22*($E22/365) + O23*($E23/365)</f>
        <v>0</v>
      </c>
      <c r="T140" s="8">
        <f>P22*($E22/365) + P23*($E23/365)</f>
        <v>51.5</v>
      </c>
      <c r="U140" s="8">
        <f>Q22*($E22/365) + Q23*($E23/365)</f>
        <v>0</v>
      </c>
      <c r="V140" s="13"/>
      <c r="W140" s="8">
        <f>R22*($E22/365) + R23*($E23/365)</f>
        <v>51.5</v>
      </c>
    </row>
    <row r="141" spans="1:30" ht="9" customHeight="1">
      <c r="A141" s="2">
        <v>1968</v>
      </c>
      <c r="B141" s="8">
        <f>(K24*($E24/366))+(K25*($E25/366))</f>
        <v>0</v>
      </c>
      <c r="C141" s="8">
        <f>(L24*($E24/366))+(L25*($E25/366))</f>
        <v>100</v>
      </c>
      <c r="D141" s="8">
        <f>(M24*($E24/366))+(M25*($E25/366))</f>
        <v>0</v>
      </c>
      <c r="E141" s="24">
        <f t="shared" si="57"/>
        <v>100</v>
      </c>
      <c r="F141" s="6"/>
      <c r="G141" s="20">
        <v>1968</v>
      </c>
      <c r="H141" s="989">
        <f>(O24*100*($E24/366)/($O24+$P24+$Q24))+(O25*100*($E25/366)/($O25+$P25+$Q25))</f>
        <v>0</v>
      </c>
      <c r="I141" s="989"/>
      <c r="J141" s="989">
        <f>(P24*100*($E24/366)/($O24+$P24+$Q24))+(P25*100*($E25/366)/($O25+$P25+$Q25))</f>
        <v>100</v>
      </c>
      <c r="K141" s="989"/>
      <c r="L141" s="989">
        <f>(Q24*100*($E24/366)/($O24+$P24+$Q24))+(Q25*100*($E25/366)/($O25+$P25+$Q25))</f>
        <v>0</v>
      </c>
      <c r="M141" s="989"/>
      <c r="N141" s="990">
        <f t="shared" si="58"/>
        <v>100</v>
      </c>
      <c r="O141" s="990"/>
      <c r="R141" s="20">
        <v>1968</v>
      </c>
      <c r="S141" s="8">
        <f>O24*($E24/366) + O25*($E25/366)</f>
        <v>0</v>
      </c>
      <c r="T141" s="8">
        <f>P24*($E24/366) + P25*($E25/366)</f>
        <v>51.5</v>
      </c>
      <c r="U141" s="8">
        <f>Q24*($E24/366) + Q25*($E25/366)</f>
        <v>0</v>
      </c>
      <c r="V141" s="13"/>
      <c r="W141" s="8">
        <f>R24*($E24/366) + R25*($E25/366)</f>
        <v>51.5</v>
      </c>
    </row>
    <row r="142" spans="1:30" ht="9" customHeight="1">
      <c r="A142" s="2">
        <v>1969</v>
      </c>
      <c r="B142" s="8">
        <f>(K26*($E26/365))+(K27*($E27/365))</f>
        <v>0</v>
      </c>
      <c r="C142" s="8">
        <f>(L26*($E26/365))+(L27*($E27/365))</f>
        <v>100</v>
      </c>
      <c r="D142" s="8">
        <f>(M26*($E26/365))+(M27*($E27/365))</f>
        <v>0</v>
      </c>
      <c r="E142" s="24">
        <f t="shared" si="57"/>
        <v>100</v>
      </c>
      <c r="F142" s="6"/>
      <c r="G142" s="20">
        <v>1969</v>
      </c>
      <c r="H142" s="989">
        <f>(O26*100*($E26/365)/($O26+$P26+$Q26))+(O27*100*($E27/365)/($O27+$P27+$Q27))</f>
        <v>0</v>
      </c>
      <c r="I142" s="989"/>
      <c r="J142" s="989">
        <f>(P26*100*($E26/365)/($O26+$P26+$Q26))+(P27*100*($E27/365)/($O27+$P27+$Q27))</f>
        <v>100</v>
      </c>
      <c r="K142" s="989"/>
      <c r="L142" s="989">
        <f>(Q26*100*($E26/365)/($O26+$P26+$Q26))+(Q27*100*($E27/365)/($O27+$P27+$Q27))</f>
        <v>0</v>
      </c>
      <c r="M142" s="989"/>
      <c r="N142" s="990">
        <f t="shared" si="58"/>
        <v>100</v>
      </c>
      <c r="O142" s="990"/>
      <c r="R142" s="20">
        <v>1969</v>
      </c>
      <c r="S142" s="8">
        <f>O26*($E26/365) + O27*($E27/365)</f>
        <v>0</v>
      </c>
      <c r="T142" s="8">
        <f>P26*($E26/365) + P27*($E27/365)</f>
        <v>51.5</v>
      </c>
      <c r="U142" s="8">
        <f>Q26*($E26/365) + Q27*($E27/365)</f>
        <v>0</v>
      </c>
      <c r="V142" s="13"/>
      <c r="W142" s="8">
        <f>R26*($E26/365) + R27*($E27/365)</f>
        <v>51.5</v>
      </c>
    </row>
    <row r="143" spans="1:30" ht="9" customHeight="1">
      <c r="A143" s="2">
        <v>1970</v>
      </c>
      <c r="B143" s="8">
        <f>(K28*($E28/365))+(K29*($E29/365))</f>
        <v>0</v>
      </c>
      <c r="C143" s="8">
        <f>(L28*($E28/365))+(L29*($E29/365))</f>
        <v>30.410958904109592</v>
      </c>
      <c r="D143" s="8">
        <f>(M28*($E28/365))+(M29*($E29/365))</f>
        <v>64.236037934668076</v>
      </c>
      <c r="E143" s="24">
        <f t="shared" si="57"/>
        <v>94.646996838777667</v>
      </c>
      <c r="F143" s="6"/>
      <c r="G143" s="20">
        <v>1970</v>
      </c>
      <c r="H143" s="989">
        <f>(O28*100*($E28/365)/($O28+$P28+$Q28))+(O29*100*($E29/365)/($O29+$P29+$Q29))</f>
        <v>0</v>
      </c>
      <c r="I143" s="989"/>
      <c r="J143" s="989">
        <f>(P28*100*($E28/365)/($O28+$P28+$Q28))+(P29*100*($E29/365)/($O29+$P29+$Q29))</f>
        <v>30.410958904109592</v>
      </c>
      <c r="K143" s="989"/>
      <c r="L143" s="989">
        <f>(Q28*100*($E28/365)/($O28+$P28+$Q28))+(Q29*100*($E29/365)/($O29+$P29+$Q29))</f>
        <v>69.589041095890408</v>
      </c>
      <c r="M143" s="989"/>
      <c r="N143" s="990">
        <f t="shared" si="58"/>
        <v>100</v>
      </c>
      <c r="O143" s="990"/>
      <c r="R143" s="20">
        <v>1970</v>
      </c>
      <c r="S143" s="8">
        <f>O28*($E28/365) + O29*($E29/365)</f>
        <v>0</v>
      </c>
      <c r="T143" s="8">
        <f>P28*($E28/365) + P29*($E29/365)</f>
        <v>15.66164383561644</v>
      </c>
      <c r="U143" s="8">
        <f>Q28*($E28/365) + Q29*($E29/365)</f>
        <v>34.168219178082197</v>
      </c>
      <c r="V143" s="13"/>
      <c r="W143" s="8">
        <f>R28*($E28/365) + R29*($E29/365)</f>
        <v>49.829863013698635</v>
      </c>
    </row>
    <row r="144" spans="1:30" ht="9" customHeight="1">
      <c r="A144" s="2">
        <v>1971</v>
      </c>
      <c r="B144" s="8">
        <f>(K30*($E30/365))+(K31*($E31/365))</f>
        <v>0</v>
      </c>
      <c r="C144" s="8">
        <f>(L30*($E30/365))+(L31*($E31/365))</f>
        <v>0</v>
      </c>
      <c r="D144" s="8">
        <f>(M30*($E30/365))+(M31*($E31/365))</f>
        <v>91.025139244317316</v>
      </c>
      <c r="E144" s="24">
        <f t="shared" si="57"/>
        <v>91.025139244317316</v>
      </c>
      <c r="F144" s="6"/>
      <c r="G144" s="20">
        <v>1971</v>
      </c>
      <c r="H144" s="989">
        <f>(O30*100*($E30/365)/($O30+$P30+$Q30))+(O31*100*($E31/365)/($O31+$P31+$Q31))</f>
        <v>0</v>
      </c>
      <c r="I144" s="989"/>
      <c r="J144" s="989">
        <f>(P30*100*($E30/365)/($O30+$P30+$Q30))+(P31*100*($E31/365)/($O31+$P31+$Q31))</f>
        <v>0</v>
      </c>
      <c r="K144" s="989"/>
      <c r="L144" s="989">
        <f>(Q30*100*($E30/365)/($O30+$P30+$Q30))+(Q31*100*($E31/365)/($O31+$P31+$Q31))</f>
        <v>100</v>
      </c>
      <c r="M144" s="989"/>
      <c r="N144" s="990">
        <f t="shared" si="58"/>
        <v>100</v>
      </c>
      <c r="O144" s="990"/>
      <c r="R144" s="20">
        <v>1971</v>
      </c>
      <c r="S144" s="8">
        <f>O30*($E30/365) + O31*($E31/365)</f>
        <v>0</v>
      </c>
      <c r="T144" s="8">
        <f>P30*($E30/365) + P31*($E31/365)</f>
        <v>0</v>
      </c>
      <c r="U144" s="8">
        <f>Q30*($E30/365) + Q31*($E31/365)</f>
        <v>49.430684931506853</v>
      </c>
      <c r="V144" s="13"/>
      <c r="W144" s="8">
        <f>R30*($E30/365) + R31*($E31/365)</f>
        <v>49.430684931506853</v>
      </c>
    </row>
    <row r="145" spans="1:23" ht="9" customHeight="1">
      <c r="A145" s="2">
        <v>1972</v>
      </c>
      <c r="B145" s="8">
        <f>(K32*($E32/366))+(K33*($E33/366))</f>
        <v>0</v>
      </c>
      <c r="C145" s="8">
        <f>(L32*($E32/366))+(L33*($E33/366))</f>
        <v>0</v>
      </c>
      <c r="D145" s="8">
        <f>(M32*($E32/366))+(M33*($E33/366))</f>
        <v>85.714285714285708</v>
      </c>
      <c r="E145" s="24">
        <f t="shared" si="57"/>
        <v>85.714285714285708</v>
      </c>
      <c r="F145" s="6"/>
      <c r="G145" s="20">
        <v>1972</v>
      </c>
      <c r="H145" s="989">
        <f>(O32*100*($E32/366)/($O32+$P32+$Q32))+(O33*100*($E33/366)/($O33+$P33+$Q33))</f>
        <v>0</v>
      </c>
      <c r="I145" s="989"/>
      <c r="J145" s="989">
        <f>(P32*100*($E32/366)/($O32+$P32+$Q32))+(P33*100*($E33/366)/($O33+$P33+$Q33))</f>
        <v>0</v>
      </c>
      <c r="K145" s="989"/>
      <c r="L145" s="989">
        <f>(Q32*100*($E32/366)/($O32+$P32+$Q32))+(Q33*100*($E33/366)/($O33+$P33+$Q33))</f>
        <v>100</v>
      </c>
      <c r="M145" s="989"/>
      <c r="N145" s="990">
        <f t="shared" si="58"/>
        <v>100</v>
      </c>
      <c r="O145" s="990"/>
      <c r="R145" s="20">
        <v>1972</v>
      </c>
      <c r="S145" s="8">
        <f>O32*($E32/366) + O33*($E33/366)</f>
        <v>0</v>
      </c>
      <c r="T145" s="8">
        <f>P32*($E32/366) + P33*($E33/366)</f>
        <v>0</v>
      </c>
      <c r="U145" s="8">
        <f>Q32*($E32/366) + Q33*($E33/366)</f>
        <v>50.8</v>
      </c>
      <c r="V145" s="13"/>
      <c r="W145" s="8">
        <f>R32*($E32/366) + R33*($E33/366)</f>
        <v>50.8</v>
      </c>
    </row>
    <row r="146" spans="1:23" ht="9" customHeight="1">
      <c r="A146" s="2">
        <v>1973</v>
      </c>
      <c r="B146" s="8">
        <f>(K34*($E34/365))+(K35*($E35/365))</f>
        <v>0</v>
      </c>
      <c r="C146" s="8">
        <f>(L34*($E34/365))+(L35*($E35/365))</f>
        <v>0</v>
      </c>
      <c r="D146" s="8">
        <f>(M34*($E34/365))+(M35*($E35/365))</f>
        <v>85.714285714285708</v>
      </c>
      <c r="E146" s="24">
        <f t="shared" si="57"/>
        <v>85.714285714285708</v>
      </c>
      <c r="F146" s="6"/>
      <c r="G146" s="20">
        <v>1973</v>
      </c>
      <c r="H146" s="989">
        <f>(O34*100*($E34/365)/($O34+$P34+$Q34))+(O35*100*($E35/365)/($O35+$P35+$Q35))</f>
        <v>0</v>
      </c>
      <c r="I146" s="989"/>
      <c r="J146" s="989">
        <f>(P34*100*($E34/365)/($O34+$P34+$Q34))+(P35*100*($E35/365)/($O35+$P35+$Q35))</f>
        <v>0</v>
      </c>
      <c r="K146" s="989"/>
      <c r="L146" s="989">
        <f>(Q34*100*($E34/365)/($O34+$P34+$Q34))+(Q35*100*($E35/365)/($O35+$P35+$Q35))</f>
        <v>100</v>
      </c>
      <c r="M146" s="989"/>
      <c r="N146" s="990">
        <f t="shared" si="58"/>
        <v>100</v>
      </c>
      <c r="O146" s="990"/>
      <c r="R146" s="20">
        <v>1973</v>
      </c>
      <c r="S146" s="8">
        <f>O34*($E34/365) + O35*($E35/365)</f>
        <v>0</v>
      </c>
      <c r="T146" s="8">
        <f>P34*($E34/365) + P35*($E35/365)</f>
        <v>0</v>
      </c>
      <c r="U146" s="8">
        <f>Q34*($E34/365) + Q35*($E35/365)</f>
        <v>50.8</v>
      </c>
      <c r="V146" s="13"/>
      <c r="W146" s="8">
        <f>R34*($E34/365) + R35*($E35/365)</f>
        <v>50.8</v>
      </c>
    </row>
    <row r="147" spans="1:23" ht="9" customHeight="1">
      <c r="A147" s="2">
        <v>1974</v>
      </c>
      <c r="B147" s="8">
        <f>(K36*($E36/365))+(K37*($E37/365))</f>
        <v>0</v>
      </c>
      <c r="C147" s="8">
        <f>(L36*($E36/365))+(L37*($E37/365))</f>
        <v>0</v>
      </c>
      <c r="D147" s="8">
        <f>(M36*($E36/365))+(M37*($E37/365))</f>
        <v>85.714285714285708</v>
      </c>
      <c r="E147" s="24">
        <f t="shared" si="57"/>
        <v>85.714285714285708</v>
      </c>
      <c r="F147" s="6"/>
      <c r="G147" s="20">
        <v>1974</v>
      </c>
      <c r="H147" s="989">
        <f>(O36*100*($E36/365)/($O36+$P36+$Q36))+(O37*100*($E37/365)/($O37+$P37+$Q37))</f>
        <v>0</v>
      </c>
      <c r="I147" s="989"/>
      <c r="J147" s="989">
        <f>(P36*100*($E36/365)/($O36+$P36+$Q36))+(P37*100*($E37/365)/($O37+$P37+$Q37))</f>
        <v>0</v>
      </c>
      <c r="K147" s="989"/>
      <c r="L147" s="989">
        <f>(Q36*100*($E36/365)/($O36+$P36+$Q36))+(Q37*100*($E37/365)/($O37+$P37+$Q37))</f>
        <v>100</v>
      </c>
      <c r="M147" s="989"/>
      <c r="N147" s="990">
        <f t="shared" si="58"/>
        <v>100</v>
      </c>
      <c r="O147" s="990"/>
      <c r="R147" s="20">
        <v>1974</v>
      </c>
      <c r="S147" s="8">
        <f>O36*($E36/365) + O37*($E37/365)</f>
        <v>0</v>
      </c>
      <c r="T147" s="8">
        <f>P36*($E36/365) + P37*($E37/365)</f>
        <v>0</v>
      </c>
      <c r="U147" s="8">
        <f>Q36*($E36/365) + Q37*($E37/365)</f>
        <v>50.8</v>
      </c>
      <c r="V147" s="13"/>
      <c r="W147" s="8">
        <f>R36*($E36/365) + R37*($E37/365)</f>
        <v>50.8</v>
      </c>
    </row>
    <row r="148" spans="1:23" ht="9" customHeight="1">
      <c r="A148" s="2">
        <v>1975</v>
      </c>
      <c r="B148" s="8">
        <f>(K38*($E38/365))+(K39*($E39/365))</f>
        <v>0</v>
      </c>
      <c r="C148" s="8">
        <f>(L38*($E38/365))+(L39*($E39/365))</f>
        <v>0</v>
      </c>
      <c r="D148" s="8">
        <f>(M38*($E38/365))+(M39*($E39/365))</f>
        <v>85.714285714285708</v>
      </c>
      <c r="E148" s="24">
        <f t="shared" si="57"/>
        <v>85.714285714285708</v>
      </c>
      <c r="F148" s="6"/>
      <c r="G148" s="20">
        <v>1975</v>
      </c>
      <c r="H148" s="989">
        <f>(O38*100*($E38/365)/($O38+$P38+$Q38))+(O39*100*($E39/365)/($O39+$P39+$Q39))</f>
        <v>0</v>
      </c>
      <c r="I148" s="989"/>
      <c r="J148" s="989">
        <f>(P38*100*($E38/365)/($O38+$P38+$Q38))+(P39*100*($E39/365)/($O39+$P39+$Q39))</f>
        <v>0</v>
      </c>
      <c r="K148" s="989"/>
      <c r="L148" s="989">
        <f>(Q38*100*($E38/365)/($O38+$P38+$Q38))+(Q39*100*($E39/365)/($O39+$P39+$Q39))</f>
        <v>100</v>
      </c>
      <c r="M148" s="989"/>
      <c r="N148" s="990">
        <f t="shared" si="58"/>
        <v>100</v>
      </c>
      <c r="O148" s="990"/>
      <c r="R148" s="20">
        <v>1975</v>
      </c>
      <c r="S148" s="8">
        <f>O38*($E38/365) + O39*($E39/365)</f>
        <v>0</v>
      </c>
      <c r="T148" s="8">
        <f>P38*($E38/365) + P39*($E39/365)</f>
        <v>0</v>
      </c>
      <c r="U148" s="8">
        <f>Q38*($E38/365) + Q39*($E39/365)</f>
        <v>50.800000000000004</v>
      </c>
      <c r="V148" s="13"/>
      <c r="W148" s="8">
        <f>R38*($E38/365) + R39*($E39/365)</f>
        <v>50.800000000000004</v>
      </c>
    </row>
    <row r="149" spans="1:23" ht="9" customHeight="1">
      <c r="A149" s="2">
        <v>1976</v>
      </c>
      <c r="B149" s="8">
        <f>(K40*($E40/366))+(K41*($E41/366))</f>
        <v>0</v>
      </c>
      <c r="C149" s="8">
        <f>(L40*($E40/366))+(L41*($E41/366))</f>
        <v>0</v>
      </c>
      <c r="D149" s="8">
        <f>(M40*($E40/366))+(M41*($E41/366))</f>
        <v>85.714285714285708</v>
      </c>
      <c r="E149" s="24">
        <f t="shared" si="57"/>
        <v>85.714285714285708</v>
      </c>
      <c r="F149" s="6"/>
      <c r="G149" s="20">
        <v>1976</v>
      </c>
      <c r="H149" s="989">
        <f>(O40*100*($E40/366)/($O40+$P40+$Q40))+(O41*100*($E41/366)/($O41+$P41+$Q41))</f>
        <v>0</v>
      </c>
      <c r="I149" s="989"/>
      <c r="J149" s="989">
        <f>(P40*100*($E40/366)/($O40+$P40+$Q40))+(P41*100*($E41/366)/($O41+$P41+$Q41))</f>
        <v>0</v>
      </c>
      <c r="K149" s="989"/>
      <c r="L149" s="989">
        <f>(Q40*100*($E40/366)/($O40+$P40+$Q40))+(Q41*100*($E41/366)/($O41+$P41+$Q41))</f>
        <v>100</v>
      </c>
      <c r="M149" s="989"/>
      <c r="N149" s="990">
        <f t="shared" si="58"/>
        <v>100</v>
      </c>
      <c r="O149" s="990"/>
      <c r="R149" s="20">
        <v>1976</v>
      </c>
      <c r="S149" s="8">
        <f>O40*($E40/366) + O41*($E41/366)</f>
        <v>0</v>
      </c>
      <c r="T149" s="8">
        <f>P40*($E40/366) + P41*($E41/366)</f>
        <v>0</v>
      </c>
      <c r="U149" s="8">
        <f>Q40*($E40/366) + Q41*($E41/366)</f>
        <v>50.8</v>
      </c>
      <c r="V149" s="13"/>
      <c r="W149" s="8">
        <f>R40*($E40/366) + R41*($E41/366)</f>
        <v>50.8</v>
      </c>
    </row>
    <row r="150" spans="1:23" ht="9" customHeight="1">
      <c r="A150" s="2">
        <v>1977</v>
      </c>
      <c r="B150" s="8">
        <f>(K42*($E42/365))+(K43*($E43/365))</f>
        <v>0</v>
      </c>
      <c r="C150" s="8">
        <f>(L42*($E42/365))+(L43*($E43/365))</f>
        <v>0</v>
      </c>
      <c r="D150" s="8">
        <f>(M42*($E42/365))+(M43*($E43/365))</f>
        <v>85.714285714285708</v>
      </c>
      <c r="E150" s="24">
        <f t="shared" si="57"/>
        <v>85.714285714285708</v>
      </c>
      <c r="F150" s="6"/>
      <c r="G150" s="20">
        <v>1977</v>
      </c>
      <c r="H150" s="989">
        <f>(O42*100*($E42/365)/($O42+$P42+$Q42))+(O43*100*($E43/365)/($O43+$P43+$Q43))</f>
        <v>0</v>
      </c>
      <c r="I150" s="989"/>
      <c r="J150" s="989">
        <f>(P42*100*($E42/365)/($O42+$P42+$Q42))+(P43*100*($E43/365)/($O43+$P43+$Q43))</f>
        <v>0</v>
      </c>
      <c r="K150" s="989"/>
      <c r="L150" s="989">
        <f>(Q42*100*($E42/365)/($O42+$P42+$Q42))+(Q43*100*($E43/365)/($O43+$P43+$Q43))</f>
        <v>100</v>
      </c>
      <c r="M150" s="989"/>
      <c r="N150" s="990">
        <f t="shared" si="58"/>
        <v>100</v>
      </c>
      <c r="O150" s="990"/>
      <c r="R150" s="20">
        <v>1977</v>
      </c>
      <c r="S150" s="8">
        <f>O42*($E42/365) + O43*($E43/365)</f>
        <v>0</v>
      </c>
      <c r="T150" s="8">
        <f>P42*($E42/365) + P43*($E43/365)</f>
        <v>0</v>
      </c>
      <c r="U150" s="8">
        <f>Q42*($E42/365) + Q43*($E43/365)</f>
        <v>50.8</v>
      </c>
      <c r="V150" s="13"/>
      <c r="W150" s="8">
        <f>R42*($E42/365) + R43*($E43/365)</f>
        <v>50.8</v>
      </c>
    </row>
    <row r="151" spans="1:23" ht="9" customHeight="1">
      <c r="A151" s="2">
        <v>1978</v>
      </c>
      <c r="B151" s="8">
        <f>(K44*($E44/365))+(K45*($E45/365))</f>
        <v>0</v>
      </c>
      <c r="C151" s="8">
        <f>(L44*($E44/365))+(L45*($E45/365))</f>
        <v>0</v>
      </c>
      <c r="D151" s="8">
        <f>(M44*($E44/365))+(M45*($E45/365))</f>
        <v>85.714285714285708</v>
      </c>
      <c r="E151" s="24">
        <f t="shared" si="57"/>
        <v>85.714285714285708</v>
      </c>
      <c r="F151" s="6"/>
      <c r="G151" s="20">
        <v>1978</v>
      </c>
      <c r="H151" s="989">
        <f>(O44*100*($E44/365)/($O44+$P44+$Q44))+(O45*100*($E45/365)/($O45+$P45+$Q45))</f>
        <v>0</v>
      </c>
      <c r="I151" s="989"/>
      <c r="J151" s="989">
        <f>(P44*100*($E44/365)/($O44+$P44+$Q44))+(P45*100*($E45/365)/($O45+$P45+$Q45))</f>
        <v>0</v>
      </c>
      <c r="K151" s="989"/>
      <c r="L151" s="989">
        <f>(Q44*100*($E44/365)/($O44+$P44+$Q44))+(Q45*100*($E45/365)/($O45+$P45+$Q45))</f>
        <v>100</v>
      </c>
      <c r="M151" s="989"/>
      <c r="N151" s="990">
        <f t="shared" si="58"/>
        <v>100</v>
      </c>
      <c r="O151" s="990"/>
      <c r="R151" s="20">
        <v>1978</v>
      </c>
      <c r="S151" s="8">
        <f>O44*($E44/365) + O45*($E45/365)</f>
        <v>0</v>
      </c>
      <c r="T151" s="8">
        <f>P44*($E44/365) + P45*($E45/365)</f>
        <v>0</v>
      </c>
      <c r="U151" s="8">
        <f>Q44*($E44/365) + Q45*($E45/365)</f>
        <v>50.8</v>
      </c>
      <c r="V151" s="13"/>
      <c r="W151" s="8">
        <f>R44*($E44/365) + R45*($E45/365)</f>
        <v>50.8</v>
      </c>
    </row>
    <row r="152" spans="1:23" ht="9" customHeight="1">
      <c r="A152" s="2">
        <v>1979</v>
      </c>
      <c r="B152" s="8">
        <f>(K46*($E46/365))+(K47*($E47/365))</f>
        <v>0</v>
      </c>
      <c r="C152" s="8">
        <f>(L46*($E46/365))+(L47*($E47/365))</f>
        <v>0</v>
      </c>
      <c r="D152" s="8">
        <f>(M46*($E46/365))+(M47*($E47/365))</f>
        <v>94.951076320939336</v>
      </c>
      <c r="E152" s="24">
        <f t="shared" si="57"/>
        <v>94.951076320939336</v>
      </c>
      <c r="F152" s="6"/>
      <c r="G152" s="20">
        <v>1979</v>
      </c>
      <c r="H152" s="989">
        <f>(O46*100*($E46/365)/($O46+$P46+$Q46))+(O47*100*($E47/365)/($O47+$P47+$Q47))</f>
        <v>0</v>
      </c>
      <c r="I152" s="989"/>
      <c r="J152" s="989">
        <f>(P46*100*($E46/365)/($O46+$P46+$Q46))+(P47*100*($E47/365)/($O47+$P47+$Q47))</f>
        <v>0</v>
      </c>
      <c r="K152" s="989"/>
      <c r="L152" s="989">
        <f>(Q46*100*($E46/365)/($O46+$P46+$Q46))+(Q47*100*($E47/365)/($O47+$P47+$Q47))</f>
        <v>100</v>
      </c>
      <c r="M152" s="989"/>
      <c r="N152" s="990">
        <f t="shared" si="58"/>
        <v>100</v>
      </c>
      <c r="O152" s="990"/>
      <c r="R152" s="20">
        <v>1979</v>
      </c>
      <c r="S152" s="8">
        <f>O46*($E46/365) + O47*($E47/365)</f>
        <v>0</v>
      </c>
      <c r="T152" s="8">
        <f>P46*($E46/365) + P47*($E47/365)</f>
        <v>0</v>
      </c>
      <c r="U152" s="8">
        <f>Q46*($E46/365) + Q47*($E47/365)</f>
        <v>51.511232876712327</v>
      </c>
      <c r="V152" s="13"/>
      <c r="W152" s="8">
        <f>R46*($E46/365) + R47*($E47/365)</f>
        <v>51.511232876712327</v>
      </c>
    </row>
    <row r="153" spans="1:23" ht="9" customHeight="1">
      <c r="A153" s="2">
        <v>1980</v>
      </c>
      <c r="B153" s="8">
        <f>(K48*($E48/366))+(K49*($E49/366))</f>
        <v>0</v>
      </c>
      <c r="C153" s="8">
        <f>(L48*($E48/366))+(L49*($E49/366))</f>
        <v>0</v>
      </c>
      <c r="D153" s="8">
        <f>(M48*($E48/366))+(M49*($E49/366))</f>
        <v>100</v>
      </c>
      <c r="E153" s="24">
        <f t="shared" si="57"/>
        <v>100</v>
      </c>
      <c r="F153" s="6"/>
      <c r="G153" s="20">
        <v>1980</v>
      </c>
      <c r="H153" s="989">
        <f>(O48*100*($E48/366)/($O48+$P48+$Q48))+(O49*100*($E49/366)/($O49+$P49+$Q49))</f>
        <v>0</v>
      </c>
      <c r="I153" s="989"/>
      <c r="J153" s="989">
        <f>(P48*100*($E48/366)/($O48+$P48+$Q48))+(P49*100*($E49/366)/($O49+$P49+$Q49))</f>
        <v>0</v>
      </c>
      <c r="K153" s="989"/>
      <c r="L153" s="989">
        <f>(Q48*100*($E48/366)/($O48+$P48+$Q48))+(Q49*100*($E49/366)/($O49+$P49+$Q49))</f>
        <v>100</v>
      </c>
      <c r="M153" s="989"/>
      <c r="N153" s="990">
        <f t="shared" si="58"/>
        <v>100</v>
      </c>
      <c r="O153" s="990"/>
      <c r="R153" s="20">
        <v>1980</v>
      </c>
      <c r="S153" s="8">
        <f>O48*($E48/366) + O49*($E49/366)</f>
        <v>0</v>
      </c>
      <c r="T153" s="8">
        <f>P48*($E48/366) + P49*($E49/366)</f>
        <v>0</v>
      </c>
      <c r="U153" s="8">
        <f>Q48*($E48/366) + Q49*($E49/366)</f>
        <v>51.9</v>
      </c>
      <c r="V153" s="13"/>
      <c r="W153" s="8">
        <f>R48*($E48/366) + R49*($E49/366)</f>
        <v>51.9</v>
      </c>
    </row>
    <row r="154" spans="1:23" ht="9" customHeight="1">
      <c r="A154" s="2">
        <v>1981</v>
      </c>
      <c r="B154" s="8">
        <f>(K50*($E50/365))+(K51*($E51/365))</f>
        <v>0</v>
      </c>
      <c r="C154" s="8">
        <f>(L50*($E50/365))+(L51*($E51/365))</f>
        <v>0</v>
      </c>
      <c r="D154" s="8">
        <f>(M50*($E50/365))+(M51*($E51/365))</f>
        <v>100</v>
      </c>
      <c r="E154" s="24">
        <f t="shared" si="57"/>
        <v>100</v>
      </c>
      <c r="F154" s="6"/>
      <c r="G154" s="20">
        <v>1981</v>
      </c>
      <c r="H154" s="989">
        <f>(O50*100*($E50/365)/($O50+$P50+$Q50))+(O51*100*($E51/365)/($O51+$P51+$Q51))</f>
        <v>0</v>
      </c>
      <c r="I154" s="989"/>
      <c r="J154" s="989">
        <f>(P50*100*($E50/365)/($O50+$P50+$Q50))+(P51*100*($E51/365)/($O51+$P51+$Q51))</f>
        <v>0</v>
      </c>
      <c r="K154" s="989"/>
      <c r="L154" s="989">
        <f>(Q50*100*($E50/365)/($O50+$P50+$Q50))+(Q51*100*($E51/365)/($O51+$P51+$Q51))</f>
        <v>100</v>
      </c>
      <c r="M154" s="989"/>
      <c r="N154" s="990">
        <f t="shared" si="58"/>
        <v>100</v>
      </c>
      <c r="O154" s="990"/>
      <c r="R154" s="20">
        <v>1981</v>
      </c>
      <c r="S154" s="8">
        <f>O50*($E50/365) + O51*($E51/365)</f>
        <v>0</v>
      </c>
      <c r="T154" s="8">
        <f>P50*($E50/365) + P51*($E51/365)</f>
        <v>0</v>
      </c>
      <c r="U154" s="8">
        <f>Q50*($E50/365) + Q51*($E51/365)</f>
        <v>51.9</v>
      </c>
      <c r="V154" s="13"/>
      <c r="W154" s="8">
        <f>R50*($E50/365) + R51*($E51/365)</f>
        <v>51.9</v>
      </c>
    </row>
    <row r="155" spans="1:23" ht="9" customHeight="1">
      <c r="A155" s="2">
        <v>1982</v>
      </c>
      <c r="B155" s="8">
        <f>(K52*($E52/365))+(K53*($E53/365))</f>
        <v>0</v>
      </c>
      <c r="C155" s="8">
        <f>(L52*($E52/365))+(L53*($E53/365))</f>
        <v>0</v>
      </c>
      <c r="D155" s="8">
        <f>(M52*($E52/365))+(M53*($E53/365))</f>
        <v>100</v>
      </c>
      <c r="E155" s="24">
        <f t="shared" si="57"/>
        <v>100</v>
      </c>
      <c r="F155" s="6"/>
      <c r="G155" s="20">
        <v>1982</v>
      </c>
      <c r="H155" s="989">
        <f>(O52*100*($E52/365)/($O52+$P52+$Q52))+(O53*100*($E53/365)/($O53+$P53+$Q53))</f>
        <v>0</v>
      </c>
      <c r="I155" s="989"/>
      <c r="J155" s="989">
        <f>(P52*100*($E52/365)/($O52+$P52+$Q52))+(P53*100*($E53/365)/($O53+$P53+$Q53))</f>
        <v>0</v>
      </c>
      <c r="K155" s="989"/>
      <c r="L155" s="989">
        <f>(Q52*100*($E52/365)/($O52+$P52+$Q52))+(Q53*100*($E53/365)/($O53+$P53+$Q53))</f>
        <v>100</v>
      </c>
      <c r="M155" s="989"/>
      <c r="N155" s="990">
        <f t="shared" si="58"/>
        <v>100</v>
      </c>
      <c r="O155" s="990"/>
      <c r="R155" s="20">
        <v>1982</v>
      </c>
      <c r="S155" s="8">
        <f>O52*($E52/365) + O53*($E53/365)</f>
        <v>0</v>
      </c>
      <c r="T155" s="8">
        <f>P52*($E52/365) + P53*($E53/365)</f>
        <v>0</v>
      </c>
      <c r="U155" s="8">
        <f>Q52*($E52/365) + Q53*($E53/365)</f>
        <v>51.9</v>
      </c>
      <c r="V155" s="13"/>
      <c r="W155" s="8">
        <f>R52*($E52/365) + R53*($E53/365)</f>
        <v>51.9</v>
      </c>
    </row>
    <row r="156" spans="1:23" ht="9" customHeight="1">
      <c r="A156" s="2">
        <v>1983</v>
      </c>
      <c r="B156" s="8">
        <f>(K54*($E54/365))+(K55*($E55/365))</f>
        <v>12.164383561643836</v>
      </c>
      <c r="C156" s="8">
        <f>(L54*($E54/365))+(L55*($E55/365))</f>
        <v>0</v>
      </c>
      <c r="D156" s="8">
        <f>(M54*($E54/365))+(M55*($E55/365))</f>
        <v>87.835616438356169</v>
      </c>
      <c r="E156" s="24">
        <f t="shared" si="57"/>
        <v>100</v>
      </c>
      <c r="F156" s="6"/>
      <c r="G156" s="20">
        <v>1983</v>
      </c>
      <c r="H156" s="989">
        <f>(O54*100*($E54/365)/($O54+$P54+$Q54))+(O55*100*($E55/365)/($O55+$P55+$Q55))</f>
        <v>7.1939902783915155</v>
      </c>
      <c r="I156" s="989"/>
      <c r="J156" s="989">
        <f>(P54*100*($E54/365)/($O54+$P54+$Q54))+(P55*100*($E55/365)/($O55+$P55+$Q55))</f>
        <v>0</v>
      </c>
      <c r="K156" s="989"/>
      <c r="L156" s="989">
        <f>(Q54*100*($E54/365)/($O54+$P54+$Q54))+(Q55*100*($E55/365)/($O55+$P55+$Q55))</f>
        <v>92.80600972160849</v>
      </c>
      <c r="M156" s="989"/>
      <c r="N156" s="990">
        <f t="shared" si="58"/>
        <v>100</v>
      </c>
      <c r="O156" s="990"/>
      <c r="R156" s="20">
        <v>1983</v>
      </c>
      <c r="S156" s="8">
        <f>O54*($E54/365) + O55*($E55/365)</f>
        <v>4.0142465753424661</v>
      </c>
      <c r="T156" s="8">
        <f>P54*($E54/365) + P55*($E55/365)</f>
        <v>0</v>
      </c>
      <c r="U156" s="8">
        <f>Q54*($E54/365) + Q55*($E55/365)</f>
        <v>50.257808219178088</v>
      </c>
      <c r="V156" s="13"/>
      <c r="W156" s="8">
        <f>R54*($E54/365) + R55*($E55/365)</f>
        <v>54.27205479452055</v>
      </c>
    </row>
    <row r="157" spans="1:23" ht="9" customHeight="1">
      <c r="A157" s="2">
        <v>1984</v>
      </c>
      <c r="B157" s="8">
        <f>(K56*($E56/366))+(K57*($E57/366))</f>
        <v>20</v>
      </c>
      <c r="C157" s="8">
        <f>(L56*($E56/366))+(L57*($E57/366))</f>
        <v>0</v>
      </c>
      <c r="D157" s="8">
        <f>(M56*($E56/366))+(M57*($E57/366))</f>
        <v>80</v>
      </c>
      <c r="E157" s="24">
        <f t="shared" si="57"/>
        <v>100</v>
      </c>
      <c r="F157" s="6"/>
      <c r="G157" s="20">
        <v>1984</v>
      </c>
      <c r="H157" s="989">
        <f>(O56*100*($E56/366)/($O56+$P56+$Q56))+(O57*100*($E57/366)/($O57+$P57+$Q57))</f>
        <v>11.82795698924731</v>
      </c>
      <c r="I157" s="989"/>
      <c r="J157" s="989">
        <f>(P56*100*($E56/366)/($O56+$P56+$Q56))+(P57*100*($E57/366)/($O57+$P57+$Q57))</f>
        <v>0</v>
      </c>
      <c r="K157" s="989"/>
      <c r="L157" s="989">
        <f>(Q56*100*($E56/366)/($O56+$P56+$Q56))+(Q57*100*($E57/366)/($O57+$P57+$Q57))</f>
        <v>88.172043010752688</v>
      </c>
      <c r="M157" s="989"/>
      <c r="N157" s="990">
        <f t="shared" si="58"/>
        <v>100</v>
      </c>
      <c r="O157" s="990"/>
      <c r="R157" s="20">
        <v>1984</v>
      </c>
      <c r="S157" s="8">
        <f>O56*($E56/366) + O57*($E57/366)</f>
        <v>6.6</v>
      </c>
      <c r="T157" s="8">
        <f>P56*($E56/366) + P57*($E57/366)</f>
        <v>0</v>
      </c>
      <c r="U157" s="8">
        <f>Q56*($E56/366) + Q57*($E57/366)</f>
        <v>49.2</v>
      </c>
      <c r="V157" s="13"/>
      <c r="W157" s="8">
        <f>R56*($E56/366) + R57*($E57/366)</f>
        <v>55.800000000000004</v>
      </c>
    </row>
    <row r="158" spans="1:23" ht="9" customHeight="1">
      <c r="A158" s="2">
        <v>1985</v>
      </c>
      <c r="B158" s="8">
        <f>(K58*($E58/365))+(K59*($E59/365))</f>
        <v>20</v>
      </c>
      <c r="C158" s="8">
        <f>(L58*($E58/365))+(L59*($E59/365))</f>
        <v>0</v>
      </c>
      <c r="D158" s="8">
        <f>(M58*($E58/365))+(M59*($E59/365))</f>
        <v>80</v>
      </c>
      <c r="E158" s="24">
        <f t="shared" si="57"/>
        <v>100</v>
      </c>
      <c r="F158" s="6"/>
      <c r="G158" s="20">
        <v>1985</v>
      </c>
      <c r="H158" s="989">
        <f>(O58*100*($E58/365)/($O58+$P58+$Q58))+(O59*100*($E59/365)/($O59+$P59+$Q59))</f>
        <v>11.82795698924731</v>
      </c>
      <c r="I158" s="989"/>
      <c r="J158" s="989">
        <f>(P58*100*($E58/365)/($O58+$P58+$Q58))+(P59*100*($E59/365)/($O59+$P59+$Q59))</f>
        <v>0</v>
      </c>
      <c r="K158" s="989"/>
      <c r="L158" s="989">
        <f>(Q58*100*($E58/365)/($O58+$P58+$Q58))+(Q59*100*($E59/365)/($O59+$P59+$Q59))</f>
        <v>88.172043010752688</v>
      </c>
      <c r="M158" s="989"/>
      <c r="N158" s="990">
        <f t="shared" si="58"/>
        <v>100</v>
      </c>
      <c r="O158" s="990"/>
      <c r="R158" s="20">
        <v>1985</v>
      </c>
      <c r="S158" s="8">
        <f>O58*($E58/365) + O59*($E59/365)</f>
        <v>6.6</v>
      </c>
      <c r="T158" s="8">
        <f>P58*($E58/365) + P59*($E59/365)</f>
        <v>0</v>
      </c>
      <c r="U158" s="8">
        <f>Q58*($E58/365) + Q59*($E59/365)</f>
        <v>49.2</v>
      </c>
      <c r="V158" s="13"/>
      <c r="W158" s="8">
        <f>R58*($E58/365) + R59*($E59/365)</f>
        <v>55.800000000000004</v>
      </c>
    </row>
    <row r="159" spans="1:23" ht="9" customHeight="1">
      <c r="A159" s="2">
        <v>1986</v>
      </c>
      <c r="B159" s="8">
        <f>(K60*($E60/365))+(K61*($E61/365))</f>
        <v>19.31849315068493</v>
      </c>
      <c r="C159" s="8">
        <f>(L60*($E60/365))+(L61*($E61/365))</f>
        <v>0</v>
      </c>
      <c r="D159" s="8">
        <f>(M60*($E60/365))+(M61*($E61/365))</f>
        <v>80.68150684931507</v>
      </c>
      <c r="E159" s="24">
        <f t="shared" si="57"/>
        <v>100</v>
      </c>
      <c r="F159" s="6"/>
      <c r="G159" s="20">
        <v>1986</v>
      </c>
      <c r="H159" s="989">
        <f>(O60*100*($E60/365)/($O60+$P60+$Q60))+(O61*100*($E61/365)/($O61+$P61+$Q61))</f>
        <v>11.827956989247312</v>
      </c>
      <c r="I159" s="989"/>
      <c r="J159" s="989">
        <f>(P60*100*($E60/365)/($O60+$P60+$Q60))+(P61*100*($E61/365)/($O61+$P61+$Q61))</f>
        <v>0</v>
      </c>
      <c r="K159" s="989"/>
      <c r="L159" s="989">
        <f>(Q60*100*($E60/365)/($O60+$P60+$Q60))+(Q61*100*($E61/365)/($O61+$P61+$Q61))</f>
        <v>88.172043010752674</v>
      </c>
      <c r="M159" s="989"/>
      <c r="N159" s="990">
        <f t="shared" si="58"/>
        <v>99.999999999999986</v>
      </c>
      <c r="O159" s="990"/>
      <c r="R159" s="20">
        <v>1986</v>
      </c>
      <c r="S159" s="8">
        <f>O60*($E60/365) + O61*($E61/365)</f>
        <v>6.6</v>
      </c>
      <c r="T159" s="8">
        <f>P60*($E60/365) + P61*($E61/365)</f>
        <v>0</v>
      </c>
      <c r="U159" s="8">
        <f>Q60*($E60/365) + Q61*($E61/365)</f>
        <v>49.2</v>
      </c>
      <c r="V159" s="13"/>
      <c r="W159" s="8">
        <f>R60*($E60/365) + R61*($E61/365)</f>
        <v>55.800000000000004</v>
      </c>
    </row>
    <row r="160" spans="1:23" ht="9" customHeight="1">
      <c r="A160" s="2">
        <v>1987</v>
      </c>
      <c r="B160" s="8">
        <f>(K62*($E62/365))+(K63*($E63/365))</f>
        <v>1.0273972602739725</v>
      </c>
      <c r="C160" s="8">
        <f>(L62*($E62/365))+(L63*($E63/365))</f>
        <v>44.109589041095887</v>
      </c>
      <c r="D160" s="8">
        <f>(M62*($E62/365))+(M63*($E63/365))</f>
        <v>48.561643835616437</v>
      </c>
      <c r="E160" s="24">
        <f t="shared" si="57"/>
        <v>93.698630136986296</v>
      </c>
      <c r="F160" s="6"/>
      <c r="G160" s="20">
        <v>1987</v>
      </c>
      <c r="H160" s="989">
        <f>(O62*100*($E62/365)/($O62+$P62+$Q62))+(O63*100*($E63/365)/($O63+$P63+$Q63))</f>
        <v>0.64810723228752376</v>
      </c>
      <c r="I160" s="989"/>
      <c r="J160" s="989">
        <f>(P62*100*($E62/365)/($O62+$P62+$Q62))+(P63*100*($E63/365)/($O63+$P63+$Q63))</f>
        <v>46.378963502251167</v>
      </c>
      <c r="K160" s="989"/>
      <c r="L160" s="989">
        <f>(Q62*100*($E62/365)/($O62+$P62+$Q62))+(Q63*100*($E63/365)/($O63+$P63+$Q63))</f>
        <v>52.972929265461303</v>
      </c>
      <c r="M160" s="989"/>
      <c r="N160" s="990">
        <f t="shared" si="58"/>
        <v>100</v>
      </c>
      <c r="O160" s="990"/>
      <c r="R160" s="20">
        <v>1987</v>
      </c>
      <c r="S160" s="8">
        <f>O62*($E62/365) + O63*($E63/365)</f>
        <v>0.36164383561643831</v>
      </c>
      <c r="T160" s="8">
        <f>P62*($E62/365) + P63*($E63/365)</f>
        <v>39.793150684931511</v>
      </c>
      <c r="U160" s="8">
        <f>Q62*($E62/365) + Q63*($E63/365)</f>
        <v>44.0013698630137</v>
      </c>
      <c r="V160" s="13"/>
      <c r="W160" s="8">
        <f>R62*($E62/365) + R63*($E63/365)</f>
        <v>84.156164383561659</v>
      </c>
    </row>
    <row r="161" spans="1:23" ht="9" customHeight="1">
      <c r="A161" s="2">
        <v>1988</v>
      </c>
      <c r="B161" s="8">
        <f>(K64*($E64/366))+(K65*($E65/366))</f>
        <v>0</v>
      </c>
      <c r="C161" s="8">
        <f>(L64*($E64/366))+(L65*($E65/366))</f>
        <v>46.666666666666664</v>
      </c>
      <c r="D161" s="8">
        <f>(M64*($E64/366))+(M65*($E65/366))</f>
        <v>46.666666666666664</v>
      </c>
      <c r="E161" s="24">
        <f t="shared" si="57"/>
        <v>93.333333333333329</v>
      </c>
      <c r="F161" s="6"/>
      <c r="G161" s="20">
        <v>1988</v>
      </c>
      <c r="H161" s="989">
        <f>(O64*100*($E64/366)/($O64+$P64+$Q64))+(O65*100*($E65/366)/($O65+$P65+$Q65))</f>
        <v>0</v>
      </c>
      <c r="I161" s="989"/>
      <c r="J161" s="989">
        <f>(P64*100*($E64/366)/($O64+$P64+$Q64))+(P65*100*($E65/366)/($O65+$P65+$Q65))</f>
        <v>49.067599067599062</v>
      </c>
      <c r="K161" s="989"/>
      <c r="L161" s="989">
        <f>(Q64*100*($E64/366)/($O64+$P64+$Q64))+(Q65*100*($E65/366)/($O65+$P65+$Q65))</f>
        <v>50.932400932400924</v>
      </c>
      <c r="M161" s="989"/>
      <c r="N161" s="990">
        <f t="shared" si="58"/>
        <v>99.999999999999986</v>
      </c>
      <c r="O161" s="990"/>
      <c r="R161" s="20">
        <v>1988</v>
      </c>
      <c r="S161" s="8">
        <f>O64*($E64/366) + O65*($E65/366)</f>
        <v>0</v>
      </c>
      <c r="T161" s="8">
        <f>P64*($E64/366) + P65*($E65/366)</f>
        <v>42.1</v>
      </c>
      <c r="U161" s="8">
        <f>Q64*($E64/366) + Q65*($E65/366)</f>
        <v>43.7</v>
      </c>
      <c r="V161" s="13"/>
      <c r="W161" s="8">
        <f>R64*($E64/366) + R65*($E65/366)</f>
        <v>85.800000000000011</v>
      </c>
    </row>
    <row r="162" spans="1:23" s="4" customFormat="1" ht="9" customHeight="1">
      <c r="A162" s="4">
        <v>1989</v>
      </c>
      <c r="B162" s="11">
        <f>(K66*($E66/365))+(K67*($E67/365))</f>
        <v>0</v>
      </c>
      <c r="C162" s="11">
        <f>(L65*($E65/365))+(L66*($E66/365))</f>
        <v>46.794520547945204</v>
      </c>
      <c r="D162" s="11">
        <f>(M65*($E65/365))+(M66*($E66/365))</f>
        <v>46.794520547945204</v>
      </c>
      <c r="E162" s="25">
        <f t="shared" si="57"/>
        <v>93.589041095890408</v>
      </c>
      <c r="F162" s="19"/>
      <c r="G162" s="21">
        <v>1989</v>
      </c>
      <c r="H162" s="999">
        <f>(O66*100*($E66/365)/($O66+$P66+$Q66))+(O67*100*($E67/365)/($O67+$P67+$Q67))</f>
        <v>0</v>
      </c>
      <c r="I162" s="999"/>
      <c r="J162" s="999">
        <f>(P66*100*($E66/365)/($O66+$P66+$Q66))+(P67*100*($E67/365)/($O67+$P67+$Q67))</f>
        <v>49.067599067599062</v>
      </c>
      <c r="K162" s="999"/>
      <c r="L162" s="999">
        <f>(Q66*100*($E66/365)/($O66+$P66+$Q66))+(Q67*100*($E67/365)/($O67+$P67+$Q67))</f>
        <v>50.932400932400924</v>
      </c>
      <c r="M162" s="999"/>
      <c r="N162" s="987">
        <f t="shared" si="58"/>
        <v>99.999999999999986</v>
      </c>
      <c r="O162" s="987"/>
      <c r="R162" s="21">
        <v>1989</v>
      </c>
      <c r="S162" s="11">
        <f>O66*($E66/365) + O67*($E67/365)</f>
        <v>0</v>
      </c>
      <c r="T162" s="11">
        <f>P66*($E66/365) + P67*($E67/365)</f>
        <v>42.1</v>
      </c>
      <c r="U162" s="11">
        <f>Q66*($E66/365) + Q67*($E67/365)</f>
        <v>43.7</v>
      </c>
      <c r="V162" s="27"/>
      <c r="W162" s="11">
        <f>R66*($E66/365) + R67*($E67/365)</f>
        <v>85.800000000000011</v>
      </c>
    </row>
    <row r="163" spans="1:23" ht="9" customHeight="1">
      <c r="A163" s="2">
        <v>1990</v>
      </c>
      <c r="B163" s="8">
        <f>(K68*(E68/365))+(K69*(E69/365))</f>
        <v>0</v>
      </c>
      <c r="C163" s="8">
        <f>(L68*(E68/365))+(L69*(E69/365))</f>
        <v>46.714746172441579</v>
      </c>
      <c r="D163" s="8">
        <f>(M68*(E68/365))+(M69*(E69/365))</f>
        <v>46.714746172441579</v>
      </c>
      <c r="E163" s="24">
        <f t="shared" ref="E163:E189" si="59">SUM(B163:D163)</f>
        <v>93.429492344883158</v>
      </c>
      <c r="F163" s="6"/>
      <c r="G163" s="2">
        <v>1990</v>
      </c>
      <c r="H163" s="989">
        <f>(O68*100*(E68/365)/(O68+P68+Q68))+(O69*100*(E69/365)/(O69+P69+Q69))</f>
        <v>0</v>
      </c>
      <c r="I163" s="989"/>
      <c r="J163" s="989">
        <f>(P68*100*(E68/365)/(P68+Q68+O68))+(P69*100*(E69/365)/(P69+Q69+O69))</f>
        <v>48.813142270031868</v>
      </c>
      <c r="K163" s="989"/>
      <c r="L163" s="989">
        <f>(Q68*100*(E68/365)/(Q68+P68+O68))+(Q69*100*(E69/365)/(Q69+P69+O69))</f>
        <v>51.186857729968111</v>
      </c>
      <c r="M163" s="989"/>
      <c r="N163" s="990">
        <f t="shared" si="58"/>
        <v>99.999999999999972</v>
      </c>
      <c r="O163" s="990"/>
      <c r="R163" s="2">
        <v>1990</v>
      </c>
      <c r="S163" s="8">
        <f>O68*($E68/365) + O69*($E69/365)</f>
        <v>0</v>
      </c>
      <c r="T163" s="8">
        <f>P68*($E68/365) + P69*($E69/365)</f>
        <v>41.717808219178082</v>
      </c>
      <c r="U163" s="8">
        <f>Q68*($E68/365) + Q69*($E69/365)</f>
        <v>43.7</v>
      </c>
      <c r="V163" s="13"/>
      <c r="W163" s="8">
        <f>R68*($E68/365) + R69*($E69/365)</f>
        <v>85.417808219178085</v>
      </c>
    </row>
    <row r="164" spans="1:23" ht="9" customHeight="1">
      <c r="A164" s="2">
        <v>1991</v>
      </c>
      <c r="B164" s="8">
        <f>(K70*(E70/365))+(K71*(E71/365))</f>
        <v>0</v>
      </c>
      <c r="C164" s="8">
        <f>(L70*(E70/365))+(L71*(E71/365))</f>
        <v>47.058823529411761</v>
      </c>
      <c r="D164" s="8">
        <f>(M70*(E70/365))+(M71*(E71/365))</f>
        <v>47.058823529411761</v>
      </c>
      <c r="E164" s="24">
        <f t="shared" si="59"/>
        <v>94.117647058823522</v>
      </c>
      <c r="F164" s="6"/>
      <c r="G164" s="2">
        <v>1991</v>
      </c>
      <c r="H164" s="989">
        <f>(O70*100*(E70/365)/(O70+P70+Q70))+(O71*100*(E71/365)/(O71+P71+Q71))</f>
        <v>0</v>
      </c>
      <c r="I164" s="989"/>
      <c r="J164" s="989">
        <f>(P70*100*(E70/365)/(P70+Q70+O70))+(P71*100*(E71/365)/(P71+Q71+O71))</f>
        <v>42.875816993464049</v>
      </c>
      <c r="K164" s="989"/>
      <c r="L164" s="989">
        <f>(Q70*100*(E70/365)/(Q70+P70+O70))+(Q71*100*(E71/365)/(Q71+P71+O71))</f>
        <v>57.124183006535951</v>
      </c>
      <c r="M164" s="989"/>
      <c r="N164" s="990">
        <f t="shared" si="58"/>
        <v>100</v>
      </c>
      <c r="O164" s="990"/>
      <c r="R164" s="2">
        <v>1991</v>
      </c>
      <c r="S164" s="8">
        <f>O70*($E70/365) + O71*($E71/365)</f>
        <v>0</v>
      </c>
      <c r="T164" s="8">
        <f>P70*($E70/365) + P71*($E71/365)</f>
        <v>32.799999999999997</v>
      </c>
      <c r="U164" s="8">
        <f>Q70*($E70/365) + Q71*($E71/365)</f>
        <v>43.7</v>
      </c>
      <c r="V164" s="13"/>
      <c r="W164" s="8">
        <f>R70*($E70/365) + R71*($E71/365)</f>
        <v>76.5</v>
      </c>
    </row>
    <row r="165" spans="1:23" ht="9" customHeight="1">
      <c r="A165" s="2">
        <v>1992</v>
      </c>
      <c r="B165" s="8">
        <f>(K72*(E72/366))+(K73*(E73/366))</f>
        <v>0</v>
      </c>
      <c r="C165" s="8">
        <f>(L72*(E72/366))+(L73*(E73/366))</f>
        <v>43.75</v>
      </c>
      <c r="D165" s="8">
        <f>(M72*(E72/366))+(M73*(E73/366))</f>
        <v>50</v>
      </c>
      <c r="E165" s="24">
        <f t="shared" si="59"/>
        <v>93.75</v>
      </c>
      <c r="F165" s="6"/>
      <c r="G165" s="2">
        <v>1992</v>
      </c>
      <c r="H165" s="989">
        <f>(O72*100*(E72/366)/(O72+P72+Q72))+(O73*100*(E73/366)/(O73+P73+Q73))</f>
        <v>0</v>
      </c>
      <c r="I165" s="989"/>
      <c r="J165" s="989">
        <f>(P72*100*(E72/366)/(P72+Q72+O72))+(P73*100*(E73/366)/(P73+Q73+O73))</f>
        <v>42.875816993464049</v>
      </c>
      <c r="K165" s="989"/>
      <c r="L165" s="989">
        <f>(Q72*100*(E72/366)/(Q72+P72+O72))+(Q73*100*(E73/366)/(Q73+P73+O73))</f>
        <v>57.124183006535951</v>
      </c>
      <c r="M165" s="989"/>
      <c r="N165" s="990">
        <f t="shared" si="58"/>
        <v>100</v>
      </c>
      <c r="O165" s="990"/>
      <c r="R165" s="2">
        <v>1992</v>
      </c>
      <c r="S165" s="8">
        <f>O72*($E72/366) + O73*($E73/366)</f>
        <v>0</v>
      </c>
      <c r="T165" s="8">
        <f>P72*($E72/366) + P73*($E73/366)</f>
        <v>32.799999999999997</v>
      </c>
      <c r="U165" s="8">
        <f>Q72*($E72/366) + Q73*($E73/366)</f>
        <v>43.7</v>
      </c>
      <c r="V165" s="13"/>
      <c r="W165" s="8">
        <f>R72*($E72/366) + R73*($E73/366)</f>
        <v>76.5</v>
      </c>
    </row>
    <row r="166" spans="1:23" ht="9" customHeight="1">
      <c r="A166" s="2">
        <v>1993</v>
      </c>
      <c r="B166" s="8">
        <f>(K74*(E74/365))+(K75*(E75/365))</f>
        <v>0</v>
      </c>
      <c r="C166" s="8">
        <f>(L74*(E74/365))+(L75*(E75/365))</f>
        <v>43.75</v>
      </c>
      <c r="D166" s="8">
        <f>(M74*(E74/365))+(M75*(E75/365))</f>
        <v>50</v>
      </c>
      <c r="E166" s="24">
        <f t="shared" si="59"/>
        <v>93.75</v>
      </c>
      <c r="F166" s="6"/>
      <c r="G166" s="2">
        <v>1993</v>
      </c>
      <c r="H166" s="989">
        <f>(O74*100*(E74/365)/(O74+P74+Q74))+(O75*100*(E75/365)/(O75+P75+Q75))</f>
        <v>0</v>
      </c>
      <c r="I166" s="989"/>
      <c r="J166" s="989">
        <f>(P74*100*(E74/365)/(P74+Q74+O74))+(P75*100*(E75/365)/(P75+Q75+O75))</f>
        <v>42.875816993464049</v>
      </c>
      <c r="K166" s="989"/>
      <c r="L166" s="989">
        <f>(Q74*100*(E74/365)/(Q74+P74+O74))+(Q75*100*(E75/365)/(Q75+P75+O75))</f>
        <v>57.124183006535951</v>
      </c>
      <c r="M166" s="989"/>
      <c r="N166" s="990">
        <f t="shared" si="58"/>
        <v>100</v>
      </c>
      <c r="O166" s="990"/>
      <c r="R166" s="2">
        <v>1993</v>
      </c>
      <c r="S166" s="8">
        <f>O74*($E74/365) + O75*($E75/365)</f>
        <v>0</v>
      </c>
      <c r="T166" s="8">
        <f>P74*($E74/365) + P75*($E75/365)</f>
        <v>32.799999999999997</v>
      </c>
      <c r="U166" s="8">
        <f>Q74*($E74/365) + Q75*($E75/365)</f>
        <v>43.7</v>
      </c>
      <c r="V166" s="13"/>
      <c r="W166" s="8">
        <f>R74*($E74/365) + R75*($E75/365)</f>
        <v>76.5</v>
      </c>
    </row>
    <row r="167" spans="1:23" ht="9" customHeight="1">
      <c r="A167" s="2">
        <v>1994</v>
      </c>
      <c r="B167" s="8">
        <f>(K76*(E76/365))+(K77*(E77/365))</f>
        <v>0</v>
      </c>
      <c r="C167" s="8">
        <f>(L76*(E76/365))+(L77*(E77/365))</f>
        <v>43.75</v>
      </c>
      <c r="D167" s="8">
        <f>(M76*(E76/365))+(M77*(E77/365))</f>
        <v>50</v>
      </c>
      <c r="E167" s="24">
        <f t="shared" si="59"/>
        <v>93.75</v>
      </c>
      <c r="F167" s="6"/>
      <c r="G167" s="2">
        <v>1994</v>
      </c>
      <c r="H167" s="989">
        <f>(O76*100*(E76/365)/(O76+P76+Q76))+(O77*100*(E77/365)/(O77+P77+Q77))</f>
        <v>0</v>
      </c>
      <c r="I167" s="989"/>
      <c r="J167" s="989">
        <f>(P76*100*(E76/365)/(P76+Q76+O76))+(P77*100*(E77/365)/(P77+Q77+O77))</f>
        <v>43.017638105470496</v>
      </c>
      <c r="K167" s="989"/>
      <c r="L167" s="989">
        <f>(Q76*100*(E76/365)/(Q76+P76+O76))+(Q77*100*(E77/365)/(Q77+P77+O77))</f>
        <v>56.982361894529504</v>
      </c>
      <c r="M167" s="989"/>
      <c r="N167" s="990">
        <f t="shared" si="58"/>
        <v>100</v>
      </c>
      <c r="O167" s="990"/>
      <c r="R167" s="2">
        <v>1994</v>
      </c>
      <c r="S167" s="8">
        <f>O76*($E76/365) + O77*($E77/365)</f>
        <v>0</v>
      </c>
      <c r="T167" s="8">
        <f>P76*($E76/365) + P77*($E77/365)</f>
        <v>32.402191780821916</v>
      </c>
      <c r="U167" s="8">
        <f>Q76*($E76/365) + Q77*($E77/365)</f>
        <v>42.958630136986301</v>
      </c>
      <c r="V167" s="13"/>
      <c r="W167" s="8">
        <f>R76*($E76/365) + R77*($E77/365)</f>
        <v>75.360821917808224</v>
      </c>
    </row>
    <row r="168" spans="1:23" ht="9" customHeight="1">
      <c r="A168" s="2">
        <v>1995</v>
      </c>
      <c r="B168" s="8">
        <f>(K78*(E78/365))+(K79*(E79/365))</f>
        <v>0</v>
      </c>
      <c r="C168" s="8">
        <f>(L78*(E78/365))+(L79*(E79/365))</f>
        <v>43.75</v>
      </c>
      <c r="D168" s="8">
        <f>(M78*(E78/365))+(M79*(E79/365))</f>
        <v>50</v>
      </c>
      <c r="E168" s="24">
        <f t="shared" si="59"/>
        <v>93.75</v>
      </c>
      <c r="F168" s="6"/>
      <c r="G168" s="2">
        <v>1995</v>
      </c>
      <c r="H168" s="989">
        <f>(O78*100*(E78/365)/(O78+P78+Q78))+(O79*100*(E79/365)/(O79+P79+Q79))</f>
        <v>0</v>
      </c>
      <c r="I168" s="989"/>
      <c r="J168" s="989">
        <f>(P78*100*(E78/365)/(P78+Q78+O78))+(P79*100*(E79/365)/(P79+Q79+O79))</f>
        <v>44.444444444444443</v>
      </c>
      <c r="K168" s="989"/>
      <c r="L168" s="989">
        <f>(Q78*100*(E78/365)/(Q78+P78+O78))+(Q79*100*(E79/365)/(Q79+P79+O79))</f>
        <v>55.555555555555557</v>
      </c>
      <c r="M168" s="989"/>
      <c r="N168" s="990">
        <f t="shared" si="58"/>
        <v>100</v>
      </c>
      <c r="O168" s="990"/>
      <c r="R168" s="2">
        <v>1995</v>
      </c>
      <c r="S168" s="8">
        <f>O78*($E78/365) + O79*($E79/365)</f>
        <v>0</v>
      </c>
      <c r="T168" s="8">
        <f>P78*($E78/365) + P79*($E79/365)</f>
        <v>28.4</v>
      </c>
      <c r="U168" s="8">
        <f>Q78*($E78/365) + Q79*($E79/365)</f>
        <v>35.5</v>
      </c>
      <c r="V168" s="13"/>
      <c r="W168" s="8">
        <f>R78*($E78/365) + R79*($E79/365)</f>
        <v>63.9</v>
      </c>
    </row>
    <row r="169" spans="1:23" ht="9" customHeight="1">
      <c r="A169" s="2">
        <v>1996</v>
      </c>
      <c r="B169" s="8">
        <f>(K80*(E80/366))+(K81*(E81/366))</f>
        <v>0</v>
      </c>
      <c r="C169" s="8">
        <f>(L80*(E80/366))+(L81*(E81/366))</f>
        <v>43.030347384855574</v>
      </c>
      <c r="D169" s="8">
        <f>(M80*(E80/366))+(M81*(E81/366))</f>
        <v>50</v>
      </c>
      <c r="E169" s="24">
        <f t="shared" si="59"/>
        <v>93.030347384855574</v>
      </c>
      <c r="F169" s="6"/>
      <c r="G169" s="2">
        <v>1996</v>
      </c>
      <c r="H169" s="989">
        <f>(O80*100*(E80/366)/(O80+P80+Q80))+(O81*100*(E81/366)/(O81+P81+Q81))</f>
        <v>0</v>
      </c>
      <c r="I169" s="989"/>
      <c r="J169" s="989">
        <f>(P80*100*(E80/366)/(P80+Q80+O80))+(P81*100*(E81/366)/(P81+Q81+O81))</f>
        <v>42.685293607424761</v>
      </c>
      <c r="K169" s="989"/>
      <c r="L169" s="989">
        <f>(Q80*100*(E80/366)/(Q80+P80+O80))+(Q81*100*(E81/366)/(Q81+P81+O81))</f>
        <v>57.314706392575253</v>
      </c>
      <c r="M169" s="989"/>
      <c r="N169" s="990">
        <f t="shared" si="58"/>
        <v>100.00000000000001</v>
      </c>
      <c r="O169" s="990"/>
      <c r="R169" s="2">
        <v>1996</v>
      </c>
      <c r="S169" s="8">
        <f>O80*($E80/366) + O81*($E81/366)</f>
        <v>0</v>
      </c>
      <c r="T169" s="8">
        <f>P80*($E80/366) + P81*($E81/366)</f>
        <v>28.4</v>
      </c>
      <c r="U169" s="8">
        <f>Q80*($E80/366) + Q81*($E81/366)</f>
        <v>38.159836065573771</v>
      </c>
      <c r="V169" s="13"/>
      <c r="W169" s="8">
        <f>R80*($E80/366) + R81*($E81/366)</f>
        <v>66.559836065573762</v>
      </c>
    </row>
    <row r="170" spans="1:23" ht="9" customHeight="1">
      <c r="A170" s="2">
        <v>1997</v>
      </c>
      <c r="B170" s="8">
        <f>(K82*(E82/365))+(K83*(E83/365))</f>
        <v>0</v>
      </c>
      <c r="C170" s="8">
        <f>(L82*(E82/365))+(L83*(E83/365))</f>
        <v>45.909980430528378</v>
      </c>
      <c r="D170" s="8">
        <f>(M82*(E82/365))+(M83*(E83/365))</f>
        <v>46.438356164383563</v>
      </c>
      <c r="E170" s="24">
        <f t="shared" si="59"/>
        <v>92.348336594911942</v>
      </c>
      <c r="F170" s="6"/>
      <c r="G170" s="2">
        <v>1997</v>
      </c>
      <c r="H170" s="989">
        <f>(O82*100*(E82/365)/(O82+P82+Q82))+(O83*100*(E83/365)/(O83+P83+Q83))</f>
        <v>0</v>
      </c>
      <c r="I170" s="989"/>
      <c r="J170" s="989">
        <f>(P82*100*(E82/365)/(P82+Q82+O82))+(P83*100*(E83/365)/(P83+Q83+O83))</f>
        <v>42.261904761904766</v>
      </c>
      <c r="K170" s="989"/>
      <c r="L170" s="989">
        <f>(Q82*100*(E82/365)/(Q82+P82+O82))+(Q83*100*(E83/365)/(Q83+P83+O83))</f>
        <v>57.738095238095234</v>
      </c>
      <c r="M170" s="989"/>
      <c r="N170" s="990">
        <f t="shared" si="58"/>
        <v>100</v>
      </c>
      <c r="O170" s="990"/>
      <c r="R170" s="2">
        <v>1997</v>
      </c>
      <c r="S170" s="8">
        <f>O82*($E82/365) + O83*($E83/365)</f>
        <v>0</v>
      </c>
      <c r="T170" s="8">
        <f>P82*($E82/365) + P83*($E83/365)</f>
        <v>28.4</v>
      </c>
      <c r="U170" s="8">
        <f>Q82*($E82/365) + Q83*($E83/365)</f>
        <v>38.799999999999997</v>
      </c>
      <c r="V170" s="13"/>
      <c r="W170" s="8">
        <f>R82*($E82/365) + R83*($E83/365)</f>
        <v>67.199999999999989</v>
      </c>
    </row>
    <row r="171" spans="1:23" ht="9" customHeight="1">
      <c r="A171" s="2">
        <v>1998</v>
      </c>
      <c r="B171" s="8">
        <f>(K84*(E84/365))+(K85*(E85/365))</f>
        <v>0</v>
      </c>
      <c r="C171" s="8">
        <f>(L84*(E84/365))+(L85*(E85/365))</f>
        <v>46.153846153846153</v>
      </c>
      <c r="D171" s="8">
        <f>(M84*(E84/365))+(M85*(E85/365))</f>
        <v>46.153846153846153</v>
      </c>
      <c r="E171" s="24">
        <f t="shared" si="59"/>
        <v>92.307692307692307</v>
      </c>
      <c r="F171" s="6"/>
      <c r="G171" s="2">
        <v>1998</v>
      </c>
      <c r="H171" s="989">
        <f>(O84*100*(E84/365)/(O84+P84+Q84))+(O85*100*(E85/365)/(O85+P85+Q85))</f>
        <v>0</v>
      </c>
      <c r="I171" s="989"/>
      <c r="J171" s="989">
        <f>(P84*100*(E84/365)/(P84+Q84+O84))+(P85*100*(E85/365)/(P85+Q85+O85))</f>
        <v>42.261904761904766</v>
      </c>
      <c r="K171" s="989"/>
      <c r="L171" s="989">
        <f>(Q84*100*(E84/365)/(Q84+P84+O84))+(Q85*100*(E85/365)/(Q85+P85+O85))</f>
        <v>57.738095238095241</v>
      </c>
      <c r="M171" s="989"/>
      <c r="N171" s="990">
        <f t="shared" si="58"/>
        <v>100</v>
      </c>
      <c r="O171" s="990"/>
      <c r="R171" s="2">
        <v>1998</v>
      </c>
      <c r="S171" s="8">
        <f>O84*($E84/365) + O85*($E85/365)</f>
        <v>0</v>
      </c>
      <c r="T171" s="8">
        <f>P84*($E84/365) + P85*($E85/365)</f>
        <v>28.4</v>
      </c>
      <c r="U171" s="8">
        <f>Q84*($E84/365) + Q85*($E85/365)</f>
        <v>38.799999999999997</v>
      </c>
      <c r="V171" s="13"/>
      <c r="W171" s="8">
        <f>R84*($E84/365) + R85*($E85/365)</f>
        <v>67.199999999999989</v>
      </c>
    </row>
    <row r="172" spans="1:23" ht="9" customHeight="1">
      <c r="A172" s="2">
        <v>1999</v>
      </c>
      <c r="B172" s="8">
        <f>(K86*(E86/365))+(K87*(E87/365))</f>
        <v>0</v>
      </c>
      <c r="C172" s="8">
        <f>(L86*(E86/365))+(L87*(E87/365))</f>
        <v>46.153846153846153</v>
      </c>
      <c r="D172" s="8">
        <f>(M86*(E86/365))+(M87*(E87/365))</f>
        <v>46.153846153846153</v>
      </c>
      <c r="E172" s="24">
        <f t="shared" si="59"/>
        <v>92.307692307692307</v>
      </c>
      <c r="F172" s="6"/>
      <c r="G172" s="2">
        <v>1999</v>
      </c>
      <c r="H172" s="989">
        <f>(O86*100*(E86/365)/(O86+P86+Q86))+(O87*100*(E87/365)/(O87+P87+Q87))</f>
        <v>0</v>
      </c>
      <c r="I172" s="989"/>
      <c r="J172" s="989">
        <f>(P86*100*(E86/365)/(P86+Q86+O86))+(P87*100*(E87/365)/(P87+Q87+O87))</f>
        <v>42.261904761904766</v>
      </c>
      <c r="K172" s="989"/>
      <c r="L172" s="989">
        <f>(Q86*100*(E86/365)/(Q86+P86+O86))+(Q87*100*(E87/365)/(Q87+P87+O87))</f>
        <v>57.738095238095241</v>
      </c>
      <c r="M172" s="989"/>
      <c r="N172" s="990">
        <f t="shared" si="58"/>
        <v>100</v>
      </c>
      <c r="O172" s="990"/>
      <c r="R172" s="2">
        <v>1999</v>
      </c>
      <c r="S172" s="8">
        <f>O86*($E86/365) + O87*($E87/365)</f>
        <v>0</v>
      </c>
      <c r="T172" s="8">
        <f>P86*($E86/365) + P87*($E87/365)</f>
        <v>28.4</v>
      </c>
      <c r="U172" s="8">
        <f>Q86*($E86/365) + Q87*($E87/365)</f>
        <v>38.799999999999997</v>
      </c>
      <c r="V172" s="13"/>
      <c r="W172" s="8">
        <f>R86*($E86/365) + R87*($E87/365)</f>
        <v>67.199999999999989</v>
      </c>
    </row>
    <row r="173" spans="1:23" ht="9" customHeight="1">
      <c r="A173" s="2">
        <v>2000</v>
      </c>
      <c r="B173" s="8">
        <f>(K88*(E88/366))+(K89*(E89/366))</f>
        <v>45.355191256830601</v>
      </c>
      <c r="C173" s="8">
        <f>(L88*(E88/366))+(L89*(E89/366))</f>
        <v>49.642707019756202</v>
      </c>
      <c r="D173" s="8">
        <f>(M88*(E88/366))+(M89*(E89/366))</f>
        <v>4.2875157629255991</v>
      </c>
      <c r="E173" s="24">
        <f t="shared" si="59"/>
        <v>99.285414039512389</v>
      </c>
      <c r="F173" s="6"/>
      <c r="G173" s="2">
        <v>2000</v>
      </c>
      <c r="H173" s="989">
        <f>(O88*100*(E88/366)/(O88+P88+Q88))+(O89*100*(E89/366)/(O89+P89+Q89))</f>
        <v>45.355191256830608</v>
      </c>
      <c r="I173" s="989"/>
      <c r="J173" s="989">
        <f>(P88*100*(E88/366)/(P88+Q88+O88))+(P89*100*(E89/366)/(P89+Q89+O89))</f>
        <v>49.281160551652363</v>
      </c>
      <c r="K173" s="989"/>
      <c r="L173" s="989">
        <f>(Q88*100*(E88/366)/(Q88+P88+O88))+(Q89*100*(E89/366)/(Q89+P89+O89))</f>
        <v>5.3636481915170453</v>
      </c>
      <c r="M173" s="989"/>
      <c r="N173" s="990">
        <f t="shared" si="58"/>
        <v>100.00000000000001</v>
      </c>
      <c r="O173" s="990"/>
      <c r="R173" s="2">
        <v>2000</v>
      </c>
      <c r="S173" s="8">
        <f>O88*($E88/366) + O89*($E89/366)</f>
        <v>25.76174863387978</v>
      </c>
      <c r="T173" s="8">
        <f>P88*($E88/366) + P89*($E89/366)</f>
        <v>28.4</v>
      </c>
      <c r="U173" s="8">
        <f>Q88*($E88/366) + Q89*($E89/366)</f>
        <v>3.6043715846994537</v>
      </c>
      <c r="V173" s="13"/>
      <c r="W173" s="8">
        <f>R88*($E88/366) + R89*($E89/366)</f>
        <v>57.766120218579232</v>
      </c>
    </row>
    <row r="174" spans="1:23" ht="9" customHeight="1">
      <c r="A174" s="2">
        <v>2001</v>
      </c>
      <c r="B174" s="8">
        <f>(K90*(E90/365))+(K91*(E91/365))</f>
        <v>50</v>
      </c>
      <c r="C174" s="8">
        <f>(L90*(E90/365))+(L91*(E91/365))</f>
        <v>50</v>
      </c>
      <c r="D174" s="8">
        <f>(M90*(E90/365))+(M91*(E91/365))</f>
        <v>0</v>
      </c>
      <c r="E174" s="24">
        <f t="shared" si="59"/>
        <v>100</v>
      </c>
      <c r="F174" s="6"/>
      <c r="G174" s="2">
        <v>2001</v>
      </c>
      <c r="H174" s="989">
        <f>(O90*100*(E90/365)/(O90+P90+Q90))+(O91*100*(E91/365)/(O91+P91+Q91))</f>
        <v>50</v>
      </c>
      <c r="I174" s="989"/>
      <c r="J174" s="989">
        <f>(P90*100*(E90/365)/(P90+Q90+O90))+(P91*100*(E91/365)/(P91+Q91+O91))</f>
        <v>50</v>
      </c>
      <c r="K174" s="989"/>
      <c r="L174" s="989">
        <f>(Q90*100*(E90/365)/(Q90+P90+O90))+(Q91*100*(E91/365)/(Q91+P91+O91))</f>
        <v>0</v>
      </c>
      <c r="M174" s="989"/>
      <c r="N174" s="990">
        <f t="shared" si="58"/>
        <v>100</v>
      </c>
      <c r="O174" s="990"/>
      <c r="R174" s="2">
        <v>2001</v>
      </c>
      <c r="S174" s="8">
        <f>O90*($E90/365) + O91*($E91/365)</f>
        <v>28.4</v>
      </c>
      <c r="T174" s="8">
        <f>P90*($E90/365) + P91*($E91/365)</f>
        <v>28.4</v>
      </c>
      <c r="U174" s="8">
        <f>Q90*($E90/365) + Q91*($E91/365)</f>
        <v>0</v>
      </c>
      <c r="V174" s="13"/>
      <c r="W174" s="8">
        <f>R90*($E90/365) + R91*($E91/365)</f>
        <v>56.8</v>
      </c>
    </row>
    <row r="175" spans="1:23" ht="9" customHeight="1">
      <c r="A175" s="2">
        <v>2002</v>
      </c>
      <c r="B175" s="8">
        <f>(K92*(E92/365))+(K93*(E93/365))</f>
        <v>50</v>
      </c>
      <c r="C175" s="8">
        <f>(L92*(E92/365))+(L93*(E93/365))</f>
        <v>50</v>
      </c>
      <c r="D175" s="8">
        <f>(M92*(E92/365))+(M93*(E93/365))</f>
        <v>0</v>
      </c>
      <c r="E175" s="24">
        <f t="shared" si="59"/>
        <v>100</v>
      </c>
      <c r="F175" s="6"/>
      <c r="G175" s="2">
        <v>2002</v>
      </c>
      <c r="H175" s="989">
        <f>(O92*100*(E92/365)/(O92+P92+Q92))+(O93*100*(E93/365)/(O93+P93+Q93))</f>
        <v>50</v>
      </c>
      <c r="I175" s="989"/>
      <c r="J175" s="989">
        <f>(P92*100*(E92/365)/(P92+Q92+O92))+(P93*100*(E93/365)/(P93+Q93+O93))</f>
        <v>50</v>
      </c>
      <c r="K175" s="989"/>
      <c r="L175" s="989">
        <f>(Q92*100*(E92/365)/(Q92+P92+O92))+(Q93*100*(E93/365)/(Q93+P93+O93))</f>
        <v>0</v>
      </c>
      <c r="M175" s="989"/>
      <c r="N175" s="990">
        <f t="shared" si="58"/>
        <v>100</v>
      </c>
      <c r="O175" s="990"/>
      <c r="R175" s="2">
        <v>2002</v>
      </c>
      <c r="S175" s="8">
        <f>O92*($E92/365) + O93*($E93/365)</f>
        <v>28.4</v>
      </c>
      <c r="T175" s="8">
        <f>P92*($E92/365) + P93*($E93/365)</f>
        <v>28.4</v>
      </c>
      <c r="U175" s="8">
        <f>Q92*($E92/365) + Q93*($E93/365)</f>
        <v>0</v>
      </c>
      <c r="V175" s="13"/>
      <c r="W175" s="8">
        <f>R92*($E92/365) + R93*($E93/365)</f>
        <v>56.8</v>
      </c>
    </row>
    <row r="176" spans="1:23" ht="9" customHeight="1">
      <c r="A176" s="2">
        <v>2003</v>
      </c>
      <c r="B176" s="8">
        <f>(K94*(E94/365))+(K95*(E95/365))</f>
        <v>28.972602739726028</v>
      </c>
      <c r="C176" s="8">
        <f>(L94*(E94/365))+(L95*(E95/365))</f>
        <v>64.018264840182638</v>
      </c>
      <c r="D176" s="8">
        <f>(M94*(E94/365))+(M95*(E95/365))</f>
        <v>0</v>
      </c>
      <c r="E176" s="24">
        <f t="shared" si="59"/>
        <v>92.990867579908667</v>
      </c>
      <c r="F176" s="6"/>
      <c r="G176" s="2">
        <v>2003</v>
      </c>
      <c r="H176" s="989">
        <f>(O94*100*(E94/365)/(O94+P94+Q94))+(O95*100*(E95/365)/(O95+P95+Q95))</f>
        <v>23.497544585164128</v>
      </c>
      <c r="I176" s="989"/>
      <c r="J176" s="989">
        <f>(P94*100*(E94/365)/(P94+Q94+O94))+(P95*100*(E95/365)/(P95+Q95+O95))</f>
        <v>76.502455414835879</v>
      </c>
      <c r="K176" s="989"/>
      <c r="L176" s="989">
        <f>(Q94*100*(E94/365)/(Q94+P94+O94))+(Q95*100*(E95/365)/(Q95+P95+O95))</f>
        <v>0</v>
      </c>
      <c r="M176" s="989"/>
      <c r="N176" s="990">
        <f t="shared" si="58"/>
        <v>100</v>
      </c>
      <c r="O176" s="990"/>
      <c r="R176" s="2">
        <v>2003</v>
      </c>
      <c r="S176" s="8">
        <f>O94*($E94/365) + O95*($E95/365)</f>
        <v>12.755616438356165</v>
      </c>
      <c r="T176" s="8">
        <f>P94*($E94/365) + P95*($E95/365)</f>
        <v>40.848219178082196</v>
      </c>
      <c r="U176" s="8">
        <f>Q94*($E94/365) + Q95*($E95/365)</f>
        <v>0</v>
      </c>
      <c r="V176" s="13"/>
      <c r="W176" s="8">
        <f>R94*($E94/365) + R95*($E95/365)</f>
        <v>53.60383561643836</v>
      </c>
    </row>
    <row r="177" spans="1:24" ht="9" customHeight="1">
      <c r="A177" s="2">
        <v>2004</v>
      </c>
      <c r="B177" s="8">
        <f>(K96*(E96/366))+(K97*(E97/366))</f>
        <v>25</v>
      </c>
      <c r="C177" s="8">
        <f>(L96*(E96/366))+(L97*(E97/366))</f>
        <v>66.666666666666657</v>
      </c>
      <c r="D177" s="8">
        <f>(M96*(E96/366))+(M97*(E97/366))</f>
        <v>0</v>
      </c>
      <c r="E177" s="24">
        <f t="shared" si="59"/>
        <v>91.666666666666657</v>
      </c>
      <c r="F177" s="6"/>
      <c r="G177" s="2">
        <v>2004</v>
      </c>
      <c r="H177" s="989">
        <f>(O96*100*(E96/366)/(O96+P96+Q96))+(O97*100*(E97/366)/(O97+P97+Q97))</f>
        <v>18.490566037735853</v>
      </c>
      <c r="I177" s="989"/>
      <c r="J177" s="989">
        <f>(P96*100*(E96/366)/(P96+Q96+O96))+(P97*100*(E97/366)/(P97+Q97+O97))</f>
        <v>81.509433962264154</v>
      </c>
      <c r="K177" s="989"/>
      <c r="L177" s="989">
        <f>(Q96*100*(E96/366)/(Q96+P96+O96))+(Q97*100*(E97/366)/(Q97+P97+O97))</f>
        <v>0</v>
      </c>
      <c r="M177" s="989"/>
      <c r="N177" s="990">
        <f t="shared" si="58"/>
        <v>100</v>
      </c>
      <c r="O177" s="990"/>
      <c r="R177" s="2">
        <v>2004</v>
      </c>
      <c r="S177" s="8">
        <f>O96*($E96/366) + O97*($E97/366)</f>
        <v>9.8000000000000007</v>
      </c>
      <c r="T177" s="8">
        <f>P96*($E96/366) + P97*($E97/366)</f>
        <v>43.2</v>
      </c>
      <c r="U177" s="8">
        <f>Q96*($E96/366) + Q97*($E97/366)</f>
        <v>0</v>
      </c>
      <c r="V177" s="13"/>
      <c r="W177" s="8">
        <f>R96*($E96/366) + R97*($E97/366)</f>
        <v>53</v>
      </c>
    </row>
    <row r="178" spans="1:24" ht="9" customHeight="1">
      <c r="A178" s="2">
        <v>2005</v>
      </c>
      <c r="B178" s="8">
        <f>(K98*(E98/365))+(K99*(E99/365))</f>
        <v>25</v>
      </c>
      <c r="C178" s="8">
        <f>(L98*(E98/365))+(L99*(E99/365))</f>
        <v>66.666666666666657</v>
      </c>
      <c r="D178" s="8">
        <f>(M98*(E98/365))+(M99*(E99/365))</f>
        <v>0</v>
      </c>
      <c r="E178" s="24">
        <f t="shared" si="59"/>
        <v>91.666666666666657</v>
      </c>
      <c r="F178" s="6"/>
      <c r="G178" s="2">
        <v>2005</v>
      </c>
      <c r="H178" s="989">
        <f>(O98*100*(E98/365)/(O98+P98+Q98))+(O99*100*(E99/365)/(O99+P99+Q99))</f>
        <v>18.490566037735853</v>
      </c>
      <c r="I178" s="989"/>
      <c r="J178" s="989">
        <f>(P98*100*(E98/365)/(P98+Q98+O98))+(P99*100*(E99/365)/(P99+Q99+O99))</f>
        <v>81.509433962264154</v>
      </c>
      <c r="K178" s="989"/>
      <c r="L178" s="989">
        <f>(Q98*100*(E98/365)/(Q98+P98+O98))+(Q99*100*(E99/365)/(Q99+P99+O99))</f>
        <v>0</v>
      </c>
      <c r="M178" s="989"/>
      <c r="N178" s="990">
        <f t="shared" si="58"/>
        <v>100</v>
      </c>
      <c r="O178" s="990"/>
      <c r="R178" s="2">
        <v>2005</v>
      </c>
      <c r="S178" s="8">
        <f>O98*($E98/365) + O99*($E99/365)</f>
        <v>9.8000000000000007</v>
      </c>
      <c r="T178" s="8">
        <f>P98*($E98/365) + P99*($E99/365)</f>
        <v>43.2</v>
      </c>
      <c r="U178" s="8">
        <f>Q98*($E98/365) + Q99*($E99/365)</f>
        <v>0</v>
      </c>
      <c r="V178" s="13"/>
      <c r="W178" s="8">
        <f>R98*($E98/365) + R99*($E99/365)</f>
        <v>53</v>
      </c>
    </row>
    <row r="179" spans="1:24" ht="9" customHeight="1">
      <c r="A179" s="2">
        <v>2006</v>
      </c>
      <c r="B179" s="8">
        <f>(K100*(E100/365))+(K101*(E101/365))</f>
        <v>25</v>
      </c>
      <c r="C179" s="8">
        <f>(L100*(E100/365))+(L101*(E101/365))</f>
        <v>66.666666666666657</v>
      </c>
      <c r="D179" s="8">
        <f>(M100*(E100/365))+(M101*(E101/365))</f>
        <v>0</v>
      </c>
      <c r="E179" s="24">
        <f t="shared" si="59"/>
        <v>91.666666666666657</v>
      </c>
      <c r="F179" s="6"/>
      <c r="G179" s="2">
        <v>2006</v>
      </c>
      <c r="H179" s="989">
        <f>(O100*100*(E100/365)/(O100+P100+Q100))+(O101*100*(E101/365)/(O101+P101+Q101))</f>
        <v>18.490566037735853</v>
      </c>
      <c r="I179" s="989"/>
      <c r="J179" s="989">
        <f>(P100*100*(E100/365)/(P100+Q100+O100))+(P101*100*(E101/365)/(P101+Q101+O101))</f>
        <v>81.509433962264154</v>
      </c>
      <c r="K179" s="989"/>
      <c r="L179" s="989">
        <f>(Q100*100*(E100/365)/(Q100+P100+O100))+(Q101*100*(E101/365)/(Q101+P101+O101))</f>
        <v>0</v>
      </c>
      <c r="M179" s="989"/>
      <c r="N179" s="990">
        <f t="shared" si="58"/>
        <v>100</v>
      </c>
      <c r="O179" s="990"/>
      <c r="R179" s="2">
        <v>2006</v>
      </c>
      <c r="S179" s="8">
        <f>O100*($E100/365) + O101*($E101/365)</f>
        <v>9.8000000000000007</v>
      </c>
      <c r="T179" s="8">
        <f>P100*($E100/365) + P101*($E101/365)</f>
        <v>43.2</v>
      </c>
      <c r="U179" s="8">
        <f>Q100*($E100/365) + Q101*($E101/365)</f>
        <v>0</v>
      </c>
      <c r="V179" s="13"/>
      <c r="W179" s="8">
        <f>R100*($E100/365) + R101*($E101/365)</f>
        <v>53</v>
      </c>
    </row>
    <row r="180" spans="1:24" ht="9" customHeight="1">
      <c r="A180" s="2">
        <v>2007</v>
      </c>
      <c r="B180" s="8">
        <f>(K102*(E102/365))+(K103*(E103/365))</f>
        <v>0.68493150684931503</v>
      </c>
      <c r="C180" s="8">
        <f>(L102*(E102/365))+(L103*(E103/365))</f>
        <v>50.456621004566216</v>
      </c>
      <c r="D180" s="8">
        <f>(M102*(E102/365))+(M103*(E103/365))</f>
        <v>48.630136986301373</v>
      </c>
      <c r="E180" s="24">
        <f t="shared" si="59"/>
        <v>99.771689497716906</v>
      </c>
      <c r="F180" s="6"/>
      <c r="G180" s="2">
        <v>2007</v>
      </c>
      <c r="H180" s="989">
        <f>(O102*100*(E102/365)/(O102+P102+Q102))+(O103*100*(E103/365)/(O103+P103+Q103))</f>
        <v>0.50659085034892737</v>
      </c>
      <c r="I180" s="989"/>
      <c r="J180" s="989">
        <f>(P102*100*(E102/365)/(P102+Q102+O102))+(P103*100*(E103/365)/(P103+Q103+O103))</f>
        <v>50.133488388657589</v>
      </c>
      <c r="K180" s="989"/>
      <c r="L180" s="989">
        <f>(Q102*100*(E102/365)/(Q102+P102+O102))+(Q103*100*(E103/365)/(Q103+P103+O103))</f>
        <v>49.359920760993475</v>
      </c>
      <c r="M180" s="989"/>
      <c r="N180" s="990">
        <f t="shared" si="58"/>
        <v>100</v>
      </c>
      <c r="O180" s="990"/>
      <c r="R180" s="2">
        <v>2007</v>
      </c>
      <c r="S180" s="8">
        <f>O102*($E102/365) + O103*($E103/365)</f>
        <v>0.26849315068493151</v>
      </c>
      <c r="T180" s="8">
        <f>P102*($E102/365) + P103*($E103/365)</f>
        <v>36.294520547945204</v>
      </c>
      <c r="U180" s="8">
        <f>Q102*($E102/365) + Q103*($E103/365)</f>
        <v>36.180821917808224</v>
      </c>
      <c r="V180" s="13"/>
      <c r="W180" s="8">
        <f>R102*($E102/365) + R103*($E103/365)</f>
        <v>72.743835616438375</v>
      </c>
    </row>
    <row r="181" spans="1:24" ht="9" customHeight="1">
      <c r="A181" s="2">
        <v>2008</v>
      </c>
      <c r="B181" s="8">
        <f>(K104*(E104/366))+(K105*(E105/366))</f>
        <v>0</v>
      </c>
      <c r="C181" s="8">
        <f>(L104*(E104/366))+(L105*(E105/366))</f>
        <v>50</v>
      </c>
      <c r="D181" s="8">
        <f>(M104*(E104/366))+(M105*(E105/366))</f>
        <v>50</v>
      </c>
      <c r="E181" s="24">
        <f t="shared" si="59"/>
        <v>100</v>
      </c>
      <c r="F181" s="6"/>
      <c r="G181" s="2">
        <v>2008</v>
      </c>
      <c r="H181" s="989">
        <f>(O104*100*(E104/366)/(O104+P104+Q104))+(O105*100*(E105/366)/(O105+P105+Q105))</f>
        <v>0</v>
      </c>
      <c r="I181" s="989"/>
      <c r="J181" s="989">
        <f>(P104*100*(E104/366)/(O104+P104+Q104))+(P105*100*(E105/366)/(O105+P105+Q105))</f>
        <v>49.088878334022603</v>
      </c>
      <c r="K181" s="989"/>
      <c r="L181" s="989">
        <f>(Q104*100*(E104/366)/(O104+P104+Q104))+(Q105*100*(E105/366)/(O105+P105+Q105))</f>
        <v>50.911121665977397</v>
      </c>
      <c r="M181" s="989"/>
      <c r="N181" s="990">
        <f t="shared" si="58"/>
        <v>100</v>
      </c>
      <c r="O181" s="990"/>
      <c r="R181" s="2">
        <v>2008</v>
      </c>
      <c r="S181" s="8">
        <f>O104*($E104/366) + O105*($E105/366)</f>
        <v>0</v>
      </c>
      <c r="T181" s="8">
        <f>P104*($E104/366) + P105*($E105/366)</f>
        <v>35.427868852459014</v>
      </c>
      <c r="U181" s="8">
        <f>Q104*($E104/366) + Q105*($E105/366)</f>
        <v>36.700000000000003</v>
      </c>
      <c r="V181" s="13"/>
      <c r="W181" s="8">
        <f>R104*($E104/366) + R105*($E105/366)</f>
        <v>72.127868852459031</v>
      </c>
    </row>
    <row r="182" spans="1:24" ht="9" customHeight="1">
      <c r="A182" s="2">
        <v>2009</v>
      </c>
      <c r="B182" s="8">
        <f>(K106*(E106/365))+(K107*(E107/365))</f>
        <v>0</v>
      </c>
      <c r="C182" s="8">
        <f>(L106*(E106/365))+(L107*(E107/365))</f>
        <v>50</v>
      </c>
      <c r="D182" s="8">
        <f>(M106*(E106/365))+(M107*(E107/365))</f>
        <v>50</v>
      </c>
      <c r="E182" s="24">
        <f t="shared" si="59"/>
        <v>100</v>
      </c>
      <c r="F182" s="6"/>
      <c r="G182" s="2">
        <v>2009</v>
      </c>
      <c r="H182" s="989">
        <f>(O106*100*(E106/365)/(O106+P106+Q106))+(O107*100*(E107/365)/(O107+P107+Q107))</f>
        <v>0</v>
      </c>
      <c r="I182" s="989"/>
      <c r="J182" s="989">
        <f>(P106*100*(E106/365)/(O106+P106+Q106))+(P107*100*(E107/365)/(O107+P107+Q107))</f>
        <v>47.288135593220339</v>
      </c>
      <c r="K182" s="989"/>
      <c r="L182" s="989">
        <f>(Q106*100*(E106/365)/(O106+P106+Q106))+(Q107*100*(E107/365)/(O107+P107+Q107))</f>
        <v>52.711864406779661</v>
      </c>
      <c r="M182" s="989"/>
      <c r="N182" s="990">
        <f t="shared" si="58"/>
        <v>100</v>
      </c>
      <c r="O182" s="990"/>
      <c r="R182" s="2">
        <v>2009</v>
      </c>
      <c r="S182" s="8">
        <f>O106*($E106/365) + O107*($E107/365)</f>
        <v>0</v>
      </c>
      <c r="T182" s="8">
        <f>P106*($E106/365) + P107*($E107/365)</f>
        <v>27.9</v>
      </c>
      <c r="U182" s="8">
        <f>Q106*($E106/365) + Q107*($E107/365)</f>
        <v>31.1</v>
      </c>
      <c r="V182" s="13"/>
      <c r="W182" s="8">
        <f>R106*($E106/365) + R107*($E107/365)</f>
        <v>59</v>
      </c>
    </row>
    <row r="183" spans="1:24" ht="9" customHeight="1">
      <c r="A183" s="2">
        <v>2010</v>
      </c>
      <c r="B183" s="8">
        <f>(K108*($E108/365))+(K109*($E109/365))</f>
        <v>0</v>
      </c>
      <c r="C183" s="8">
        <f>(L108*($E108/365))+(L109*($E109/365))</f>
        <v>50</v>
      </c>
      <c r="D183" s="8">
        <f>(M108*($E108/365))+(M109*($E109/365))</f>
        <v>50</v>
      </c>
      <c r="E183" s="24">
        <f t="shared" si="59"/>
        <v>100</v>
      </c>
      <c r="F183" s="6"/>
      <c r="G183" s="2">
        <v>2010</v>
      </c>
      <c r="H183" s="989">
        <f>(O108*100*($E108/365)/($O108+$P108+$Q108))+(O109*100*($E109/365)/($O109+$P109+$Q109))</f>
        <v>0</v>
      </c>
      <c r="I183" s="989"/>
      <c r="J183" s="989">
        <f>(P108*100*($E108/365)/($O108+$P108+$Q108))+(P109*100*($E109/365)/($O109+$P109+$Q109))</f>
        <v>47.288135593220339</v>
      </c>
      <c r="K183" s="989"/>
      <c r="L183" s="989">
        <f>(Q108*100*($E108/365)/($O108+$P108+$Q108))+(Q109*100*($E109/365)/($O109+$P109+$Q109))</f>
        <v>52.711864406779661</v>
      </c>
      <c r="M183" s="989"/>
      <c r="N183" s="990">
        <f t="shared" si="58"/>
        <v>100</v>
      </c>
      <c r="O183" s="990"/>
      <c r="R183" s="2">
        <v>2010</v>
      </c>
      <c r="S183" s="8">
        <f>O108*($E108/365) + O109*($E109/365)</f>
        <v>0</v>
      </c>
      <c r="T183" s="8">
        <f>P108*($E108/365) + P109*($E109/365)</f>
        <v>27.9</v>
      </c>
      <c r="U183" s="8">
        <f>Q108*($E108/365) + Q109*($E109/365)</f>
        <v>31.1</v>
      </c>
      <c r="V183" s="13"/>
      <c r="W183" s="8">
        <f>R108*($E108/365) + R109*($E109/365)</f>
        <v>59</v>
      </c>
    </row>
    <row r="184" spans="1:24" ht="9" customHeight="1">
      <c r="A184" s="2">
        <v>2011</v>
      </c>
      <c r="B184" s="8">
        <f>(K110*($E110/365))+(K111*($E111/365))</f>
        <v>0</v>
      </c>
      <c r="C184" s="8">
        <f>(L110*($E110/365))+(L111*($E111/365))</f>
        <v>50</v>
      </c>
      <c r="D184" s="8">
        <f>(M110*($E110/365))+(M111*($E111/365))</f>
        <v>50</v>
      </c>
      <c r="E184" s="24">
        <f t="shared" si="59"/>
        <v>100</v>
      </c>
      <c r="F184" s="6"/>
      <c r="G184" s="2">
        <v>2011</v>
      </c>
      <c r="H184" s="989">
        <f>(O110*100*($E110/365)/($O110+$P110+$Q110))+(O111*100*($E111/365)/($O111+$P111+$Q111))</f>
        <v>0</v>
      </c>
      <c r="I184" s="989"/>
      <c r="J184" s="989">
        <f>(P110*100*($E110/365)/($O110+$P110+$Q110))+(P111*100*($E111/365)/($O111+$P111+$Q111))</f>
        <v>47.288135593220339</v>
      </c>
      <c r="K184" s="989"/>
      <c r="L184" s="989">
        <f>(Q110*100*($E110/365)/($O110+$P110+$Q110))+(Q111*100*($E111/365)/($O111+$P111+$Q111))</f>
        <v>52.711864406779661</v>
      </c>
      <c r="M184" s="989"/>
      <c r="N184" s="990">
        <f t="shared" si="58"/>
        <v>100</v>
      </c>
      <c r="O184" s="990"/>
      <c r="R184" s="2">
        <v>2011</v>
      </c>
      <c r="S184" s="8">
        <f>O110*($E110/365) + O111*($E111/365)</f>
        <v>0</v>
      </c>
      <c r="T184" s="8">
        <f>P110*($E110/365) + P111*($E111/365)</f>
        <v>27.9</v>
      </c>
      <c r="U184" s="8">
        <f>Q110*($E110/365) + Q111*($E111/365)</f>
        <v>31.1</v>
      </c>
      <c r="V184" s="13"/>
      <c r="W184" s="8">
        <f>R110*($E110/365) + R111*($E111/365)</f>
        <v>59</v>
      </c>
    </row>
    <row r="185" spans="1:24" ht="9" customHeight="1">
      <c r="A185" s="2">
        <v>2012</v>
      </c>
      <c r="B185" s="8">
        <f>(K112*($E112/366))+(K113*($E113/366))</f>
        <v>0</v>
      </c>
      <c r="C185" s="8">
        <f>(L112*($E112/366))+(L113*($E113/366))</f>
        <v>50</v>
      </c>
      <c r="D185" s="8">
        <f>(M112*($E112/366))+(M113*($E113/366))</f>
        <v>50</v>
      </c>
      <c r="E185" s="24">
        <f t="shared" si="59"/>
        <v>100</v>
      </c>
      <c r="F185" s="6"/>
      <c r="G185" s="2">
        <v>2012</v>
      </c>
      <c r="H185" s="989">
        <f>(O112*100*($E112/366)/($O112+$P112+$Q112))+(O113*100*($E113/366)/($O113+$P113+$Q113))</f>
        <v>0</v>
      </c>
      <c r="I185" s="989"/>
      <c r="J185" s="989">
        <f>(P112*100*($E112/366)/($O112+$P112+$Q112))+(P113*100*($E113/366)/($O113+$P113+$Q113))</f>
        <v>47.288135593220339</v>
      </c>
      <c r="K185" s="989"/>
      <c r="L185" s="989">
        <f>(Q112*100*($E112/366)/($O112+$P112+$Q112))+(Q113*100*($E113/366)/($O113+$P113+$Q113))</f>
        <v>52.711864406779661</v>
      </c>
      <c r="M185" s="989"/>
      <c r="N185" s="990">
        <f t="shared" si="58"/>
        <v>100</v>
      </c>
      <c r="O185" s="990"/>
      <c r="R185" s="2">
        <v>2012</v>
      </c>
      <c r="S185" s="8">
        <f>O112*($E112/366) + O113*($E113/366)</f>
        <v>0</v>
      </c>
      <c r="T185" s="8">
        <f>P112*($E112/366) + P113*($E113/366)</f>
        <v>27.9</v>
      </c>
      <c r="U185" s="8">
        <f>Q112*($E112/366) + Q113*($E113/366)</f>
        <v>31.1</v>
      </c>
      <c r="V185" s="13"/>
      <c r="W185" s="8">
        <f>R112*($E112/366) + R113*($E113/366)</f>
        <v>59</v>
      </c>
    </row>
    <row r="186" spans="1:24" ht="9" customHeight="1">
      <c r="A186" s="2">
        <v>2013</v>
      </c>
      <c r="B186" s="775">
        <f>(K114*($E114/365))+(K115*($E115/365))</f>
        <v>0</v>
      </c>
      <c r="C186" s="8">
        <f>(L114*($E114/365))+(L115*($E115/365))</f>
        <v>50</v>
      </c>
      <c r="D186" s="8">
        <f>(M114*($E114/365))+(M115*($E115/365))</f>
        <v>50</v>
      </c>
      <c r="E186" s="292">
        <f t="shared" si="59"/>
        <v>100</v>
      </c>
      <c r="G186" s="2">
        <v>2013</v>
      </c>
      <c r="H186" s="989">
        <f>(O114*100*($E114/365)/($O114+$P114+$Q114))+(O115*100*($E115/365)/($O115+$P115+$Q115))</f>
        <v>0</v>
      </c>
      <c r="I186" s="989"/>
      <c r="J186" s="989">
        <f>(P114*100*($E114/365)/($O114+$P114+$Q114))+(P115*100*($E115/365)/($O115+$P115+$Q115))</f>
        <v>47.297625367636485</v>
      </c>
      <c r="K186" s="989"/>
      <c r="L186" s="989">
        <f>(Q114*100*($E114/365)/($O114+$P114+$Q114))+(Q115*100*($E115/365)/($O115+$P115+$Q115))</f>
        <v>52.702374632363515</v>
      </c>
      <c r="M186" s="989"/>
      <c r="N186" s="990">
        <f t="shared" ref="N186:N191" si="60">SUM(H186:M186)</f>
        <v>100</v>
      </c>
      <c r="O186" s="990"/>
      <c r="R186" s="2">
        <v>2013</v>
      </c>
      <c r="S186" s="8">
        <f>O114*($E114/365) + O115*($E115/365)</f>
        <v>0</v>
      </c>
      <c r="T186" s="8">
        <f>P114*($E114/365) + P115*($E115/365)</f>
        <v>27.803561643835614</v>
      </c>
      <c r="U186" s="8">
        <f>Q114*($E114/365) + Q115*($E115/365)</f>
        <v>30.981643835616438</v>
      </c>
      <c r="W186" s="8">
        <f>R114*($E114/365) + R115*($E115/365)</f>
        <v>58.785205479452053</v>
      </c>
      <c r="X186" s="6"/>
    </row>
    <row r="187" spans="1:24" ht="9" customHeight="1">
      <c r="A187" s="2">
        <v>2014</v>
      </c>
      <c r="B187" s="8">
        <f>(K116*($E116/365))+(K117*($E117/365))</f>
        <v>0</v>
      </c>
      <c r="C187" s="8">
        <f>(L116*($E116/365))+(L117*($E117/365))</f>
        <v>50</v>
      </c>
      <c r="D187" s="8">
        <f>(M116*($E116/365))+(M117*($E117/365))</f>
        <v>50</v>
      </c>
      <c r="E187" s="512">
        <f t="shared" si="59"/>
        <v>100</v>
      </c>
      <c r="G187" s="2">
        <v>2014</v>
      </c>
      <c r="H187" s="989">
        <f>(O116*100*($E116/365)/($O116+$P116+$Q116))+(O117*100*($E117/365)/($O117+$P117+$Q117))</f>
        <v>0</v>
      </c>
      <c r="I187" s="989"/>
      <c r="J187" s="989">
        <f>(P116*100*($E116/365)/($O116+$P116+$Q116))+(P117*100*($E117/365)/($O117+$P117+$Q117))</f>
        <v>47.504621072088732</v>
      </c>
      <c r="K187" s="989"/>
      <c r="L187" s="989">
        <f>(Q116*100*($E116/365)/($O116+$P116+$Q116))+(Q117*100*($E117/365)/($O117+$P117+$Q117))</f>
        <v>52.495378927911283</v>
      </c>
      <c r="M187" s="989"/>
      <c r="N187" s="990">
        <f t="shared" si="60"/>
        <v>100.00000000000001</v>
      </c>
      <c r="O187" s="990"/>
      <c r="R187" s="2">
        <v>2014</v>
      </c>
      <c r="S187" s="8">
        <f>O116*($E116/365) + O117*($E117/365)</f>
        <v>0</v>
      </c>
      <c r="T187" s="8">
        <f>P116*($E116/365) + P117*($E117/365)</f>
        <v>25.7</v>
      </c>
      <c r="U187" s="8">
        <f>Q116*($E116/365) + Q117*($E117/365)</f>
        <v>28.4</v>
      </c>
      <c r="W187" s="8">
        <f>R116*($E116/365) + R117*($E117/365)</f>
        <v>54.099999999999994</v>
      </c>
      <c r="X187" s="6"/>
    </row>
    <row r="188" spans="1:24" s="687" customFormat="1" ht="9" customHeight="1">
      <c r="A188" s="687">
        <v>2015</v>
      </c>
      <c r="B188" s="8">
        <f>(K118*($E118/365))+(K119*($E119/365))</f>
        <v>0</v>
      </c>
      <c r="C188" s="683">
        <f>(L118*($E118/365))+(L119*($E119/365))</f>
        <v>50</v>
      </c>
      <c r="D188" s="683">
        <f>(M118*($E118/365))+(M119*($E119/365))</f>
        <v>50</v>
      </c>
      <c r="E188" s="684">
        <f>SUM(B188:D188)</f>
        <v>100</v>
      </c>
      <c r="G188" s="687">
        <v>2015</v>
      </c>
      <c r="H188" s="989">
        <f>(O118*100*($E118/365)/($O118+$P118+$Q118))+(O119*100*($E119/365)/($O119+$P119+$Q119))</f>
        <v>0</v>
      </c>
      <c r="I188" s="989"/>
      <c r="J188" s="989">
        <f>(P118*100*($E118/365)/($O118+$P118+$Q118))+(P119*100*($E119/365)/($O119+$P119+$Q119))</f>
        <v>47.504621072088732</v>
      </c>
      <c r="K188" s="989"/>
      <c r="L188" s="989">
        <f>(Q118*100*($E118/365)/($O118+$P118+$Q118))+(Q119*100*($E119/365)/($O119+$P119+$Q119))</f>
        <v>52.495378927911283</v>
      </c>
      <c r="M188" s="989"/>
      <c r="N188" s="990">
        <f t="shared" si="60"/>
        <v>100.00000000000001</v>
      </c>
      <c r="O188" s="990"/>
      <c r="R188" s="687">
        <v>2015</v>
      </c>
      <c r="S188" s="683">
        <f>O118*($E118/365) + O119*($E119/365)</f>
        <v>0</v>
      </c>
      <c r="T188" s="683">
        <f>P118*($E118/365) + P119*($E119/365)</f>
        <v>25.7</v>
      </c>
      <c r="U188" s="683">
        <f>Q118*($E118/365) + Q119*($E119/365)</f>
        <v>28.4</v>
      </c>
      <c r="W188" s="683">
        <f>R118*($E118/365) + R119*($E119/365)</f>
        <v>54.099999999999994</v>
      </c>
      <c r="X188" s="6"/>
    </row>
    <row r="189" spans="1:24" s="687" customFormat="1" ht="9" customHeight="1">
      <c r="A189" s="687">
        <v>2016</v>
      </c>
      <c r="B189" s="775">
        <f>(K120*($E120/366))+(K121*($E121/366))</f>
        <v>0</v>
      </c>
      <c r="C189" s="775">
        <f>(L120*($E120/366))+(L121*($E121/366))</f>
        <v>50</v>
      </c>
      <c r="D189" s="775">
        <f>(M120*($E120/366))+(M121*($E121/366))</f>
        <v>50</v>
      </c>
      <c r="E189" s="776">
        <f t="shared" si="59"/>
        <v>100</v>
      </c>
      <c r="G189" s="687">
        <v>2016</v>
      </c>
      <c r="H189" s="989">
        <f>(O120*100*($E120/366)/($O120+$P120+$Q120))+(O121*100*($E121/366)/($O121+$P121+$Q121))</f>
        <v>0</v>
      </c>
      <c r="I189" s="989"/>
      <c r="J189" s="989">
        <f>(P120*100*($E120/366)/($O120+$P120+$Q120))+(P121*100*($E121/366)/($O121+$P121+$Q121))</f>
        <v>48.448117498062501</v>
      </c>
      <c r="K189" s="989"/>
      <c r="L189" s="989">
        <f>(Q120*100*($E120/366)/($O120+$P120+$Q120))+(Q121*100*($E121/366)/($O121+$P121+$Q121))</f>
        <v>51.551882501937492</v>
      </c>
      <c r="M189" s="989"/>
      <c r="N189" s="990">
        <f t="shared" si="60"/>
        <v>100</v>
      </c>
      <c r="O189" s="990"/>
      <c r="R189" s="687">
        <v>2016</v>
      </c>
      <c r="S189" s="775">
        <f>O120*($E120/366) + O121*($E121/366)</f>
        <v>0</v>
      </c>
      <c r="T189" s="775">
        <f>P120*($E120/366) + P121*($E121/366)</f>
        <v>26.701092896174863</v>
      </c>
      <c r="U189" s="775">
        <f>Q120*($E120/366) + Q121*($E121/366)</f>
        <v>28.4</v>
      </c>
      <c r="W189" s="775">
        <f>R120*($E120/366) + R121*($E121/366)</f>
        <v>55.101092896174862</v>
      </c>
      <c r="X189" s="6"/>
    </row>
    <row r="190" spans="1:24">
      <c r="A190" s="909">
        <v>2017</v>
      </c>
      <c r="B190" s="907">
        <f>(K122*($E122/365))+(K123*($E123/365))</f>
        <v>1.6438356164383561</v>
      </c>
      <c r="C190" s="907">
        <f>(L122*($E122/365))+(L123*($E123/365))</f>
        <v>50.273972602739732</v>
      </c>
      <c r="D190" s="907">
        <f>(M122*($E122/365))+(M123*($E123/365))</f>
        <v>48.082191780821923</v>
      </c>
      <c r="E190" s="908">
        <f>SUM(B190:D190)</f>
        <v>100.00000000000001</v>
      </c>
      <c r="F190" s="909"/>
      <c r="G190" s="909">
        <v>2017</v>
      </c>
      <c r="H190" s="989">
        <f>(O122*100*($E122/365)/($O122+$P122+$Q122))+(O123*100*($E123/365)/($O123+$P123+$Q123))</f>
        <v>1.7316132464423462</v>
      </c>
      <c r="I190" s="989"/>
      <c r="J190" s="989">
        <f>(P122*100*($E122/365)/($O122+$P122+$Q122))+(P123*100*($E123/365)/($O123+$P123+$Q123))</f>
        <v>49.236636427692574</v>
      </c>
      <c r="K190" s="989"/>
      <c r="L190" s="989">
        <f>(Q122*100*($E122/365)/($O122+$P122+$Q122))+(Q123*100*($E123/365)/($O123+$P123+$Q123))</f>
        <v>49.031750325865076</v>
      </c>
      <c r="M190" s="989"/>
      <c r="N190" s="990">
        <f t="shared" si="60"/>
        <v>100</v>
      </c>
      <c r="O190" s="990"/>
      <c r="P190" s="909"/>
      <c r="Q190" s="909"/>
      <c r="R190" s="909">
        <v>2017</v>
      </c>
      <c r="S190" s="907">
        <f>O122*($E122/365) + O123*($E123/365)</f>
        <v>1.0701369863013699</v>
      </c>
      <c r="T190" s="907">
        <f t="shared" ref="T190:U190" si="61">P122*($E122/365) + P123*($E123/365)</f>
        <v>27.553150684931509</v>
      </c>
      <c r="U190" s="907">
        <f t="shared" si="61"/>
        <v>27.310684931506849</v>
      </c>
      <c r="V190" s="909"/>
      <c r="W190" s="907">
        <f>R122*($E122/365) + R123*($E123/365)</f>
        <v>55.933972602739729</v>
      </c>
    </row>
    <row r="191" spans="1:24">
      <c r="A191" s="934">
        <v>2018</v>
      </c>
      <c r="B191" s="930">
        <f>(K124*($E124/365))+(K125*($E125/365))</f>
        <v>50</v>
      </c>
      <c r="C191" s="930">
        <f>(L124*($E124/365))+(L125*($E125/365))</f>
        <v>50</v>
      </c>
      <c r="D191" s="930">
        <f>(M124*($E124/365))+(M125*($E125/365))</f>
        <v>0</v>
      </c>
      <c r="E191" s="931">
        <f>SUM(B191:D191)</f>
        <v>100</v>
      </c>
      <c r="F191" s="934"/>
      <c r="G191" s="934">
        <v>2018</v>
      </c>
      <c r="H191" s="989">
        <f>(O124*100*($E124/365)/($O124+$P124+$Q124))+(O125*100*($E125/365)/($O125+$P125+$Q125))</f>
        <v>45.145631067961169</v>
      </c>
      <c r="I191" s="989"/>
      <c r="J191" s="989">
        <f>(P124*100*($E124/365)/($O124+$P124+$Q124))+(P125*100*($E125/365)/($O125+$P125+$Q125))</f>
        <v>54.854368932038838</v>
      </c>
      <c r="K191" s="989"/>
      <c r="L191" s="989">
        <f>(Q124*100*($E124/365)/($O124+$P124+$Q124))+(Q125*100*($E125/365)/($O125+$P125+$Q125))</f>
        <v>0</v>
      </c>
      <c r="M191" s="989"/>
      <c r="N191" s="990">
        <f t="shared" si="60"/>
        <v>100</v>
      </c>
      <c r="O191" s="990"/>
      <c r="P191" s="934"/>
      <c r="Q191" s="934"/>
      <c r="R191" s="934">
        <v>2018</v>
      </c>
      <c r="S191" s="930">
        <f>O124*($E124/365) + O125*($E125/365)</f>
        <v>27.9</v>
      </c>
      <c r="T191" s="930">
        <f>P124*($E124/365) + P125*($E125/365)</f>
        <v>33.9</v>
      </c>
      <c r="U191" s="930">
        <f>Q124*($E124/365) + Q125*($E125/365)</f>
        <v>0</v>
      </c>
      <c r="V191" s="934"/>
      <c r="W191" s="930">
        <f>R124*($E124/365) + R125*($E125/365)</f>
        <v>61.8</v>
      </c>
    </row>
  </sheetData>
  <mergeCells count="386">
    <mergeCell ref="C121:D121"/>
    <mergeCell ref="C120:D120"/>
    <mergeCell ref="H189:I189"/>
    <mergeCell ref="J189:K189"/>
    <mergeCell ref="L189:M189"/>
    <mergeCell ref="N189:O189"/>
    <mergeCell ref="H188:I188"/>
    <mergeCell ref="J188:K188"/>
    <mergeCell ref="L188:M188"/>
    <mergeCell ref="N188:O188"/>
    <mergeCell ref="L155:M155"/>
    <mergeCell ref="L134:M134"/>
    <mergeCell ref="L135:M135"/>
    <mergeCell ref="L136:M136"/>
    <mergeCell ref="L137:M137"/>
    <mergeCell ref="L146:M146"/>
    <mergeCell ref="L147:M147"/>
    <mergeCell ref="L148:M148"/>
    <mergeCell ref="L149:M149"/>
    <mergeCell ref="L138:M138"/>
    <mergeCell ref="L139:M139"/>
    <mergeCell ref="L140:M140"/>
    <mergeCell ref="L141:M141"/>
    <mergeCell ref="L142:M142"/>
    <mergeCell ref="C118:D118"/>
    <mergeCell ref="C119:D119"/>
    <mergeCell ref="H187:I187"/>
    <mergeCell ref="J187:K187"/>
    <mergeCell ref="L187:M187"/>
    <mergeCell ref="N143:O143"/>
    <mergeCell ref="N144:O144"/>
    <mergeCell ref="L162:M162"/>
    <mergeCell ref="N152:O152"/>
    <mergeCell ref="N153:O153"/>
    <mergeCell ref="L152:M152"/>
    <mergeCell ref="L143:M143"/>
    <mergeCell ref="L150:M150"/>
    <mergeCell ref="L151:M151"/>
    <mergeCell ref="L153:M153"/>
    <mergeCell ref="L154:M154"/>
    <mergeCell ref="N134:O134"/>
    <mergeCell ref="N135:O135"/>
    <mergeCell ref="L156:M156"/>
    <mergeCell ref="L157:M157"/>
    <mergeCell ref="L158:M158"/>
    <mergeCell ref="L159:M159"/>
    <mergeCell ref="L160:M160"/>
    <mergeCell ref="L161:M161"/>
    <mergeCell ref="C116:D116"/>
    <mergeCell ref="C117:D117"/>
    <mergeCell ref="N187:O187"/>
    <mergeCell ref="N176:O176"/>
    <mergeCell ref="N177:O177"/>
    <mergeCell ref="N160:O160"/>
    <mergeCell ref="N136:O136"/>
    <mergeCell ref="N137:O137"/>
    <mergeCell ref="N146:O146"/>
    <mergeCell ref="N147:O147"/>
    <mergeCell ref="N148:O148"/>
    <mergeCell ref="N149:O149"/>
    <mergeCell ref="N138:O138"/>
    <mergeCell ref="N139:O139"/>
    <mergeCell ref="N140:O140"/>
    <mergeCell ref="N145:O145"/>
    <mergeCell ref="N178:O178"/>
    <mergeCell ref="N179:O179"/>
    <mergeCell ref="N174:O174"/>
    <mergeCell ref="N175:O175"/>
    <mergeCell ref="L163:M163"/>
    <mergeCell ref="L164:M164"/>
    <mergeCell ref="N141:O141"/>
    <mergeCell ref="N142:O142"/>
    <mergeCell ref="N185:O185"/>
    <mergeCell ref="N172:O172"/>
    <mergeCell ref="N173:O173"/>
    <mergeCell ref="N180:O180"/>
    <mergeCell ref="N181:O181"/>
    <mergeCell ref="N182:O182"/>
    <mergeCell ref="N183:O183"/>
    <mergeCell ref="N161:O161"/>
    <mergeCell ref="N168:O168"/>
    <mergeCell ref="N169:O169"/>
    <mergeCell ref="N170:O170"/>
    <mergeCell ref="N171:O171"/>
    <mergeCell ref="N163:O163"/>
    <mergeCell ref="N164:O164"/>
    <mergeCell ref="N165:O165"/>
    <mergeCell ref="N166:O166"/>
    <mergeCell ref="N167:O167"/>
    <mergeCell ref="N162:O162"/>
    <mergeCell ref="AT4:AW4"/>
    <mergeCell ref="AX4:BA4"/>
    <mergeCell ref="N184:O184"/>
    <mergeCell ref="N150:O150"/>
    <mergeCell ref="N151:O151"/>
    <mergeCell ref="N156:O156"/>
    <mergeCell ref="N157:O157"/>
    <mergeCell ref="N158:O158"/>
    <mergeCell ref="N159:O159"/>
    <mergeCell ref="N154:O154"/>
    <mergeCell ref="N155:O155"/>
    <mergeCell ref="AD4:AG4"/>
    <mergeCell ref="AH4:AK4"/>
    <mergeCell ref="AL4:AO4"/>
    <mergeCell ref="AP4:AS4"/>
    <mergeCell ref="V4:Y4"/>
    <mergeCell ref="K4:N4"/>
    <mergeCell ref="O4:R4"/>
    <mergeCell ref="Z4:AC4"/>
    <mergeCell ref="R129:W129"/>
    <mergeCell ref="N133:O133"/>
    <mergeCell ref="J146:K146"/>
    <mergeCell ref="J147:K147"/>
    <mergeCell ref="J148:K148"/>
    <mergeCell ref="H133:I133"/>
    <mergeCell ref="H134:I134"/>
    <mergeCell ref="H135:I135"/>
    <mergeCell ref="H136:I136"/>
    <mergeCell ref="H141:I141"/>
    <mergeCell ref="J134:K134"/>
    <mergeCell ref="J135:K135"/>
    <mergeCell ref="J136:K136"/>
    <mergeCell ref="H137:I137"/>
    <mergeCell ref="H138:I138"/>
    <mergeCell ref="J133:K133"/>
    <mergeCell ref="H170:I170"/>
    <mergeCell ref="H172:I172"/>
    <mergeCell ref="H173:I173"/>
    <mergeCell ref="H160:I160"/>
    <mergeCell ref="J152:K152"/>
    <mergeCell ref="J162:K162"/>
    <mergeCell ref="H152:I152"/>
    <mergeCell ref="H153:I153"/>
    <mergeCell ref="H154:I154"/>
    <mergeCell ref="H155:I155"/>
    <mergeCell ref="H156:I156"/>
    <mergeCell ref="H159:I159"/>
    <mergeCell ref="H164:I164"/>
    <mergeCell ref="H165:I165"/>
    <mergeCell ref="J159:K159"/>
    <mergeCell ref="J160:K160"/>
    <mergeCell ref="J161:K161"/>
    <mergeCell ref="H171:I171"/>
    <mergeCell ref="H157:I157"/>
    <mergeCell ref="H158:I158"/>
    <mergeCell ref="H184:I184"/>
    <mergeCell ref="H185:I185"/>
    <mergeCell ref="J157:K157"/>
    <mergeCell ref="J166:K166"/>
    <mergeCell ref="J167:K167"/>
    <mergeCell ref="J168:K168"/>
    <mergeCell ref="J169:K169"/>
    <mergeCell ref="J170:K170"/>
    <mergeCell ref="J171:K171"/>
    <mergeCell ref="J172:K172"/>
    <mergeCell ref="J173:K173"/>
    <mergeCell ref="J174:K174"/>
    <mergeCell ref="J175:K175"/>
    <mergeCell ref="J176:K176"/>
    <mergeCell ref="J177:K177"/>
    <mergeCell ref="J178:K178"/>
    <mergeCell ref="J179:K179"/>
    <mergeCell ref="H183:I183"/>
    <mergeCell ref="J158:K158"/>
    <mergeCell ref="H161:I161"/>
    <mergeCell ref="H162:I162"/>
    <mergeCell ref="H166:I166"/>
    <mergeCell ref="H167:I167"/>
    <mergeCell ref="H168:I168"/>
    <mergeCell ref="L133:M133"/>
    <mergeCell ref="H142:I142"/>
    <mergeCell ref="H143:I143"/>
    <mergeCell ref="H144:I144"/>
    <mergeCell ref="H145:I145"/>
    <mergeCell ref="H180:I180"/>
    <mergeCell ref="H181:I181"/>
    <mergeCell ref="H182:I182"/>
    <mergeCell ref="L171:M171"/>
    <mergeCell ref="L172:M172"/>
    <mergeCell ref="J149:K149"/>
    <mergeCell ref="J150:K150"/>
    <mergeCell ref="J151:K151"/>
    <mergeCell ref="H146:I146"/>
    <mergeCell ref="H147:I147"/>
    <mergeCell ref="H148:I148"/>
    <mergeCell ref="H149:I149"/>
    <mergeCell ref="H150:I150"/>
    <mergeCell ref="H151:I151"/>
    <mergeCell ref="J153:K153"/>
    <mergeCell ref="J154:K154"/>
    <mergeCell ref="J155:K155"/>
    <mergeCell ref="J156:K156"/>
    <mergeCell ref="H169:I169"/>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C61:D61"/>
    <mergeCell ref="C62:D62"/>
    <mergeCell ref="C63:D63"/>
    <mergeCell ref="C64:D64"/>
    <mergeCell ref="G4:J4"/>
    <mergeCell ref="A4:A5"/>
    <mergeCell ref="C4:D5"/>
    <mergeCell ref="B4:B5"/>
    <mergeCell ref="E4:E5"/>
    <mergeCell ref="F4:F5"/>
    <mergeCell ref="C109:D109"/>
    <mergeCell ref="C110:D110"/>
    <mergeCell ref="C111:D111"/>
    <mergeCell ref="C112:D112"/>
    <mergeCell ref="C90:D90"/>
    <mergeCell ref="C91:D91"/>
    <mergeCell ref="C92:D92"/>
    <mergeCell ref="C93:D93"/>
    <mergeCell ref="C94:D94"/>
    <mergeCell ref="C95:D95"/>
    <mergeCell ref="C84:D84"/>
    <mergeCell ref="C85:D85"/>
    <mergeCell ref="C86:D86"/>
    <mergeCell ref="C87:D87"/>
    <mergeCell ref="C88:D88"/>
    <mergeCell ref="C89:D89"/>
    <mergeCell ref="C78:D78"/>
    <mergeCell ref="C79:D79"/>
    <mergeCell ref="C80:D80"/>
    <mergeCell ref="C113:D113"/>
    <mergeCell ref="C102:D102"/>
    <mergeCell ref="C103:D103"/>
    <mergeCell ref="C104:D104"/>
    <mergeCell ref="C105:D105"/>
    <mergeCell ref="C106:D106"/>
    <mergeCell ref="C107:D107"/>
    <mergeCell ref="C96:D96"/>
    <mergeCell ref="C97:D97"/>
    <mergeCell ref="C98:D98"/>
    <mergeCell ref="C99:D99"/>
    <mergeCell ref="C100:D100"/>
    <mergeCell ref="C101:D101"/>
    <mergeCell ref="C108:D108"/>
    <mergeCell ref="C65:D65"/>
    <mergeCell ref="C54:D54"/>
    <mergeCell ref="C55:D55"/>
    <mergeCell ref="C56:D56"/>
    <mergeCell ref="C57:D57"/>
    <mergeCell ref="C58:D58"/>
    <mergeCell ref="C59:D59"/>
    <mergeCell ref="C48:D48"/>
    <mergeCell ref="C49:D49"/>
    <mergeCell ref="C50:D50"/>
    <mergeCell ref="C51:D51"/>
    <mergeCell ref="C52:D52"/>
    <mergeCell ref="C53:D53"/>
    <mergeCell ref="C42:D42"/>
    <mergeCell ref="C43:D43"/>
    <mergeCell ref="C44:D44"/>
    <mergeCell ref="C45:D45"/>
    <mergeCell ref="C46:D46"/>
    <mergeCell ref="C47:D47"/>
    <mergeCell ref="C36:D36"/>
    <mergeCell ref="C37:D37"/>
    <mergeCell ref="C38:D38"/>
    <mergeCell ref="C39:D39"/>
    <mergeCell ref="C40:D40"/>
    <mergeCell ref="C41:D41"/>
    <mergeCell ref="C32:D32"/>
    <mergeCell ref="C33:D33"/>
    <mergeCell ref="C34:D34"/>
    <mergeCell ref="C35:D35"/>
    <mergeCell ref="C24:D24"/>
    <mergeCell ref="C25:D25"/>
    <mergeCell ref="C26:D26"/>
    <mergeCell ref="C27:D27"/>
    <mergeCell ref="C28:D28"/>
    <mergeCell ref="C29:D29"/>
    <mergeCell ref="G3:M3"/>
    <mergeCell ref="O3:Q3"/>
    <mergeCell ref="J131:K131"/>
    <mergeCell ref="N131:O131"/>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30:D30"/>
    <mergeCell ref="C31:D31"/>
    <mergeCell ref="C114:D114"/>
    <mergeCell ref="H186:I186"/>
    <mergeCell ref="J186:K186"/>
    <mergeCell ref="N132:O132"/>
    <mergeCell ref="L183:M183"/>
    <mergeCell ref="L184:M184"/>
    <mergeCell ref="L185:M185"/>
    <mergeCell ref="L175:M175"/>
    <mergeCell ref="L176:M176"/>
    <mergeCell ref="L165:M165"/>
    <mergeCell ref="L166:M166"/>
    <mergeCell ref="L167:M167"/>
    <mergeCell ref="L168:M168"/>
    <mergeCell ref="L169:M169"/>
    <mergeCell ref="L182:M182"/>
    <mergeCell ref="L170:M170"/>
    <mergeCell ref="L177:M177"/>
    <mergeCell ref="L178:M178"/>
    <mergeCell ref="L179:M179"/>
    <mergeCell ref="L180:M180"/>
    <mergeCell ref="L181:M181"/>
    <mergeCell ref="J163:K163"/>
    <mergeCell ref="J164:K164"/>
    <mergeCell ref="H174:I174"/>
    <mergeCell ref="C122:D122"/>
    <mergeCell ref="C123:D123"/>
    <mergeCell ref="L186:M186"/>
    <mergeCell ref="N186:O186"/>
    <mergeCell ref="C115:D115"/>
    <mergeCell ref="H163:I163"/>
    <mergeCell ref="L173:M173"/>
    <mergeCell ref="L174:M174"/>
    <mergeCell ref="J183:K183"/>
    <mergeCell ref="J184:K184"/>
    <mergeCell ref="J185:K185"/>
    <mergeCell ref="H178:I178"/>
    <mergeCell ref="J165:K165"/>
    <mergeCell ref="H175:I175"/>
    <mergeCell ref="H176:I176"/>
    <mergeCell ref="J180:K180"/>
    <mergeCell ref="J181:K181"/>
    <mergeCell ref="J182:K182"/>
    <mergeCell ref="H177:I177"/>
    <mergeCell ref="H179:I179"/>
    <mergeCell ref="L131:M131"/>
    <mergeCell ref="L144:M144"/>
    <mergeCell ref="L145:M145"/>
    <mergeCell ref="H140:I140"/>
    <mergeCell ref="C124:D124"/>
    <mergeCell ref="C125:D125"/>
    <mergeCell ref="H191:I191"/>
    <mergeCell ref="J191:K191"/>
    <mergeCell ref="L191:M191"/>
    <mergeCell ref="N191:O191"/>
    <mergeCell ref="H190:I190"/>
    <mergeCell ref="J190:K190"/>
    <mergeCell ref="L190:M190"/>
    <mergeCell ref="N190:O190"/>
    <mergeCell ref="H132:I132"/>
    <mergeCell ref="J132:K132"/>
    <mergeCell ref="L132:M132"/>
    <mergeCell ref="J141:K141"/>
    <mergeCell ref="J142:K142"/>
    <mergeCell ref="H131:I131"/>
    <mergeCell ref="J137:K137"/>
    <mergeCell ref="J138:K138"/>
    <mergeCell ref="J139:K139"/>
    <mergeCell ref="J140:K140"/>
    <mergeCell ref="J143:K143"/>
    <mergeCell ref="J144:K144"/>
    <mergeCell ref="J145:K145"/>
    <mergeCell ref="H139:I139"/>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204"/>
  <sheetViews>
    <sheetView zoomScale="150" zoomScaleNormal="120" workbookViewId="0">
      <pane xSplit="1" ySplit="5" topLeftCell="B111" activePane="bottomRight" state="frozen"/>
      <selection pane="topRight" activeCell="B1" sqref="B1"/>
      <selection pane="bottomLeft" activeCell="A6" sqref="A6"/>
      <selection pane="bottomRight" activeCell="A108" sqref="A108:XFD110"/>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c r="K1" s="36"/>
    </row>
    <row r="2" spans="1:53" s="2" customFormat="1" ht="15" customHeight="1">
      <c r="B2" s="22" t="s">
        <v>49</v>
      </c>
      <c r="J2" s="36"/>
      <c r="K2" s="36"/>
      <c r="L2" s="36"/>
      <c r="M2" s="36"/>
      <c r="N2" s="36"/>
      <c r="O2" s="36"/>
      <c r="P2" s="36"/>
      <c r="Q2" s="36"/>
      <c r="R2" s="36"/>
      <c r="S2" s="36"/>
      <c r="T2" s="36"/>
      <c r="U2" s="36"/>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195</v>
      </c>
      <c r="D6" s="995"/>
      <c r="E6" s="257">
        <v>0</v>
      </c>
      <c r="G6" s="265">
        <v>7</v>
      </c>
      <c r="H6" s="257">
        <v>14</v>
      </c>
      <c r="J6" s="272">
        <v>21</v>
      </c>
      <c r="K6" s="248">
        <f>G6/J6*100</f>
        <v>33.333333333333329</v>
      </c>
      <c r="L6" s="248">
        <f>H6/J6*100</f>
        <v>66.666666666666657</v>
      </c>
      <c r="M6" s="248">
        <f>I6/J6*100</f>
        <v>0</v>
      </c>
      <c r="N6" s="267">
        <f>SUM(K6:M6)</f>
        <v>99.999999999999986</v>
      </c>
      <c r="O6" s="247">
        <v>9.9</v>
      </c>
      <c r="P6" s="248">
        <v>49.1</v>
      </c>
      <c r="Q6" s="248"/>
      <c r="R6" s="249">
        <f>SUM(O6:Q6)</f>
        <v>59</v>
      </c>
      <c r="S6" s="254">
        <v>2</v>
      </c>
      <c r="T6" s="251"/>
      <c r="U6" s="252"/>
      <c r="V6" s="256" t="s">
        <v>81</v>
      </c>
      <c r="W6" s="257" t="s">
        <v>17</v>
      </c>
      <c r="X6" s="257" t="s">
        <v>18</v>
      </c>
      <c r="Y6" s="258">
        <v>49.1</v>
      </c>
      <c r="Z6" s="257" t="s">
        <v>83</v>
      </c>
      <c r="AA6" s="257" t="s">
        <v>22</v>
      </c>
      <c r="AB6" s="257" t="s">
        <v>11</v>
      </c>
      <c r="AC6" s="257">
        <v>9.9</v>
      </c>
      <c r="AD6" s="256"/>
      <c r="AG6" s="258"/>
      <c r="AL6" s="256"/>
      <c r="AO6" s="258"/>
      <c r="AP6" s="256"/>
      <c r="AS6" s="258"/>
      <c r="AW6" s="258"/>
      <c r="BA6" s="259"/>
    </row>
    <row r="7" spans="1:53" s="257" customFormat="1">
      <c r="A7" s="263">
        <v>1959</v>
      </c>
      <c r="B7" s="252"/>
      <c r="C7" s="995" t="s">
        <v>195</v>
      </c>
      <c r="D7" s="995"/>
      <c r="E7" s="257">
        <v>365</v>
      </c>
      <c r="G7" s="265">
        <v>7</v>
      </c>
      <c r="H7" s="257">
        <v>14</v>
      </c>
      <c r="J7" s="272">
        <v>21</v>
      </c>
      <c r="K7" s="248">
        <f>G7/J7*100</f>
        <v>33.333333333333329</v>
      </c>
      <c r="L7" s="248">
        <f>H7/J7*100</f>
        <v>66.666666666666657</v>
      </c>
      <c r="M7" s="248">
        <f>I7/J7*100</f>
        <v>0</v>
      </c>
      <c r="N7" s="267">
        <f>SUM(K7:M7)</f>
        <v>99.999999999999986</v>
      </c>
      <c r="O7" s="247">
        <v>9.9</v>
      </c>
      <c r="P7" s="248">
        <v>49.1</v>
      </c>
      <c r="Q7" s="248"/>
      <c r="R7" s="249">
        <f>SUM(O7:Q7)</f>
        <v>59</v>
      </c>
      <c r="S7" s="254">
        <v>2</v>
      </c>
      <c r="T7" s="251"/>
      <c r="U7" s="252"/>
      <c r="V7" s="256" t="s">
        <v>81</v>
      </c>
      <c r="W7" s="257" t="s">
        <v>17</v>
      </c>
      <c r="X7" s="257" t="s">
        <v>18</v>
      </c>
      <c r="Y7" s="258">
        <v>49.1</v>
      </c>
      <c r="Z7" s="257" t="s">
        <v>83</v>
      </c>
      <c r="AA7" s="257" t="s">
        <v>22</v>
      </c>
      <c r="AB7" s="257" t="s">
        <v>11</v>
      </c>
      <c r="AC7" s="257">
        <v>9.9</v>
      </c>
      <c r="AD7" s="256"/>
      <c r="AG7" s="258"/>
      <c r="AL7" s="256"/>
      <c r="AO7" s="258"/>
      <c r="AP7" s="256"/>
      <c r="AS7" s="258"/>
      <c r="AW7" s="258"/>
      <c r="BA7" s="259"/>
    </row>
    <row r="8" spans="1:53" s="73" customFormat="1">
      <c r="A8" s="102">
        <v>1960</v>
      </c>
      <c r="B8" s="85"/>
      <c r="C8" s="988" t="s">
        <v>195</v>
      </c>
      <c r="D8" s="988"/>
      <c r="E8" s="73">
        <v>245</v>
      </c>
      <c r="G8" s="123">
        <v>7</v>
      </c>
      <c r="H8" s="73">
        <v>14</v>
      </c>
      <c r="J8" s="134">
        <v>21</v>
      </c>
      <c r="K8" s="92">
        <f>G8/J8*100</f>
        <v>33.333333333333329</v>
      </c>
      <c r="L8" s="92">
        <f>H8/J8*100</f>
        <v>66.666666666666657</v>
      </c>
      <c r="M8" s="92">
        <f>I8/J8*100</f>
        <v>0</v>
      </c>
      <c r="N8" s="125">
        <f t="shared" ref="N8:N71" si="0">SUM(K8:M8)</f>
        <v>99.999999999999986</v>
      </c>
      <c r="O8" s="91">
        <v>9.9</v>
      </c>
      <c r="P8" s="92">
        <v>49.1</v>
      </c>
      <c r="Q8" s="92"/>
      <c r="R8" s="93">
        <f>SUM(O8:Q8)</f>
        <v>59</v>
      </c>
      <c r="S8" s="97">
        <v>2</v>
      </c>
      <c r="T8" s="95"/>
      <c r="U8" s="85"/>
      <c r="V8" s="82" t="s">
        <v>81</v>
      </c>
      <c r="W8" s="73" t="s">
        <v>17</v>
      </c>
      <c r="X8" s="73" t="s">
        <v>18</v>
      </c>
      <c r="Y8" s="83">
        <v>49.1</v>
      </c>
      <c r="Z8" s="73" t="s">
        <v>83</v>
      </c>
      <c r="AA8" s="73" t="s">
        <v>22</v>
      </c>
      <c r="AB8" s="73" t="s">
        <v>11</v>
      </c>
      <c r="AC8" s="73">
        <v>9.9</v>
      </c>
      <c r="AD8" s="82"/>
      <c r="AG8" s="83"/>
      <c r="AL8" s="82"/>
      <c r="AO8" s="83"/>
      <c r="AP8" s="82"/>
      <c r="AS8" s="83"/>
      <c r="AW8" s="83"/>
      <c r="BA8" s="84"/>
    </row>
    <row r="9" spans="1:53" s="73" customFormat="1">
      <c r="A9" s="102">
        <v>1960</v>
      </c>
      <c r="B9" s="135">
        <v>22161</v>
      </c>
      <c r="C9" s="988" t="s">
        <v>195</v>
      </c>
      <c r="D9" s="988"/>
      <c r="E9" s="73">
        <v>121</v>
      </c>
      <c r="F9" s="129">
        <v>0</v>
      </c>
      <c r="G9" s="123">
        <v>7</v>
      </c>
      <c r="H9" s="73">
        <v>13</v>
      </c>
      <c r="J9" s="134">
        <v>20</v>
      </c>
      <c r="K9" s="92">
        <f t="shared" ref="K9:K14" si="1">G9/J9*100</f>
        <v>35</v>
      </c>
      <c r="L9" s="92">
        <f t="shared" ref="L9:L14" si="2">H9/J9*100</f>
        <v>65</v>
      </c>
      <c r="M9" s="92">
        <f t="shared" ref="M9:M14" si="3">I9/J9*100</f>
        <v>0</v>
      </c>
      <c r="N9" s="125">
        <f t="shared" si="0"/>
        <v>100</v>
      </c>
      <c r="O9" s="91">
        <v>9.9</v>
      </c>
      <c r="P9" s="92">
        <v>49.1</v>
      </c>
      <c r="Q9" s="92"/>
      <c r="R9" s="93">
        <f t="shared" ref="R9:R72" si="4">SUM(O9:Q9)</f>
        <v>59</v>
      </c>
      <c r="S9" s="97">
        <v>2</v>
      </c>
      <c r="T9" s="95"/>
      <c r="U9" s="85"/>
      <c r="V9" s="82" t="s">
        <v>81</v>
      </c>
      <c r="W9" s="73" t="s">
        <v>17</v>
      </c>
      <c r="X9" s="73" t="s">
        <v>18</v>
      </c>
      <c r="Y9" s="83">
        <v>49.1</v>
      </c>
      <c r="Z9" s="73" t="s">
        <v>83</v>
      </c>
      <c r="AA9" s="73" t="s">
        <v>22</v>
      </c>
      <c r="AB9" s="73" t="s">
        <v>11</v>
      </c>
      <c r="AC9" s="73">
        <v>9.9</v>
      </c>
      <c r="AD9" s="82"/>
      <c r="AG9" s="83"/>
      <c r="AL9" s="82"/>
      <c r="AO9" s="83"/>
      <c r="AP9" s="82"/>
      <c r="AS9" s="83"/>
      <c r="AW9" s="83"/>
      <c r="BA9" s="84"/>
    </row>
    <row r="10" spans="1:53" s="73" customFormat="1">
      <c r="A10" s="102">
        <v>1961</v>
      </c>
      <c r="B10" s="85"/>
      <c r="C10" s="988" t="s">
        <v>195</v>
      </c>
      <c r="D10" s="988"/>
      <c r="E10" s="73">
        <v>114</v>
      </c>
      <c r="G10" s="123">
        <v>7</v>
      </c>
      <c r="H10" s="73">
        <v>13</v>
      </c>
      <c r="J10" s="134">
        <v>20</v>
      </c>
      <c r="K10" s="92">
        <f t="shared" si="1"/>
        <v>35</v>
      </c>
      <c r="L10" s="92">
        <f t="shared" si="2"/>
        <v>65</v>
      </c>
      <c r="M10" s="92">
        <f t="shared" si="3"/>
        <v>0</v>
      </c>
      <c r="N10" s="125">
        <f t="shared" si="0"/>
        <v>100</v>
      </c>
      <c r="O10" s="91">
        <v>9.9</v>
      </c>
      <c r="P10" s="92">
        <v>49.1</v>
      </c>
      <c r="Q10" s="92"/>
      <c r="R10" s="93">
        <f t="shared" si="4"/>
        <v>59</v>
      </c>
      <c r="S10" s="97">
        <v>2</v>
      </c>
      <c r="T10" s="95"/>
      <c r="U10" s="85"/>
      <c r="V10" s="82" t="s">
        <v>81</v>
      </c>
      <c r="W10" s="73" t="s">
        <v>17</v>
      </c>
      <c r="X10" s="73" t="s">
        <v>18</v>
      </c>
      <c r="Y10" s="83">
        <v>49.1</v>
      </c>
      <c r="Z10" s="73" t="s">
        <v>83</v>
      </c>
      <c r="AA10" s="73" t="s">
        <v>22</v>
      </c>
      <c r="AB10" s="73" t="s">
        <v>11</v>
      </c>
      <c r="AC10" s="73">
        <v>9.9</v>
      </c>
      <c r="AD10" s="82"/>
      <c r="AG10" s="83"/>
      <c r="AL10" s="82"/>
      <c r="AO10" s="83"/>
      <c r="AP10" s="82"/>
      <c r="AS10" s="83"/>
      <c r="AW10" s="83"/>
      <c r="BA10" s="84"/>
    </row>
    <row r="11" spans="1:53" s="334" customFormat="1">
      <c r="A11" s="386">
        <v>1961</v>
      </c>
      <c r="B11" s="355">
        <v>22396</v>
      </c>
      <c r="C11" s="965" t="s">
        <v>1196</v>
      </c>
      <c r="D11" s="965"/>
      <c r="E11" s="334">
        <v>251</v>
      </c>
      <c r="F11" s="334">
        <v>1</v>
      </c>
      <c r="G11" s="419"/>
      <c r="H11" s="334">
        <v>10</v>
      </c>
      <c r="I11" s="334">
        <v>7</v>
      </c>
      <c r="J11" s="435">
        <v>17</v>
      </c>
      <c r="K11" s="384">
        <f t="shared" si="1"/>
        <v>0</v>
      </c>
      <c r="L11" s="384">
        <f t="shared" si="2"/>
        <v>58.82352941176471</v>
      </c>
      <c r="M11" s="384">
        <f t="shared" si="3"/>
        <v>41.17647058823529</v>
      </c>
      <c r="N11" s="421">
        <f t="shared" si="0"/>
        <v>100</v>
      </c>
      <c r="O11" s="383"/>
      <c r="P11" s="384">
        <v>45.3</v>
      </c>
      <c r="Q11" s="384">
        <v>39.6</v>
      </c>
      <c r="R11" s="385">
        <f t="shared" si="4"/>
        <v>84.9</v>
      </c>
      <c r="S11" s="388">
        <v>2</v>
      </c>
      <c r="T11" s="342">
        <v>22366</v>
      </c>
      <c r="U11" s="355">
        <v>22396</v>
      </c>
      <c r="V11" s="343" t="s">
        <v>81</v>
      </c>
      <c r="W11" s="334" t="s">
        <v>17</v>
      </c>
      <c r="X11" s="334" t="s">
        <v>18</v>
      </c>
      <c r="Y11" s="344">
        <v>45.3</v>
      </c>
      <c r="Z11" s="334" t="s">
        <v>84</v>
      </c>
      <c r="AA11" s="334" t="s">
        <v>20</v>
      </c>
      <c r="AB11" s="334" t="s">
        <v>12</v>
      </c>
      <c r="AC11" s="334">
        <v>39.6</v>
      </c>
      <c r="AD11" s="343"/>
      <c r="AG11" s="344"/>
      <c r="AL11" s="343"/>
      <c r="AO11" s="344"/>
      <c r="AP11" s="343"/>
      <c r="AS11" s="344"/>
      <c r="AW11" s="344"/>
      <c r="BA11" s="345"/>
    </row>
    <row r="12" spans="1:53" s="334" customFormat="1">
      <c r="A12" s="386">
        <v>1962</v>
      </c>
      <c r="B12" s="355"/>
      <c r="C12" s="965" t="s">
        <v>1196</v>
      </c>
      <c r="D12" s="965"/>
      <c r="E12" s="334">
        <v>0</v>
      </c>
      <c r="G12" s="419"/>
      <c r="H12" s="334">
        <v>10</v>
      </c>
      <c r="I12" s="334">
        <v>7</v>
      </c>
      <c r="J12" s="435">
        <v>17</v>
      </c>
      <c r="K12" s="384">
        <f t="shared" si="1"/>
        <v>0</v>
      </c>
      <c r="L12" s="384">
        <f t="shared" si="2"/>
        <v>58.82352941176471</v>
      </c>
      <c r="M12" s="384">
        <f t="shared" si="3"/>
        <v>41.17647058823529</v>
      </c>
      <c r="N12" s="421">
        <f t="shared" si="0"/>
        <v>100</v>
      </c>
      <c r="O12" s="383"/>
      <c r="P12" s="384">
        <v>45.3</v>
      </c>
      <c r="Q12" s="384">
        <v>39.6</v>
      </c>
      <c r="R12" s="385">
        <f t="shared" si="4"/>
        <v>84.9</v>
      </c>
      <c r="S12" s="388">
        <v>2</v>
      </c>
      <c r="T12" s="342"/>
      <c r="U12" s="355"/>
      <c r="V12" s="343" t="s">
        <v>81</v>
      </c>
      <c r="W12" s="334" t="s">
        <v>17</v>
      </c>
      <c r="X12" s="334" t="s">
        <v>18</v>
      </c>
      <c r="Y12" s="344">
        <v>45.3</v>
      </c>
      <c r="Z12" s="334" t="s">
        <v>84</v>
      </c>
      <c r="AA12" s="334" t="s">
        <v>20</v>
      </c>
      <c r="AB12" s="334" t="s">
        <v>12</v>
      </c>
      <c r="AC12" s="334">
        <v>39.6</v>
      </c>
      <c r="AD12" s="343"/>
      <c r="AG12" s="344"/>
      <c r="AL12" s="343"/>
      <c r="AO12" s="344"/>
      <c r="AP12" s="343"/>
      <c r="AS12" s="344"/>
      <c r="AW12" s="344"/>
      <c r="BA12" s="345"/>
    </row>
    <row r="13" spans="1:53" s="334" customFormat="1">
      <c r="A13" s="386">
        <v>1962</v>
      </c>
      <c r="B13" s="355"/>
      <c r="C13" s="965" t="s">
        <v>1196</v>
      </c>
      <c r="D13" s="965"/>
      <c r="E13" s="334">
        <v>365</v>
      </c>
      <c r="G13" s="419"/>
      <c r="H13" s="334">
        <v>10</v>
      </c>
      <c r="I13" s="334">
        <v>7</v>
      </c>
      <c r="J13" s="435">
        <v>17</v>
      </c>
      <c r="K13" s="384">
        <f t="shared" si="1"/>
        <v>0</v>
      </c>
      <c r="L13" s="384">
        <f t="shared" si="2"/>
        <v>58.82352941176471</v>
      </c>
      <c r="M13" s="384">
        <f t="shared" si="3"/>
        <v>41.17647058823529</v>
      </c>
      <c r="N13" s="421">
        <f t="shared" si="0"/>
        <v>100</v>
      </c>
      <c r="O13" s="383"/>
      <c r="P13" s="384">
        <v>45.3</v>
      </c>
      <c r="Q13" s="384">
        <v>39.6</v>
      </c>
      <c r="R13" s="385">
        <f t="shared" si="4"/>
        <v>84.9</v>
      </c>
      <c r="S13" s="388">
        <v>2</v>
      </c>
      <c r="T13" s="342"/>
      <c r="U13" s="355"/>
      <c r="V13" s="343" t="s">
        <v>81</v>
      </c>
      <c r="W13" s="334" t="s">
        <v>17</v>
      </c>
      <c r="X13" s="334" t="s">
        <v>18</v>
      </c>
      <c r="Y13" s="344">
        <v>45.3</v>
      </c>
      <c r="Z13" s="334" t="s">
        <v>84</v>
      </c>
      <c r="AA13" s="334" t="s">
        <v>20</v>
      </c>
      <c r="AB13" s="334" t="s">
        <v>12</v>
      </c>
      <c r="AC13" s="334">
        <v>39.6</v>
      </c>
      <c r="AD13" s="343"/>
      <c r="AG13" s="344"/>
      <c r="AL13" s="343"/>
      <c r="AO13" s="344"/>
      <c r="AP13" s="343"/>
      <c r="AS13" s="344"/>
      <c r="AW13" s="344"/>
      <c r="BA13" s="345"/>
    </row>
    <row r="14" spans="1:53" s="334" customFormat="1">
      <c r="A14" s="386">
        <v>1962.6</v>
      </c>
      <c r="B14" s="355"/>
      <c r="C14" s="965" t="s">
        <v>1196</v>
      </c>
      <c r="D14" s="965"/>
      <c r="E14" s="334">
        <v>0</v>
      </c>
      <c r="G14" s="419"/>
      <c r="H14" s="334">
        <v>10</v>
      </c>
      <c r="I14" s="334">
        <v>7</v>
      </c>
      <c r="J14" s="435">
        <v>17</v>
      </c>
      <c r="K14" s="384">
        <f t="shared" si="1"/>
        <v>0</v>
      </c>
      <c r="L14" s="384">
        <f t="shared" si="2"/>
        <v>58.82352941176471</v>
      </c>
      <c r="M14" s="384">
        <f t="shared" si="3"/>
        <v>41.17647058823529</v>
      </c>
      <c r="N14" s="421">
        <f t="shared" si="0"/>
        <v>100</v>
      </c>
      <c r="O14" s="383"/>
      <c r="P14" s="384">
        <v>45.3</v>
      </c>
      <c r="Q14" s="384">
        <v>39.6</v>
      </c>
      <c r="R14" s="385">
        <f t="shared" si="4"/>
        <v>84.9</v>
      </c>
      <c r="S14" s="388">
        <v>2</v>
      </c>
      <c r="T14" s="342"/>
      <c r="U14" s="355"/>
      <c r="V14" s="343" t="s">
        <v>81</v>
      </c>
      <c r="W14" s="334" t="s">
        <v>17</v>
      </c>
      <c r="X14" s="334" t="s">
        <v>18</v>
      </c>
      <c r="Y14" s="344">
        <v>45.3</v>
      </c>
      <c r="Z14" s="334" t="s">
        <v>84</v>
      </c>
      <c r="AA14" s="334" t="s">
        <v>20</v>
      </c>
      <c r="AB14" s="334" t="s">
        <v>12</v>
      </c>
      <c r="AC14" s="334">
        <v>39.6</v>
      </c>
      <c r="AD14" s="343"/>
      <c r="AG14" s="344"/>
      <c r="AL14" s="343"/>
      <c r="AO14" s="344"/>
      <c r="AP14" s="343"/>
      <c r="AS14" s="344"/>
      <c r="AW14" s="344"/>
      <c r="BA14" s="345"/>
    </row>
    <row r="15" spans="1:53" s="334" customFormat="1">
      <c r="A15" s="386">
        <v>1963.05714285714</v>
      </c>
      <c r="B15" s="355"/>
      <c r="C15" s="965" t="s">
        <v>1196</v>
      </c>
      <c r="D15" s="965"/>
      <c r="E15" s="334">
        <v>365</v>
      </c>
      <c r="G15" s="419"/>
      <c r="H15" s="334">
        <v>10</v>
      </c>
      <c r="I15" s="334">
        <v>7</v>
      </c>
      <c r="J15" s="435">
        <v>17</v>
      </c>
      <c r="K15" s="384">
        <f>G15/J15*100</f>
        <v>0</v>
      </c>
      <c r="L15" s="384">
        <f>H15/J15*100</f>
        <v>58.82352941176471</v>
      </c>
      <c r="M15" s="384">
        <f>I15/J15*100</f>
        <v>41.17647058823529</v>
      </c>
      <c r="N15" s="421">
        <f t="shared" si="0"/>
        <v>100</v>
      </c>
      <c r="O15" s="383"/>
      <c r="P15" s="384">
        <v>45.3</v>
      </c>
      <c r="Q15" s="384">
        <v>39.6</v>
      </c>
      <c r="R15" s="385">
        <f t="shared" si="4"/>
        <v>84.9</v>
      </c>
      <c r="S15" s="388">
        <v>2</v>
      </c>
      <c r="T15" s="342"/>
      <c r="U15" s="355"/>
      <c r="V15" s="343" t="s">
        <v>81</v>
      </c>
      <c r="W15" s="334" t="s">
        <v>17</v>
      </c>
      <c r="X15" s="334" t="s">
        <v>18</v>
      </c>
      <c r="Y15" s="344">
        <v>45.3</v>
      </c>
      <c r="Z15" s="334" t="s">
        <v>84</v>
      </c>
      <c r="AA15" s="334" t="s">
        <v>20</v>
      </c>
      <c r="AB15" s="334" t="s">
        <v>12</v>
      </c>
      <c r="AC15" s="334">
        <v>39.6</v>
      </c>
      <c r="AD15" s="343"/>
      <c r="AG15" s="344"/>
      <c r="AL15" s="343"/>
      <c r="AO15" s="344"/>
      <c r="AP15" s="343"/>
      <c r="AS15" s="344"/>
      <c r="AW15" s="344"/>
      <c r="BA15" s="345"/>
    </row>
    <row r="16" spans="1:53" s="334" customFormat="1">
      <c r="A16" s="386">
        <v>1963.5142857142901</v>
      </c>
      <c r="B16" s="355"/>
      <c r="C16" s="965" t="s">
        <v>1196</v>
      </c>
      <c r="D16" s="965"/>
      <c r="E16" s="334">
        <v>0</v>
      </c>
      <c r="G16" s="419"/>
      <c r="H16" s="334">
        <v>10</v>
      </c>
      <c r="I16" s="334">
        <v>7</v>
      </c>
      <c r="J16" s="435">
        <v>17</v>
      </c>
      <c r="K16" s="384">
        <f t="shared" ref="K16:K21" si="5">G16/J16*100</f>
        <v>0</v>
      </c>
      <c r="L16" s="384">
        <f t="shared" ref="L16:L21" si="6">H16/J16*100</f>
        <v>58.82352941176471</v>
      </c>
      <c r="M16" s="384">
        <f t="shared" ref="M16:M21" si="7">I16/J16*100</f>
        <v>41.17647058823529</v>
      </c>
      <c r="N16" s="421">
        <f t="shared" si="0"/>
        <v>100</v>
      </c>
      <c r="O16" s="383"/>
      <c r="P16" s="384">
        <v>45.3</v>
      </c>
      <c r="Q16" s="384">
        <v>39.6</v>
      </c>
      <c r="R16" s="385">
        <f t="shared" si="4"/>
        <v>84.9</v>
      </c>
      <c r="S16" s="388">
        <v>2</v>
      </c>
      <c r="T16" s="342"/>
      <c r="U16" s="355"/>
      <c r="V16" s="343" t="s">
        <v>81</v>
      </c>
      <c r="W16" s="334" t="s">
        <v>17</v>
      </c>
      <c r="X16" s="334" t="s">
        <v>18</v>
      </c>
      <c r="Y16" s="344">
        <v>45.3</v>
      </c>
      <c r="Z16" s="334" t="s">
        <v>84</v>
      </c>
      <c r="AA16" s="334" t="s">
        <v>20</v>
      </c>
      <c r="AB16" s="334" t="s">
        <v>12</v>
      </c>
      <c r="AC16" s="334">
        <v>39.6</v>
      </c>
      <c r="AD16" s="343"/>
      <c r="AG16" s="344"/>
      <c r="AL16" s="343"/>
      <c r="AO16" s="344"/>
      <c r="AP16" s="343"/>
      <c r="AS16" s="344"/>
      <c r="AW16" s="344"/>
      <c r="BA16" s="345"/>
    </row>
    <row r="17" spans="1:53" s="334" customFormat="1">
      <c r="A17" s="386">
        <v>1963.9714285714299</v>
      </c>
      <c r="B17" s="355"/>
      <c r="C17" s="965" t="s">
        <v>1196</v>
      </c>
      <c r="D17" s="965"/>
      <c r="E17" s="334">
        <v>366</v>
      </c>
      <c r="G17" s="419"/>
      <c r="H17" s="334">
        <v>10</v>
      </c>
      <c r="I17" s="334">
        <v>7</v>
      </c>
      <c r="J17" s="435">
        <v>17</v>
      </c>
      <c r="K17" s="384">
        <f t="shared" si="5"/>
        <v>0</v>
      </c>
      <c r="L17" s="384">
        <f t="shared" si="6"/>
        <v>58.82352941176471</v>
      </c>
      <c r="M17" s="384">
        <f t="shared" si="7"/>
        <v>41.17647058823529</v>
      </c>
      <c r="N17" s="421">
        <f t="shared" si="0"/>
        <v>100</v>
      </c>
      <c r="O17" s="383"/>
      <c r="P17" s="384">
        <v>45.3</v>
      </c>
      <c r="Q17" s="384">
        <v>39.6</v>
      </c>
      <c r="R17" s="385">
        <f t="shared" si="4"/>
        <v>84.9</v>
      </c>
      <c r="S17" s="388">
        <v>2</v>
      </c>
      <c r="T17" s="342"/>
      <c r="U17" s="355"/>
      <c r="V17" s="343" t="s">
        <v>81</v>
      </c>
      <c r="W17" s="334" t="s">
        <v>17</v>
      </c>
      <c r="X17" s="334" t="s">
        <v>18</v>
      </c>
      <c r="Y17" s="344">
        <v>45.3</v>
      </c>
      <c r="Z17" s="334" t="s">
        <v>84</v>
      </c>
      <c r="AA17" s="334" t="s">
        <v>20</v>
      </c>
      <c r="AB17" s="334" t="s">
        <v>12</v>
      </c>
      <c r="AC17" s="334">
        <v>39.6</v>
      </c>
      <c r="AD17" s="343"/>
      <c r="AG17" s="344"/>
      <c r="AL17" s="343"/>
      <c r="AO17" s="344"/>
      <c r="AP17" s="343"/>
      <c r="AS17" s="344"/>
      <c r="AW17" s="344"/>
      <c r="BA17" s="345"/>
    </row>
    <row r="18" spans="1:53" s="334" customFormat="1">
      <c r="A18" s="386">
        <v>1965</v>
      </c>
      <c r="B18" s="355"/>
      <c r="C18" s="965" t="s">
        <v>1196</v>
      </c>
      <c r="D18" s="965"/>
      <c r="E18" s="334">
        <v>208</v>
      </c>
      <c r="G18" s="419"/>
      <c r="H18" s="334">
        <v>10</v>
      </c>
      <c r="I18" s="334">
        <v>7</v>
      </c>
      <c r="J18" s="435">
        <v>17</v>
      </c>
      <c r="K18" s="384">
        <f t="shared" si="5"/>
        <v>0</v>
      </c>
      <c r="L18" s="384">
        <f t="shared" si="6"/>
        <v>58.82352941176471</v>
      </c>
      <c r="M18" s="384">
        <f t="shared" si="7"/>
        <v>41.17647058823529</v>
      </c>
      <c r="N18" s="421">
        <f t="shared" si="0"/>
        <v>100</v>
      </c>
      <c r="O18" s="383"/>
      <c r="P18" s="384">
        <v>45.3</v>
      </c>
      <c r="Q18" s="384">
        <v>39.6</v>
      </c>
      <c r="R18" s="385">
        <f t="shared" si="4"/>
        <v>84.9</v>
      </c>
      <c r="S18" s="388">
        <v>2</v>
      </c>
      <c r="T18" s="342"/>
      <c r="U18" s="355"/>
      <c r="V18" s="343" t="s">
        <v>81</v>
      </c>
      <c r="W18" s="334" t="s">
        <v>17</v>
      </c>
      <c r="X18" s="334" t="s">
        <v>18</v>
      </c>
      <c r="Y18" s="344">
        <v>45.3</v>
      </c>
      <c r="Z18" s="334" t="s">
        <v>84</v>
      </c>
      <c r="AA18" s="334" t="s">
        <v>20</v>
      </c>
      <c r="AB18" s="334" t="s">
        <v>12</v>
      </c>
      <c r="AC18" s="334">
        <v>39.6</v>
      </c>
      <c r="AD18" s="343"/>
      <c r="AG18" s="344"/>
      <c r="AL18" s="343"/>
      <c r="AO18" s="344"/>
      <c r="AP18" s="343"/>
      <c r="AS18" s="344"/>
      <c r="AW18" s="344"/>
      <c r="BA18" s="345"/>
    </row>
    <row r="19" spans="1:53" s="73" customFormat="1">
      <c r="A19" s="102">
        <v>1964.88571428572</v>
      </c>
      <c r="B19" s="85">
        <v>23951</v>
      </c>
      <c r="C19" s="966" t="s">
        <v>197</v>
      </c>
      <c r="D19" s="966"/>
      <c r="E19" s="73">
        <v>157</v>
      </c>
      <c r="F19" s="73">
        <v>1</v>
      </c>
      <c r="G19" s="123"/>
      <c r="H19" s="73">
        <v>12</v>
      </c>
      <c r="I19" s="73">
        <v>8</v>
      </c>
      <c r="J19" s="134">
        <v>20</v>
      </c>
      <c r="K19" s="92">
        <f t="shared" si="5"/>
        <v>0</v>
      </c>
      <c r="L19" s="92">
        <f t="shared" si="6"/>
        <v>60</v>
      </c>
      <c r="M19" s="92">
        <f t="shared" si="7"/>
        <v>40</v>
      </c>
      <c r="N19" s="125">
        <f t="shared" si="0"/>
        <v>100</v>
      </c>
      <c r="O19" s="91"/>
      <c r="P19" s="92">
        <v>36.299999999999997</v>
      </c>
      <c r="Q19" s="92">
        <v>30.2</v>
      </c>
      <c r="R19" s="93">
        <f t="shared" si="4"/>
        <v>66.5</v>
      </c>
      <c r="S19" s="97">
        <v>2</v>
      </c>
      <c r="T19" s="95">
        <v>23885</v>
      </c>
      <c r="U19" s="85">
        <v>23951</v>
      </c>
      <c r="V19" s="82" t="s">
        <v>81</v>
      </c>
      <c r="W19" s="73" t="s">
        <v>17</v>
      </c>
      <c r="X19" s="73" t="s">
        <v>18</v>
      </c>
      <c r="Y19" s="83">
        <v>36.299999999999997</v>
      </c>
      <c r="Z19" s="73" t="s">
        <v>84</v>
      </c>
      <c r="AA19" s="73" t="s">
        <v>20</v>
      </c>
      <c r="AB19" s="73" t="s">
        <v>12</v>
      </c>
      <c r="AC19" s="73">
        <v>30.2</v>
      </c>
      <c r="AD19" s="82"/>
      <c r="AG19" s="83"/>
      <c r="AL19" s="82"/>
      <c r="AO19" s="83"/>
      <c r="AP19" s="82"/>
      <c r="AS19" s="83"/>
      <c r="AW19" s="83"/>
      <c r="BA19" s="84"/>
    </row>
    <row r="20" spans="1:53" s="73" customFormat="1">
      <c r="A20" s="102">
        <v>1966</v>
      </c>
      <c r="B20" s="85"/>
      <c r="C20" s="966" t="s">
        <v>197</v>
      </c>
      <c r="D20" s="966"/>
      <c r="E20" s="73">
        <v>78</v>
      </c>
      <c r="G20" s="123"/>
      <c r="H20" s="73">
        <v>12</v>
      </c>
      <c r="I20" s="73">
        <v>8</v>
      </c>
      <c r="J20" s="134">
        <v>20</v>
      </c>
      <c r="K20" s="92">
        <f t="shared" si="5"/>
        <v>0</v>
      </c>
      <c r="L20" s="92">
        <f t="shared" si="6"/>
        <v>60</v>
      </c>
      <c r="M20" s="92">
        <f t="shared" si="7"/>
        <v>40</v>
      </c>
      <c r="N20" s="125">
        <f t="shared" si="0"/>
        <v>100</v>
      </c>
      <c r="O20" s="91"/>
      <c r="P20" s="92">
        <v>36.299999999999997</v>
      </c>
      <c r="Q20" s="92">
        <v>30.2</v>
      </c>
      <c r="R20" s="93">
        <f t="shared" si="4"/>
        <v>66.5</v>
      </c>
      <c r="S20" s="97">
        <v>2</v>
      </c>
      <c r="T20" s="95"/>
      <c r="U20" s="85"/>
      <c r="V20" s="82" t="s">
        <v>81</v>
      </c>
      <c r="W20" s="73" t="s">
        <v>17</v>
      </c>
      <c r="X20" s="73" t="s">
        <v>18</v>
      </c>
      <c r="Y20" s="83">
        <v>36.299999999999997</v>
      </c>
      <c r="Z20" s="73" t="s">
        <v>84</v>
      </c>
      <c r="AA20" s="73" t="s">
        <v>20</v>
      </c>
      <c r="AB20" s="73" t="s">
        <v>12</v>
      </c>
      <c r="AC20" s="73">
        <v>30.2</v>
      </c>
      <c r="AD20" s="82"/>
      <c r="AG20" s="83"/>
      <c r="AL20" s="82"/>
      <c r="AO20" s="83"/>
      <c r="AP20" s="82"/>
      <c r="AS20" s="83"/>
      <c r="AW20" s="83"/>
      <c r="BA20" s="84"/>
    </row>
    <row r="21" spans="1:53" s="334" customFormat="1">
      <c r="A21" s="386">
        <v>1965.8</v>
      </c>
      <c r="B21" s="355">
        <v>24186</v>
      </c>
      <c r="C21" s="965" t="s">
        <v>1197</v>
      </c>
      <c r="D21" s="965"/>
      <c r="E21" s="334">
        <v>287</v>
      </c>
      <c r="F21" s="334">
        <v>4</v>
      </c>
      <c r="G21" s="419">
        <v>7</v>
      </c>
      <c r="H21" s="334">
        <v>12</v>
      </c>
      <c r="J21" s="435">
        <v>19</v>
      </c>
      <c r="K21" s="384">
        <f t="shared" si="5"/>
        <v>36.84210526315789</v>
      </c>
      <c r="L21" s="384">
        <f t="shared" si="6"/>
        <v>63.157894736842103</v>
      </c>
      <c r="M21" s="384">
        <f t="shared" si="7"/>
        <v>0</v>
      </c>
      <c r="N21" s="421">
        <f t="shared" si="0"/>
        <v>100</v>
      </c>
      <c r="O21" s="383">
        <v>22.6</v>
      </c>
      <c r="P21" s="384">
        <v>36.299999999999997</v>
      </c>
      <c r="Q21" s="384"/>
      <c r="R21" s="385">
        <f t="shared" si="4"/>
        <v>58.9</v>
      </c>
      <c r="S21" s="388">
        <v>2</v>
      </c>
      <c r="T21" s="342"/>
      <c r="U21" s="355">
        <v>24186</v>
      </c>
      <c r="V21" s="343" t="s">
        <v>81</v>
      </c>
      <c r="W21" s="334" t="s">
        <v>17</v>
      </c>
      <c r="X21" s="334" t="s">
        <v>18</v>
      </c>
      <c r="Y21" s="344">
        <v>36.299999999999997</v>
      </c>
      <c r="Z21" s="334" t="s">
        <v>83</v>
      </c>
      <c r="AA21" s="334" t="s">
        <v>22</v>
      </c>
      <c r="AB21" s="334" t="s">
        <v>11</v>
      </c>
      <c r="AC21" s="334">
        <v>22.6</v>
      </c>
      <c r="AD21" s="343"/>
      <c r="AG21" s="344"/>
      <c r="AL21" s="343"/>
      <c r="AO21" s="344"/>
      <c r="AP21" s="343"/>
      <c r="AS21" s="344"/>
      <c r="AW21" s="344"/>
      <c r="BA21" s="345"/>
    </row>
    <row r="22" spans="1:53" s="334" customFormat="1">
      <c r="A22" s="386">
        <v>1967</v>
      </c>
      <c r="B22" s="355"/>
      <c r="C22" s="965" t="s">
        <v>1197</v>
      </c>
      <c r="D22" s="965"/>
      <c r="E22" s="334">
        <v>0</v>
      </c>
      <c r="G22" s="419">
        <v>7</v>
      </c>
      <c r="H22" s="334">
        <v>12</v>
      </c>
      <c r="J22" s="435">
        <v>19</v>
      </c>
      <c r="K22" s="384">
        <f>G22/J22*100</f>
        <v>36.84210526315789</v>
      </c>
      <c r="L22" s="384">
        <f>H22/J22*100</f>
        <v>63.157894736842103</v>
      </c>
      <c r="M22" s="384">
        <f>I22/J22*100</f>
        <v>0</v>
      </c>
      <c r="N22" s="421">
        <f t="shared" si="0"/>
        <v>100</v>
      </c>
      <c r="O22" s="383">
        <v>22.6</v>
      </c>
      <c r="P22" s="384">
        <v>36.299999999999997</v>
      </c>
      <c r="Q22" s="384"/>
      <c r="R22" s="385">
        <f t="shared" si="4"/>
        <v>58.9</v>
      </c>
      <c r="S22" s="388">
        <v>2</v>
      </c>
      <c r="T22" s="342"/>
      <c r="U22" s="355"/>
      <c r="V22" s="343" t="s">
        <v>81</v>
      </c>
      <c r="W22" s="334" t="s">
        <v>17</v>
      </c>
      <c r="X22" s="334" t="s">
        <v>18</v>
      </c>
      <c r="Y22" s="344">
        <v>36.299999999999997</v>
      </c>
      <c r="Z22" s="334" t="s">
        <v>83</v>
      </c>
      <c r="AA22" s="334" t="s">
        <v>22</v>
      </c>
      <c r="AB22" s="334" t="s">
        <v>11</v>
      </c>
      <c r="AC22" s="334">
        <v>22.6</v>
      </c>
      <c r="AD22" s="343"/>
      <c r="AG22" s="344"/>
      <c r="AL22" s="343"/>
      <c r="AO22" s="344"/>
      <c r="AP22" s="343"/>
      <c r="AS22" s="344"/>
      <c r="AW22" s="344"/>
      <c r="BA22" s="345"/>
    </row>
    <row r="23" spans="1:53" s="334" customFormat="1">
      <c r="A23" s="386">
        <v>1966.7142857142901</v>
      </c>
      <c r="B23" s="355"/>
      <c r="C23" s="965" t="s">
        <v>1197</v>
      </c>
      <c r="D23" s="965"/>
      <c r="E23" s="334">
        <v>365</v>
      </c>
      <c r="G23" s="419">
        <v>7</v>
      </c>
      <c r="H23" s="334">
        <v>12</v>
      </c>
      <c r="J23" s="435">
        <v>19</v>
      </c>
      <c r="K23" s="384">
        <f t="shared" ref="K23:K28" si="8">G23/J23*100</f>
        <v>36.84210526315789</v>
      </c>
      <c r="L23" s="384">
        <f t="shared" ref="L23:L28" si="9">H23/J23*100</f>
        <v>63.157894736842103</v>
      </c>
      <c r="M23" s="384">
        <f t="shared" ref="M23:M28" si="10">I23/J23*100</f>
        <v>0</v>
      </c>
      <c r="N23" s="421">
        <f t="shared" si="0"/>
        <v>100</v>
      </c>
      <c r="O23" s="383">
        <v>22.6</v>
      </c>
      <c r="P23" s="384">
        <v>36.299999999999997</v>
      </c>
      <c r="Q23" s="384"/>
      <c r="R23" s="385">
        <f t="shared" si="4"/>
        <v>58.9</v>
      </c>
      <c r="S23" s="388">
        <v>2</v>
      </c>
      <c r="T23" s="342"/>
      <c r="U23" s="355"/>
      <c r="V23" s="343" t="s">
        <v>81</v>
      </c>
      <c r="W23" s="334" t="s">
        <v>17</v>
      </c>
      <c r="X23" s="334" t="s">
        <v>18</v>
      </c>
      <c r="Y23" s="344">
        <v>36.299999999999997</v>
      </c>
      <c r="Z23" s="334" t="s">
        <v>83</v>
      </c>
      <c r="AA23" s="334" t="s">
        <v>22</v>
      </c>
      <c r="AB23" s="334" t="s">
        <v>11</v>
      </c>
      <c r="AC23" s="334">
        <v>22.6</v>
      </c>
      <c r="AD23" s="343"/>
      <c r="AG23" s="344"/>
      <c r="AL23" s="343"/>
      <c r="AO23" s="344"/>
      <c r="AP23" s="343"/>
      <c r="AS23" s="344"/>
      <c r="AW23" s="344"/>
      <c r="BA23" s="345"/>
    </row>
    <row r="24" spans="1:53" s="334" customFormat="1">
      <c r="A24" s="386">
        <v>1968</v>
      </c>
      <c r="B24" s="355"/>
      <c r="C24" s="965" t="s">
        <v>1197</v>
      </c>
      <c r="D24" s="965"/>
      <c r="E24" s="334">
        <v>169</v>
      </c>
      <c r="G24" s="419">
        <v>7</v>
      </c>
      <c r="H24" s="334">
        <v>12</v>
      </c>
      <c r="J24" s="435">
        <v>19</v>
      </c>
      <c r="K24" s="384">
        <f t="shared" si="8"/>
        <v>36.84210526315789</v>
      </c>
      <c r="L24" s="384">
        <f t="shared" si="9"/>
        <v>63.157894736842103</v>
      </c>
      <c r="M24" s="384">
        <f t="shared" si="10"/>
        <v>0</v>
      </c>
      <c r="N24" s="421">
        <f t="shared" si="0"/>
        <v>100</v>
      </c>
      <c r="O24" s="383">
        <v>22.6</v>
      </c>
      <c r="P24" s="384">
        <v>36.299999999999997</v>
      </c>
      <c r="Q24" s="384"/>
      <c r="R24" s="385">
        <f t="shared" si="4"/>
        <v>58.9</v>
      </c>
      <c r="S24" s="388">
        <v>2</v>
      </c>
      <c r="T24" s="342"/>
      <c r="U24" s="355"/>
      <c r="V24" s="343" t="s">
        <v>81</v>
      </c>
      <c r="W24" s="334" t="s">
        <v>17</v>
      </c>
      <c r="X24" s="334" t="s">
        <v>18</v>
      </c>
      <c r="Y24" s="344">
        <v>36.299999999999997</v>
      </c>
      <c r="Z24" s="334" t="s">
        <v>83</v>
      </c>
      <c r="AA24" s="334" t="s">
        <v>22</v>
      </c>
      <c r="AB24" s="334" t="s">
        <v>11</v>
      </c>
      <c r="AC24" s="334">
        <v>22.6</v>
      </c>
      <c r="AD24" s="343"/>
      <c r="AG24" s="344"/>
      <c r="AL24" s="343"/>
      <c r="AO24" s="344"/>
      <c r="AP24" s="343"/>
      <c r="AS24" s="344"/>
      <c r="AW24" s="344"/>
      <c r="BA24" s="345"/>
    </row>
    <row r="25" spans="1:53" s="73" customFormat="1">
      <c r="A25" s="102">
        <v>1967.62857142857</v>
      </c>
      <c r="B25" s="85">
        <v>25007</v>
      </c>
      <c r="C25" s="988" t="s">
        <v>196</v>
      </c>
      <c r="D25" s="988"/>
      <c r="E25" s="73">
        <v>197</v>
      </c>
      <c r="F25" s="73">
        <v>6</v>
      </c>
      <c r="G25" s="123"/>
      <c r="H25" s="73">
        <v>16</v>
      </c>
      <c r="I25" s="73">
        <v>11</v>
      </c>
      <c r="J25" s="134">
        <v>27</v>
      </c>
      <c r="K25" s="92">
        <f t="shared" si="8"/>
        <v>0</v>
      </c>
      <c r="L25" s="92">
        <f t="shared" si="9"/>
        <v>59.259259259259252</v>
      </c>
      <c r="M25" s="92">
        <f t="shared" si="10"/>
        <v>40.74074074074074</v>
      </c>
      <c r="N25" s="125">
        <f t="shared" si="0"/>
        <v>100</v>
      </c>
      <c r="O25" s="91"/>
      <c r="P25" s="92">
        <v>32.6</v>
      </c>
      <c r="Q25" s="92">
        <v>27.8</v>
      </c>
      <c r="R25" s="93">
        <f t="shared" si="4"/>
        <v>60.400000000000006</v>
      </c>
      <c r="S25" s="97">
        <v>2</v>
      </c>
      <c r="T25" s="95">
        <v>24928</v>
      </c>
      <c r="U25" s="85">
        <v>25007</v>
      </c>
      <c r="V25" s="82" t="s">
        <v>81</v>
      </c>
      <c r="W25" s="73" t="s">
        <v>82</v>
      </c>
      <c r="X25" s="73" t="s">
        <v>18</v>
      </c>
      <c r="Y25" s="83">
        <v>23.6</v>
      </c>
      <c r="Z25" s="73" t="s">
        <v>85</v>
      </c>
      <c r="AA25" s="73" t="s">
        <v>86</v>
      </c>
      <c r="AB25" s="73" t="s">
        <v>18</v>
      </c>
      <c r="AC25" s="73">
        <v>9</v>
      </c>
      <c r="AD25" s="82" t="s">
        <v>84</v>
      </c>
      <c r="AE25" s="73" t="s">
        <v>20</v>
      </c>
      <c r="AF25" s="73" t="s">
        <v>12</v>
      </c>
      <c r="AG25" s="83">
        <v>27.8</v>
      </c>
      <c r="AL25" s="82"/>
      <c r="AO25" s="83"/>
      <c r="AP25" s="82"/>
      <c r="AS25" s="83"/>
      <c r="AW25" s="83"/>
      <c r="BA25" s="84"/>
    </row>
    <row r="26" spans="1:53" s="73" customFormat="1">
      <c r="A26" s="102">
        <v>1969</v>
      </c>
      <c r="B26" s="85"/>
      <c r="C26" s="988" t="s">
        <v>196</v>
      </c>
      <c r="D26" s="988"/>
      <c r="E26" s="73">
        <v>0</v>
      </c>
      <c r="G26" s="123"/>
      <c r="H26" s="73">
        <v>16</v>
      </c>
      <c r="I26" s="73">
        <v>11</v>
      </c>
      <c r="J26" s="134">
        <v>27</v>
      </c>
      <c r="K26" s="92">
        <f t="shared" si="8"/>
        <v>0</v>
      </c>
      <c r="L26" s="92">
        <f t="shared" si="9"/>
        <v>59.259259259259252</v>
      </c>
      <c r="M26" s="92">
        <f t="shared" si="10"/>
        <v>40.74074074074074</v>
      </c>
      <c r="N26" s="125">
        <f t="shared" si="0"/>
        <v>100</v>
      </c>
      <c r="O26" s="91"/>
      <c r="P26" s="92">
        <v>32.6</v>
      </c>
      <c r="Q26" s="92">
        <v>27.8</v>
      </c>
      <c r="R26" s="93">
        <f t="shared" si="4"/>
        <v>60.400000000000006</v>
      </c>
      <c r="S26" s="97">
        <v>2</v>
      </c>
      <c r="T26" s="95"/>
      <c r="U26" s="85"/>
      <c r="V26" s="82" t="s">
        <v>81</v>
      </c>
      <c r="W26" s="73" t="s">
        <v>82</v>
      </c>
      <c r="X26" s="73" t="s">
        <v>18</v>
      </c>
      <c r="Y26" s="83">
        <v>23.6</v>
      </c>
      <c r="Z26" s="73" t="s">
        <v>85</v>
      </c>
      <c r="AA26" s="73" t="s">
        <v>86</v>
      </c>
      <c r="AB26" s="73" t="s">
        <v>18</v>
      </c>
      <c r="AC26" s="73">
        <v>9</v>
      </c>
      <c r="AD26" s="82" t="s">
        <v>84</v>
      </c>
      <c r="AE26" s="73" t="s">
        <v>20</v>
      </c>
      <c r="AF26" s="73" t="s">
        <v>12</v>
      </c>
      <c r="AG26" s="83">
        <v>27.8</v>
      </c>
      <c r="AL26" s="82"/>
      <c r="AO26" s="83"/>
      <c r="AP26" s="82"/>
      <c r="AS26" s="83"/>
      <c r="AW26" s="83"/>
      <c r="BA26" s="84"/>
    </row>
    <row r="27" spans="1:53" s="73" customFormat="1">
      <c r="A27" s="102">
        <v>1968.5428571428599</v>
      </c>
      <c r="B27" s="85"/>
      <c r="C27" s="988" t="s">
        <v>196</v>
      </c>
      <c r="D27" s="988"/>
      <c r="E27" s="73">
        <v>365</v>
      </c>
      <c r="G27" s="123"/>
      <c r="H27" s="73">
        <v>16</v>
      </c>
      <c r="I27" s="73">
        <v>11</v>
      </c>
      <c r="J27" s="134">
        <v>27</v>
      </c>
      <c r="K27" s="92">
        <f t="shared" si="8"/>
        <v>0</v>
      </c>
      <c r="L27" s="92">
        <f t="shared" si="9"/>
        <v>59.259259259259252</v>
      </c>
      <c r="M27" s="92">
        <f t="shared" si="10"/>
        <v>40.74074074074074</v>
      </c>
      <c r="N27" s="125">
        <f t="shared" si="0"/>
        <v>100</v>
      </c>
      <c r="O27" s="91"/>
      <c r="P27" s="92">
        <v>32.6</v>
      </c>
      <c r="Q27" s="92">
        <v>27.8</v>
      </c>
      <c r="R27" s="93">
        <f t="shared" si="4"/>
        <v>60.400000000000006</v>
      </c>
      <c r="S27" s="97">
        <v>2</v>
      </c>
      <c r="T27" s="95"/>
      <c r="U27" s="85"/>
      <c r="V27" s="82" t="s">
        <v>81</v>
      </c>
      <c r="W27" s="73" t="s">
        <v>82</v>
      </c>
      <c r="X27" s="73" t="s">
        <v>18</v>
      </c>
      <c r="Y27" s="83">
        <v>23.6</v>
      </c>
      <c r="Z27" s="73" t="s">
        <v>85</v>
      </c>
      <c r="AA27" s="73" t="s">
        <v>86</v>
      </c>
      <c r="AB27" s="73" t="s">
        <v>18</v>
      </c>
      <c r="AC27" s="73">
        <v>9</v>
      </c>
      <c r="AD27" s="82" t="s">
        <v>84</v>
      </c>
      <c r="AE27" s="73" t="s">
        <v>20</v>
      </c>
      <c r="AF27" s="73" t="s">
        <v>12</v>
      </c>
      <c r="AG27" s="83">
        <v>27.8</v>
      </c>
      <c r="AL27" s="82"/>
      <c r="AO27" s="83"/>
      <c r="AP27" s="82"/>
      <c r="AS27" s="83"/>
      <c r="AW27" s="83"/>
      <c r="BA27" s="84"/>
    </row>
    <row r="28" spans="1:53" s="73" customFormat="1">
      <c r="A28" s="102">
        <v>1970</v>
      </c>
      <c r="B28" s="85"/>
      <c r="C28" s="988" t="s">
        <v>196</v>
      </c>
      <c r="D28" s="988"/>
      <c r="E28" s="73">
        <v>0</v>
      </c>
      <c r="G28" s="123"/>
      <c r="H28" s="73">
        <v>16</v>
      </c>
      <c r="I28" s="73">
        <v>11</v>
      </c>
      <c r="J28" s="134">
        <v>27</v>
      </c>
      <c r="K28" s="92">
        <f t="shared" si="8"/>
        <v>0</v>
      </c>
      <c r="L28" s="92">
        <f t="shared" si="9"/>
        <v>59.259259259259252</v>
      </c>
      <c r="M28" s="92">
        <f t="shared" si="10"/>
        <v>40.74074074074074</v>
      </c>
      <c r="N28" s="125">
        <f t="shared" si="0"/>
        <v>100</v>
      </c>
      <c r="O28" s="91"/>
      <c r="P28" s="92">
        <v>32.6</v>
      </c>
      <c r="Q28" s="92">
        <v>27.8</v>
      </c>
      <c r="R28" s="93">
        <f t="shared" si="4"/>
        <v>60.400000000000006</v>
      </c>
      <c r="S28" s="97">
        <v>2</v>
      </c>
      <c r="T28" s="95"/>
      <c r="U28" s="85"/>
      <c r="V28" s="82" t="s">
        <v>81</v>
      </c>
      <c r="W28" s="73" t="s">
        <v>82</v>
      </c>
      <c r="X28" s="73" t="s">
        <v>18</v>
      </c>
      <c r="Y28" s="83">
        <v>23.6</v>
      </c>
      <c r="Z28" s="73" t="s">
        <v>85</v>
      </c>
      <c r="AA28" s="73" t="s">
        <v>86</v>
      </c>
      <c r="AB28" s="73" t="s">
        <v>18</v>
      </c>
      <c r="AC28" s="73">
        <v>9</v>
      </c>
      <c r="AD28" s="82" t="s">
        <v>84</v>
      </c>
      <c r="AE28" s="73" t="s">
        <v>20</v>
      </c>
      <c r="AF28" s="73" t="s">
        <v>12</v>
      </c>
      <c r="AG28" s="83">
        <v>27.8</v>
      </c>
      <c r="AL28" s="82"/>
      <c r="AO28" s="83"/>
      <c r="AP28" s="82"/>
      <c r="AS28" s="83"/>
      <c r="AW28" s="83"/>
      <c r="BA28" s="84"/>
    </row>
    <row r="29" spans="1:53" s="73" customFormat="1">
      <c r="A29" s="102">
        <v>1970</v>
      </c>
      <c r="B29" s="85"/>
      <c r="C29" s="988" t="s">
        <v>196</v>
      </c>
      <c r="D29" s="988"/>
      <c r="E29" s="73">
        <v>365</v>
      </c>
      <c r="G29" s="123"/>
      <c r="H29" s="73">
        <v>16</v>
      </c>
      <c r="I29" s="73">
        <v>11</v>
      </c>
      <c r="J29" s="134">
        <v>27</v>
      </c>
      <c r="K29" s="92">
        <f>G29/J29*100</f>
        <v>0</v>
      </c>
      <c r="L29" s="92">
        <f>H29/J29*100</f>
        <v>59.259259259259252</v>
      </c>
      <c r="M29" s="92">
        <f>I29/J29*100</f>
        <v>40.74074074074074</v>
      </c>
      <c r="N29" s="125">
        <f t="shared" si="0"/>
        <v>100</v>
      </c>
      <c r="O29" s="91"/>
      <c r="P29" s="92">
        <v>32.6</v>
      </c>
      <c r="Q29" s="92">
        <v>27.8</v>
      </c>
      <c r="R29" s="93">
        <f t="shared" si="4"/>
        <v>60.400000000000006</v>
      </c>
      <c r="S29" s="97">
        <v>2</v>
      </c>
      <c r="T29" s="95"/>
      <c r="U29" s="85"/>
      <c r="V29" s="82" t="s">
        <v>81</v>
      </c>
      <c r="W29" s="73" t="s">
        <v>82</v>
      </c>
      <c r="X29" s="73" t="s">
        <v>18</v>
      </c>
      <c r="Y29" s="83">
        <v>23.6</v>
      </c>
      <c r="Z29" s="73" t="s">
        <v>85</v>
      </c>
      <c r="AA29" s="73" t="s">
        <v>86</v>
      </c>
      <c r="AB29" s="73" t="s">
        <v>18</v>
      </c>
      <c r="AC29" s="73">
        <v>9</v>
      </c>
      <c r="AD29" s="82" t="s">
        <v>84</v>
      </c>
      <c r="AE29" s="73" t="s">
        <v>20</v>
      </c>
      <c r="AF29" s="73" t="s">
        <v>12</v>
      </c>
      <c r="AG29" s="83">
        <v>27.8</v>
      </c>
      <c r="AL29" s="82"/>
      <c r="AO29" s="83"/>
      <c r="AP29" s="82"/>
      <c r="AS29" s="83"/>
      <c r="AW29" s="83"/>
      <c r="BA29" s="84"/>
    </row>
    <row r="30" spans="1:53" s="73" customFormat="1">
      <c r="A30" s="102">
        <v>1971</v>
      </c>
      <c r="B30" s="85"/>
      <c r="C30" s="988" t="s">
        <v>196</v>
      </c>
      <c r="D30" s="988"/>
      <c r="E30" s="73">
        <v>0</v>
      </c>
      <c r="G30" s="123"/>
      <c r="H30" s="73">
        <v>16</v>
      </c>
      <c r="I30" s="73">
        <v>11</v>
      </c>
      <c r="J30" s="134">
        <v>27</v>
      </c>
      <c r="K30" s="92">
        <f t="shared" ref="K30:K35" si="11">G30/J30*100</f>
        <v>0</v>
      </c>
      <c r="L30" s="92">
        <f t="shared" ref="L30:L35" si="12">H30/J30*100</f>
        <v>59.259259259259252</v>
      </c>
      <c r="M30" s="92">
        <f t="shared" ref="M30:M35" si="13">I30/J30*100</f>
        <v>40.74074074074074</v>
      </c>
      <c r="N30" s="125">
        <f t="shared" si="0"/>
        <v>100</v>
      </c>
      <c r="O30" s="91"/>
      <c r="P30" s="92">
        <v>32.6</v>
      </c>
      <c r="Q30" s="92">
        <v>27.8</v>
      </c>
      <c r="R30" s="93">
        <f t="shared" si="4"/>
        <v>60.400000000000006</v>
      </c>
      <c r="S30" s="97">
        <v>2</v>
      </c>
      <c r="T30" s="95"/>
      <c r="U30" s="85"/>
      <c r="V30" s="82" t="s">
        <v>81</v>
      </c>
      <c r="W30" s="73" t="s">
        <v>82</v>
      </c>
      <c r="X30" s="73" t="s">
        <v>18</v>
      </c>
      <c r="Y30" s="83">
        <v>23.6</v>
      </c>
      <c r="Z30" s="73" t="s">
        <v>85</v>
      </c>
      <c r="AA30" s="73" t="s">
        <v>86</v>
      </c>
      <c r="AB30" s="73" t="s">
        <v>18</v>
      </c>
      <c r="AC30" s="73">
        <v>9</v>
      </c>
      <c r="AD30" s="82" t="s">
        <v>84</v>
      </c>
      <c r="AE30" s="73" t="s">
        <v>20</v>
      </c>
      <c r="AF30" s="73" t="s">
        <v>12</v>
      </c>
      <c r="AG30" s="83">
        <v>27.8</v>
      </c>
      <c r="AL30" s="82"/>
      <c r="AO30" s="83"/>
      <c r="AP30" s="82"/>
      <c r="AS30" s="83"/>
      <c r="AW30" s="83"/>
      <c r="BA30" s="84"/>
    </row>
    <row r="31" spans="1:53" s="73" customFormat="1">
      <c r="A31" s="102">
        <v>1971</v>
      </c>
      <c r="B31" s="85"/>
      <c r="C31" s="988" t="s">
        <v>196</v>
      </c>
      <c r="D31" s="988"/>
      <c r="E31" s="73">
        <v>365</v>
      </c>
      <c r="G31" s="123"/>
      <c r="H31" s="73">
        <v>16</v>
      </c>
      <c r="I31" s="73">
        <v>11</v>
      </c>
      <c r="J31" s="134">
        <v>27</v>
      </c>
      <c r="K31" s="92">
        <f t="shared" si="11"/>
        <v>0</v>
      </c>
      <c r="L31" s="92">
        <f t="shared" si="12"/>
        <v>59.259259259259252</v>
      </c>
      <c r="M31" s="92">
        <f t="shared" si="13"/>
        <v>40.74074074074074</v>
      </c>
      <c r="N31" s="125">
        <f t="shared" si="0"/>
        <v>100</v>
      </c>
      <c r="O31" s="91"/>
      <c r="P31" s="92">
        <v>32.6</v>
      </c>
      <c r="Q31" s="92">
        <v>27.8</v>
      </c>
      <c r="R31" s="93">
        <f t="shared" si="4"/>
        <v>60.400000000000006</v>
      </c>
      <c r="S31" s="97">
        <v>2</v>
      </c>
      <c r="T31" s="95">
        <v>26244</v>
      </c>
      <c r="U31" s="85"/>
      <c r="V31" s="82" t="s">
        <v>81</v>
      </c>
      <c r="W31" s="73" t="s">
        <v>82</v>
      </c>
      <c r="X31" s="73" t="s">
        <v>18</v>
      </c>
      <c r="Y31" s="83">
        <v>23.6</v>
      </c>
      <c r="Z31" s="73" t="s">
        <v>85</v>
      </c>
      <c r="AA31" s="73" t="s">
        <v>86</v>
      </c>
      <c r="AB31" s="73" t="s">
        <v>18</v>
      </c>
      <c r="AC31" s="73">
        <v>9</v>
      </c>
      <c r="AD31" s="82" t="s">
        <v>84</v>
      </c>
      <c r="AE31" s="73" t="s">
        <v>20</v>
      </c>
      <c r="AF31" s="73" t="s">
        <v>12</v>
      </c>
      <c r="AG31" s="83">
        <v>27.8</v>
      </c>
      <c r="AL31" s="82"/>
      <c r="AO31" s="83"/>
      <c r="AP31" s="82"/>
      <c r="AS31" s="83"/>
      <c r="AW31" s="83"/>
      <c r="BA31" s="84"/>
    </row>
    <row r="32" spans="1:53" s="73" customFormat="1">
      <c r="A32" s="102">
        <v>1972</v>
      </c>
      <c r="B32" s="85"/>
      <c r="C32" s="988" t="s">
        <v>196</v>
      </c>
      <c r="D32" s="988"/>
      <c r="E32" s="73">
        <v>20</v>
      </c>
      <c r="G32" s="123"/>
      <c r="H32" s="73">
        <v>16</v>
      </c>
      <c r="I32" s="73">
        <v>11</v>
      </c>
      <c r="J32" s="134">
        <v>27</v>
      </c>
      <c r="K32" s="92">
        <f t="shared" si="11"/>
        <v>0</v>
      </c>
      <c r="L32" s="92">
        <f t="shared" si="12"/>
        <v>59.259259259259252</v>
      </c>
      <c r="M32" s="92">
        <f t="shared" si="13"/>
        <v>40.74074074074074</v>
      </c>
      <c r="N32" s="125">
        <f t="shared" si="0"/>
        <v>100</v>
      </c>
      <c r="O32" s="91"/>
      <c r="P32" s="92">
        <v>32.6</v>
      </c>
      <c r="Q32" s="92">
        <v>27.8</v>
      </c>
      <c r="R32" s="93">
        <f t="shared" si="4"/>
        <v>60.400000000000006</v>
      </c>
      <c r="S32" s="97">
        <v>2</v>
      </c>
      <c r="T32" s="95"/>
      <c r="U32" s="85"/>
      <c r="V32" s="82" t="s">
        <v>81</v>
      </c>
      <c r="W32" s="73" t="s">
        <v>82</v>
      </c>
      <c r="X32" s="73" t="s">
        <v>18</v>
      </c>
      <c r="Y32" s="83">
        <v>23.6</v>
      </c>
      <c r="Z32" s="73" t="s">
        <v>85</v>
      </c>
      <c r="AA32" s="73" t="s">
        <v>86</v>
      </c>
      <c r="AB32" s="73" t="s">
        <v>18</v>
      </c>
      <c r="AC32" s="73">
        <v>9</v>
      </c>
      <c r="AD32" s="82" t="s">
        <v>84</v>
      </c>
      <c r="AE32" s="73" t="s">
        <v>20</v>
      </c>
      <c r="AF32" s="73" t="s">
        <v>12</v>
      </c>
      <c r="AG32" s="83">
        <v>27.8</v>
      </c>
      <c r="AL32" s="82"/>
      <c r="AO32" s="83"/>
      <c r="AP32" s="82"/>
      <c r="AS32" s="83"/>
      <c r="AW32" s="83"/>
      <c r="BA32" s="84"/>
    </row>
    <row r="33" spans="1:53" s="73" customFormat="1">
      <c r="A33" s="102">
        <v>1972</v>
      </c>
      <c r="B33" s="135">
        <v>26319</v>
      </c>
      <c r="C33" s="988" t="s">
        <v>196</v>
      </c>
      <c r="D33" s="988"/>
      <c r="E33" s="73">
        <v>346</v>
      </c>
      <c r="F33" s="129">
        <v>0</v>
      </c>
      <c r="G33" s="123"/>
      <c r="H33" s="73">
        <v>10</v>
      </c>
      <c r="I33" s="73">
        <v>9</v>
      </c>
      <c r="J33" s="134">
        <v>19</v>
      </c>
      <c r="K33" s="92">
        <f t="shared" si="11"/>
        <v>0</v>
      </c>
      <c r="L33" s="92">
        <f t="shared" si="12"/>
        <v>52.631578947368418</v>
      </c>
      <c r="M33" s="92">
        <f t="shared" si="13"/>
        <v>47.368421052631575</v>
      </c>
      <c r="N33" s="125">
        <f t="shared" si="0"/>
        <v>100</v>
      </c>
      <c r="O33" s="91"/>
      <c r="P33" s="92">
        <v>32.6</v>
      </c>
      <c r="Q33" s="92">
        <v>27.8</v>
      </c>
      <c r="R33" s="93">
        <f t="shared" si="4"/>
        <v>60.400000000000006</v>
      </c>
      <c r="S33" s="97">
        <v>2</v>
      </c>
      <c r="T33" s="95"/>
      <c r="U33" s="85"/>
      <c r="V33" s="82" t="s">
        <v>81</v>
      </c>
      <c r="W33" s="73" t="s">
        <v>82</v>
      </c>
      <c r="X33" s="73" t="s">
        <v>18</v>
      </c>
      <c r="Y33" s="83">
        <v>23.6</v>
      </c>
      <c r="Z33" s="73" t="s">
        <v>85</v>
      </c>
      <c r="AA33" s="73" t="s">
        <v>86</v>
      </c>
      <c r="AB33" s="73" t="s">
        <v>18</v>
      </c>
      <c r="AC33" s="73">
        <v>9</v>
      </c>
      <c r="AD33" s="82" t="s">
        <v>84</v>
      </c>
      <c r="AE33" s="73" t="s">
        <v>20</v>
      </c>
      <c r="AF33" s="73" t="s">
        <v>12</v>
      </c>
      <c r="AG33" s="83">
        <v>27.8</v>
      </c>
      <c r="AL33" s="82"/>
      <c r="AO33" s="83"/>
      <c r="AP33" s="82"/>
      <c r="AS33" s="83"/>
      <c r="AW33" s="83"/>
      <c r="BA33" s="84"/>
    </row>
    <row r="34" spans="1:53" s="73" customFormat="1">
      <c r="A34" s="102">
        <v>1973</v>
      </c>
      <c r="B34" s="85"/>
      <c r="C34" s="988" t="s">
        <v>196</v>
      </c>
      <c r="D34" s="988"/>
      <c r="E34" s="73">
        <v>25</v>
      </c>
      <c r="G34" s="123"/>
      <c r="H34" s="73">
        <v>10</v>
      </c>
      <c r="I34" s="73">
        <v>9</v>
      </c>
      <c r="J34" s="134">
        <v>19</v>
      </c>
      <c r="K34" s="92">
        <f t="shared" si="11"/>
        <v>0</v>
      </c>
      <c r="L34" s="92">
        <f t="shared" si="12"/>
        <v>52.631578947368418</v>
      </c>
      <c r="M34" s="92">
        <f t="shared" si="13"/>
        <v>47.368421052631575</v>
      </c>
      <c r="N34" s="125">
        <f t="shared" si="0"/>
        <v>100</v>
      </c>
      <c r="O34" s="91"/>
      <c r="P34" s="92">
        <v>32.6</v>
      </c>
      <c r="Q34" s="92">
        <v>27.8</v>
      </c>
      <c r="R34" s="93">
        <f t="shared" si="4"/>
        <v>60.400000000000006</v>
      </c>
      <c r="S34" s="97">
        <v>2</v>
      </c>
      <c r="T34" s="95"/>
      <c r="U34" s="85"/>
      <c r="V34" s="82" t="s">
        <v>81</v>
      </c>
      <c r="W34" s="73" t="s">
        <v>82</v>
      </c>
      <c r="X34" s="73" t="s">
        <v>18</v>
      </c>
      <c r="Y34" s="83">
        <v>23.6</v>
      </c>
      <c r="Z34" s="73" t="s">
        <v>85</v>
      </c>
      <c r="AA34" s="73" t="s">
        <v>86</v>
      </c>
      <c r="AB34" s="73" t="s">
        <v>18</v>
      </c>
      <c r="AC34" s="73">
        <v>9</v>
      </c>
      <c r="AD34" s="82" t="s">
        <v>84</v>
      </c>
      <c r="AE34" s="73" t="s">
        <v>20</v>
      </c>
      <c r="AF34" s="73" t="s">
        <v>12</v>
      </c>
      <c r="AG34" s="83">
        <v>27.8</v>
      </c>
      <c r="AL34" s="82"/>
      <c r="AO34" s="83"/>
      <c r="AP34" s="82"/>
      <c r="AS34" s="83"/>
      <c r="AW34" s="83"/>
      <c r="BA34" s="84"/>
    </row>
    <row r="35" spans="1:53" s="334" customFormat="1">
      <c r="A35" s="386">
        <v>1973</v>
      </c>
      <c r="B35" s="355">
        <v>26690</v>
      </c>
      <c r="C35" s="965" t="s">
        <v>198</v>
      </c>
      <c r="D35" s="965"/>
      <c r="E35" s="334">
        <v>340</v>
      </c>
      <c r="F35" s="334">
        <v>7</v>
      </c>
      <c r="G35" s="419">
        <v>4</v>
      </c>
      <c r="H35" s="334">
        <v>9</v>
      </c>
      <c r="I35" s="334">
        <v>9</v>
      </c>
      <c r="J35" s="435">
        <v>22</v>
      </c>
      <c r="K35" s="384">
        <f t="shared" si="11"/>
        <v>18.181818181818183</v>
      </c>
      <c r="L35" s="384">
        <f t="shared" si="12"/>
        <v>40.909090909090914</v>
      </c>
      <c r="M35" s="384">
        <f t="shared" si="13"/>
        <v>40.909090909090914</v>
      </c>
      <c r="N35" s="421">
        <f t="shared" si="0"/>
        <v>100</v>
      </c>
      <c r="O35" s="383">
        <v>9.4</v>
      </c>
      <c r="P35" s="384">
        <v>31.6</v>
      </c>
      <c r="Q35" s="384">
        <v>28.8</v>
      </c>
      <c r="R35" s="385">
        <f t="shared" si="4"/>
        <v>69.8</v>
      </c>
      <c r="S35" s="388">
        <v>3</v>
      </c>
      <c r="T35" s="342"/>
      <c r="U35" s="355">
        <v>26690</v>
      </c>
      <c r="V35" s="343" t="s">
        <v>81</v>
      </c>
      <c r="W35" s="334" t="s">
        <v>82</v>
      </c>
      <c r="X35" s="334" t="s">
        <v>18</v>
      </c>
      <c r="Y35" s="344">
        <v>22.2</v>
      </c>
      <c r="Z35" s="334" t="s">
        <v>85</v>
      </c>
      <c r="AA35" s="334" t="s">
        <v>86</v>
      </c>
      <c r="AB35" s="334" t="s">
        <v>18</v>
      </c>
      <c r="AC35" s="334">
        <v>9.4</v>
      </c>
      <c r="AD35" s="343" t="s">
        <v>84</v>
      </c>
      <c r="AE35" s="334" t="s">
        <v>20</v>
      </c>
      <c r="AF35" s="334" t="s">
        <v>12</v>
      </c>
      <c r="AG35" s="344">
        <v>28.8</v>
      </c>
      <c r="AH35" s="334" t="s">
        <v>87</v>
      </c>
      <c r="AI35" s="334" t="s">
        <v>88</v>
      </c>
      <c r="AJ35" s="334" t="s">
        <v>11</v>
      </c>
      <c r="AK35" s="334">
        <v>9.4</v>
      </c>
      <c r="AL35" s="343"/>
      <c r="AO35" s="344"/>
      <c r="AP35" s="343"/>
      <c r="AS35" s="344"/>
      <c r="AW35" s="344"/>
      <c r="BA35" s="345"/>
    </row>
    <row r="36" spans="1:53" s="334" customFormat="1">
      <c r="A36" s="386">
        <v>1974</v>
      </c>
      <c r="B36" s="355"/>
      <c r="C36" s="965" t="s">
        <v>198</v>
      </c>
      <c r="D36" s="965"/>
      <c r="E36" s="334">
        <v>114</v>
      </c>
      <c r="G36" s="419">
        <v>4</v>
      </c>
      <c r="H36" s="334">
        <v>9</v>
      </c>
      <c r="I36" s="334">
        <v>9</v>
      </c>
      <c r="J36" s="435">
        <v>22</v>
      </c>
      <c r="K36" s="384">
        <f>G36/J36*100</f>
        <v>18.181818181818183</v>
      </c>
      <c r="L36" s="384">
        <f>H36/J36*100</f>
        <v>40.909090909090914</v>
      </c>
      <c r="M36" s="384">
        <f>I36/J36*100</f>
        <v>40.909090909090914</v>
      </c>
      <c r="N36" s="421">
        <f t="shared" si="0"/>
        <v>100</v>
      </c>
      <c r="O36" s="383">
        <v>9.4</v>
      </c>
      <c r="P36" s="384">
        <v>31.6</v>
      </c>
      <c r="Q36" s="384">
        <v>28.8</v>
      </c>
      <c r="R36" s="385">
        <f t="shared" si="4"/>
        <v>69.8</v>
      </c>
      <c r="S36" s="388">
        <v>3</v>
      </c>
      <c r="T36" s="342"/>
      <c r="U36" s="355"/>
      <c r="V36" s="343" t="s">
        <v>81</v>
      </c>
      <c r="W36" s="334" t="s">
        <v>82</v>
      </c>
      <c r="X36" s="334" t="s">
        <v>18</v>
      </c>
      <c r="Y36" s="344">
        <v>22.2</v>
      </c>
      <c r="Z36" s="334" t="s">
        <v>85</v>
      </c>
      <c r="AA36" s="334" t="s">
        <v>86</v>
      </c>
      <c r="AB36" s="334" t="s">
        <v>18</v>
      </c>
      <c r="AC36" s="334">
        <v>9.4</v>
      </c>
      <c r="AD36" s="343" t="s">
        <v>84</v>
      </c>
      <c r="AE36" s="334" t="s">
        <v>20</v>
      </c>
      <c r="AF36" s="334" t="s">
        <v>12</v>
      </c>
      <c r="AG36" s="344">
        <v>28.8</v>
      </c>
      <c r="AH36" s="334" t="s">
        <v>87</v>
      </c>
      <c r="AI36" s="334" t="s">
        <v>88</v>
      </c>
      <c r="AJ36" s="334" t="s">
        <v>11</v>
      </c>
      <c r="AK36" s="334">
        <v>9.4</v>
      </c>
      <c r="AL36" s="343"/>
      <c r="AO36" s="344"/>
      <c r="AP36" s="343"/>
      <c r="AS36" s="344"/>
      <c r="AW36" s="344"/>
      <c r="BA36" s="345"/>
    </row>
    <row r="37" spans="1:53" s="73" customFormat="1">
      <c r="A37" s="102">
        <v>1974</v>
      </c>
      <c r="B37" s="85">
        <v>27144</v>
      </c>
      <c r="C37" s="966" t="s">
        <v>199</v>
      </c>
      <c r="D37" s="966"/>
      <c r="E37" s="73">
        <v>48</v>
      </c>
      <c r="F37" s="73">
        <v>5</v>
      </c>
      <c r="G37" s="123">
        <v>6</v>
      </c>
      <c r="H37" s="73">
        <v>13</v>
      </c>
      <c r="J37" s="134">
        <v>19</v>
      </c>
      <c r="K37" s="92">
        <f>G37/J37*100</f>
        <v>31.578947368421051</v>
      </c>
      <c r="L37" s="92">
        <f>H37/J37*100</f>
        <v>68.421052631578945</v>
      </c>
      <c r="M37" s="92">
        <f>I37/J37*100</f>
        <v>0</v>
      </c>
      <c r="N37" s="125">
        <f t="shared" si="0"/>
        <v>100</v>
      </c>
      <c r="O37" s="91">
        <v>9.1999999999999993</v>
      </c>
      <c r="P37" s="92">
        <v>44.4</v>
      </c>
      <c r="Q37" s="92"/>
      <c r="R37" s="93">
        <f t="shared" si="4"/>
        <v>53.599999999999994</v>
      </c>
      <c r="S37" s="97">
        <v>2</v>
      </c>
      <c r="T37" s="95">
        <v>27098</v>
      </c>
      <c r="U37" s="85">
        <v>27144</v>
      </c>
      <c r="V37" s="82" t="s">
        <v>81</v>
      </c>
      <c r="W37" s="73" t="s">
        <v>82</v>
      </c>
      <c r="X37" s="73" t="s">
        <v>18</v>
      </c>
      <c r="Y37" s="83">
        <v>23.6</v>
      </c>
      <c r="Z37" s="73" t="s">
        <v>85</v>
      </c>
      <c r="AA37" s="73" t="s">
        <v>86</v>
      </c>
      <c r="AB37" s="73" t="s">
        <v>18</v>
      </c>
      <c r="AC37" s="73">
        <v>10.4</v>
      </c>
      <c r="AD37" s="82" t="s">
        <v>87</v>
      </c>
      <c r="AE37" s="73" t="s">
        <v>88</v>
      </c>
      <c r="AF37" s="73" t="s">
        <v>11</v>
      </c>
      <c r="AG37" s="83">
        <v>9.1999999999999993</v>
      </c>
      <c r="AH37" s="73" t="s">
        <v>89</v>
      </c>
      <c r="AI37" s="73" t="s">
        <v>90</v>
      </c>
      <c r="AJ37" s="73" t="s">
        <v>18</v>
      </c>
      <c r="AK37" s="73">
        <v>10.4</v>
      </c>
      <c r="AL37" s="82"/>
      <c r="AO37" s="83"/>
      <c r="AP37" s="82"/>
      <c r="AS37" s="83"/>
      <c r="AW37" s="83"/>
      <c r="BA37" s="84"/>
    </row>
    <row r="38" spans="1:53" s="334" customFormat="1">
      <c r="A38" s="386">
        <v>1974</v>
      </c>
      <c r="B38" s="355">
        <v>27192</v>
      </c>
      <c r="C38" s="965" t="s">
        <v>200</v>
      </c>
      <c r="D38" s="965"/>
      <c r="E38" s="334">
        <v>203</v>
      </c>
      <c r="F38" s="334">
        <v>7</v>
      </c>
      <c r="G38" s="419">
        <v>6</v>
      </c>
      <c r="H38" s="334">
        <v>15</v>
      </c>
      <c r="J38" s="435">
        <v>21</v>
      </c>
      <c r="K38" s="384">
        <f t="shared" ref="K38:K43" si="14">G38/J38*100</f>
        <v>28.571428571428569</v>
      </c>
      <c r="L38" s="384">
        <f t="shared" ref="L38:L43" si="15">H38/J38*100</f>
        <v>71.428571428571431</v>
      </c>
      <c r="M38" s="384">
        <f t="shared" ref="M38:M43" si="16">I38/J38*100</f>
        <v>0</v>
      </c>
      <c r="N38" s="421">
        <f t="shared" si="0"/>
        <v>100</v>
      </c>
      <c r="O38" s="383">
        <v>9.1999999999999993</v>
      </c>
      <c r="P38" s="384">
        <v>50.5</v>
      </c>
      <c r="Q38" s="384"/>
      <c r="R38" s="385">
        <f t="shared" si="4"/>
        <v>59.7</v>
      </c>
      <c r="S38" s="388">
        <v>3</v>
      </c>
      <c r="T38" s="342"/>
      <c r="U38" s="355">
        <v>27192</v>
      </c>
      <c r="V38" s="343" t="s">
        <v>81</v>
      </c>
      <c r="W38" s="334" t="s">
        <v>82</v>
      </c>
      <c r="X38" s="334" t="s">
        <v>18</v>
      </c>
      <c r="Y38" s="344">
        <v>23.6</v>
      </c>
      <c r="Z38" s="334" t="s">
        <v>85</v>
      </c>
      <c r="AA38" s="334" t="s">
        <v>86</v>
      </c>
      <c r="AB38" s="334" t="s">
        <v>18</v>
      </c>
      <c r="AC38" s="334">
        <v>10.4</v>
      </c>
      <c r="AD38" s="343" t="s">
        <v>87</v>
      </c>
      <c r="AE38" s="334" t="s">
        <v>88</v>
      </c>
      <c r="AF38" s="334" t="s">
        <v>11</v>
      </c>
      <c r="AG38" s="344">
        <v>9.1999999999999993</v>
      </c>
      <c r="AH38" s="334" t="s">
        <v>89</v>
      </c>
      <c r="AI38" s="334" t="s">
        <v>90</v>
      </c>
      <c r="AJ38" s="334" t="s">
        <v>18</v>
      </c>
      <c r="AK38" s="334">
        <v>10.4</v>
      </c>
      <c r="AL38" s="343" t="s">
        <v>91</v>
      </c>
      <c r="AM38" s="334" t="s">
        <v>92</v>
      </c>
      <c r="AN38" s="334" t="s">
        <v>18</v>
      </c>
      <c r="AO38" s="344">
        <v>6.1</v>
      </c>
      <c r="AP38" s="343"/>
      <c r="AS38" s="344"/>
      <c r="AW38" s="344"/>
      <c r="BA38" s="345"/>
    </row>
    <row r="39" spans="1:53" s="334" customFormat="1">
      <c r="A39" s="386">
        <v>1975</v>
      </c>
      <c r="B39" s="355"/>
      <c r="C39" s="965" t="s">
        <v>200</v>
      </c>
      <c r="D39" s="965"/>
      <c r="E39" s="334">
        <v>0</v>
      </c>
      <c r="G39" s="419">
        <v>6</v>
      </c>
      <c r="H39" s="334">
        <v>15</v>
      </c>
      <c r="J39" s="435">
        <v>21</v>
      </c>
      <c r="K39" s="384">
        <f t="shared" si="14"/>
        <v>28.571428571428569</v>
      </c>
      <c r="L39" s="384">
        <f t="shared" si="15"/>
        <v>71.428571428571431</v>
      </c>
      <c r="M39" s="384">
        <f t="shared" si="16"/>
        <v>0</v>
      </c>
      <c r="N39" s="421">
        <f t="shared" si="0"/>
        <v>100</v>
      </c>
      <c r="O39" s="383">
        <v>9.1999999999999993</v>
      </c>
      <c r="P39" s="384">
        <v>50.5</v>
      </c>
      <c r="Q39" s="384"/>
      <c r="R39" s="385">
        <f t="shared" si="4"/>
        <v>59.7</v>
      </c>
      <c r="S39" s="388">
        <v>3</v>
      </c>
      <c r="T39" s="342"/>
      <c r="U39" s="355"/>
      <c r="V39" s="343" t="s">
        <v>81</v>
      </c>
      <c r="W39" s="334" t="s">
        <v>82</v>
      </c>
      <c r="X39" s="334" t="s">
        <v>18</v>
      </c>
      <c r="Y39" s="344">
        <v>23.6</v>
      </c>
      <c r="Z39" s="334" t="s">
        <v>85</v>
      </c>
      <c r="AA39" s="334" t="s">
        <v>86</v>
      </c>
      <c r="AB39" s="334" t="s">
        <v>18</v>
      </c>
      <c r="AC39" s="334">
        <v>10.4</v>
      </c>
      <c r="AD39" s="343" t="s">
        <v>87</v>
      </c>
      <c r="AE39" s="334" t="s">
        <v>88</v>
      </c>
      <c r="AF39" s="334" t="s">
        <v>11</v>
      </c>
      <c r="AG39" s="344">
        <v>9.1999999999999993</v>
      </c>
      <c r="AH39" s="334" t="s">
        <v>89</v>
      </c>
      <c r="AI39" s="334" t="s">
        <v>90</v>
      </c>
      <c r="AJ39" s="334" t="s">
        <v>18</v>
      </c>
      <c r="AK39" s="334">
        <v>10.4</v>
      </c>
      <c r="AL39" s="343" t="s">
        <v>91</v>
      </c>
      <c r="AM39" s="334" t="s">
        <v>92</v>
      </c>
      <c r="AN39" s="334" t="s">
        <v>18</v>
      </c>
      <c r="AO39" s="344">
        <v>6.1</v>
      </c>
      <c r="AP39" s="343"/>
      <c r="AS39" s="344"/>
      <c r="AW39" s="344"/>
      <c r="BA39" s="345"/>
    </row>
    <row r="40" spans="1:53" s="334" customFormat="1">
      <c r="A40" s="386">
        <v>1975</v>
      </c>
      <c r="B40" s="355"/>
      <c r="C40" s="965" t="s">
        <v>200</v>
      </c>
      <c r="D40" s="965"/>
      <c r="E40" s="334">
        <v>365</v>
      </c>
      <c r="G40" s="419">
        <v>6</v>
      </c>
      <c r="H40" s="334">
        <v>15</v>
      </c>
      <c r="J40" s="435">
        <v>21</v>
      </c>
      <c r="K40" s="384">
        <f t="shared" si="14"/>
        <v>28.571428571428569</v>
      </c>
      <c r="L40" s="384">
        <f t="shared" si="15"/>
        <v>71.428571428571431</v>
      </c>
      <c r="M40" s="384">
        <f t="shared" si="16"/>
        <v>0</v>
      </c>
      <c r="N40" s="421">
        <f t="shared" si="0"/>
        <v>100</v>
      </c>
      <c r="O40" s="383">
        <v>9.1999999999999993</v>
      </c>
      <c r="P40" s="384">
        <v>50.5</v>
      </c>
      <c r="Q40" s="384"/>
      <c r="R40" s="385">
        <f t="shared" si="4"/>
        <v>59.7</v>
      </c>
      <c r="S40" s="388">
        <v>3</v>
      </c>
      <c r="T40" s="342"/>
      <c r="U40" s="355"/>
      <c r="V40" s="343" t="s">
        <v>81</v>
      </c>
      <c r="W40" s="334" t="s">
        <v>82</v>
      </c>
      <c r="X40" s="334" t="s">
        <v>18</v>
      </c>
      <c r="Y40" s="344">
        <v>23.6</v>
      </c>
      <c r="Z40" s="334" t="s">
        <v>85</v>
      </c>
      <c r="AA40" s="334" t="s">
        <v>86</v>
      </c>
      <c r="AB40" s="334" t="s">
        <v>18</v>
      </c>
      <c r="AC40" s="334">
        <v>10.4</v>
      </c>
      <c r="AD40" s="343" t="s">
        <v>87</v>
      </c>
      <c r="AE40" s="334" t="s">
        <v>88</v>
      </c>
      <c r="AF40" s="334" t="s">
        <v>11</v>
      </c>
      <c r="AG40" s="344">
        <v>9.1999999999999993</v>
      </c>
      <c r="AH40" s="334" t="s">
        <v>89</v>
      </c>
      <c r="AI40" s="334" t="s">
        <v>90</v>
      </c>
      <c r="AJ40" s="334" t="s">
        <v>18</v>
      </c>
      <c r="AK40" s="334">
        <v>10.4</v>
      </c>
      <c r="AL40" s="343" t="s">
        <v>91</v>
      </c>
      <c r="AM40" s="334" t="s">
        <v>92</v>
      </c>
      <c r="AN40" s="334" t="s">
        <v>18</v>
      </c>
      <c r="AO40" s="344">
        <v>6.1</v>
      </c>
      <c r="AP40" s="343"/>
      <c r="AS40" s="344"/>
      <c r="AW40" s="344"/>
      <c r="BA40" s="345"/>
    </row>
    <row r="41" spans="1:53" s="334" customFormat="1">
      <c r="A41" s="386">
        <v>1976</v>
      </c>
      <c r="B41" s="355"/>
      <c r="C41" s="965" t="s">
        <v>200</v>
      </c>
      <c r="D41" s="965"/>
      <c r="E41" s="334">
        <v>343</v>
      </c>
      <c r="G41" s="419">
        <v>6</v>
      </c>
      <c r="H41" s="334">
        <v>15</v>
      </c>
      <c r="J41" s="435">
        <v>21</v>
      </c>
      <c r="K41" s="384">
        <f t="shared" si="14"/>
        <v>28.571428571428569</v>
      </c>
      <c r="L41" s="384">
        <f t="shared" si="15"/>
        <v>71.428571428571431</v>
      </c>
      <c r="M41" s="384">
        <f t="shared" si="16"/>
        <v>0</v>
      </c>
      <c r="N41" s="421">
        <f t="shared" si="0"/>
        <v>100</v>
      </c>
      <c r="O41" s="383">
        <v>9.1999999999999993</v>
      </c>
      <c r="P41" s="384">
        <v>50.5</v>
      </c>
      <c r="Q41" s="384"/>
      <c r="R41" s="385">
        <f t="shared" si="4"/>
        <v>59.7</v>
      </c>
      <c r="S41" s="388">
        <v>3</v>
      </c>
      <c r="T41" s="342"/>
      <c r="U41" s="355"/>
      <c r="V41" s="343" t="s">
        <v>81</v>
      </c>
      <c r="W41" s="334" t="s">
        <v>82</v>
      </c>
      <c r="X41" s="334" t="s">
        <v>18</v>
      </c>
      <c r="Y41" s="344">
        <v>23.6</v>
      </c>
      <c r="Z41" s="334" t="s">
        <v>85</v>
      </c>
      <c r="AA41" s="334" t="s">
        <v>86</v>
      </c>
      <c r="AB41" s="334" t="s">
        <v>18</v>
      </c>
      <c r="AC41" s="334">
        <v>10.4</v>
      </c>
      <c r="AD41" s="343" t="s">
        <v>87</v>
      </c>
      <c r="AE41" s="334" t="s">
        <v>88</v>
      </c>
      <c r="AF41" s="334" t="s">
        <v>11</v>
      </c>
      <c r="AG41" s="344">
        <v>9.1999999999999993</v>
      </c>
      <c r="AH41" s="334" t="s">
        <v>89</v>
      </c>
      <c r="AI41" s="334" t="s">
        <v>90</v>
      </c>
      <c r="AJ41" s="334" t="s">
        <v>18</v>
      </c>
      <c r="AK41" s="334">
        <v>10.4</v>
      </c>
      <c r="AL41" s="343" t="s">
        <v>91</v>
      </c>
      <c r="AM41" s="334" t="s">
        <v>92</v>
      </c>
      <c r="AN41" s="334" t="s">
        <v>18</v>
      </c>
      <c r="AO41" s="344">
        <v>6.1</v>
      </c>
      <c r="AP41" s="343"/>
      <c r="AS41" s="344"/>
      <c r="AW41" s="344"/>
      <c r="BA41" s="345"/>
    </row>
    <row r="42" spans="1:53" s="334" customFormat="1">
      <c r="A42" s="386">
        <v>1976</v>
      </c>
      <c r="B42" s="436">
        <v>28103</v>
      </c>
      <c r="C42" s="965" t="s">
        <v>200</v>
      </c>
      <c r="D42" s="965"/>
      <c r="E42" s="334">
        <v>23</v>
      </c>
      <c r="F42" s="360">
        <v>0</v>
      </c>
      <c r="G42" s="419">
        <v>8</v>
      </c>
      <c r="H42" s="334">
        <v>17</v>
      </c>
      <c r="J42" s="435">
        <v>25</v>
      </c>
      <c r="K42" s="384">
        <f t="shared" si="14"/>
        <v>32</v>
      </c>
      <c r="L42" s="384">
        <f t="shared" si="15"/>
        <v>68</v>
      </c>
      <c r="M42" s="384">
        <f t="shared" si="16"/>
        <v>0</v>
      </c>
      <c r="N42" s="421">
        <f t="shared" si="0"/>
        <v>100</v>
      </c>
      <c r="O42" s="383">
        <v>9.1999999999999993</v>
      </c>
      <c r="P42" s="384">
        <v>50.5</v>
      </c>
      <c r="Q42" s="384"/>
      <c r="R42" s="385">
        <f t="shared" si="4"/>
        <v>59.7</v>
      </c>
      <c r="S42" s="388">
        <v>3</v>
      </c>
      <c r="T42" s="342"/>
      <c r="U42" s="355"/>
      <c r="V42" s="343" t="s">
        <v>81</v>
      </c>
      <c r="W42" s="334" t="s">
        <v>82</v>
      </c>
      <c r="X42" s="334" t="s">
        <v>18</v>
      </c>
      <c r="Y42" s="344">
        <v>23.6</v>
      </c>
      <c r="Z42" s="334" t="s">
        <v>85</v>
      </c>
      <c r="AA42" s="334" t="s">
        <v>86</v>
      </c>
      <c r="AB42" s="334" t="s">
        <v>18</v>
      </c>
      <c r="AC42" s="334">
        <v>10.4</v>
      </c>
      <c r="AD42" s="343" t="s">
        <v>87</v>
      </c>
      <c r="AE42" s="334" t="s">
        <v>88</v>
      </c>
      <c r="AF42" s="334" t="s">
        <v>11</v>
      </c>
      <c r="AG42" s="344">
        <v>9.1999999999999993</v>
      </c>
      <c r="AH42" s="334" t="s">
        <v>89</v>
      </c>
      <c r="AI42" s="334" t="s">
        <v>90</v>
      </c>
      <c r="AJ42" s="334" t="s">
        <v>18</v>
      </c>
      <c r="AK42" s="334">
        <v>10.4</v>
      </c>
      <c r="AL42" s="343" t="s">
        <v>91</v>
      </c>
      <c r="AM42" s="334" t="s">
        <v>92</v>
      </c>
      <c r="AN42" s="334" t="s">
        <v>18</v>
      </c>
      <c r="AO42" s="344">
        <v>6.1</v>
      </c>
      <c r="AP42" s="343"/>
      <c r="AS42" s="344"/>
      <c r="AW42" s="344"/>
      <c r="BA42" s="345"/>
    </row>
    <row r="43" spans="1:53" s="334" customFormat="1">
      <c r="A43" s="386">
        <v>1977</v>
      </c>
      <c r="B43" s="355"/>
      <c r="C43" s="965" t="s">
        <v>200</v>
      </c>
      <c r="D43" s="965"/>
      <c r="E43" s="334">
        <v>153</v>
      </c>
      <c r="G43" s="419">
        <v>8</v>
      </c>
      <c r="H43" s="334">
        <v>17</v>
      </c>
      <c r="J43" s="435">
        <v>25</v>
      </c>
      <c r="K43" s="384">
        <f t="shared" si="14"/>
        <v>32</v>
      </c>
      <c r="L43" s="384">
        <f t="shared" si="15"/>
        <v>68</v>
      </c>
      <c r="M43" s="384">
        <f t="shared" si="16"/>
        <v>0</v>
      </c>
      <c r="N43" s="421">
        <f t="shared" si="0"/>
        <v>100</v>
      </c>
      <c r="O43" s="383">
        <v>9.1999999999999993</v>
      </c>
      <c r="P43" s="384">
        <v>50.5</v>
      </c>
      <c r="Q43" s="384"/>
      <c r="R43" s="385">
        <f t="shared" si="4"/>
        <v>59.7</v>
      </c>
      <c r="S43" s="388">
        <v>3</v>
      </c>
      <c r="T43" s="342"/>
      <c r="U43" s="355"/>
      <c r="V43" s="343" t="s">
        <v>81</v>
      </c>
      <c r="W43" s="334" t="s">
        <v>82</v>
      </c>
      <c r="X43" s="334" t="s">
        <v>18</v>
      </c>
      <c r="Y43" s="344">
        <v>23.6</v>
      </c>
      <c r="Z43" s="334" t="s">
        <v>85</v>
      </c>
      <c r="AA43" s="334" t="s">
        <v>86</v>
      </c>
      <c r="AB43" s="334" t="s">
        <v>18</v>
      </c>
      <c r="AC43" s="334">
        <v>10.4</v>
      </c>
      <c r="AD43" s="343" t="s">
        <v>87</v>
      </c>
      <c r="AE43" s="334" t="s">
        <v>88</v>
      </c>
      <c r="AF43" s="334" t="s">
        <v>11</v>
      </c>
      <c r="AG43" s="344">
        <v>9.1999999999999993</v>
      </c>
      <c r="AH43" s="334" t="s">
        <v>89</v>
      </c>
      <c r="AI43" s="334" t="s">
        <v>90</v>
      </c>
      <c r="AJ43" s="334" t="s">
        <v>18</v>
      </c>
      <c r="AK43" s="334">
        <v>10.4</v>
      </c>
      <c r="AL43" s="343" t="s">
        <v>91</v>
      </c>
      <c r="AM43" s="334" t="s">
        <v>92</v>
      </c>
      <c r="AN43" s="334" t="s">
        <v>18</v>
      </c>
      <c r="AO43" s="344">
        <v>6.1</v>
      </c>
      <c r="AP43" s="343"/>
      <c r="AS43" s="344"/>
      <c r="AW43" s="344"/>
      <c r="BA43" s="345"/>
    </row>
    <row r="44" spans="1:53" s="73" customFormat="1">
      <c r="A44" s="102">
        <v>1977</v>
      </c>
      <c r="B44" s="85">
        <v>28279</v>
      </c>
      <c r="C44" s="966" t="s">
        <v>201</v>
      </c>
      <c r="D44" s="966"/>
      <c r="E44" s="73">
        <v>212</v>
      </c>
      <c r="F44" s="73">
        <v>5</v>
      </c>
      <c r="G44" s="123"/>
      <c r="H44" s="73">
        <v>14</v>
      </c>
      <c r="I44" s="73">
        <v>9</v>
      </c>
      <c r="J44" s="134">
        <v>23</v>
      </c>
      <c r="K44" s="92">
        <f>G44/J44*100</f>
        <v>0</v>
      </c>
      <c r="L44" s="92">
        <f>H44/J44*100</f>
        <v>60.869565217391312</v>
      </c>
      <c r="M44" s="92">
        <f>I44/J44*100</f>
        <v>39.130434782608695</v>
      </c>
      <c r="N44" s="125">
        <f t="shared" si="0"/>
        <v>100</v>
      </c>
      <c r="O44" s="91"/>
      <c r="P44" s="92">
        <v>51.8</v>
      </c>
      <c r="Q44" s="92">
        <v>29.2</v>
      </c>
      <c r="R44" s="93">
        <f t="shared" si="4"/>
        <v>81</v>
      </c>
      <c r="S44" s="97">
        <v>3</v>
      </c>
      <c r="T44" s="95">
        <v>28232</v>
      </c>
      <c r="U44" s="85">
        <v>28279</v>
      </c>
      <c r="V44" s="82" t="s">
        <v>81</v>
      </c>
      <c r="W44" s="73" t="s">
        <v>82</v>
      </c>
      <c r="X44" s="73" t="s">
        <v>18</v>
      </c>
      <c r="Y44" s="83">
        <v>26.4</v>
      </c>
      <c r="Z44" s="73" t="s">
        <v>85</v>
      </c>
      <c r="AA44" s="73" t="s">
        <v>86</v>
      </c>
      <c r="AB44" s="73" t="s">
        <v>18</v>
      </c>
      <c r="AC44" s="73">
        <v>11.3</v>
      </c>
      <c r="AD44" s="82" t="s">
        <v>84</v>
      </c>
      <c r="AE44" s="73" t="s">
        <v>20</v>
      </c>
      <c r="AF44" s="73" t="s">
        <v>12</v>
      </c>
      <c r="AG44" s="83">
        <v>29.2</v>
      </c>
      <c r="AH44" s="73" t="s">
        <v>89</v>
      </c>
      <c r="AI44" s="73" t="s">
        <v>90</v>
      </c>
      <c r="AJ44" s="73" t="s">
        <v>18</v>
      </c>
      <c r="AK44" s="73">
        <v>9.4</v>
      </c>
      <c r="AL44" s="82" t="s">
        <v>93</v>
      </c>
      <c r="AM44" s="73" t="s">
        <v>94</v>
      </c>
      <c r="AN44" s="73" t="s">
        <v>18</v>
      </c>
      <c r="AO44" s="83">
        <v>4.7</v>
      </c>
      <c r="AP44" s="82"/>
      <c r="AS44" s="83"/>
      <c r="AW44" s="83"/>
      <c r="BA44" s="84"/>
    </row>
    <row r="45" spans="1:53" s="73" customFormat="1">
      <c r="A45" s="102">
        <v>1978</v>
      </c>
      <c r="B45" s="85"/>
      <c r="C45" s="966" t="s">
        <v>201</v>
      </c>
      <c r="D45" s="966"/>
      <c r="E45" s="73">
        <v>292</v>
      </c>
      <c r="G45" s="123"/>
      <c r="H45" s="73">
        <v>14</v>
      </c>
      <c r="I45" s="73">
        <v>9</v>
      </c>
      <c r="J45" s="134">
        <v>23</v>
      </c>
      <c r="K45" s="92">
        <f t="shared" ref="K45:K52" si="17">G45/J45*100</f>
        <v>0</v>
      </c>
      <c r="L45" s="92">
        <f t="shared" ref="L45:L52" si="18">H45/J45*100</f>
        <v>60.869565217391312</v>
      </c>
      <c r="M45" s="92">
        <f t="shared" ref="M45:M52" si="19">I45/J45*100</f>
        <v>39.130434782608695</v>
      </c>
      <c r="N45" s="125">
        <f t="shared" si="0"/>
        <v>100</v>
      </c>
      <c r="O45" s="91"/>
      <c r="P45" s="92">
        <v>51.8</v>
      </c>
      <c r="Q45" s="92">
        <v>29.2</v>
      </c>
      <c r="R45" s="93">
        <f t="shared" si="4"/>
        <v>81</v>
      </c>
      <c r="S45" s="97">
        <v>3</v>
      </c>
      <c r="T45" s="95"/>
      <c r="U45" s="85"/>
      <c r="V45" s="82" t="s">
        <v>81</v>
      </c>
      <c r="W45" s="73" t="s">
        <v>82</v>
      </c>
      <c r="X45" s="73" t="s">
        <v>18</v>
      </c>
      <c r="Y45" s="83">
        <v>26.4</v>
      </c>
      <c r="Z45" s="73" t="s">
        <v>85</v>
      </c>
      <c r="AA45" s="73" t="s">
        <v>86</v>
      </c>
      <c r="AB45" s="73" t="s">
        <v>18</v>
      </c>
      <c r="AC45" s="73">
        <v>11.3</v>
      </c>
      <c r="AD45" s="82" t="s">
        <v>84</v>
      </c>
      <c r="AE45" s="73" t="s">
        <v>20</v>
      </c>
      <c r="AF45" s="73" t="s">
        <v>12</v>
      </c>
      <c r="AG45" s="83">
        <v>29.2</v>
      </c>
      <c r="AH45" s="73" t="s">
        <v>89</v>
      </c>
      <c r="AI45" s="73" t="s">
        <v>90</v>
      </c>
      <c r="AJ45" s="73" t="s">
        <v>18</v>
      </c>
      <c r="AK45" s="73">
        <v>9.4</v>
      </c>
      <c r="AL45" s="82" t="s">
        <v>93</v>
      </c>
      <c r="AM45" s="73" t="s">
        <v>94</v>
      </c>
      <c r="AN45" s="73" t="s">
        <v>18</v>
      </c>
      <c r="AO45" s="83">
        <v>4.7</v>
      </c>
      <c r="AP45" s="82"/>
      <c r="AS45" s="83"/>
      <c r="AW45" s="83"/>
      <c r="BA45" s="84"/>
    </row>
    <row r="46" spans="1:53" s="334" customFormat="1">
      <c r="A46" s="386">
        <v>1978</v>
      </c>
      <c r="B46" s="355">
        <v>28783</v>
      </c>
      <c r="C46" s="965" t="s">
        <v>1198</v>
      </c>
      <c r="D46" s="965"/>
      <c r="E46" s="334">
        <v>73</v>
      </c>
      <c r="F46" s="334">
        <v>2</v>
      </c>
      <c r="G46" s="419"/>
      <c r="H46" s="334">
        <v>13</v>
      </c>
      <c r="I46" s="334">
        <v>9</v>
      </c>
      <c r="J46" s="435">
        <v>22</v>
      </c>
      <c r="K46" s="384">
        <f t="shared" si="17"/>
        <v>0</v>
      </c>
      <c r="L46" s="384">
        <f t="shared" si="18"/>
        <v>59.090909090909093</v>
      </c>
      <c r="M46" s="384">
        <f t="shared" si="19"/>
        <v>40.909090909090914</v>
      </c>
      <c r="N46" s="421">
        <f t="shared" si="0"/>
        <v>100</v>
      </c>
      <c r="O46" s="383"/>
      <c r="P46" s="384">
        <v>51.8</v>
      </c>
      <c r="Q46" s="384">
        <v>29.2</v>
      </c>
      <c r="R46" s="385">
        <f t="shared" si="4"/>
        <v>81</v>
      </c>
      <c r="S46" s="388">
        <v>6</v>
      </c>
      <c r="T46" s="342"/>
      <c r="U46" s="355">
        <v>28783</v>
      </c>
      <c r="V46" s="343" t="s">
        <v>81</v>
      </c>
      <c r="W46" s="334" t="s">
        <v>82</v>
      </c>
      <c r="X46" s="334" t="s">
        <v>18</v>
      </c>
      <c r="Y46" s="344">
        <v>26.4</v>
      </c>
      <c r="Z46" s="334" t="s">
        <v>85</v>
      </c>
      <c r="AA46" s="334" t="s">
        <v>86</v>
      </c>
      <c r="AB46" s="334" t="s">
        <v>18</v>
      </c>
      <c r="AC46" s="334">
        <v>11.3</v>
      </c>
      <c r="AD46" s="343" t="s">
        <v>84</v>
      </c>
      <c r="AE46" s="334" t="s">
        <v>20</v>
      </c>
      <c r="AF46" s="334" t="s">
        <v>12</v>
      </c>
      <c r="AG46" s="344">
        <v>29.2</v>
      </c>
      <c r="AH46" s="334" t="s">
        <v>89</v>
      </c>
      <c r="AI46" s="334" t="s">
        <v>90</v>
      </c>
      <c r="AJ46" s="334" t="s">
        <v>18</v>
      </c>
      <c r="AK46" s="334">
        <v>9.4</v>
      </c>
      <c r="AL46" s="343" t="s">
        <v>93</v>
      </c>
      <c r="AM46" s="334" t="s">
        <v>94</v>
      </c>
      <c r="AN46" s="334" t="s">
        <v>18</v>
      </c>
      <c r="AO46" s="344">
        <v>4.7</v>
      </c>
      <c r="AP46" s="343"/>
      <c r="AS46" s="344"/>
      <c r="AW46" s="344"/>
      <c r="BA46" s="345"/>
    </row>
    <row r="47" spans="1:53" s="334" customFormat="1">
      <c r="A47" s="386">
        <v>1979</v>
      </c>
      <c r="B47" s="355"/>
      <c r="C47" s="965" t="s">
        <v>1198</v>
      </c>
      <c r="D47" s="965"/>
      <c r="E47" s="334">
        <v>92</v>
      </c>
      <c r="G47" s="419"/>
      <c r="H47" s="334">
        <v>13</v>
      </c>
      <c r="I47" s="334">
        <v>9</v>
      </c>
      <c r="J47" s="435">
        <v>22</v>
      </c>
      <c r="K47" s="384">
        <f t="shared" si="17"/>
        <v>0</v>
      </c>
      <c r="L47" s="384">
        <f t="shared" si="18"/>
        <v>59.090909090909093</v>
      </c>
      <c r="M47" s="384">
        <f t="shared" si="19"/>
        <v>40.909090909090914</v>
      </c>
      <c r="N47" s="421">
        <f t="shared" si="0"/>
        <v>100</v>
      </c>
      <c r="O47" s="383"/>
      <c r="P47" s="384">
        <v>51.8</v>
      </c>
      <c r="Q47" s="384">
        <v>29.2</v>
      </c>
      <c r="R47" s="385">
        <f t="shared" si="4"/>
        <v>81</v>
      </c>
      <c r="S47" s="388">
        <v>6</v>
      </c>
      <c r="T47" s="342">
        <v>28841</v>
      </c>
      <c r="U47" s="355"/>
      <c r="V47" s="343" t="s">
        <v>81</v>
      </c>
      <c r="W47" s="334" t="s">
        <v>82</v>
      </c>
      <c r="X47" s="334" t="s">
        <v>18</v>
      </c>
      <c r="Y47" s="344">
        <v>26.4</v>
      </c>
      <c r="Z47" s="334" t="s">
        <v>85</v>
      </c>
      <c r="AA47" s="334" t="s">
        <v>86</v>
      </c>
      <c r="AB47" s="334" t="s">
        <v>18</v>
      </c>
      <c r="AC47" s="334">
        <v>11.3</v>
      </c>
      <c r="AD47" s="343" t="s">
        <v>84</v>
      </c>
      <c r="AE47" s="334" t="s">
        <v>20</v>
      </c>
      <c r="AF47" s="334" t="s">
        <v>12</v>
      </c>
      <c r="AG47" s="344">
        <v>29.2</v>
      </c>
      <c r="AH47" s="334" t="s">
        <v>89</v>
      </c>
      <c r="AI47" s="334" t="s">
        <v>90</v>
      </c>
      <c r="AJ47" s="334" t="s">
        <v>18</v>
      </c>
      <c r="AK47" s="334">
        <v>9.4</v>
      </c>
      <c r="AL47" s="343" t="s">
        <v>93</v>
      </c>
      <c r="AM47" s="334" t="s">
        <v>94</v>
      </c>
      <c r="AN47" s="334" t="s">
        <v>18</v>
      </c>
      <c r="AO47" s="344">
        <v>4.7</v>
      </c>
      <c r="AP47" s="343"/>
      <c r="AS47" s="344"/>
      <c r="AW47" s="344"/>
      <c r="BA47" s="345"/>
    </row>
    <row r="48" spans="1:53" s="73" customFormat="1">
      <c r="A48" s="102">
        <v>1979</v>
      </c>
      <c r="B48" s="85">
        <v>28948</v>
      </c>
      <c r="C48" s="966" t="s">
        <v>202</v>
      </c>
      <c r="D48" s="966"/>
      <c r="E48" s="73">
        <v>273</v>
      </c>
      <c r="F48" s="73">
        <v>1</v>
      </c>
      <c r="G48" s="123"/>
      <c r="H48" s="73">
        <v>15</v>
      </c>
      <c r="I48" s="73">
        <v>10</v>
      </c>
      <c r="J48" s="134">
        <v>25</v>
      </c>
      <c r="K48" s="92">
        <f t="shared" si="17"/>
        <v>0</v>
      </c>
      <c r="L48" s="92">
        <f t="shared" si="18"/>
        <v>60</v>
      </c>
      <c r="M48" s="92">
        <f t="shared" si="19"/>
        <v>40</v>
      </c>
      <c r="N48" s="125">
        <f t="shared" si="0"/>
        <v>100</v>
      </c>
      <c r="O48" s="91"/>
      <c r="P48" s="92">
        <v>43.9</v>
      </c>
      <c r="Q48" s="92">
        <v>27.4</v>
      </c>
      <c r="R48" s="93">
        <f t="shared" si="4"/>
        <v>71.3</v>
      </c>
      <c r="S48" s="97">
        <v>3</v>
      </c>
      <c r="T48" s="95"/>
      <c r="U48" s="85">
        <v>28948</v>
      </c>
      <c r="V48" s="82" t="s">
        <v>81</v>
      </c>
      <c r="W48" s="73" t="s">
        <v>82</v>
      </c>
      <c r="X48" s="73" t="s">
        <v>18</v>
      </c>
      <c r="Y48" s="83">
        <v>26.9</v>
      </c>
      <c r="Z48" s="73" t="s">
        <v>85</v>
      </c>
      <c r="AA48" s="73" t="s">
        <v>86</v>
      </c>
      <c r="AB48" s="73" t="s">
        <v>18</v>
      </c>
      <c r="AC48" s="73">
        <v>11.8</v>
      </c>
      <c r="AD48" s="82" t="s">
        <v>96</v>
      </c>
      <c r="AE48" s="73" t="s">
        <v>97</v>
      </c>
      <c r="AF48" s="73" t="s">
        <v>12</v>
      </c>
      <c r="AG48" s="83">
        <v>15.1</v>
      </c>
      <c r="AH48" s="82" t="s">
        <v>95</v>
      </c>
      <c r="AI48" s="73" t="s">
        <v>98</v>
      </c>
      <c r="AJ48" s="73" t="s">
        <v>12</v>
      </c>
      <c r="AK48" s="73">
        <v>12.3</v>
      </c>
      <c r="AL48" s="82" t="s">
        <v>93</v>
      </c>
      <c r="AM48" s="73" t="s">
        <v>94</v>
      </c>
      <c r="AN48" s="73" t="s">
        <v>18</v>
      </c>
      <c r="AO48" s="83">
        <v>5.2</v>
      </c>
      <c r="AP48" s="82"/>
      <c r="AS48" s="83"/>
      <c r="AW48" s="83"/>
      <c r="BA48" s="84"/>
    </row>
    <row r="49" spans="1:53" s="73" customFormat="1">
      <c r="A49" s="102">
        <v>1980</v>
      </c>
      <c r="B49" s="85"/>
      <c r="C49" s="966" t="s">
        <v>202</v>
      </c>
      <c r="D49" s="966"/>
      <c r="E49" s="73">
        <v>22</v>
      </c>
      <c r="G49" s="123"/>
      <c r="H49" s="73">
        <v>15</v>
      </c>
      <c r="I49" s="73">
        <v>10</v>
      </c>
      <c r="J49" s="134">
        <v>25</v>
      </c>
      <c r="K49" s="92">
        <f t="shared" si="17"/>
        <v>0</v>
      </c>
      <c r="L49" s="92">
        <f t="shared" si="18"/>
        <v>60</v>
      </c>
      <c r="M49" s="92">
        <f t="shared" si="19"/>
        <v>40</v>
      </c>
      <c r="N49" s="125">
        <f t="shared" si="0"/>
        <v>100</v>
      </c>
      <c r="O49" s="91"/>
      <c r="P49" s="92">
        <v>43.9</v>
      </c>
      <c r="Q49" s="92">
        <v>27.4</v>
      </c>
      <c r="R49" s="93">
        <f t="shared" si="4"/>
        <v>71.3</v>
      </c>
      <c r="S49" s="97">
        <v>3</v>
      </c>
      <c r="T49" s="95"/>
      <c r="U49" s="85"/>
      <c r="V49" s="82" t="s">
        <v>81</v>
      </c>
      <c r="W49" s="73" t="s">
        <v>82</v>
      </c>
      <c r="X49" s="73" t="s">
        <v>18</v>
      </c>
      <c r="Y49" s="83">
        <v>26.9</v>
      </c>
      <c r="Z49" s="73" t="s">
        <v>85</v>
      </c>
      <c r="AA49" s="73" t="s">
        <v>86</v>
      </c>
      <c r="AB49" s="73" t="s">
        <v>18</v>
      </c>
      <c r="AC49" s="73">
        <v>11.8</v>
      </c>
      <c r="AD49" s="82" t="s">
        <v>96</v>
      </c>
      <c r="AE49" s="73" t="s">
        <v>97</v>
      </c>
      <c r="AF49" s="73" t="s">
        <v>12</v>
      </c>
      <c r="AG49" s="83">
        <v>15.1</v>
      </c>
      <c r="AH49" s="73" t="s">
        <v>95</v>
      </c>
      <c r="AI49" s="73" t="s">
        <v>98</v>
      </c>
      <c r="AJ49" s="73" t="s">
        <v>12</v>
      </c>
      <c r="AK49" s="73">
        <v>12.3</v>
      </c>
      <c r="AL49" s="82" t="s">
        <v>93</v>
      </c>
      <c r="AM49" s="73" t="s">
        <v>94</v>
      </c>
      <c r="AN49" s="73" t="s">
        <v>18</v>
      </c>
      <c r="AO49" s="83">
        <v>5.2</v>
      </c>
      <c r="AP49" s="82"/>
      <c r="AS49" s="83"/>
      <c r="AW49" s="83"/>
      <c r="BA49" s="84"/>
    </row>
    <row r="50" spans="1:53" s="334" customFormat="1">
      <c r="A50" s="386">
        <v>1980</v>
      </c>
      <c r="B50" s="355">
        <v>29243</v>
      </c>
      <c r="C50" s="965" t="s">
        <v>203</v>
      </c>
      <c r="D50" s="965"/>
      <c r="E50" s="334">
        <v>116</v>
      </c>
      <c r="F50" s="334">
        <v>4</v>
      </c>
      <c r="G50" s="419"/>
      <c r="H50" s="334">
        <v>12</v>
      </c>
      <c r="I50" s="334">
        <v>12</v>
      </c>
      <c r="J50" s="435">
        <v>24</v>
      </c>
      <c r="K50" s="384">
        <f>G50/J50*100</f>
        <v>0</v>
      </c>
      <c r="L50" s="384">
        <f>H50/J50*100</f>
        <v>50</v>
      </c>
      <c r="M50" s="384">
        <f>I50/J50*100</f>
        <v>50</v>
      </c>
      <c r="N50" s="421">
        <f t="shared" si="0"/>
        <v>100</v>
      </c>
      <c r="O50" s="383"/>
      <c r="P50" s="384">
        <v>38.700000000000003</v>
      </c>
      <c r="Q50" s="384">
        <v>27.4</v>
      </c>
      <c r="R50" s="385">
        <f t="shared" si="4"/>
        <v>66.099999999999994</v>
      </c>
      <c r="S50" s="388">
        <v>3</v>
      </c>
      <c r="T50" s="342"/>
      <c r="U50" s="355">
        <v>29243</v>
      </c>
      <c r="V50" s="343" t="s">
        <v>81</v>
      </c>
      <c r="W50" s="334" t="s">
        <v>82</v>
      </c>
      <c r="X50" s="334" t="s">
        <v>18</v>
      </c>
      <c r="Y50" s="344">
        <v>26.9</v>
      </c>
      <c r="Z50" s="334" t="s">
        <v>85</v>
      </c>
      <c r="AA50" s="334" t="s">
        <v>86</v>
      </c>
      <c r="AB50" s="334" t="s">
        <v>18</v>
      </c>
      <c r="AC50" s="334">
        <v>11.8</v>
      </c>
      <c r="AD50" s="343" t="s">
        <v>96</v>
      </c>
      <c r="AE50" s="334" t="s">
        <v>97</v>
      </c>
      <c r="AF50" s="334" t="s">
        <v>12</v>
      </c>
      <c r="AG50" s="344">
        <v>15.1</v>
      </c>
      <c r="AH50" s="343" t="s">
        <v>95</v>
      </c>
      <c r="AI50" s="334" t="s">
        <v>98</v>
      </c>
      <c r="AJ50" s="334" t="s">
        <v>12</v>
      </c>
      <c r="AK50" s="334">
        <v>12.3</v>
      </c>
      <c r="AL50" s="343"/>
      <c r="AO50" s="344"/>
      <c r="AP50" s="343"/>
      <c r="AS50" s="344"/>
      <c r="AW50" s="344"/>
      <c r="BA50" s="345"/>
    </row>
    <row r="51" spans="1:53" s="73" customFormat="1">
      <c r="A51" s="102">
        <v>1980</v>
      </c>
      <c r="B51" s="85">
        <v>29359</v>
      </c>
      <c r="C51" s="966" t="s">
        <v>204</v>
      </c>
      <c r="D51" s="966"/>
      <c r="E51" s="73">
        <v>157</v>
      </c>
      <c r="F51" s="73">
        <v>5</v>
      </c>
      <c r="G51" s="123">
        <v>5</v>
      </c>
      <c r="H51" s="73">
        <v>12</v>
      </c>
      <c r="I51" s="73">
        <v>10</v>
      </c>
      <c r="J51" s="134">
        <v>27</v>
      </c>
      <c r="K51" s="92">
        <f>G51/J51*100</f>
        <v>18.518518518518519</v>
      </c>
      <c r="L51" s="92">
        <f>H51/J51*100</f>
        <v>44.444444444444443</v>
      </c>
      <c r="M51" s="92">
        <f>I51/J51*100</f>
        <v>37.037037037037038</v>
      </c>
      <c r="N51" s="125">
        <f t="shared" si="0"/>
        <v>100</v>
      </c>
      <c r="O51" s="91">
        <v>10.4</v>
      </c>
      <c r="P51" s="92">
        <v>38.700000000000003</v>
      </c>
      <c r="Q51" s="92">
        <v>27.4</v>
      </c>
      <c r="R51" s="93">
        <f t="shared" si="4"/>
        <v>76.5</v>
      </c>
      <c r="S51" s="97">
        <v>3</v>
      </c>
      <c r="T51" s="95"/>
      <c r="U51" s="85">
        <v>29359</v>
      </c>
      <c r="V51" s="82" t="s">
        <v>81</v>
      </c>
      <c r="W51" s="73" t="s">
        <v>82</v>
      </c>
      <c r="X51" s="73" t="s">
        <v>18</v>
      </c>
      <c r="Y51" s="83">
        <v>26.9</v>
      </c>
      <c r="Z51" s="73" t="s">
        <v>85</v>
      </c>
      <c r="AA51" s="73" t="s">
        <v>86</v>
      </c>
      <c r="AB51" s="73" t="s">
        <v>18</v>
      </c>
      <c r="AC51" s="73">
        <v>11.8</v>
      </c>
      <c r="AD51" s="82" t="s">
        <v>96</v>
      </c>
      <c r="AE51" s="73" t="s">
        <v>97</v>
      </c>
      <c r="AF51" s="73" t="s">
        <v>12</v>
      </c>
      <c r="AG51" s="83">
        <v>15.1</v>
      </c>
      <c r="AH51" s="73" t="s">
        <v>95</v>
      </c>
      <c r="AI51" s="73" t="s">
        <v>98</v>
      </c>
      <c r="AJ51" s="73" t="s">
        <v>12</v>
      </c>
      <c r="AK51" s="73">
        <v>12.3</v>
      </c>
      <c r="AL51" s="82" t="s">
        <v>87</v>
      </c>
      <c r="AM51" s="73" t="s">
        <v>88</v>
      </c>
      <c r="AN51" s="73" t="s">
        <v>11</v>
      </c>
      <c r="AO51" s="83">
        <v>10.4</v>
      </c>
      <c r="AP51" s="82"/>
      <c r="AS51" s="83"/>
      <c r="AW51" s="83"/>
      <c r="BA51" s="84"/>
    </row>
    <row r="52" spans="1:53" s="334" customFormat="1">
      <c r="A52" s="386">
        <v>1980</v>
      </c>
      <c r="B52" s="355">
        <v>29516</v>
      </c>
      <c r="C52" s="965" t="s">
        <v>205</v>
      </c>
      <c r="D52" s="965"/>
      <c r="E52" s="334">
        <v>71</v>
      </c>
      <c r="F52" s="334">
        <v>4</v>
      </c>
      <c r="G52" s="419"/>
      <c r="H52" s="334">
        <v>13</v>
      </c>
      <c r="I52" s="334">
        <v>12</v>
      </c>
      <c r="J52" s="435">
        <v>25</v>
      </c>
      <c r="K52" s="384">
        <f t="shared" si="17"/>
        <v>0</v>
      </c>
      <c r="L52" s="384">
        <f t="shared" si="18"/>
        <v>52</v>
      </c>
      <c r="M52" s="384">
        <f t="shared" si="19"/>
        <v>48</v>
      </c>
      <c r="N52" s="421">
        <f t="shared" si="0"/>
        <v>100</v>
      </c>
      <c r="O52" s="383"/>
      <c r="P52" s="384">
        <v>38.700000000000003</v>
      </c>
      <c r="Q52" s="384">
        <v>27.4</v>
      </c>
      <c r="R52" s="385">
        <f t="shared" si="4"/>
        <v>66.099999999999994</v>
      </c>
      <c r="S52" s="388">
        <v>3</v>
      </c>
      <c r="T52" s="342"/>
      <c r="U52" s="355">
        <v>29516</v>
      </c>
      <c r="V52" s="343" t="s">
        <v>81</v>
      </c>
      <c r="W52" s="334" t="s">
        <v>82</v>
      </c>
      <c r="X52" s="334" t="s">
        <v>18</v>
      </c>
      <c r="Y52" s="344">
        <v>26.9</v>
      </c>
      <c r="Z52" s="334" t="s">
        <v>85</v>
      </c>
      <c r="AA52" s="334" t="s">
        <v>86</v>
      </c>
      <c r="AB52" s="334" t="s">
        <v>18</v>
      </c>
      <c r="AC52" s="334">
        <v>11.8</v>
      </c>
      <c r="AD52" s="343" t="s">
        <v>96</v>
      </c>
      <c r="AE52" s="334" t="s">
        <v>97</v>
      </c>
      <c r="AF52" s="334" t="s">
        <v>12</v>
      </c>
      <c r="AG52" s="344">
        <v>15.1</v>
      </c>
      <c r="AH52" s="334" t="s">
        <v>95</v>
      </c>
      <c r="AI52" s="334" t="s">
        <v>98</v>
      </c>
      <c r="AJ52" s="334" t="s">
        <v>12</v>
      </c>
      <c r="AK52" s="334">
        <v>12.3</v>
      </c>
      <c r="AL52" s="343"/>
      <c r="AO52" s="344"/>
      <c r="AP52" s="343"/>
      <c r="AS52" s="344"/>
      <c r="AW52" s="344"/>
      <c r="BA52" s="345"/>
    </row>
    <row r="53" spans="1:53" s="334" customFormat="1">
      <c r="A53" s="386">
        <v>1981</v>
      </c>
      <c r="B53" s="355"/>
      <c r="C53" s="965" t="s">
        <v>205</v>
      </c>
      <c r="D53" s="965"/>
      <c r="E53" s="334">
        <v>95</v>
      </c>
      <c r="G53" s="419"/>
      <c r="H53" s="334">
        <v>13</v>
      </c>
      <c r="I53" s="334">
        <v>12</v>
      </c>
      <c r="J53" s="435">
        <v>25</v>
      </c>
      <c r="K53" s="384">
        <f>G53/J53*100</f>
        <v>0</v>
      </c>
      <c r="L53" s="384">
        <f>H53/J53*100</f>
        <v>52</v>
      </c>
      <c r="M53" s="384">
        <f>I53/J53*100</f>
        <v>48</v>
      </c>
      <c r="N53" s="421">
        <f t="shared" si="0"/>
        <v>100</v>
      </c>
      <c r="O53" s="383"/>
      <c r="P53" s="384">
        <v>38.700000000000003</v>
      </c>
      <c r="Q53" s="384">
        <v>27.4</v>
      </c>
      <c r="R53" s="385">
        <f t="shared" si="4"/>
        <v>66.099999999999994</v>
      </c>
      <c r="S53" s="388">
        <v>3</v>
      </c>
      <c r="T53" s="342"/>
      <c r="U53" s="355"/>
      <c r="V53" s="343" t="s">
        <v>81</v>
      </c>
      <c r="W53" s="334" t="s">
        <v>82</v>
      </c>
      <c r="X53" s="334" t="s">
        <v>18</v>
      </c>
      <c r="Y53" s="344">
        <v>26.9</v>
      </c>
      <c r="Z53" s="334" t="s">
        <v>85</v>
      </c>
      <c r="AA53" s="334" t="s">
        <v>86</v>
      </c>
      <c r="AB53" s="334" t="s">
        <v>18</v>
      </c>
      <c r="AC53" s="334">
        <v>11.8</v>
      </c>
      <c r="AD53" s="343" t="s">
        <v>96</v>
      </c>
      <c r="AE53" s="334" t="s">
        <v>97</v>
      </c>
      <c r="AF53" s="334" t="s">
        <v>12</v>
      </c>
      <c r="AG53" s="344">
        <v>15.1</v>
      </c>
      <c r="AH53" s="343" t="s">
        <v>95</v>
      </c>
      <c r="AI53" s="334" t="s">
        <v>98</v>
      </c>
      <c r="AJ53" s="334" t="s">
        <v>12</v>
      </c>
      <c r="AK53" s="334">
        <v>12.3</v>
      </c>
      <c r="AL53" s="343"/>
      <c r="AO53" s="344"/>
      <c r="AP53" s="343"/>
      <c r="AS53" s="344"/>
      <c r="AW53" s="344"/>
      <c r="BA53" s="345"/>
    </row>
    <row r="54" spans="1:53" s="73" customFormat="1">
      <c r="A54" s="102">
        <v>1981</v>
      </c>
      <c r="B54" s="85">
        <v>29682</v>
      </c>
      <c r="C54" s="966" t="s">
        <v>206</v>
      </c>
      <c r="D54" s="966"/>
      <c r="E54" s="73">
        <v>255</v>
      </c>
      <c r="F54" s="73">
        <v>4</v>
      </c>
      <c r="G54" s="123"/>
      <c r="H54" s="73">
        <v>13</v>
      </c>
      <c r="I54" s="73">
        <v>12</v>
      </c>
      <c r="J54" s="134">
        <v>25</v>
      </c>
      <c r="K54" s="92">
        <f>G54/J54*100</f>
        <v>0</v>
      </c>
      <c r="L54" s="92">
        <f>H54/J54*100</f>
        <v>52</v>
      </c>
      <c r="M54" s="92">
        <f>I54/J54*100</f>
        <v>48</v>
      </c>
      <c r="N54" s="125">
        <f t="shared" si="0"/>
        <v>100</v>
      </c>
      <c r="O54" s="91"/>
      <c r="P54" s="92">
        <v>38.700000000000003</v>
      </c>
      <c r="Q54" s="92">
        <v>27.4</v>
      </c>
      <c r="R54" s="93">
        <f t="shared" si="4"/>
        <v>66.099999999999994</v>
      </c>
      <c r="S54" s="97">
        <v>3</v>
      </c>
      <c r="T54" s="95"/>
      <c r="U54" s="85">
        <v>29682</v>
      </c>
      <c r="V54" s="82" t="s">
        <v>81</v>
      </c>
      <c r="W54" s="73" t="s">
        <v>82</v>
      </c>
      <c r="X54" s="73" t="s">
        <v>18</v>
      </c>
      <c r="Y54" s="83">
        <v>26.9</v>
      </c>
      <c r="Z54" s="73" t="s">
        <v>85</v>
      </c>
      <c r="AA54" s="73" t="s">
        <v>86</v>
      </c>
      <c r="AB54" s="73" t="s">
        <v>18</v>
      </c>
      <c r="AC54" s="73">
        <v>11.8</v>
      </c>
      <c r="AD54" s="82" t="s">
        <v>96</v>
      </c>
      <c r="AE54" s="73" t="s">
        <v>97</v>
      </c>
      <c r="AF54" s="73" t="s">
        <v>12</v>
      </c>
      <c r="AG54" s="83">
        <v>15.1</v>
      </c>
      <c r="AH54" s="73" t="s">
        <v>95</v>
      </c>
      <c r="AI54" s="73" t="s">
        <v>98</v>
      </c>
      <c r="AJ54" s="73" t="s">
        <v>12</v>
      </c>
      <c r="AK54" s="73">
        <v>12.3</v>
      </c>
      <c r="AL54" s="82"/>
      <c r="AO54" s="83"/>
      <c r="AP54" s="82"/>
      <c r="AS54" s="83"/>
      <c r="AW54" s="83"/>
      <c r="BA54" s="84"/>
    </row>
    <row r="55" spans="1:53" s="334" customFormat="1">
      <c r="A55" s="386">
        <v>1981</v>
      </c>
      <c r="B55" s="355">
        <v>29937</v>
      </c>
      <c r="C55" s="965" t="s">
        <v>207</v>
      </c>
      <c r="D55" s="965"/>
      <c r="E55" s="334">
        <v>15</v>
      </c>
      <c r="F55" s="334">
        <v>4</v>
      </c>
      <c r="G55" s="419">
        <v>8</v>
      </c>
      <c r="H55" s="334">
        <v>8</v>
      </c>
      <c r="J55" s="435">
        <v>16</v>
      </c>
      <c r="K55" s="384">
        <f t="shared" ref="K55:K60" si="20">G55/J55*100</f>
        <v>50</v>
      </c>
      <c r="L55" s="384">
        <f t="shared" ref="L55:L60" si="21">H55/J55*100</f>
        <v>50</v>
      </c>
      <c r="M55" s="384">
        <f t="shared" ref="M55:M60" si="22">I55/J55*100</f>
        <v>0</v>
      </c>
      <c r="N55" s="421">
        <f t="shared" si="0"/>
        <v>100</v>
      </c>
      <c r="O55" s="383">
        <v>24.5</v>
      </c>
      <c r="P55" s="384">
        <v>28.8</v>
      </c>
      <c r="Q55" s="384"/>
      <c r="R55" s="385">
        <f t="shared" si="4"/>
        <v>53.3</v>
      </c>
      <c r="S55" s="388">
        <v>2</v>
      </c>
      <c r="T55" s="342">
        <v>29898</v>
      </c>
      <c r="U55" s="355">
        <v>29937</v>
      </c>
      <c r="V55" s="343" t="s">
        <v>81</v>
      </c>
      <c r="W55" s="334" t="s">
        <v>82</v>
      </c>
      <c r="X55" s="334" t="s">
        <v>18</v>
      </c>
      <c r="Y55" s="344">
        <v>20.3</v>
      </c>
      <c r="Z55" s="334" t="s">
        <v>85</v>
      </c>
      <c r="AA55" s="334" t="s">
        <v>86</v>
      </c>
      <c r="AB55" s="334" t="s">
        <v>18</v>
      </c>
      <c r="AC55" s="334">
        <v>8.5</v>
      </c>
      <c r="AD55" s="343" t="s">
        <v>87</v>
      </c>
      <c r="AE55" s="334" t="s">
        <v>88</v>
      </c>
      <c r="AF55" s="334" t="s">
        <v>11</v>
      </c>
      <c r="AG55" s="344">
        <v>13.2</v>
      </c>
      <c r="AH55" s="343" t="s">
        <v>99</v>
      </c>
      <c r="AI55" s="334" t="s">
        <v>100</v>
      </c>
      <c r="AJ55" s="334" t="s">
        <v>11</v>
      </c>
      <c r="AK55" s="334">
        <v>11.3</v>
      </c>
      <c r="AL55" s="343"/>
      <c r="AO55" s="344"/>
      <c r="AP55" s="343"/>
      <c r="AS55" s="344"/>
      <c r="AW55" s="344"/>
      <c r="BA55" s="345"/>
    </row>
    <row r="56" spans="1:53" s="334" customFormat="1">
      <c r="A56" s="386">
        <v>1982</v>
      </c>
      <c r="B56" s="355"/>
      <c r="C56" s="965" t="s">
        <v>207</v>
      </c>
      <c r="D56" s="965"/>
      <c r="E56" s="334">
        <v>0</v>
      </c>
      <c r="G56" s="419">
        <v>8</v>
      </c>
      <c r="H56" s="334">
        <v>8</v>
      </c>
      <c r="J56" s="435">
        <v>16</v>
      </c>
      <c r="K56" s="384">
        <f t="shared" si="20"/>
        <v>50</v>
      </c>
      <c r="L56" s="384">
        <f t="shared" si="21"/>
        <v>50</v>
      </c>
      <c r="M56" s="384">
        <f t="shared" si="22"/>
        <v>0</v>
      </c>
      <c r="N56" s="421">
        <f t="shared" si="0"/>
        <v>100</v>
      </c>
      <c r="O56" s="383">
        <v>24.5</v>
      </c>
      <c r="P56" s="384">
        <v>28.8</v>
      </c>
      <c r="Q56" s="384"/>
      <c r="R56" s="385">
        <f t="shared" si="4"/>
        <v>53.3</v>
      </c>
      <c r="S56" s="388">
        <v>2</v>
      </c>
      <c r="T56" s="342"/>
      <c r="U56" s="355"/>
      <c r="V56" s="343" t="s">
        <v>81</v>
      </c>
      <c r="W56" s="334" t="s">
        <v>82</v>
      </c>
      <c r="X56" s="334" t="s">
        <v>18</v>
      </c>
      <c r="Y56" s="344">
        <v>20.3</v>
      </c>
      <c r="Z56" s="334" t="s">
        <v>85</v>
      </c>
      <c r="AA56" s="334" t="s">
        <v>86</v>
      </c>
      <c r="AB56" s="334" t="s">
        <v>18</v>
      </c>
      <c r="AC56" s="334">
        <v>8.5</v>
      </c>
      <c r="AD56" s="343" t="s">
        <v>87</v>
      </c>
      <c r="AE56" s="334" t="s">
        <v>88</v>
      </c>
      <c r="AF56" s="334" t="s">
        <v>11</v>
      </c>
      <c r="AG56" s="344">
        <v>13.2</v>
      </c>
      <c r="AH56" s="343" t="s">
        <v>99</v>
      </c>
      <c r="AI56" s="334" t="s">
        <v>100</v>
      </c>
      <c r="AJ56" s="334" t="s">
        <v>11</v>
      </c>
      <c r="AK56" s="334">
        <v>11.3</v>
      </c>
      <c r="AL56" s="343"/>
      <c r="AO56" s="344"/>
      <c r="AP56" s="343"/>
      <c r="AS56" s="344"/>
      <c r="AW56" s="344"/>
      <c r="BA56" s="345"/>
    </row>
    <row r="57" spans="1:53" s="334" customFormat="1">
      <c r="A57" s="386">
        <v>1982</v>
      </c>
      <c r="B57" s="355"/>
      <c r="C57" s="965" t="s">
        <v>207</v>
      </c>
      <c r="D57" s="965"/>
      <c r="E57" s="334">
        <v>365</v>
      </c>
      <c r="G57" s="419">
        <v>8</v>
      </c>
      <c r="H57" s="334">
        <v>8</v>
      </c>
      <c r="J57" s="435">
        <v>16</v>
      </c>
      <c r="K57" s="384">
        <f t="shared" si="20"/>
        <v>50</v>
      </c>
      <c r="L57" s="384">
        <f t="shared" si="21"/>
        <v>50</v>
      </c>
      <c r="M57" s="384">
        <f t="shared" si="22"/>
        <v>0</v>
      </c>
      <c r="N57" s="421">
        <f t="shared" si="0"/>
        <v>100</v>
      </c>
      <c r="O57" s="383">
        <v>24.5</v>
      </c>
      <c r="P57" s="384">
        <v>28.8</v>
      </c>
      <c r="Q57" s="384"/>
      <c r="R57" s="385">
        <f t="shared" si="4"/>
        <v>53.3</v>
      </c>
      <c r="S57" s="388">
        <v>2</v>
      </c>
      <c r="T57" s="342"/>
      <c r="U57" s="355"/>
      <c r="V57" s="343" t="s">
        <v>81</v>
      </c>
      <c r="W57" s="334" t="s">
        <v>82</v>
      </c>
      <c r="X57" s="334" t="s">
        <v>18</v>
      </c>
      <c r="Y57" s="344">
        <v>20.3</v>
      </c>
      <c r="Z57" s="334" t="s">
        <v>85</v>
      </c>
      <c r="AA57" s="334" t="s">
        <v>86</v>
      </c>
      <c r="AB57" s="334" t="s">
        <v>18</v>
      </c>
      <c r="AC57" s="334">
        <v>8.5</v>
      </c>
      <c r="AD57" s="343" t="s">
        <v>87</v>
      </c>
      <c r="AE57" s="334" t="s">
        <v>88</v>
      </c>
      <c r="AF57" s="334" t="s">
        <v>11</v>
      </c>
      <c r="AG57" s="344">
        <v>13.2</v>
      </c>
      <c r="AH57" s="343" t="s">
        <v>99</v>
      </c>
      <c r="AI57" s="334" t="s">
        <v>100</v>
      </c>
      <c r="AJ57" s="334" t="s">
        <v>11</v>
      </c>
      <c r="AK57" s="334">
        <v>11.3</v>
      </c>
      <c r="AL57" s="343"/>
      <c r="AO57" s="344"/>
      <c r="AP57" s="343"/>
      <c r="AS57" s="344"/>
      <c r="AW57" s="344"/>
      <c r="BA57" s="345"/>
    </row>
    <row r="58" spans="1:53" s="334" customFormat="1">
      <c r="A58" s="386">
        <v>1983</v>
      </c>
      <c r="B58" s="355"/>
      <c r="C58" s="965" t="s">
        <v>207</v>
      </c>
      <c r="D58" s="965"/>
      <c r="E58" s="334">
        <v>0</v>
      </c>
      <c r="G58" s="419">
        <v>8</v>
      </c>
      <c r="H58" s="334">
        <v>8</v>
      </c>
      <c r="J58" s="435">
        <v>16</v>
      </c>
      <c r="K58" s="384">
        <f t="shared" si="20"/>
        <v>50</v>
      </c>
      <c r="L58" s="384">
        <f t="shared" si="21"/>
        <v>50</v>
      </c>
      <c r="M58" s="384">
        <f t="shared" si="22"/>
        <v>0</v>
      </c>
      <c r="N58" s="421">
        <f t="shared" si="0"/>
        <v>100</v>
      </c>
      <c r="O58" s="383">
        <v>24.5</v>
      </c>
      <c r="P58" s="384">
        <v>28.8</v>
      </c>
      <c r="Q58" s="384"/>
      <c r="R58" s="385">
        <f t="shared" si="4"/>
        <v>53.3</v>
      </c>
      <c r="S58" s="388">
        <v>2</v>
      </c>
      <c r="T58" s="342"/>
      <c r="U58" s="355"/>
      <c r="V58" s="343" t="s">
        <v>81</v>
      </c>
      <c r="W58" s="334" t="s">
        <v>82</v>
      </c>
      <c r="X58" s="334" t="s">
        <v>18</v>
      </c>
      <c r="Y58" s="344">
        <v>20.3</v>
      </c>
      <c r="Z58" s="334" t="s">
        <v>85</v>
      </c>
      <c r="AA58" s="334" t="s">
        <v>86</v>
      </c>
      <c r="AB58" s="334" t="s">
        <v>18</v>
      </c>
      <c r="AC58" s="334">
        <v>8.5</v>
      </c>
      <c r="AD58" s="343" t="s">
        <v>87</v>
      </c>
      <c r="AE58" s="334" t="s">
        <v>88</v>
      </c>
      <c r="AF58" s="334" t="s">
        <v>11</v>
      </c>
      <c r="AG58" s="344">
        <v>13.2</v>
      </c>
      <c r="AH58" s="343" t="s">
        <v>99</v>
      </c>
      <c r="AI58" s="334" t="s">
        <v>100</v>
      </c>
      <c r="AJ58" s="334" t="s">
        <v>11</v>
      </c>
      <c r="AK58" s="334">
        <v>11.3</v>
      </c>
      <c r="AL58" s="343"/>
      <c r="AO58" s="344"/>
      <c r="AP58" s="343"/>
      <c r="AS58" s="344"/>
      <c r="AW58" s="344"/>
      <c r="BA58" s="345"/>
    </row>
    <row r="59" spans="1:53" s="334" customFormat="1">
      <c r="A59" s="386">
        <v>1983</v>
      </c>
      <c r="B59" s="355"/>
      <c r="C59" s="965" t="s">
        <v>207</v>
      </c>
      <c r="D59" s="965"/>
      <c r="E59" s="334">
        <v>365</v>
      </c>
      <c r="G59" s="419">
        <v>8</v>
      </c>
      <c r="H59" s="334">
        <v>8</v>
      </c>
      <c r="J59" s="435">
        <v>16</v>
      </c>
      <c r="K59" s="384">
        <f t="shared" si="20"/>
        <v>50</v>
      </c>
      <c r="L59" s="384">
        <f t="shared" si="21"/>
        <v>50</v>
      </c>
      <c r="M59" s="384">
        <f t="shared" si="22"/>
        <v>0</v>
      </c>
      <c r="N59" s="421">
        <f t="shared" si="0"/>
        <v>100</v>
      </c>
      <c r="O59" s="383">
        <v>24.5</v>
      </c>
      <c r="P59" s="384">
        <v>28.8</v>
      </c>
      <c r="Q59" s="384"/>
      <c r="R59" s="385">
        <f t="shared" si="4"/>
        <v>53.3</v>
      </c>
      <c r="S59" s="388">
        <v>2</v>
      </c>
      <c r="T59" s="342"/>
      <c r="U59" s="355"/>
      <c r="V59" s="343" t="s">
        <v>81</v>
      </c>
      <c r="W59" s="334" t="s">
        <v>82</v>
      </c>
      <c r="X59" s="334" t="s">
        <v>18</v>
      </c>
      <c r="Y59" s="344">
        <v>20.3</v>
      </c>
      <c r="Z59" s="334" t="s">
        <v>85</v>
      </c>
      <c r="AA59" s="334" t="s">
        <v>86</v>
      </c>
      <c r="AB59" s="334" t="s">
        <v>18</v>
      </c>
      <c r="AC59" s="334">
        <v>8.5</v>
      </c>
      <c r="AD59" s="343" t="s">
        <v>87</v>
      </c>
      <c r="AE59" s="334" t="s">
        <v>88</v>
      </c>
      <c r="AF59" s="334" t="s">
        <v>11</v>
      </c>
      <c r="AG59" s="344">
        <v>13.2</v>
      </c>
      <c r="AH59" s="343" t="s">
        <v>99</v>
      </c>
      <c r="AI59" s="334" t="s">
        <v>100</v>
      </c>
      <c r="AJ59" s="334" t="s">
        <v>11</v>
      </c>
      <c r="AK59" s="334">
        <v>11.3</v>
      </c>
      <c r="AL59" s="343"/>
      <c r="AO59" s="344"/>
      <c r="AP59" s="343"/>
      <c r="AS59" s="344"/>
      <c r="AW59" s="344"/>
      <c r="BA59" s="345"/>
    </row>
    <row r="60" spans="1:53" s="334" customFormat="1">
      <c r="A60" s="386">
        <v>1984</v>
      </c>
      <c r="B60" s="355"/>
      <c r="C60" s="965" t="s">
        <v>207</v>
      </c>
      <c r="D60" s="965"/>
      <c r="E60" s="334">
        <v>0</v>
      </c>
      <c r="G60" s="419">
        <v>8</v>
      </c>
      <c r="H60" s="334">
        <v>8</v>
      </c>
      <c r="J60" s="435">
        <v>16</v>
      </c>
      <c r="K60" s="384">
        <f t="shared" si="20"/>
        <v>50</v>
      </c>
      <c r="L60" s="384">
        <f t="shared" si="21"/>
        <v>50</v>
      </c>
      <c r="M60" s="384">
        <f t="shared" si="22"/>
        <v>0</v>
      </c>
      <c r="N60" s="421">
        <f t="shared" si="0"/>
        <v>100</v>
      </c>
      <c r="O60" s="383">
        <v>24.5</v>
      </c>
      <c r="P60" s="384">
        <v>28.8</v>
      </c>
      <c r="Q60" s="384"/>
      <c r="R60" s="385">
        <f t="shared" si="4"/>
        <v>53.3</v>
      </c>
      <c r="S60" s="388">
        <v>2</v>
      </c>
      <c r="T60" s="342"/>
      <c r="U60" s="355"/>
      <c r="V60" s="343" t="s">
        <v>81</v>
      </c>
      <c r="W60" s="334" t="s">
        <v>82</v>
      </c>
      <c r="X60" s="334" t="s">
        <v>18</v>
      </c>
      <c r="Y60" s="344">
        <v>20.3</v>
      </c>
      <c r="Z60" s="334" t="s">
        <v>85</v>
      </c>
      <c r="AA60" s="334" t="s">
        <v>86</v>
      </c>
      <c r="AB60" s="334" t="s">
        <v>18</v>
      </c>
      <c r="AC60" s="334">
        <v>8.5</v>
      </c>
      <c r="AD60" s="343" t="s">
        <v>87</v>
      </c>
      <c r="AE60" s="334" t="s">
        <v>88</v>
      </c>
      <c r="AF60" s="334" t="s">
        <v>11</v>
      </c>
      <c r="AG60" s="344">
        <v>13.2</v>
      </c>
      <c r="AH60" s="343" t="s">
        <v>99</v>
      </c>
      <c r="AI60" s="334" t="s">
        <v>100</v>
      </c>
      <c r="AJ60" s="334" t="s">
        <v>11</v>
      </c>
      <c r="AK60" s="334">
        <v>11.3</v>
      </c>
      <c r="AL60" s="343"/>
      <c r="AO60" s="344"/>
      <c r="AP60" s="343"/>
      <c r="AS60" s="344"/>
      <c r="AW60" s="344"/>
      <c r="BA60" s="345"/>
    </row>
    <row r="61" spans="1:53" s="334" customFormat="1">
      <c r="A61" s="386">
        <v>1984</v>
      </c>
      <c r="B61" s="355"/>
      <c r="C61" s="965" t="s">
        <v>207</v>
      </c>
      <c r="D61" s="965"/>
      <c r="E61" s="334">
        <v>366</v>
      </c>
      <c r="G61" s="419">
        <v>8</v>
      </c>
      <c r="H61" s="334">
        <v>8</v>
      </c>
      <c r="J61" s="435">
        <v>16</v>
      </c>
      <c r="K61" s="384">
        <f>G61/J61*100</f>
        <v>50</v>
      </c>
      <c r="L61" s="384">
        <f>H61/J61*100</f>
        <v>50</v>
      </c>
      <c r="M61" s="384">
        <f>I61/J61*100</f>
        <v>0</v>
      </c>
      <c r="N61" s="421">
        <f t="shared" si="0"/>
        <v>100</v>
      </c>
      <c r="O61" s="383">
        <v>24.5</v>
      </c>
      <c r="P61" s="384">
        <v>28.8</v>
      </c>
      <c r="Q61" s="384"/>
      <c r="R61" s="385">
        <f t="shared" si="4"/>
        <v>53.3</v>
      </c>
      <c r="S61" s="388">
        <v>2</v>
      </c>
      <c r="T61" s="342"/>
      <c r="U61" s="355"/>
      <c r="V61" s="343" t="s">
        <v>81</v>
      </c>
      <c r="W61" s="334" t="s">
        <v>82</v>
      </c>
      <c r="X61" s="334" t="s">
        <v>18</v>
      </c>
      <c r="Y61" s="344">
        <v>20.3</v>
      </c>
      <c r="Z61" s="334" t="s">
        <v>85</v>
      </c>
      <c r="AA61" s="334" t="s">
        <v>86</v>
      </c>
      <c r="AB61" s="334" t="s">
        <v>18</v>
      </c>
      <c r="AC61" s="334">
        <v>8.5</v>
      </c>
      <c r="AD61" s="343" t="s">
        <v>87</v>
      </c>
      <c r="AE61" s="334" t="s">
        <v>88</v>
      </c>
      <c r="AF61" s="334" t="s">
        <v>11</v>
      </c>
      <c r="AG61" s="344">
        <v>13.2</v>
      </c>
      <c r="AH61" s="343" t="s">
        <v>99</v>
      </c>
      <c r="AI61" s="334" t="s">
        <v>100</v>
      </c>
      <c r="AJ61" s="334" t="s">
        <v>11</v>
      </c>
      <c r="AK61" s="334">
        <v>11.3</v>
      </c>
      <c r="AL61" s="343"/>
      <c r="AO61" s="344"/>
      <c r="AP61" s="343"/>
      <c r="AS61" s="344"/>
      <c r="AW61" s="344"/>
      <c r="BA61" s="345"/>
    </row>
    <row r="62" spans="1:53" s="334" customFormat="1">
      <c r="A62" s="386">
        <v>1985</v>
      </c>
      <c r="B62" s="355"/>
      <c r="C62" s="965" t="s">
        <v>207</v>
      </c>
      <c r="D62" s="965"/>
      <c r="E62" s="334">
        <v>331</v>
      </c>
      <c r="G62" s="419">
        <v>8</v>
      </c>
      <c r="H62" s="334">
        <v>8</v>
      </c>
      <c r="J62" s="435">
        <v>16</v>
      </c>
      <c r="K62" s="384">
        <f>G62/J62*100</f>
        <v>50</v>
      </c>
      <c r="L62" s="384">
        <f>H62/J62*100</f>
        <v>50</v>
      </c>
      <c r="M62" s="384">
        <f>I62/J62*100</f>
        <v>0</v>
      </c>
      <c r="N62" s="421">
        <f t="shared" si="0"/>
        <v>100</v>
      </c>
      <c r="O62" s="383">
        <v>24.5</v>
      </c>
      <c r="P62" s="384">
        <v>28.8</v>
      </c>
      <c r="Q62" s="384"/>
      <c r="R62" s="385">
        <f t="shared" si="4"/>
        <v>53.3</v>
      </c>
      <c r="S62" s="388">
        <v>2</v>
      </c>
      <c r="T62" s="342"/>
      <c r="U62" s="355"/>
      <c r="V62" s="343" t="s">
        <v>81</v>
      </c>
      <c r="W62" s="334" t="s">
        <v>82</v>
      </c>
      <c r="X62" s="334" t="s">
        <v>18</v>
      </c>
      <c r="Y62" s="344">
        <v>20.3</v>
      </c>
      <c r="Z62" s="334" t="s">
        <v>85</v>
      </c>
      <c r="AA62" s="334" t="s">
        <v>86</v>
      </c>
      <c r="AB62" s="334" t="s">
        <v>18</v>
      </c>
      <c r="AC62" s="334">
        <v>8.5</v>
      </c>
      <c r="AD62" s="343" t="s">
        <v>87</v>
      </c>
      <c r="AE62" s="334" t="s">
        <v>88</v>
      </c>
      <c r="AF62" s="334" t="s">
        <v>11</v>
      </c>
      <c r="AG62" s="344">
        <v>13.2</v>
      </c>
      <c r="AH62" s="343" t="s">
        <v>99</v>
      </c>
      <c r="AI62" s="334" t="s">
        <v>100</v>
      </c>
      <c r="AJ62" s="334" t="s">
        <v>11</v>
      </c>
      <c r="AK62" s="334">
        <v>11.3</v>
      </c>
      <c r="AL62" s="343"/>
      <c r="AO62" s="344"/>
      <c r="AP62" s="343"/>
      <c r="AS62" s="344"/>
      <c r="AW62" s="344"/>
      <c r="BA62" s="345"/>
    </row>
    <row r="63" spans="1:53" s="73" customFormat="1">
      <c r="A63" s="102">
        <v>1985</v>
      </c>
      <c r="B63" s="85">
        <v>31379</v>
      </c>
      <c r="C63" s="966" t="s">
        <v>208</v>
      </c>
      <c r="D63" s="966"/>
      <c r="E63" s="73">
        <v>34</v>
      </c>
      <c r="F63" s="73">
        <v>4</v>
      </c>
      <c r="G63" s="123">
        <v>7</v>
      </c>
      <c r="H63" s="73">
        <v>8</v>
      </c>
      <c r="J63" s="134">
        <v>15</v>
      </c>
      <c r="K63" s="92">
        <f>G63/J63*100</f>
        <v>46.666666666666664</v>
      </c>
      <c r="L63" s="92">
        <f>H63/J63*100</f>
        <v>53.333333333333336</v>
      </c>
      <c r="M63" s="92">
        <f>I63/J63*100</f>
        <v>0</v>
      </c>
      <c r="N63" s="125">
        <f t="shared" si="0"/>
        <v>100</v>
      </c>
      <c r="O63" s="91">
        <v>21.7</v>
      </c>
      <c r="P63" s="92">
        <v>32.5</v>
      </c>
      <c r="Q63" s="92"/>
      <c r="R63" s="93">
        <f t="shared" si="4"/>
        <v>54.2</v>
      </c>
      <c r="S63" s="97">
        <v>2</v>
      </c>
      <c r="T63" s="95">
        <v>31333</v>
      </c>
      <c r="U63" s="85">
        <v>31379</v>
      </c>
      <c r="V63" s="82" t="s">
        <v>81</v>
      </c>
      <c r="W63" s="73" t="s">
        <v>82</v>
      </c>
      <c r="X63" s="73" t="s">
        <v>18</v>
      </c>
      <c r="Y63" s="83">
        <v>23.1</v>
      </c>
      <c r="Z63" s="73" t="s">
        <v>85</v>
      </c>
      <c r="AA63" s="73" t="s">
        <v>86</v>
      </c>
      <c r="AB63" s="73" t="s">
        <v>18</v>
      </c>
      <c r="AC63" s="73">
        <v>9.4</v>
      </c>
      <c r="AD63" s="82" t="s">
        <v>87</v>
      </c>
      <c r="AE63" s="73" t="s">
        <v>88</v>
      </c>
      <c r="AF63" s="73" t="s">
        <v>11</v>
      </c>
      <c r="AG63" s="83">
        <v>10.4</v>
      </c>
      <c r="AH63" s="82" t="s">
        <v>99</v>
      </c>
      <c r="AI63" s="73" t="s">
        <v>100</v>
      </c>
      <c r="AJ63" s="73" t="s">
        <v>11</v>
      </c>
      <c r="AK63" s="73">
        <v>11.3</v>
      </c>
      <c r="AL63" s="82"/>
      <c r="AO63" s="83"/>
      <c r="AP63" s="82"/>
      <c r="AS63" s="83"/>
      <c r="AW63" s="83"/>
      <c r="BA63" s="84"/>
    </row>
    <row r="64" spans="1:53" s="73" customFormat="1">
      <c r="A64" s="73">
        <v>1986</v>
      </c>
      <c r="B64" s="85"/>
      <c r="C64" s="966" t="s">
        <v>208</v>
      </c>
      <c r="D64" s="966"/>
      <c r="E64" s="73">
        <v>0</v>
      </c>
      <c r="G64" s="123">
        <v>7</v>
      </c>
      <c r="H64" s="73">
        <v>8</v>
      </c>
      <c r="J64" s="134">
        <v>15</v>
      </c>
      <c r="K64" s="92">
        <f>G64/J64*100</f>
        <v>46.666666666666664</v>
      </c>
      <c r="L64" s="92">
        <f>H64/J64*100</f>
        <v>53.333333333333336</v>
      </c>
      <c r="M64" s="92">
        <f>I64/J64*100</f>
        <v>0</v>
      </c>
      <c r="N64" s="125">
        <f t="shared" si="0"/>
        <v>100</v>
      </c>
      <c r="O64" s="91">
        <v>21.7</v>
      </c>
      <c r="P64" s="92">
        <v>32.5</v>
      </c>
      <c r="Q64" s="92"/>
      <c r="R64" s="93">
        <f t="shared" si="4"/>
        <v>54.2</v>
      </c>
      <c r="S64" s="97">
        <v>2</v>
      </c>
      <c r="T64" s="95"/>
      <c r="U64" s="85"/>
      <c r="V64" s="82" t="s">
        <v>81</v>
      </c>
      <c r="W64" s="73" t="s">
        <v>82</v>
      </c>
      <c r="X64" s="73" t="s">
        <v>18</v>
      </c>
      <c r="Y64" s="83">
        <v>23.1</v>
      </c>
      <c r="Z64" s="73" t="s">
        <v>85</v>
      </c>
      <c r="AA64" s="73" t="s">
        <v>86</v>
      </c>
      <c r="AB64" s="73" t="s">
        <v>18</v>
      </c>
      <c r="AC64" s="73">
        <v>9.4</v>
      </c>
      <c r="AD64" s="82" t="s">
        <v>87</v>
      </c>
      <c r="AE64" s="73" t="s">
        <v>88</v>
      </c>
      <c r="AF64" s="73" t="s">
        <v>11</v>
      </c>
      <c r="AG64" s="83">
        <v>10.4</v>
      </c>
      <c r="AH64" s="82" t="s">
        <v>99</v>
      </c>
      <c r="AI64" s="73" t="s">
        <v>100</v>
      </c>
      <c r="AJ64" s="73" t="s">
        <v>11</v>
      </c>
      <c r="AK64" s="73">
        <v>11.3</v>
      </c>
      <c r="AL64" s="82"/>
      <c r="AO64" s="83"/>
      <c r="AP64" s="82"/>
      <c r="AS64" s="83"/>
      <c r="AW64" s="83"/>
      <c r="BA64" s="84"/>
    </row>
    <row r="65" spans="1:53" s="73" customFormat="1">
      <c r="A65" s="73">
        <v>1986</v>
      </c>
      <c r="B65" s="85"/>
      <c r="C65" s="966" t="s">
        <v>208</v>
      </c>
      <c r="D65" s="966"/>
      <c r="E65" s="73">
        <f>365-E64</f>
        <v>365</v>
      </c>
      <c r="G65" s="123">
        <v>7</v>
      </c>
      <c r="H65" s="73">
        <v>8</v>
      </c>
      <c r="J65" s="134">
        <v>15</v>
      </c>
      <c r="K65" s="92">
        <f t="shared" ref="K65:K72" si="23">G65/J65*100</f>
        <v>46.666666666666664</v>
      </c>
      <c r="L65" s="92">
        <f t="shared" ref="L65:L72" si="24">H65/J65*100</f>
        <v>53.333333333333336</v>
      </c>
      <c r="M65" s="92">
        <f t="shared" ref="M65:M72" si="25">I65/J65*100</f>
        <v>0</v>
      </c>
      <c r="N65" s="125">
        <f t="shared" si="0"/>
        <v>100</v>
      </c>
      <c r="O65" s="91">
        <v>21.7</v>
      </c>
      <c r="P65" s="92">
        <v>32.5</v>
      </c>
      <c r="Q65" s="92"/>
      <c r="R65" s="93">
        <f t="shared" si="4"/>
        <v>54.2</v>
      </c>
      <c r="S65" s="97">
        <v>2</v>
      </c>
      <c r="T65" s="95"/>
      <c r="U65" s="85"/>
      <c r="V65" s="82" t="s">
        <v>81</v>
      </c>
      <c r="W65" s="73" t="s">
        <v>82</v>
      </c>
      <c r="X65" s="73" t="s">
        <v>18</v>
      </c>
      <c r="Y65" s="83">
        <v>23.1</v>
      </c>
      <c r="Z65" s="73" t="s">
        <v>85</v>
      </c>
      <c r="AA65" s="73" t="s">
        <v>86</v>
      </c>
      <c r="AB65" s="73" t="s">
        <v>18</v>
      </c>
      <c r="AC65" s="73">
        <v>9.4</v>
      </c>
      <c r="AD65" s="82" t="s">
        <v>87</v>
      </c>
      <c r="AE65" s="73" t="s">
        <v>88</v>
      </c>
      <c r="AF65" s="73" t="s">
        <v>11</v>
      </c>
      <c r="AG65" s="83">
        <v>10.4</v>
      </c>
      <c r="AH65" s="82" t="s">
        <v>99</v>
      </c>
      <c r="AI65" s="73" t="s">
        <v>100</v>
      </c>
      <c r="AJ65" s="73" t="s">
        <v>11</v>
      </c>
      <c r="AK65" s="73">
        <v>11.3</v>
      </c>
      <c r="AL65" s="82"/>
      <c r="AO65" s="83"/>
      <c r="AP65" s="82"/>
      <c r="AS65" s="83"/>
      <c r="AW65" s="83"/>
      <c r="BA65" s="84"/>
    </row>
    <row r="66" spans="1:53" s="73" customFormat="1">
      <c r="A66" s="73">
        <v>1987</v>
      </c>
      <c r="B66" s="85"/>
      <c r="C66" s="966" t="s">
        <v>208</v>
      </c>
      <c r="D66" s="966"/>
      <c r="E66" s="73">
        <v>292</v>
      </c>
      <c r="G66" s="123">
        <v>7</v>
      </c>
      <c r="H66" s="73">
        <v>8</v>
      </c>
      <c r="J66" s="134">
        <v>15</v>
      </c>
      <c r="K66" s="92">
        <f t="shared" si="23"/>
        <v>46.666666666666664</v>
      </c>
      <c r="L66" s="92">
        <f t="shared" si="24"/>
        <v>53.333333333333336</v>
      </c>
      <c r="M66" s="92">
        <f t="shared" si="25"/>
        <v>0</v>
      </c>
      <c r="N66" s="125">
        <f t="shared" si="0"/>
        <v>100</v>
      </c>
      <c r="O66" s="91">
        <v>21.7</v>
      </c>
      <c r="P66" s="92">
        <v>32.5</v>
      </c>
      <c r="Q66" s="92"/>
      <c r="R66" s="93">
        <f t="shared" si="4"/>
        <v>54.2</v>
      </c>
      <c r="S66" s="97">
        <v>2</v>
      </c>
      <c r="T66" s="95"/>
      <c r="U66" s="85"/>
      <c r="V66" s="82" t="s">
        <v>81</v>
      </c>
      <c r="W66" s="73" t="s">
        <v>82</v>
      </c>
      <c r="X66" s="73" t="s">
        <v>18</v>
      </c>
      <c r="Y66" s="83">
        <v>23.1</v>
      </c>
      <c r="Z66" s="73" t="s">
        <v>85</v>
      </c>
      <c r="AA66" s="73" t="s">
        <v>86</v>
      </c>
      <c r="AB66" s="73" t="s">
        <v>18</v>
      </c>
      <c r="AC66" s="73">
        <v>9.4</v>
      </c>
      <c r="AD66" s="82" t="s">
        <v>87</v>
      </c>
      <c r="AE66" s="73" t="s">
        <v>88</v>
      </c>
      <c r="AF66" s="73" t="s">
        <v>11</v>
      </c>
      <c r="AG66" s="83">
        <v>10.4</v>
      </c>
      <c r="AH66" s="82" t="s">
        <v>99</v>
      </c>
      <c r="AI66" s="73" t="s">
        <v>100</v>
      </c>
      <c r="AJ66" s="73" t="s">
        <v>11</v>
      </c>
      <c r="AK66" s="73">
        <v>11.3</v>
      </c>
      <c r="AL66" s="82"/>
      <c r="AO66" s="83"/>
      <c r="AP66" s="82"/>
      <c r="AS66" s="83"/>
      <c r="AW66" s="83"/>
      <c r="BA66" s="84"/>
    </row>
    <row r="67" spans="1:53" s="334" customFormat="1">
      <c r="A67" s="334">
        <v>1987</v>
      </c>
      <c r="B67" s="355">
        <v>32070</v>
      </c>
      <c r="C67" s="965" t="s">
        <v>209</v>
      </c>
      <c r="D67" s="965"/>
      <c r="E67" s="334">
        <v>73</v>
      </c>
      <c r="F67" s="334">
        <v>4</v>
      </c>
      <c r="G67" s="419">
        <v>7</v>
      </c>
      <c r="H67" s="334">
        <v>9</v>
      </c>
      <c r="J67" s="435">
        <v>16</v>
      </c>
      <c r="K67" s="384">
        <f t="shared" si="23"/>
        <v>43.75</v>
      </c>
      <c r="L67" s="384">
        <f t="shared" si="24"/>
        <v>56.25</v>
      </c>
      <c r="M67" s="384">
        <f t="shared" si="25"/>
        <v>0</v>
      </c>
      <c r="N67" s="421">
        <f t="shared" si="0"/>
        <v>100</v>
      </c>
      <c r="O67" s="383">
        <v>22.6</v>
      </c>
      <c r="P67" s="384">
        <v>29.3</v>
      </c>
      <c r="Q67" s="384"/>
      <c r="R67" s="385">
        <f t="shared" si="4"/>
        <v>51.900000000000006</v>
      </c>
      <c r="S67" s="388">
        <v>6</v>
      </c>
      <c r="T67" s="342"/>
      <c r="U67" s="355">
        <v>32070</v>
      </c>
      <c r="V67" s="343" t="s">
        <v>81</v>
      </c>
      <c r="W67" s="334" t="s">
        <v>82</v>
      </c>
      <c r="X67" s="334" t="s">
        <v>18</v>
      </c>
      <c r="Y67" s="344">
        <v>23.1</v>
      </c>
      <c r="Z67" s="334" t="s">
        <v>85</v>
      </c>
      <c r="AA67" s="334" t="s">
        <v>86</v>
      </c>
      <c r="AB67" s="334" t="s">
        <v>18</v>
      </c>
      <c r="AC67" s="334">
        <v>9.4</v>
      </c>
      <c r="AD67" s="343" t="s">
        <v>87</v>
      </c>
      <c r="AE67" s="334" t="s">
        <v>88</v>
      </c>
      <c r="AF67" s="334" t="s">
        <v>11</v>
      </c>
      <c r="AG67" s="344">
        <v>10.4</v>
      </c>
      <c r="AH67" s="343" t="s">
        <v>99</v>
      </c>
      <c r="AI67" s="334" t="s">
        <v>100</v>
      </c>
      <c r="AJ67" s="334" t="s">
        <v>11</v>
      </c>
      <c r="AK67" s="334">
        <v>11.3</v>
      </c>
      <c r="AL67" s="343"/>
      <c r="AO67" s="344"/>
      <c r="AP67" s="343"/>
      <c r="AS67" s="344"/>
      <c r="AW67" s="344"/>
      <c r="BA67" s="345"/>
    </row>
    <row r="68" spans="1:53" s="334" customFormat="1">
      <c r="A68" s="334">
        <v>1988</v>
      </c>
      <c r="B68" s="355"/>
      <c r="C68" s="965" t="s">
        <v>209</v>
      </c>
      <c r="D68" s="965"/>
      <c r="E68" s="334">
        <v>160</v>
      </c>
      <c r="G68" s="419">
        <v>7</v>
      </c>
      <c r="H68" s="334">
        <v>9</v>
      </c>
      <c r="J68" s="435">
        <v>16</v>
      </c>
      <c r="K68" s="384">
        <f t="shared" si="23"/>
        <v>43.75</v>
      </c>
      <c r="L68" s="384">
        <f t="shared" si="24"/>
        <v>56.25</v>
      </c>
      <c r="M68" s="384">
        <f t="shared" si="25"/>
        <v>0</v>
      </c>
      <c r="N68" s="421">
        <f t="shared" si="0"/>
        <v>100</v>
      </c>
      <c r="O68" s="383">
        <v>22.6</v>
      </c>
      <c r="P68" s="384">
        <v>29.3</v>
      </c>
      <c r="Q68" s="384"/>
      <c r="R68" s="385">
        <f t="shared" si="4"/>
        <v>51.900000000000006</v>
      </c>
      <c r="S68" s="388">
        <v>6</v>
      </c>
      <c r="T68" s="342">
        <v>32124</v>
      </c>
      <c r="U68" s="355"/>
      <c r="V68" s="343" t="s">
        <v>81</v>
      </c>
      <c r="W68" s="334" t="s">
        <v>82</v>
      </c>
      <c r="X68" s="334" t="s">
        <v>18</v>
      </c>
      <c r="Y68" s="344">
        <v>23.1</v>
      </c>
      <c r="Z68" s="334" t="s">
        <v>85</v>
      </c>
      <c r="AA68" s="334" t="s">
        <v>86</v>
      </c>
      <c r="AB68" s="334" t="s">
        <v>18</v>
      </c>
      <c r="AC68" s="334">
        <v>9.4</v>
      </c>
      <c r="AD68" s="343" t="s">
        <v>87</v>
      </c>
      <c r="AE68" s="334" t="s">
        <v>88</v>
      </c>
      <c r="AF68" s="334" t="s">
        <v>11</v>
      </c>
      <c r="AG68" s="344">
        <v>10.4</v>
      </c>
      <c r="AH68" s="343" t="s">
        <v>99</v>
      </c>
      <c r="AI68" s="334" t="s">
        <v>100</v>
      </c>
      <c r="AJ68" s="334" t="s">
        <v>11</v>
      </c>
      <c r="AK68" s="334">
        <v>11.3</v>
      </c>
      <c r="AL68" s="343"/>
      <c r="AO68" s="344"/>
      <c r="AP68" s="343"/>
      <c r="AS68" s="344"/>
      <c r="AW68" s="344"/>
      <c r="BA68" s="345"/>
    </row>
    <row r="69" spans="1:53" s="73" customFormat="1">
      <c r="A69" s="73">
        <v>1988</v>
      </c>
      <c r="B69" s="85">
        <v>32303</v>
      </c>
      <c r="C69" s="966" t="s">
        <v>210</v>
      </c>
      <c r="D69" s="966"/>
      <c r="E69" s="73">
        <v>206</v>
      </c>
      <c r="F69" s="73">
        <v>1</v>
      </c>
      <c r="G69" s="123"/>
      <c r="H69" s="73">
        <v>9</v>
      </c>
      <c r="I69" s="73">
        <v>8</v>
      </c>
      <c r="J69" s="134">
        <v>17</v>
      </c>
      <c r="K69" s="92">
        <f t="shared" si="23"/>
        <v>0</v>
      </c>
      <c r="L69" s="92">
        <f t="shared" si="24"/>
        <v>52.941176470588239</v>
      </c>
      <c r="M69" s="92">
        <f t="shared" si="25"/>
        <v>47.058823529411761</v>
      </c>
      <c r="N69" s="125">
        <f t="shared" si="0"/>
        <v>100</v>
      </c>
      <c r="O69" s="91"/>
      <c r="P69" s="92">
        <v>36.799999999999997</v>
      </c>
      <c r="Q69" s="92">
        <v>34</v>
      </c>
      <c r="R69" s="93">
        <f t="shared" si="4"/>
        <v>70.8</v>
      </c>
      <c r="S69" s="97">
        <v>3</v>
      </c>
      <c r="T69" s="95"/>
      <c r="U69" s="85">
        <v>32303</v>
      </c>
      <c r="V69" s="82" t="s">
        <v>81</v>
      </c>
      <c r="W69" s="73" t="s">
        <v>82</v>
      </c>
      <c r="X69" s="73" t="s">
        <v>18</v>
      </c>
      <c r="Y69" s="83">
        <v>20.3</v>
      </c>
      <c r="Z69" s="73" t="s">
        <v>85</v>
      </c>
      <c r="AA69" s="73" t="s">
        <v>86</v>
      </c>
      <c r="AB69" s="73" t="s">
        <v>18</v>
      </c>
      <c r="AC69" s="73">
        <v>9</v>
      </c>
      <c r="AD69" s="82" t="s">
        <v>96</v>
      </c>
      <c r="AE69" s="73" t="s">
        <v>97</v>
      </c>
      <c r="AF69" s="73" t="s">
        <v>12</v>
      </c>
      <c r="AG69" s="83">
        <v>18.899999999999999</v>
      </c>
      <c r="AH69" s="73" t="s">
        <v>95</v>
      </c>
      <c r="AI69" s="73" t="s">
        <v>98</v>
      </c>
      <c r="AJ69" s="73" t="s">
        <v>12</v>
      </c>
      <c r="AK69" s="73">
        <v>15.1</v>
      </c>
      <c r="AL69" s="82" t="s">
        <v>89</v>
      </c>
      <c r="AM69" s="73" t="s">
        <v>90</v>
      </c>
      <c r="AN69" s="73" t="s">
        <v>18</v>
      </c>
      <c r="AO69" s="83">
        <v>7.5</v>
      </c>
      <c r="AP69" s="82"/>
      <c r="AS69" s="83"/>
      <c r="AW69" s="83"/>
      <c r="BA69" s="84"/>
    </row>
    <row r="70" spans="1:53" s="73" customFormat="1">
      <c r="A70" s="73">
        <v>1989</v>
      </c>
      <c r="B70" s="85"/>
      <c r="C70" s="966" t="s">
        <v>210</v>
      </c>
      <c r="D70" s="966"/>
      <c r="E70" s="73">
        <v>0</v>
      </c>
      <c r="G70" s="123"/>
      <c r="H70" s="73">
        <v>9</v>
      </c>
      <c r="I70" s="73">
        <v>8</v>
      </c>
      <c r="J70" s="134">
        <v>17</v>
      </c>
      <c r="K70" s="92">
        <f t="shared" si="23"/>
        <v>0</v>
      </c>
      <c r="L70" s="92">
        <f t="shared" si="24"/>
        <v>52.941176470588239</v>
      </c>
      <c r="M70" s="92">
        <f t="shared" si="25"/>
        <v>47.058823529411761</v>
      </c>
      <c r="N70" s="125">
        <f t="shared" si="0"/>
        <v>100</v>
      </c>
      <c r="O70" s="91"/>
      <c r="P70" s="92">
        <v>36.799999999999997</v>
      </c>
      <c r="Q70" s="92">
        <v>34</v>
      </c>
      <c r="R70" s="93">
        <f t="shared" si="4"/>
        <v>70.8</v>
      </c>
      <c r="S70" s="97">
        <v>3</v>
      </c>
      <c r="T70" s="95"/>
      <c r="U70" s="85"/>
      <c r="V70" s="82" t="s">
        <v>81</v>
      </c>
      <c r="W70" s="73" t="s">
        <v>82</v>
      </c>
      <c r="X70" s="73" t="s">
        <v>18</v>
      </c>
      <c r="Y70" s="83">
        <v>20.3</v>
      </c>
      <c r="Z70" s="73" t="s">
        <v>85</v>
      </c>
      <c r="AA70" s="73" t="s">
        <v>86</v>
      </c>
      <c r="AB70" s="73" t="s">
        <v>18</v>
      </c>
      <c r="AC70" s="73">
        <v>9</v>
      </c>
      <c r="AD70" s="82" t="s">
        <v>96</v>
      </c>
      <c r="AE70" s="73" t="s">
        <v>97</v>
      </c>
      <c r="AF70" s="73" t="s">
        <v>12</v>
      </c>
      <c r="AG70" s="83">
        <v>18.899999999999999</v>
      </c>
      <c r="AH70" s="73" t="s">
        <v>95</v>
      </c>
      <c r="AI70" s="73" t="s">
        <v>98</v>
      </c>
      <c r="AJ70" s="73" t="s">
        <v>12</v>
      </c>
      <c r="AK70" s="73">
        <v>15.1</v>
      </c>
      <c r="AL70" s="82" t="s">
        <v>89</v>
      </c>
      <c r="AM70" s="73" t="s">
        <v>90</v>
      </c>
      <c r="AN70" s="73" t="s">
        <v>18</v>
      </c>
      <c r="AO70" s="83">
        <v>7.5</v>
      </c>
      <c r="AP70" s="82"/>
      <c r="AS70" s="83"/>
      <c r="AW70" s="83"/>
      <c r="BA70" s="84"/>
    </row>
    <row r="71" spans="1:53" s="136" customFormat="1">
      <c r="A71" s="136">
        <v>1989</v>
      </c>
      <c r="B71" s="137"/>
      <c r="C71" s="1000" t="s">
        <v>210</v>
      </c>
      <c r="D71" s="1000"/>
      <c r="E71" s="136">
        <f>365-E70</f>
        <v>365</v>
      </c>
      <c r="G71" s="138"/>
      <c r="H71" s="136">
        <v>9</v>
      </c>
      <c r="I71" s="136">
        <v>8</v>
      </c>
      <c r="J71" s="139">
        <v>17</v>
      </c>
      <c r="K71" s="140">
        <f t="shared" si="23"/>
        <v>0</v>
      </c>
      <c r="L71" s="140">
        <f t="shared" si="24"/>
        <v>52.941176470588239</v>
      </c>
      <c r="M71" s="140">
        <f t="shared" si="25"/>
        <v>47.058823529411761</v>
      </c>
      <c r="N71" s="141">
        <f t="shared" si="0"/>
        <v>100</v>
      </c>
      <c r="O71" s="142"/>
      <c r="P71" s="140">
        <v>36.799999999999997</v>
      </c>
      <c r="Q71" s="140">
        <v>34</v>
      </c>
      <c r="R71" s="143">
        <f t="shared" si="4"/>
        <v>70.8</v>
      </c>
      <c r="S71" s="144">
        <v>3</v>
      </c>
      <c r="T71" s="145"/>
      <c r="U71" s="137"/>
      <c r="V71" s="146" t="s">
        <v>81</v>
      </c>
      <c r="W71" s="136" t="s">
        <v>82</v>
      </c>
      <c r="X71" s="136" t="s">
        <v>18</v>
      </c>
      <c r="Y71" s="147">
        <v>20.3</v>
      </c>
      <c r="Z71" s="136" t="s">
        <v>85</v>
      </c>
      <c r="AA71" s="136" t="s">
        <v>86</v>
      </c>
      <c r="AB71" s="136" t="s">
        <v>18</v>
      </c>
      <c r="AC71" s="136">
        <v>9</v>
      </c>
      <c r="AD71" s="146" t="s">
        <v>96</v>
      </c>
      <c r="AE71" s="136" t="s">
        <v>97</v>
      </c>
      <c r="AF71" s="136" t="s">
        <v>12</v>
      </c>
      <c r="AG71" s="147">
        <v>18.899999999999999</v>
      </c>
      <c r="AH71" s="136" t="s">
        <v>95</v>
      </c>
      <c r="AI71" s="136" t="s">
        <v>98</v>
      </c>
      <c r="AJ71" s="136" t="s">
        <v>12</v>
      </c>
      <c r="AK71" s="136">
        <v>15.1</v>
      </c>
      <c r="AL71" s="146" t="s">
        <v>89</v>
      </c>
      <c r="AM71" s="136" t="s">
        <v>90</v>
      </c>
      <c r="AN71" s="136" t="s">
        <v>18</v>
      </c>
      <c r="AO71" s="147">
        <v>7.5</v>
      </c>
      <c r="AP71" s="146"/>
      <c r="AS71" s="147"/>
      <c r="AW71" s="147"/>
      <c r="BA71" s="148"/>
    </row>
    <row r="72" spans="1:53" s="73" customFormat="1">
      <c r="A72" s="73">
        <v>1990</v>
      </c>
      <c r="C72" s="966" t="s">
        <v>210</v>
      </c>
      <c r="D72" s="966"/>
      <c r="E72" s="73">
        <v>0</v>
      </c>
      <c r="G72" s="123"/>
      <c r="H72" s="73">
        <v>9</v>
      </c>
      <c r="I72" s="73">
        <v>8</v>
      </c>
      <c r="J72" s="134">
        <v>17</v>
      </c>
      <c r="K72" s="92">
        <f t="shared" si="23"/>
        <v>0</v>
      </c>
      <c r="L72" s="92">
        <f t="shared" si="24"/>
        <v>52.941176470588239</v>
      </c>
      <c r="M72" s="92">
        <f t="shared" si="25"/>
        <v>47.058823529411761</v>
      </c>
      <c r="N72" s="125">
        <f t="shared" ref="N72:N118" si="26">SUM(K72:M72)</f>
        <v>100</v>
      </c>
      <c r="O72" s="91"/>
      <c r="P72" s="92">
        <v>36.799999999999997</v>
      </c>
      <c r="Q72" s="92">
        <v>34</v>
      </c>
      <c r="R72" s="93">
        <f t="shared" si="4"/>
        <v>70.8</v>
      </c>
      <c r="S72" s="97">
        <v>3</v>
      </c>
      <c r="T72" s="95"/>
      <c r="U72" s="85"/>
      <c r="V72" s="82" t="s">
        <v>81</v>
      </c>
      <c r="W72" s="73" t="s">
        <v>82</v>
      </c>
      <c r="X72" s="73" t="s">
        <v>18</v>
      </c>
      <c r="Y72" s="83">
        <v>20.3</v>
      </c>
      <c r="Z72" s="73" t="s">
        <v>85</v>
      </c>
      <c r="AA72" s="73" t="s">
        <v>86</v>
      </c>
      <c r="AB72" s="73" t="s">
        <v>18</v>
      </c>
      <c r="AC72" s="73">
        <v>9</v>
      </c>
      <c r="AD72" s="82" t="s">
        <v>96</v>
      </c>
      <c r="AE72" s="73" t="s">
        <v>97</v>
      </c>
      <c r="AF72" s="73" t="s">
        <v>12</v>
      </c>
      <c r="AG72" s="83">
        <v>18.899999999999999</v>
      </c>
      <c r="AH72" s="73" t="s">
        <v>95</v>
      </c>
      <c r="AI72" s="73" t="s">
        <v>98</v>
      </c>
      <c r="AJ72" s="73" t="s">
        <v>12</v>
      </c>
      <c r="AK72" s="73">
        <v>15.1</v>
      </c>
      <c r="AL72" s="82" t="s">
        <v>89</v>
      </c>
      <c r="AM72" s="73" t="s">
        <v>90</v>
      </c>
      <c r="AN72" s="73" t="s">
        <v>18</v>
      </c>
      <c r="AO72" s="83">
        <v>7.5</v>
      </c>
      <c r="AP72" s="82"/>
      <c r="AS72" s="83"/>
      <c r="AW72" s="83"/>
      <c r="BA72" s="84"/>
    </row>
    <row r="73" spans="1:53" s="73" customFormat="1">
      <c r="A73" s="73">
        <v>1990</v>
      </c>
      <c r="C73" s="966" t="s">
        <v>210</v>
      </c>
      <c r="D73" s="966"/>
      <c r="E73" s="73">
        <f>365-E72</f>
        <v>365</v>
      </c>
      <c r="G73" s="123"/>
      <c r="H73" s="73">
        <v>9</v>
      </c>
      <c r="I73" s="73">
        <v>8</v>
      </c>
      <c r="J73" s="134">
        <v>17</v>
      </c>
      <c r="K73" s="92">
        <f>G73/J73*100</f>
        <v>0</v>
      </c>
      <c r="L73" s="92">
        <f>H73/J73*100</f>
        <v>52.941176470588239</v>
      </c>
      <c r="M73" s="92">
        <f>I73/J73*100</f>
        <v>47.058823529411761</v>
      </c>
      <c r="N73" s="125">
        <f t="shared" si="26"/>
        <v>100</v>
      </c>
      <c r="O73" s="91"/>
      <c r="P73" s="92">
        <v>36.799999999999997</v>
      </c>
      <c r="Q73" s="92">
        <v>34</v>
      </c>
      <c r="R73" s="93">
        <f t="shared" ref="R73:R120" si="27">SUM(O73:Q73)</f>
        <v>70.8</v>
      </c>
      <c r="S73" s="97">
        <v>3</v>
      </c>
      <c r="T73" s="95"/>
      <c r="U73" s="85"/>
      <c r="V73" s="82" t="s">
        <v>81</v>
      </c>
      <c r="W73" s="73" t="s">
        <v>82</v>
      </c>
      <c r="X73" s="73" t="s">
        <v>18</v>
      </c>
      <c r="Y73" s="83">
        <v>20.3</v>
      </c>
      <c r="Z73" s="73" t="s">
        <v>85</v>
      </c>
      <c r="AA73" s="73" t="s">
        <v>86</v>
      </c>
      <c r="AB73" s="73" t="s">
        <v>18</v>
      </c>
      <c r="AC73" s="73">
        <v>9</v>
      </c>
      <c r="AD73" s="82" t="s">
        <v>96</v>
      </c>
      <c r="AE73" s="73" t="s">
        <v>97</v>
      </c>
      <c r="AF73" s="73" t="s">
        <v>12</v>
      </c>
      <c r="AG73" s="83">
        <v>18.899999999999999</v>
      </c>
      <c r="AH73" s="73" t="s">
        <v>95</v>
      </c>
      <c r="AI73" s="73" t="s">
        <v>98</v>
      </c>
      <c r="AJ73" s="73" t="s">
        <v>12</v>
      </c>
      <c r="AK73" s="73">
        <v>15.1</v>
      </c>
      <c r="AL73" s="82" t="s">
        <v>89</v>
      </c>
      <c r="AM73" s="73" t="s">
        <v>90</v>
      </c>
      <c r="AN73" s="73" t="s">
        <v>18</v>
      </c>
      <c r="AO73" s="83">
        <v>7.5</v>
      </c>
      <c r="AP73" s="82"/>
      <c r="AS73" s="83"/>
      <c r="AW73" s="83"/>
      <c r="BA73" s="84"/>
    </row>
    <row r="74" spans="1:53" s="73" customFormat="1">
      <c r="A74" s="73">
        <v>1991</v>
      </c>
      <c r="C74" s="966" t="s">
        <v>210</v>
      </c>
      <c r="D74" s="966"/>
      <c r="E74" s="73">
        <v>275</v>
      </c>
      <c r="G74" s="123"/>
      <c r="H74" s="73">
        <v>9</v>
      </c>
      <c r="I74" s="73">
        <v>8</v>
      </c>
      <c r="J74" s="134">
        <v>17</v>
      </c>
      <c r="K74" s="92">
        <f>G74/J74*100</f>
        <v>0</v>
      </c>
      <c r="L74" s="92">
        <f>H74/J74*100</f>
        <v>52.941176470588239</v>
      </c>
      <c r="M74" s="92">
        <f>I74/J74*100</f>
        <v>47.058823529411761</v>
      </c>
      <c r="N74" s="125">
        <f t="shared" si="26"/>
        <v>100</v>
      </c>
      <c r="O74" s="91"/>
      <c r="P74" s="92">
        <v>36.799999999999997</v>
      </c>
      <c r="Q74" s="92">
        <v>34</v>
      </c>
      <c r="R74" s="93">
        <f t="shared" si="27"/>
        <v>70.8</v>
      </c>
      <c r="S74" s="97">
        <v>3</v>
      </c>
      <c r="T74" s="95"/>
      <c r="U74" s="85"/>
      <c r="V74" s="82" t="s">
        <v>81</v>
      </c>
      <c r="W74" s="73" t="s">
        <v>82</v>
      </c>
      <c r="X74" s="73" t="s">
        <v>18</v>
      </c>
      <c r="Y74" s="83">
        <v>20.3</v>
      </c>
      <c r="Z74" s="73" t="s">
        <v>85</v>
      </c>
      <c r="AA74" s="73" t="s">
        <v>86</v>
      </c>
      <c r="AB74" s="73" t="s">
        <v>18</v>
      </c>
      <c r="AC74" s="73">
        <v>9</v>
      </c>
      <c r="AD74" s="82" t="s">
        <v>96</v>
      </c>
      <c r="AE74" s="73" t="s">
        <v>97</v>
      </c>
      <c r="AF74" s="73" t="s">
        <v>12</v>
      </c>
      <c r="AG74" s="83">
        <v>18.899999999999999</v>
      </c>
      <c r="AH74" s="73" t="s">
        <v>95</v>
      </c>
      <c r="AI74" s="73" t="s">
        <v>98</v>
      </c>
      <c r="AJ74" s="73" t="s">
        <v>12</v>
      </c>
      <c r="AK74" s="73">
        <v>15.1</v>
      </c>
      <c r="AL74" s="82" t="s">
        <v>89</v>
      </c>
      <c r="AM74" s="73" t="s">
        <v>90</v>
      </c>
      <c r="AN74" s="73" t="s">
        <v>18</v>
      </c>
      <c r="AO74" s="83">
        <v>7.5</v>
      </c>
      <c r="AP74" s="82"/>
      <c r="AS74" s="83"/>
      <c r="AW74" s="83"/>
      <c r="BA74" s="84"/>
    </row>
    <row r="75" spans="1:53" s="334" customFormat="1">
      <c r="A75" s="334">
        <v>1991</v>
      </c>
      <c r="B75" s="355">
        <v>33514</v>
      </c>
      <c r="C75" s="965" t="s">
        <v>211</v>
      </c>
      <c r="D75" s="965"/>
      <c r="E75" s="334">
        <f>365-E74</f>
        <v>90</v>
      </c>
      <c r="F75" s="334">
        <v>1</v>
      </c>
      <c r="G75" s="419"/>
      <c r="H75" s="334">
        <v>8</v>
      </c>
      <c r="I75" s="334">
        <v>9</v>
      </c>
      <c r="J75" s="435">
        <v>17</v>
      </c>
      <c r="K75" s="384">
        <f>G75/J75*100</f>
        <v>0</v>
      </c>
      <c r="L75" s="384">
        <f>H75/J75*100</f>
        <v>47.058823529411761</v>
      </c>
      <c r="M75" s="384">
        <f>I75/J75*100</f>
        <v>52.941176470588239</v>
      </c>
      <c r="N75" s="421">
        <f t="shared" si="26"/>
        <v>100</v>
      </c>
      <c r="O75" s="383"/>
      <c r="P75" s="384">
        <v>36.799999999999997</v>
      </c>
      <c r="Q75" s="384">
        <v>34</v>
      </c>
      <c r="R75" s="385">
        <f t="shared" si="27"/>
        <v>70.8</v>
      </c>
      <c r="S75" s="388">
        <v>3</v>
      </c>
      <c r="T75" s="342"/>
      <c r="U75" s="355">
        <v>33514</v>
      </c>
      <c r="V75" s="343" t="s">
        <v>81</v>
      </c>
      <c r="W75" s="334" t="s">
        <v>82</v>
      </c>
      <c r="X75" s="334" t="s">
        <v>18</v>
      </c>
      <c r="Y75" s="344">
        <v>20.3</v>
      </c>
      <c r="Z75" s="334" t="s">
        <v>85</v>
      </c>
      <c r="AA75" s="334" t="s">
        <v>86</v>
      </c>
      <c r="AB75" s="334" t="s">
        <v>18</v>
      </c>
      <c r="AC75" s="334">
        <v>9</v>
      </c>
      <c r="AD75" s="343" t="s">
        <v>96</v>
      </c>
      <c r="AE75" s="334" t="s">
        <v>97</v>
      </c>
      <c r="AF75" s="334" t="s">
        <v>12</v>
      </c>
      <c r="AG75" s="344">
        <v>18.899999999999999</v>
      </c>
      <c r="AH75" s="334" t="s">
        <v>95</v>
      </c>
      <c r="AI75" s="334" t="s">
        <v>98</v>
      </c>
      <c r="AJ75" s="334" t="s">
        <v>12</v>
      </c>
      <c r="AK75" s="334">
        <v>15.1</v>
      </c>
      <c r="AL75" s="343" t="s">
        <v>89</v>
      </c>
      <c r="AM75" s="334" t="s">
        <v>90</v>
      </c>
      <c r="AN75" s="334" t="s">
        <v>18</v>
      </c>
      <c r="AO75" s="344">
        <v>7.5</v>
      </c>
      <c r="AP75" s="343"/>
      <c r="AS75" s="344"/>
      <c r="AW75" s="344"/>
      <c r="BA75" s="345"/>
    </row>
    <row r="76" spans="1:53" s="334" customFormat="1">
      <c r="A76" s="334">
        <v>1992</v>
      </c>
      <c r="C76" s="965" t="s">
        <v>211</v>
      </c>
      <c r="D76" s="965"/>
      <c r="E76" s="334">
        <v>72</v>
      </c>
      <c r="G76" s="419"/>
      <c r="H76" s="334">
        <v>8</v>
      </c>
      <c r="I76" s="334">
        <v>9</v>
      </c>
      <c r="J76" s="435">
        <v>17</v>
      </c>
      <c r="K76" s="384">
        <f>G76/J76*100</f>
        <v>0</v>
      </c>
      <c r="L76" s="384">
        <f>H76/J76*100</f>
        <v>47.058823529411761</v>
      </c>
      <c r="M76" s="384">
        <f>I76/J76*100</f>
        <v>52.941176470588239</v>
      </c>
      <c r="N76" s="421">
        <f t="shared" si="26"/>
        <v>100</v>
      </c>
      <c r="O76" s="383"/>
      <c r="P76" s="384">
        <v>36.799999999999997</v>
      </c>
      <c r="Q76" s="384">
        <v>34</v>
      </c>
      <c r="R76" s="385">
        <f t="shared" si="27"/>
        <v>70.8</v>
      </c>
      <c r="S76" s="388">
        <v>3</v>
      </c>
      <c r="T76" s="342">
        <v>33566</v>
      </c>
      <c r="V76" s="343" t="s">
        <v>81</v>
      </c>
      <c r="W76" s="334" t="s">
        <v>82</v>
      </c>
      <c r="X76" s="334" t="s">
        <v>18</v>
      </c>
      <c r="Y76" s="344">
        <v>20.3</v>
      </c>
      <c r="Z76" s="334" t="s">
        <v>85</v>
      </c>
      <c r="AA76" s="334" t="s">
        <v>86</v>
      </c>
      <c r="AB76" s="334" t="s">
        <v>18</v>
      </c>
      <c r="AC76" s="334">
        <v>9</v>
      </c>
      <c r="AD76" s="343" t="s">
        <v>96</v>
      </c>
      <c r="AE76" s="334" t="s">
        <v>97</v>
      </c>
      <c r="AF76" s="334" t="s">
        <v>12</v>
      </c>
      <c r="AG76" s="344">
        <v>18.899999999999999</v>
      </c>
      <c r="AH76" s="334" t="s">
        <v>95</v>
      </c>
      <c r="AI76" s="334" t="s">
        <v>98</v>
      </c>
      <c r="AJ76" s="334" t="s">
        <v>12</v>
      </c>
      <c r="AK76" s="334">
        <v>15.1</v>
      </c>
      <c r="AL76" s="343" t="s">
        <v>89</v>
      </c>
      <c r="AM76" s="334" t="s">
        <v>90</v>
      </c>
      <c r="AN76" s="334" t="s">
        <v>18</v>
      </c>
      <c r="AO76" s="344">
        <v>7.5</v>
      </c>
      <c r="AP76" s="343"/>
      <c r="AS76" s="344"/>
      <c r="AW76" s="344"/>
      <c r="BA76" s="345"/>
    </row>
    <row r="77" spans="1:53" s="73" customFormat="1">
      <c r="A77" s="73">
        <v>1992</v>
      </c>
      <c r="B77" s="85">
        <v>33676</v>
      </c>
      <c r="C77" s="988" t="s">
        <v>212</v>
      </c>
      <c r="D77" s="988"/>
      <c r="E77" s="73">
        <v>294</v>
      </c>
      <c r="F77" s="73">
        <v>5</v>
      </c>
      <c r="G77" s="123"/>
      <c r="H77" s="73">
        <v>7</v>
      </c>
      <c r="I77" s="73">
        <v>8</v>
      </c>
      <c r="J77" s="134">
        <v>15</v>
      </c>
      <c r="K77" s="92">
        <f>G77/J77*100</f>
        <v>0</v>
      </c>
      <c r="L77" s="92">
        <f>H77/J77*100</f>
        <v>46.666666666666664</v>
      </c>
      <c r="M77" s="92">
        <f>I77/J77*100</f>
        <v>53.333333333333336</v>
      </c>
      <c r="N77" s="125">
        <f t="shared" si="26"/>
        <v>100</v>
      </c>
      <c r="O77" s="91"/>
      <c r="P77" s="92">
        <v>26.9</v>
      </c>
      <c r="Q77" s="92">
        <v>29.7</v>
      </c>
      <c r="R77" s="93">
        <f t="shared" si="27"/>
        <v>56.599999999999994</v>
      </c>
      <c r="S77" s="97">
        <v>2</v>
      </c>
      <c r="T77" s="95"/>
      <c r="U77" s="85">
        <v>33676</v>
      </c>
      <c r="V77" s="82" t="s">
        <v>81</v>
      </c>
      <c r="W77" s="73" t="s">
        <v>82</v>
      </c>
      <c r="X77" s="73" t="s">
        <v>18</v>
      </c>
      <c r="Y77" s="83">
        <v>18.399999999999999</v>
      </c>
      <c r="Z77" s="73" t="s">
        <v>85</v>
      </c>
      <c r="AA77" s="73" t="s">
        <v>86</v>
      </c>
      <c r="AB77" s="73" t="s">
        <v>18</v>
      </c>
      <c r="AC77" s="73">
        <v>8.5</v>
      </c>
      <c r="AD77" s="82" t="s">
        <v>96</v>
      </c>
      <c r="AE77" s="73" t="s">
        <v>97</v>
      </c>
      <c r="AF77" s="73" t="s">
        <v>12</v>
      </c>
      <c r="AG77" s="83">
        <v>16.5</v>
      </c>
      <c r="AH77" s="73" t="s">
        <v>95</v>
      </c>
      <c r="AI77" s="73" t="s">
        <v>98</v>
      </c>
      <c r="AJ77" s="73" t="s">
        <v>12</v>
      </c>
      <c r="AK77" s="73">
        <v>13.2</v>
      </c>
      <c r="AL77" s="82"/>
      <c r="AO77" s="83"/>
      <c r="AP77" s="82"/>
      <c r="AS77" s="83"/>
      <c r="AW77" s="83"/>
      <c r="BA77" s="84"/>
    </row>
    <row r="78" spans="1:53" s="73" customFormat="1">
      <c r="A78" s="73">
        <v>1993</v>
      </c>
      <c r="C78" s="988" t="s">
        <v>212</v>
      </c>
      <c r="D78" s="988"/>
      <c r="E78" s="73">
        <v>0</v>
      </c>
      <c r="G78" s="123"/>
      <c r="H78" s="73">
        <v>7</v>
      </c>
      <c r="I78" s="73">
        <v>8</v>
      </c>
      <c r="J78" s="134">
        <v>15</v>
      </c>
      <c r="K78" s="92">
        <f t="shared" ref="K78:K101" si="28">G78/J78*100</f>
        <v>0</v>
      </c>
      <c r="L78" s="92">
        <f t="shared" ref="L78:L101" si="29">H78/J78*100</f>
        <v>46.666666666666664</v>
      </c>
      <c r="M78" s="92">
        <f t="shared" ref="M78:M101" si="30">I78/J78*100</f>
        <v>53.333333333333336</v>
      </c>
      <c r="N78" s="125">
        <f t="shared" si="26"/>
        <v>100</v>
      </c>
      <c r="O78" s="91"/>
      <c r="P78" s="92">
        <v>26.9</v>
      </c>
      <c r="Q78" s="92">
        <v>29.7</v>
      </c>
      <c r="R78" s="93">
        <f t="shared" si="27"/>
        <v>56.599999999999994</v>
      </c>
      <c r="S78" s="97">
        <v>2</v>
      </c>
      <c r="T78" s="95"/>
      <c r="V78" s="82" t="s">
        <v>81</v>
      </c>
      <c r="W78" s="73" t="s">
        <v>82</v>
      </c>
      <c r="X78" s="73" t="s">
        <v>18</v>
      </c>
      <c r="Y78" s="83">
        <v>18.399999999999999</v>
      </c>
      <c r="Z78" s="73" t="s">
        <v>85</v>
      </c>
      <c r="AA78" s="73" t="s">
        <v>86</v>
      </c>
      <c r="AB78" s="73" t="s">
        <v>18</v>
      </c>
      <c r="AC78" s="73">
        <v>8.5</v>
      </c>
      <c r="AD78" s="82" t="s">
        <v>96</v>
      </c>
      <c r="AE78" s="73" t="s">
        <v>97</v>
      </c>
      <c r="AF78" s="73" t="s">
        <v>12</v>
      </c>
      <c r="AG78" s="83">
        <v>16.5</v>
      </c>
      <c r="AH78" s="73" t="s">
        <v>95</v>
      </c>
      <c r="AI78" s="73" t="s">
        <v>98</v>
      </c>
      <c r="AJ78" s="73" t="s">
        <v>12</v>
      </c>
      <c r="AK78" s="73">
        <v>13.2</v>
      </c>
      <c r="AL78" s="82"/>
      <c r="AO78" s="83"/>
      <c r="AP78" s="82"/>
      <c r="AS78" s="83"/>
      <c r="AW78" s="83"/>
      <c r="BA78" s="84"/>
    </row>
    <row r="79" spans="1:53" s="73" customFormat="1">
      <c r="A79" s="73">
        <v>1993</v>
      </c>
      <c r="C79" s="988" t="s">
        <v>212</v>
      </c>
      <c r="D79" s="988"/>
      <c r="E79" s="73">
        <f>365-E78</f>
        <v>365</v>
      </c>
      <c r="G79" s="123"/>
      <c r="H79" s="73">
        <v>7</v>
      </c>
      <c r="I79" s="73">
        <v>8</v>
      </c>
      <c r="J79" s="134">
        <v>15</v>
      </c>
      <c r="K79" s="92">
        <f t="shared" si="28"/>
        <v>0</v>
      </c>
      <c r="L79" s="92">
        <f t="shared" si="29"/>
        <v>46.666666666666664</v>
      </c>
      <c r="M79" s="92">
        <f t="shared" si="30"/>
        <v>53.333333333333336</v>
      </c>
      <c r="N79" s="125">
        <f t="shared" si="26"/>
        <v>100</v>
      </c>
      <c r="O79" s="91"/>
      <c r="P79" s="92">
        <v>26.9</v>
      </c>
      <c r="Q79" s="92">
        <v>29.7</v>
      </c>
      <c r="R79" s="93">
        <f t="shared" si="27"/>
        <v>56.599999999999994</v>
      </c>
      <c r="S79" s="97">
        <v>2</v>
      </c>
      <c r="T79" s="95"/>
      <c r="V79" s="82" t="s">
        <v>81</v>
      </c>
      <c r="W79" s="73" t="s">
        <v>82</v>
      </c>
      <c r="X79" s="73" t="s">
        <v>18</v>
      </c>
      <c r="Y79" s="83">
        <v>18.399999999999999</v>
      </c>
      <c r="Z79" s="73" t="s">
        <v>85</v>
      </c>
      <c r="AA79" s="73" t="s">
        <v>86</v>
      </c>
      <c r="AB79" s="73" t="s">
        <v>18</v>
      </c>
      <c r="AC79" s="73">
        <v>8.5</v>
      </c>
      <c r="AD79" s="82" t="s">
        <v>96</v>
      </c>
      <c r="AE79" s="73" t="s">
        <v>97</v>
      </c>
      <c r="AF79" s="73" t="s">
        <v>12</v>
      </c>
      <c r="AG79" s="83">
        <v>16.5</v>
      </c>
      <c r="AH79" s="73" t="s">
        <v>95</v>
      </c>
      <c r="AI79" s="73" t="s">
        <v>98</v>
      </c>
      <c r="AJ79" s="73" t="s">
        <v>12</v>
      </c>
      <c r="AK79" s="73">
        <v>13.2</v>
      </c>
      <c r="AL79" s="82"/>
      <c r="AO79" s="83"/>
      <c r="AP79" s="82"/>
      <c r="AS79" s="83"/>
      <c r="AW79" s="83"/>
      <c r="BA79" s="84"/>
    </row>
    <row r="80" spans="1:53" s="73" customFormat="1">
      <c r="A80" s="73">
        <v>1994</v>
      </c>
      <c r="C80" s="988" t="s">
        <v>212</v>
      </c>
      <c r="D80" s="988"/>
      <c r="E80" s="73">
        <v>0</v>
      </c>
      <c r="G80" s="123"/>
      <c r="H80" s="73">
        <v>7</v>
      </c>
      <c r="I80" s="73">
        <v>8</v>
      </c>
      <c r="J80" s="134">
        <v>15</v>
      </c>
      <c r="K80" s="92">
        <f t="shared" si="28"/>
        <v>0</v>
      </c>
      <c r="L80" s="92">
        <f t="shared" si="29"/>
        <v>46.666666666666664</v>
      </c>
      <c r="M80" s="92">
        <f t="shared" si="30"/>
        <v>53.333333333333336</v>
      </c>
      <c r="N80" s="125">
        <f t="shared" si="26"/>
        <v>100</v>
      </c>
      <c r="O80" s="91"/>
      <c r="P80" s="92">
        <v>26.9</v>
      </c>
      <c r="Q80" s="92">
        <v>29.7</v>
      </c>
      <c r="R80" s="93">
        <f t="shared" si="27"/>
        <v>56.599999999999994</v>
      </c>
      <c r="S80" s="97">
        <v>2</v>
      </c>
      <c r="T80" s="95"/>
      <c r="V80" s="82" t="s">
        <v>81</v>
      </c>
      <c r="W80" s="73" t="s">
        <v>82</v>
      </c>
      <c r="X80" s="73" t="s">
        <v>18</v>
      </c>
      <c r="Y80" s="83">
        <v>18.399999999999999</v>
      </c>
      <c r="Z80" s="73" t="s">
        <v>85</v>
      </c>
      <c r="AA80" s="73" t="s">
        <v>86</v>
      </c>
      <c r="AB80" s="73" t="s">
        <v>18</v>
      </c>
      <c r="AC80" s="73">
        <v>8.5</v>
      </c>
      <c r="AD80" s="82" t="s">
        <v>96</v>
      </c>
      <c r="AE80" s="73" t="s">
        <v>97</v>
      </c>
      <c r="AF80" s="73" t="s">
        <v>12</v>
      </c>
      <c r="AG80" s="83">
        <v>16.5</v>
      </c>
      <c r="AH80" s="73" t="s">
        <v>95</v>
      </c>
      <c r="AI80" s="73" t="s">
        <v>98</v>
      </c>
      <c r="AJ80" s="73" t="s">
        <v>12</v>
      </c>
      <c r="AK80" s="73">
        <v>13.2</v>
      </c>
      <c r="AL80" s="82"/>
      <c r="AO80" s="83"/>
      <c r="AP80" s="82"/>
      <c r="AS80" s="83"/>
      <c r="AW80" s="83"/>
      <c r="BA80" s="84"/>
    </row>
    <row r="81" spans="1:53" s="73" customFormat="1">
      <c r="A81" s="73">
        <v>1994</v>
      </c>
      <c r="C81" s="988" t="s">
        <v>212</v>
      </c>
      <c r="D81" s="988"/>
      <c r="E81" s="73">
        <f>365-E80</f>
        <v>365</v>
      </c>
      <c r="G81" s="123"/>
      <c r="H81" s="73">
        <v>7</v>
      </c>
      <c r="I81" s="73">
        <v>8</v>
      </c>
      <c r="J81" s="134">
        <v>15</v>
      </c>
      <c r="K81" s="92">
        <f t="shared" si="28"/>
        <v>0</v>
      </c>
      <c r="L81" s="92">
        <f t="shared" si="29"/>
        <v>46.666666666666664</v>
      </c>
      <c r="M81" s="92">
        <f t="shared" si="30"/>
        <v>53.333333333333336</v>
      </c>
      <c r="N81" s="125">
        <f t="shared" si="26"/>
        <v>100</v>
      </c>
      <c r="O81" s="91"/>
      <c r="P81" s="92">
        <v>26.9</v>
      </c>
      <c r="Q81" s="92">
        <v>29.7</v>
      </c>
      <c r="R81" s="93">
        <f t="shared" si="27"/>
        <v>56.599999999999994</v>
      </c>
      <c r="S81" s="97">
        <v>2</v>
      </c>
      <c r="T81" s="95"/>
      <c r="V81" s="82" t="s">
        <v>81</v>
      </c>
      <c r="W81" s="73" t="s">
        <v>82</v>
      </c>
      <c r="X81" s="73" t="s">
        <v>18</v>
      </c>
      <c r="Y81" s="83">
        <v>18.399999999999999</v>
      </c>
      <c r="Z81" s="73" t="s">
        <v>85</v>
      </c>
      <c r="AA81" s="73" t="s">
        <v>86</v>
      </c>
      <c r="AB81" s="73" t="s">
        <v>18</v>
      </c>
      <c r="AC81" s="73">
        <v>8.5</v>
      </c>
      <c r="AD81" s="82" t="s">
        <v>96</v>
      </c>
      <c r="AE81" s="73" t="s">
        <v>97</v>
      </c>
      <c r="AF81" s="73" t="s">
        <v>12</v>
      </c>
      <c r="AG81" s="83">
        <v>16.5</v>
      </c>
      <c r="AH81" s="73" t="s">
        <v>95</v>
      </c>
      <c r="AI81" s="73" t="s">
        <v>98</v>
      </c>
      <c r="AJ81" s="73" t="s">
        <v>12</v>
      </c>
      <c r="AK81" s="73">
        <v>13.2</v>
      </c>
      <c r="AL81" s="82"/>
      <c r="AO81" s="83"/>
      <c r="AP81" s="82"/>
      <c r="AS81" s="83"/>
      <c r="AW81" s="83"/>
      <c r="BA81" s="84"/>
    </row>
    <row r="82" spans="1:53" s="73" customFormat="1">
      <c r="A82" s="73">
        <v>1995</v>
      </c>
      <c r="C82" s="988" t="s">
        <v>212</v>
      </c>
      <c r="D82" s="988"/>
      <c r="E82" s="73">
        <v>173</v>
      </c>
      <c r="G82" s="123"/>
      <c r="H82" s="73">
        <v>7</v>
      </c>
      <c r="I82" s="73">
        <v>8</v>
      </c>
      <c r="J82" s="134">
        <v>15</v>
      </c>
      <c r="K82" s="92">
        <f t="shared" si="28"/>
        <v>0</v>
      </c>
      <c r="L82" s="92">
        <f t="shared" si="29"/>
        <v>46.666666666666664</v>
      </c>
      <c r="M82" s="92">
        <f t="shared" si="30"/>
        <v>53.333333333333336</v>
      </c>
      <c r="N82" s="125">
        <f t="shared" si="26"/>
        <v>100</v>
      </c>
      <c r="O82" s="91"/>
      <c r="P82" s="92">
        <v>26.9</v>
      </c>
      <c r="Q82" s="92">
        <v>29.7</v>
      </c>
      <c r="R82" s="93">
        <f t="shared" si="27"/>
        <v>56.599999999999994</v>
      </c>
      <c r="S82" s="97">
        <v>2</v>
      </c>
      <c r="T82" s="95"/>
      <c r="V82" s="82" t="s">
        <v>81</v>
      </c>
      <c r="W82" s="73" t="s">
        <v>82</v>
      </c>
      <c r="X82" s="73" t="s">
        <v>18</v>
      </c>
      <c r="Y82" s="83">
        <v>18.399999999999999</v>
      </c>
      <c r="Z82" s="73" t="s">
        <v>85</v>
      </c>
      <c r="AA82" s="73" t="s">
        <v>86</v>
      </c>
      <c r="AB82" s="73" t="s">
        <v>18</v>
      </c>
      <c r="AC82" s="73">
        <v>8.5</v>
      </c>
      <c r="AD82" s="82" t="s">
        <v>96</v>
      </c>
      <c r="AE82" s="73" t="s">
        <v>97</v>
      </c>
      <c r="AF82" s="73" t="s">
        <v>12</v>
      </c>
      <c r="AG82" s="83">
        <v>16.5</v>
      </c>
      <c r="AH82" s="73" t="s">
        <v>95</v>
      </c>
      <c r="AI82" s="73" t="s">
        <v>98</v>
      </c>
      <c r="AJ82" s="73" t="s">
        <v>12</v>
      </c>
      <c r="AK82" s="73">
        <v>13.2</v>
      </c>
      <c r="AL82" s="82"/>
      <c r="AO82" s="83"/>
      <c r="AP82" s="82"/>
      <c r="AS82" s="83"/>
      <c r="AW82" s="83"/>
      <c r="BA82" s="84"/>
    </row>
    <row r="83" spans="1:53" s="334" customFormat="1">
      <c r="A83" s="334">
        <v>1995</v>
      </c>
      <c r="B83" s="355">
        <v>34873</v>
      </c>
      <c r="C83" s="992" t="s">
        <v>213</v>
      </c>
      <c r="D83" s="992"/>
      <c r="E83" s="334">
        <f>365-E82</f>
        <v>192</v>
      </c>
      <c r="F83" s="334">
        <v>1</v>
      </c>
      <c r="G83" s="419"/>
      <c r="H83" s="334">
        <v>7</v>
      </c>
      <c r="I83" s="334">
        <v>8</v>
      </c>
      <c r="J83" s="435">
        <v>15</v>
      </c>
      <c r="K83" s="384">
        <f t="shared" si="28"/>
        <v>0</v>
      </c>
      <c r="L83" s="384">
        <f t="shared" si="29"/>
        <v>46.666666666666664</v>
      </c>
      <c r="M83" s="384">
        <f t="shared" si="30"/>
        <v>53.333333333333336</v>
      </c>
      <c r="N83" s="421">
        <f t="shared" si="26"/>
        <v>100</v>
      </c>
      <c r="O83" s="383"/>
      <c r="P83" s="384">
        <v>27.3</v>
      </c>
      <c r="Q83" s="384">
        <v>27.3</v>
      </c>
      <c r="R83" s="385">
        <f t="shared" si="27"/>
        <v>54.6</v>
      </c>
      <c r="S83" s="388">
        <v>2</v>
      </c>
      <c r="T83" s="342">
        <v>34840</v>
      </c>
      <c r="U83" s="355">
        <v>34873</v>
      </c>
      <c r="V83" s="343" t="s">
        <v>81</v>
      </c>
      <c r="W83" s="334" t="s">
        <v>82</v>
      </c>
      <c r="X83" s="334" t="s">
        <v>18</v>
      </c>
      <c r="Y83" s="344">
        <v>19.3</v>
      </c>
      <c r="Z83" s="334" t="s">
        <v>85</v>
      </c>
      <c r="AA83" s="334" t="s">
        <v>86</v>
      </c>
      <c r="AB83" s="334" t="s">
        <v>18</v>
      </c>
      <c r="AC83" s="334">
        <v>8</v>
      </c>
      <c r="AD83" s="343" t="s">
        <v>96</v>
      </c>
      <c r="AE83" s="334" t="s">
        <v>97</v>
      </c>
      <c r="AF83" s="334" t="s">
        <v>12</v>
      </c>
      <c r="AG83" s="344">
        <v>14</v>
      </c>
      <c r="AH83" s="334" t="s">
        <v>95</v>
      </c>
      <c r="AI83" s="334" t="s">
        <v>98</v>
      </c>
      <c r="AJ83" s="334" t="s">
        <v>12</v>
      </c>
      <c r="AK83" s="334">
        <v>13.3</v>
      </c>
      <c r="AL83" s="343"/>
      <c r="AO83" s="344"/>
      <c r="AP83" s="343"/>
      <c r="AS83" s="344"/>
      <c r="AW83" s="344"/>
      <c r="BA83" s="345"/>
    </row>
    <row r="84" spans="1:53" s="334" customFormat="1">
      <c r="A84" s="334">
        <v>1996</v>
      </c>
      <c r="C84" s="992" t="s">
        <v>213</v>
      </c>
      <c r="D84" s="992"/>
      <c r="E84" s="334">
        <v>0</v>
      </c>
      <c r="G84" s="419"/>
      <c r="H84" s="334">
        <v>7</v>
      </c>
      <c r="I84" s="334">
        <v>8</v>
      </c>
      <c r="J84" s="435">
        <v>15</v>
      </c>
      <c r="K84" s="384">
        <f t="shared" si="28"/>
        <v>0</v>
      </c>
      <c r="L84" s="384">
        <f t="shared" si="29"/>
        <v>46.666666666666664</v>
      </c>
      <c r="M84" s="384">
        <f t="shared" si="30"/>
        <v>53.333333333333336</v>
      </c>
      <c r="N84" s="421">
        <f t="shared" si="26"/>
        <v>100</v>
      </c>
      <c r="O84" s="383"/>
      <c r="P84" s="384">
        <v>27.3</v>
      </c>
      <c r="Q84" s="384">
        <v>27.3</v>
      </c>
      <c r="R84" s="385">
        <f t="shared" si="27"/>
        <v>54.6</v>
      </c>
      <c r="S84" s="388">
        <v>2</v>
      </c>
      <c r="T84" s="342"/>
      <c r="V84" s="343" t="s">
        <v>81</v>
      </c>
      <c r="W84" s="334" t="s">
        <v>82</v>
      </c>
      <c r="X84" s="334" t="s">
        <v>18</v>
      </c>
      <c r="Y84" s="344">
        <v>19.3</v>
      </c>
      <c r="Z84" s="334" t="s">
        <v>85</v>
      </c>
      <c r="AA84" s="334" t="s">
        <v>86</v>
      </c>
      <c r="AB84" s="334" t="s">
        <v>18</v>
      </c>
      <c r="AC84" s="334">
        <v>8</v>
      </c>
      <c r="AD84" s="343" t="s">
        <v>96</v>
      </c>
      <c r="AE84" s="334" t="s">
        <v>97</v>
      </c>
      <c r="AF84" s="334" t="s">
        <v>12</v>
      </c>
      <c r="AG84" s="344">
        <v>14</v>
      </c>
      <c r="AH84" s="334" t="s">
        <v>95</v>
      </c>
      <c r="AI84" s="334" t="s">
        <v>98</v>
      </c>
      <c r="AJ84" s="334" t="s">
        <v>12</v>
      </c>
      <c r="AK84" s="334">
        <v>13.3</v>
      </c>
      <c r="AL84" s="343"/>
      <c r="AO84" s="344"/>
      <c r="AP84" s="343"/>
      <c r="AS84" s="344"/>
      <c r="AW84" s="344"/>
      <c r="BA84" s="345"/>
    </row>
    <row r="85" spans="1:53" s="334" customFormat="1">
      <c r="A85" s="334">
        <v>1996</v>
      </c>
      <c r="C85" s="992" t="s">
        <v>213</v>
      </c>
      <c r="D85" s="992"/>
      <c r="E85" s="334">
        <v>366</v>
      </c>
      <c r="G85" s="419"/>
      <c r="H85" s="334">
        <v>7</v>
      </c>
      <c r="I85" s="334">
        <v>8</v>
      </c>
      <c r="J85" s="435">
        <v>15</v>
      </c>
      <c r="K85" s="384">
        <f t="shared" si="28"/>
        <v>0</v>
      </c>
      <c r="L85" s="384">
        <f t="shared" si="29"/>
        <v>46.666666666666664</v>
      </c>
      <c r="M85" s="384">
        <f t="shared" si="30"/>
        <v>53.333333333333336</v>
      </c>
      <c r="N85" s="421">
        <f t="shared" si="26"/>
        <v>100</v>
      </c>
      <c r="O85" s="383"/>
      <c r="P85" s="384">
        <v>27.3</v>
      </c>
      <c r="Q85" s="384">
        <v>27.3</v>
      </c>
      <c r="R85" s="385">
        <f t="shared" si="27"/>
        <v>54.6</v>
      </c>
      <c r="S85" s="388">
        <v>2</v>
      </c>
      <c r="T85" s="342"/>
      <c r="V85" s="343" t="s">
        <v>81</v>
      </c>
      <c r="W85" s="334" t="s">
        <v>82</v>
      </c>
      <c r="X85" s="334" t="s">
        <v>18</v>
      </c>
      <c r="Y85" s="344">
        <v>19.3</v>
      </c>
      <c r="Z85" s="334" t="s">
        <v>85</v>
      </c>
      <c r="AA85" s="334" t="s">
        <v>86</v>
      </c>
      <c r="AB85" s="334" t="s">
        <v>18</v>
      </c>
      <c r="AC85" s="334">
        <v>8</v>
      </c>
      <c r="AD85" s="343" t="s">
        <v>96</v>
      </c>
      <c r="AE85" s="334" t="s">
        <v>97</v>
      </c>
      <c r="AF85" s="334" t="s">
        <v>12</v>
      </c>
      <c r="AG85" s="344">
        <v>14</v>
      </c>
      <c r="AH85" s="334" t="s">
        <v>95</v>
      </c>
      <c r="AI85" s="334" t="s">
        <v>98</v>
      </c>
      <c r="AJ85" s="334" t="s">
        <v>12</v>
      </c>
      <c r="AK85" s="334">
        <v>13.3</v>
      </c>
      <c r="AL85" s="343"/>
      <c r="AO85" s="344"/>
      <c r="AP85" s="343"/>
      <c r="AS85" s="344"/>
      <c r="AW85" s="344"/>
      <c r="BA85" s="345"/>
    </row>
    <row r="86" spans="1:53" s="334" customFormat="1">
      <c r="A86" s="334">
        <v>1997</v>
      </c>
      <c r="C86" s="992" t="s">
        <v>213</v>
      </c>
      <c r="D86" s="992"/>
      <c r="E86" s="334">
        <v>0</v>
      </c>
      <c r="G86" s="419"/>
      <c r="H86" s="334">
        <v>7</v>
      </c>
      <c r="I86" s="334">
        <v>8</v>
      </c>
      <c r="J86" s="435">
        <v>15</v>
      </c>
      <c r="K86" s="384">
        <f t="shared" si="28"/>
        <v>0</v>
      </c>
      <c r="L86" s="384">
        <f t="shared" si="29"/>
        <v>46.666666666666664</v>
      </c>
      <c r="M86" s="384">
        <f t="shared" si="30"/>
        <v>53.333333333333336</v>
      </c>
      <c r="N86" s="421">
        <f t="shared" si="26"/>
        <v>100</v>
      </c>
      <c r="O86" s="383"/>
      <c r="P86" s="384">
        <v>27.3</v>
      </c>
      <c r="Q86" s="384">
        <v>27.3</v>
      </c>
      <c r="R86" s="385">
        <f t="shared" si="27"/>
        <v>54.6</v>
      </c>
      <c r="S86" s="388">
        <v>2</v>
      </c>
      <c r="T86" s="342"/>
      <c r="V86" s="343" t="s">
        <v>81</v>
      </c>
      <c r="W86" s="334" t="s">
        <v>82</v>
      </c>
      <c r="X86" s="334" t="s">
        <v>18</v>
      </c>
      <c r="Y86" s="344">
        <v>19.3</v>
      </c>
      <c r="Z86" s="334" t="s">
        <v>85</v>
      </c>
      <c r="AA86" s="334" t="s">
        <v>86</v>
      </c>
      <c r="AB86" s="334" t="s">
        <v>18</v>
      </c>
      <c r="AC86" s="334">
        <v>8</v>
      </c>
      <c r="AD86" s="343" t="s">
        <v>96</v>
      </c>
      <c r="AE86" s="334" t="s">
        <v>97</v>
      </c>
      <c r="AF86" s="334" t="s">
        <v>12</v>
      </c>
      <c r="AG86" s="344">
        <v>14</v>
      </c>
      <c r="AH86" s="334" t="s">
        <v>95</v>
      </c>
      <c r="AI86" s="334" t="s">
        <v>98</v>
      </c>
      <c r="AJ86" s="334" t="s">
        <v>12</v>
      </c>
      <c r="AK86" s="334">
        <v>13.3</v>
      </c>
      <c r="AL86" s="343"/>
      <c r="AO86" s="344"/>
      <c r="AP86" s="343"/>
      <c r="AS86" s="344"/>
      <c r="AW86" s="344"/>
      <c r="BA86" s="345"/>
    </row>
    <row r="87" spans="1:53" s="334" customFormat="1">
      <c r="A87" s="334">
        <v>1997</v>
      </c>
      <c r="C87" s="992" t="s">
        <v>213</v>
      </c>
      <c r="D87" s="992"/>
      <c r="E87" s="334">
        <f>365-E86</f>
        <v>365</v>
      </c>
      <c r="G87" s="419"/>
      <c r="H87" s="334">
        <v>7</v>
      </c>
      <c r="I87" s="334">
        <v>8</v>
      </c>
      <c r="J87" s="435">
        <v>15</v>
      </c>
      <c r="K87" s="384">
        <f t="shared" si="28"/>
        <v>0</v>
      </c>
      <c r="L87" s="384">
        <f t="shared" si="29"/>
        <v>46.666666666666664</v>
      </c>
      <c r="M87" s="384">
        <f t="shared" si="30"/>
        <v>53.333333333333336</v>
      </c>
      <c r="N87" s="421">
        <f t="shared" si="26"/>
        <v>100</v>
      </c>
      <c r="O87" s="383"/>
      <c r="P87" s="384">
        <v>27.3</v>
      </c>
      <c r="Q87" s="384">
        <v>27.3</v>
      </c>
      <c r="R87" s="385">
        <f t="shared" si="27"/>
        <v>54.6</v>
      </c>
      <c r="S87" s="388">
        <v>2</v>
      </c>
      <c r="T87" s="342"/>
      <c r="V87" s="343" t="s">
        <v>81</v>
      </c>
      <c r="W87" s="334" t="s">
        <v>82</v>
      </c>
      <c r="X87" s="334" t="s">
        <v>18</v>
      </c>
      <c r="Y87" s="344">
        <v>19.3</v>
      </c>
      <c r="Z87" s="334" t="s">
        <v>85</v>
      </c>
      <c r="AA87" s="334" t="s">
        <v>86</v>
      </c>
      <c r="AB87" s="334" t="s">
        <v>18</v>
      </c>
      <c r="AC87" s="334">
        <v>8</v>
      </c>
      <c r="AD87" s="343" t="s">
        <v>96</v>
      </c>
      <c r="AE87" s="334" t="s">
        <v>97</v>
      </c>
      <c r="AF87" s="334" t="s">
        <v>12</v>
      </c>
      <c r="AG87" s="344">
        <v>14</v>
      </c>
      <c r="AH87" s="334" t="s">
        <v>95</v>
      </c>
      <c r="AI87" s="334" t="s">
        <v>98</v>
      </c>
      <c r="AJ87" s="334" t="s">
        <v>12</v>
      </c>
      <c r="AK87" s="334">
        <v>13.3</v>
      </c>
      <c r="AL87" s="343"/>
      <c r="AO87" s="344"/>
      <c r="AP87" s="343"/>
      <c r="AS87" s="344"/>
      <c r="AW87" s="344"/>
      <c r="BA87" s="345"/>
    </row>
    <row r="88" spans="1:53" s="334" customFormat="1">
      <c r="A88" s="334">
        <v>1998</v>
      </c>
      <c r="C88" s="992" t="s">
        <v>213</v>
      </c>
      <c r="D88" s="992"/>
      <c r="E88" s="334">
        <v>0</v>
      </c>
      <c r="G88" s="419"/>
      <c r="H88" s="334">
        <v>7</v>
      </c>
      <c r="I88" s="334">
        <v>8</v>
      </c>
      <c r="J88" s="435">
        <v>15</v>
      </c>
      <c r="K88" s="384">
        <f t="shared" si="28"/>
        <v>0</v>
      </c>
      <c r="L88" s="384">
        <f t="shared" si="29"/>
        <v>46.666666666666664</v>
      </c>
      <c r="M88" s="384">
        <f t="shared" si="30"/>
        <v>53.333333333333336</v>
      </c>
      <c r="N88" s="421">
        <f t="shared" si="26"/>
        <v>100</v>
      </c>
      <c r="O88" s="383"/>
      <c r="P88" s="384">
        <v>27.3</v>
      </c>
      <c r="Q88" s="384">
        <v>27.3</v>
      </c>
      <c r="R88" s="385">
        <f t="shared" si="27"/>
        <v>54.6</v>
      </c>
      <c r="S88" s="388">
        <v>2</v>
      </c>
      <c r="T88" s="342"/>
      <c r="V88" s="343" t="s">
        <v>81</v>
      </c>
      <c r="W88" s="334" t="s">
        <v>82</v>
      </c>
      <c r="X88" s="334" t="s">
        <v>18</v>
      </c>
      <c r="Y88" s="344">
        <v>19.3</v>
      </c>
      <c r="Z88" s="334" t="s">
        <v>85</v>
      </c>
      <c r="AA88" s="334" t="s">
        <v>86</v>
      </c>
      <c r="AB88" s="334" t="s">
        <v>18</v>
      </c>
      <c r="AC88" s="334">
        <v>8</v>
      </c>
      <c r="AD88" s="343" t="s">
        <v>96</v>
      </c>
      <c r="AE88" s="334" t="s">
        <v>97</v>
      </c>
      <c r="AF88" s="334" t="s">
        <v>12</v>
      </c>
      <c r="AG88" s="344">
        <v>14</v>
      </c>
      <c r="AH88" s="334" t="s">
        <v>95</v>
      </c>
      <c r="AI88" s="334" t="s">
        <v>98</v>
      </c>
      <c r="AJ88" s="334" t="s">
        <v>12</v>
      </c>
      <c r="AK88" s="334">
        <v>13.3</v>
      </c>
      <c r="AL88" s="343"/>
      <c r="AO88" s="344"/>
      <c r="AP88" s="343"/>
      <c r="AS88" s="344"/>
      <c r="AW88" s="344"/>
      <c r="BA88" s="345"/>
    </row>
    <row r="89" spans="1:53" s="334" customFormat="1">
      <c r="A89" s="334">
        <v>1998</v>
      </c>
      <c r="C89" s="992" t="s">
        <v>213</v>
      </c>
      <c r="D89" s="992"/>
      <c r="E89" s="334">
        <f>365-E88</f>
        <v>365</v>
      </c>
      <c r="G89" s="419"/>
      <c r="H89" s="334">
        <v>7</v>
      </c>
      <c r="I89" s="334">
        <v>8</v>
      </c>
      <c r="J89" s="435">
        <v>15</v>
      </c>
      <c r="K89" s="384">
        <f t="shared" si="28"/>
        <v>0</v>
      </c>
      <c r="L89" s="384">
        <f t="shared" si="29"/>
        <v>46.666666666666664</v>
      </c>
      <c r="M89" s="384">
        <f t="shared" si="30"/>
        <v>53.333333333333336</v>
      </c>
      <c r="N89" s="421">
        <f t="shared" si="26"/>
        <v>100</v>
      </c>
      <c r="O89" s="383"/>
      <c r="P89" s="384">
        <v>27.3</v>
      </c>
      <c r="Q89" s="384">
        <v>27.3</v>
      </c>
      <c r="R89" s="385">
        <f t="shared" si="27"/>
        <v>54.6</v>
      </c>
      <c r="S89" s="388">
        <v>2</v>
      </c>
      <c r="T89" s="342"/>
      <c r="V89" s="343" t="s">
        <v>81</v>
      </c>
      <c r="W89" s="334" t="s">
        <v>82</v>
      </c>
      <c r="X89" s="334" t="s">
        <v>18</v>
      </c>
      <c r="Y89" s="344">
        <v>19.3</v>
      </c>
      <c r="Z89" s="334" t="s">
        <v>85</v>
      </c>
      <c r="AA89" s="334" t="s">
        <v>86</v>
      </c>
      <c r="AB89" s="334" t="s">
        <v>18</v>
      </c>
      <c r="AC89" s="334">
        <v>8</v>
      </c>
      <c r="AD89" s="343" t="s">
        <v>96</v>
      </c>
      <c r="AE89" s="334" t="s">
        <v>97</v>
      </c>
      <c r="AF89" s="334" t="s">
        <v>12</v>
      </c>
      <c r="AG89" s="344">
        <v>14</v>
      </c>
      <c r="AH89" s="334" t="s">
        <v>95</v>
      </c>
      <c r="AI89" s="334" t="s">
        <v>98</v>
      </c>
      <c r="AJ89" s="334" t="s">
        <v>12</v>
      </c>
      <c r="AK89" s="334">
        <v>13.3</v>
      </c>
      <c r="AL89" s="343"/>
      <c r="AO89" s="344"/>
      <c r="AP89" s="343"/>
      <c r="AS89" s="344"/>
      <c r="AW89" s="344"/>
      <c r="BA89" s="345"/>
    </row>
    <row r="90" spans="1:53" s="334" customFormat="1">
      <c r="A90" s="334">
        <v>1999</v>
      </c>
      <c r="C90" s="992" t="s">
        <v>213</v>
      </c>
      <c r="D90" s="992"/>
      <c r="E90" s="334">
        <v>193</v>
      </c>
      <c r="G90" s="419"/>
      <c r="H90" s="334">
        <v>7</v>
      </c>
      <c r="I90" s="334">
        <v>8</v>
      </c>
      <c r="J90" s="435">
        <v>15</v>
      </c>
      <c r="K90" s="384">
        <f t="shared" si="28"/>
        <v>0</v>
      </c>
      <c r="L90" s="384">
        <f t="shared" si="29"/>
        <v>46.666666666666664</v>
      </c>
      <c r="M90" s="384">
        <f t="shared" si="30"/>
        <v>53.333333333333336</v>
      </c>
      <c r="N90" s="421">
        <f t="shared" si="26"/>
        <v>100</v>
      </c>
      <c r="O90" s="383"/>
      <c r="P90" s="384">
        <v>27.3</v>
      </c>
      <c r="Q90" s="384">
        <v>27.3</v>
      </c>
      <c r="R90" s="385">
        <f t="shared" si="27"/>
        <v>54.6</v>
      </c>
      <c r="S90" s="388">
        <v>2</v>
      </c>
      <c r="T90" s="342"/>
      <c r="V90" s="343" t="s">
        <v>81</v>
      </c>
      <c r="W90" s="334" t="s">
        <v>82</v>
      </c>
      <c r="X90" s="334" t="s">
        <v>18</v>
      </c>
      <c r="Y90" s="344">
        <v>19.3</v>
      </c>
      <c r="Z90" s="334" t="s">
        <v>85</v>
      </c>
      <c r="AA90" s="334" t="s">
        <v>86</v>
      </c>
      <c r="AB90" s="334" t="s">
        <v>18</v>
      </c>
      <c r="AC90" s="334">
        <v>8</v>
      </c>
      <c r="AD90" s="343" t="s">
        <v>96</v>
      </c>
      <c r="AE90" s="334" t="s">
        <v>97</v>
      </c>
      <c r="AF90" s="334" t="s">
        <v>12</v>
      </c>
      <c r="AG90" s="344">
        <v>14</v>
      </c>
      <c r="AH90" s="334" t="s">
        <v>95</v>
      </c>
      <c r="AI90" s="334" t="s">
        <v>98</v>
      </c>
      <c r="AJ90" s="334" t="s">
        <v>12</v>
      </c>
      <c r="AK90" s="334">
        <v>13.3</v>
      </c>
      <c r="AL90" s="343"/>
      <c r="AO90" s="344"/>
      <c r="AP90" s="343"/>
      <c r="AS90" s="344"/>
      <c r="AW90" s="344"/>
      <c r="BA90" s="345"/>
    </row>
    <row r="91" spans="1:53" s="73" customFormat="1">
      <c r="A91" s="73">
        <v>1999</v>
      </c>
      <c r="B91" s="85">
        <v>36354</v>
      </c>
      <c r="C91" s="988" t="s">
        <v>214</v>
      </c>
      <c r="D91" s="988"/>
      <c r="E91" s="73">
        <f>365-E90</f>
        <v>172</v>
      </c>
      <c r="F91" s="73">
        <v>1</v>
      </c>
      <c r="G91" s="123">
        <v>7</v>
      </c>
      <c r="I91" s="73">
        <v>8</v>
      </c>
      <c r="J91" s="134">
        <v>15</v>
      </c>
      <c r="K91" s="92">
        <f t="shared" si="28"/>
        <v>46.666666666666664</v>
      </c>
      <c r="L91" s="92">
        <f t="shared" si="29"/>
        <v>0</v>
      </c>
      <c r="M91" s="92">
        <f t="shared" si="30"/>
        <v>53.333333333333336</v>
      </c>
      <c r="N91" s="125">
        <f t="shared" si="26"/>
        <v>100</v>
      </c>
      <c r="O91" s="91">
        <v>27.3</v>
      </c>
      <c r="P91" s="92"/>
      <c r="Q91" s="92">
        <v>35.299999999999997</v>
      </c>
      <c r="R91" s="93">
        <f t="shared" si="27"/>
        <v>62.599999999999994</v>
      </c>
      <c r="S91" s="97">
        <v>3</v>
      </c>
      <c r="T91" s="95">
        <v>36324</v>
      </c>
      <c r="U91" s="85">
        <v>36354</v>
      </c>
      <c r="V91" s="82" t="s">
        <v>215</v>
      </c>
      <c r="W91" s="73" t="s">
        <v>88</v>
      </c>
      <c r="X91" s="73" t="s">
        <v>11</v>
      </c>
      <c r="Y91" s="83">
        <v>15.3</v>
      </c>
      <c r="Z91" s="73" t="s">
        <v>96</v>
      </c>
      <c r="AA91" s="73" t="s">
        <v>97</v>
      </c>
      <c r="AB91" s="73" t="s">
        <v>12</v>
      </c>
      <c r="AC91" s="73">
        <v>12.7</v>
      </c>
      <c r="AD91" s="82" t="s">
        <v>99</v>
      </c>
      <c r="AE91" s="73" t="s">
        <v>100</v>
      </c>
      <c r="AF91" s="73" t="s">
        <v>11</v>
      </c>
      <c r="AG91" s="83">
        <v>12</v>
      </c>
      <c r="AH91" s="73" t="s">
        <v>95</v>
      </c>
      <c r="AI91" s="73" t="s">
        <v>98</v>
      </c>
      <c r="AJ91" s="73" t="s">
        <v>12</v>
      </c>
      <c r="AK91" s="73">
        <v>9.3000000000000007</v>
      </c>
      <c r="AL91" s="82" t="s">
        <v>216</v>
      </c>
      <c r="AM91" s="73" t="s">
        <v>218</v>
      </c>
      <c r="AN91" s="73" t="s">
        <v>12</v>
      </c>
      <c r="AO91" s="83">
        <v>7.3</v>
      </c>
      <c r="AP91" s="82" t="s">
        <v>217</v>
      </c>
      <c r="AQ91" s="73" t="s">
        <v>219</v>
      </c>
      <c r="AR91" s="73" t="s">
        <v>12</v>
      </c>
      <c r="AS91" s="83">
        <v>6</v>
      </c>
      <c r="AW91" s="83"/>
      <c r="BA91" s="84"/>
    </row>
    <row r="92" spans="1:53" s="73" customFormat="1">
      <c r="A92" s="73">
        <v>2000</v>
      </c>
      <c r="C92" s="988" t="s">
        <v>214</v>
      </c>
      <c r="D92" s="988"/>
      <c r="E92" s="73">
        <v>0</v>
      </c>
      <c r="G92" s="123">
        <v>7</v>
      </c>
      <c r="I92" s="73">
        <v>8</v>
      </c>
      <c r="J92" s="134">
        <v>15</v>
      </c>
      <c r="K92" s="92">
        <f t="shared" si="28"/>
        <v>46.666666666666664</v>
      </c>
      <c r="L92" s="92">
        <f t="shared" si="29"/>
        <v>0</v>
      </c>
      <c r="M92" s="92">
        <f t="shared" si="30"/>
        <v>53.333333333333336</v>
      </c>
      <c r="N92" s="125">
        <f t="shared" si="26"/>
        <v>100</v>
      </c>
      <c r="O92" s="91">
        <v>27.3</v>
      </c>
      <c r="P92" s="92"/>
      <c r="Q92" s="92">
        <v>35.299999999999997</v>
      </c>
      <c r="R92" s="93">
        <f t="shared" si="27"/>
        <v>62.599999999999994</v>
      </c>
      <c r="S92" s="97">
        <v>3</v>
      </c>
      <c r="T92" s="95"/>
      <c r="V92" s="82" t="s">
        <v>215</v>
      </c>
      <c r="W92" s="73" t="s">
        <v>88</v>
      </c>
      <c r="X92" s="73" t="s">
        <v>11</v>
      </c>
      <c r="Y92" s="83">
        <v>15.3</v>
      </c>
      <c r="Z92" s="73" t="s">
        <v>96</v>
      </c>
      <c r="AA92" s="73" t="s">
        <v>97</v>
      </c>
      <c r="AB92" s="73" t="s">
        <v>12</v>
      </c>
      <c r="AC92" s="73">
        <v>12.7</v>
      </c>
      <c r="AD92" s="82" t="s">
        <v>99</v>
      </c>
      <c r="AE92" s="73" t="s">
        <v>100</v>
      </c>
      <c r="AF92" s="73" t="s">
        <v>11</v>
      </c>
      <c r="AG92" s="83">
        <v>12</v>
      </c>
      <c r="AH92" s="73" t="s">
        <v>95</v>
      </c>
      <c r="AI92" s="73" t="s">
        <v>98</v>
      </c>
      <c r="AJ92" s="73" t="s">
        <v>12</v>
      </c>
      <c r="AK92" s="73">
        <v>9.3000000000000007</v>
      </c>
      <c r="AL92" s="82" t="s">
        <v>216</v>
      </c>
      <c r="AM92" s="73" t="s">
        <v>218</v>
      </c>
      <c r="AN92" s="73" t="s">
        <v>12</v>
      </c>
      <c r="AO92" s="83">
        <v>7.3</v>
      </c>
      <c r="AP92" s="82" t="s">
        <v>217</v>
      </c>
      <c r="AQ92" s="73" t="s">
        <v>219</v>
      </c>
      <c r="AR92" s="73" t="s">
        <v>12</v>
      </c>
      <c r="AS92" s="83">
        <v>6</v>
      </c>
      <c r="AW92" s="83"/>
      <c r="BA92" s="84"/>
    </row>
    <row r="93" spans="1:53" s="73" customFormat="1">
      <c r="A93" s="73">
        <v>2000</v>
      </c>
      <c r="C93" s="988" t="s">
        <v>214</v>
      </c>
      <c r="D93" s="988"/>
      <c r="E93" s="73">
        <v>366</v>
      </c>
      <c r="G93" s="123">
        <v>7</v>
      </c>
      <c r="I93" s="73">
        <v>8</v>
      </c>
      <c r="J93" s="134">
        <v>15</v>
      </c>
      <c r="K93" s="92">
        <f t="shared" si="28"/>
        <v>46.666666666666664</v>
      </c>
      <c r="L93" s="92">
        <f t="shared" si="29"/>
        <v>0</v>
      </c>
      <c r="M93" s="92">
        <f t="shared" si="30"/>
        <v>53.333333333333336</v>
      </c>
      <c r="N93" s="125">
        <f t="shared" si="26"/>
        <v>100</v>
      </c>
      <c r="O93" s="91">
        <v>27.3</v>
      </c>
      <c r="P93" s="92"/>
      <c r="Q93" s="92">
        <v>35.299999999999997</v>
      </c>
      <c r="R93" s="93">
        <f t="shared" si="27"/>
        <v>62.599999999999994</v>
      </c>
      <c r="S93" s="97">
        <v>3</v>
      </c>
      <c r="T93" s="95"/>
      <c r="V93" s="82" t="s">
        <v>215</v>
      </c>
      <c r="W93" s="73" t="s">
        <v>88</v>
      </c>
      <c r="X93" s="73" t="s">
        <v>11</v>
      </c>
      <c r="Y93" s="83">
        <v>15.3</v>
      </c>
      <c r="Z93" s="73" t="s">
        <v>96</v>
      </c>
      <c r="AA93" s="73" t="s">
        <v>97</v>
      </c>
      <c r="AB93" s="73" t="s">
        <v>12</v>
      </c>
      <c r="AC93" s="73">
        <v>12.7</v>
      </c>
      <c r="AD93" s="82" t="s">
        <v>99</v>
      </c>
      <c r="AE93" s="73" t="s">
        <v>100</v>
      </c>
      <c r="AF93" s="73" t="s">
        <v>11</v>
      </c>
      <c r="AG93" s="83">
        <v>12</v>
      </c>
      <c r="AH93" s="73" t="s">
        <v>95</v>
      </c>
      <c r="AI93" s="73" t="s">
        <v>98</v>
      </c>
      <c r="AJ93" s="73" t="s">
        <v>12</v>
      </c>
      <c r="AK93" s="73">
        <v>9.3000000000000007</v>
      </c>
      <c r="AL93" s="82" t="s">
        <v>216</v>
      </c>
      <c r="AM93" s="73" t="s">
        <v>218</v>
      </c>
      <c r="AN93" s="73" t="s">
        <v>12</v>
      </c>
      <c r="AO93" s="83">
        <v>7.3</v>
      </c>
      <c r="AP93" s="82" t="s">
        <v>217</v>
      </c>
      <c r="AQ93" s="73" t="s">
        <v>219</v>
      </c>
      <c r="AR93" s="73" t="s">
        <v>12</v>
      </c>
      <c r="AS93" s="83">
        <v>6</v>
      </c>
      <c r="AW93" s="83"/>
      <c r="BA93" s="84"/>
    </row>
    <row r="94" spans="1:53" s="73" customFormat="1">
      <c r="A94" s="73">
        <v>2001</v>
      </c>
      <c r="C94" s="988" t="s">
        <v>214</v>
      </c>
      <c r="D94" s="988"/>
      <c r="E94" s="73">
        <v>0</v>
      </c>
      <c r="G94" s="123">
        <v>7</v>
      </c>
      <c r="I94" s="73">
        <v>8</v>
      </c>
      <c r="J94" s="134">
        <v>15</v>
      </c>
      <c r="K94" s="92">
        <f t="shared" si="28"/>
        <v>46.666666666666664</v>
      </c>
      <c r="L94" s="92">
        <f t="shared" si="29"/>
        <v>0</v>
      </c>
      <c r="M94" s="92">
        <f t="shared" si="30"/>
        <v>53.333333333333336</v>
      </c>
      <c r="N94" s="125">
        <f t="shared" si="26"/>
        <v>100</v>
      </c>
      <c r="O94" s="91">
        <v>27.3</v>
      </c>
      <c r="P94" s="92"/>
      <c r="Q94" s="92">
        <v>35.299999999999997</v>
      </c>
      <c r="R94" s="93">
        <f t="shared" si="27"/>
        <v>62.599999999999994</v>
      </c>
      <c r="S94" s="97">
        <v>3</v>
      </c>
      <c r="T94" s="95"/>
      <c r="V94" s="82" t="s">
        <v>215</v>
      </c>
      <c r="W94" s="73" t="s">
        <v>88</v>
      </c>
      <c r="X94" s="73" t="s">
        <v>11</v>
      </c>
      <c r="Y94" s="83">
        <v>15.3</v>
      </c>
      <c r="Z94" s="73" t="s">
        <v>96</v>
      </c>
      <c r="AA94" s="73" t="s">
        <v>97</v>
      </c>
      <c r="AB94" s="73" t="s">
        <v>12</v>
      </c>
      <c r="AC94" s="73">
        <v>12.7</v>
      </c>
      <c r="AD94" s="82" t="s">
        <v>99</v>
      </c>
      <c r="AE94" s="73" t="s">
        <v>100</v>
      </c>
      <c r="AF94" s="73" t="s">
        <v>11</v>
      </c>
      <c r="AG94" s="83">
        <v>12</v>
      </c>
      <c r="AH94" s="73" t="s">
        <v>95</v>
      </c>
      <c r="AI94" s="73" t="s">
        <v>98</v>
      </c>
      <c r="AJ94" s="73" t="s">
        <v>12</v>
      </c>
      <c r="AK94" s="73">
        <v>9.3000000000000007</v>
      </c>
      <c r="AL94" s="82" t="s">
        <v>216</v>
      </c>
      <c r="AM94" s="73" t="s">
        <v>218</v>
      </c>
      <c r="AN94" s="73" t="s">
        <v>12</v>
      </c>
      <c r="AO94" s="83">
        <v>7.3</v>
      </c>
      <c r="AP94" s="82" t="s">
        <v>217</v>
      </c>
      <c r="AQ94" s="73" t="s">
        <v>219</v>
      </c>
      <c r="AR94" s="73" t="s">
        <v>12</v>
      </c>
      <c r="AS94" s="83">
        <v>6</v>
      </c>
      <c r="AW94" s="83"/>
      <c r="BA94" s="84"/>
    </row>
    <row r="95" spans="1:53" s="73" customFormat="1">
      <c r="A95" s="73">
        <v>2001</v>
      </c>
      <c r="C95" s="988" t="s">
        <v>214</v>
      </c>
      <c r="D95" s="988"/>
      <c r="E95" s="73">
        <f>365-E94</f>
        <v>365</v>
      </c>
      <c r="G95" s="123">
        <v>7</v>
      </c>
      <c r="I95" s="73">
        <v>8</v>
      </c>
      <c r="J95" s="134">
        <v>15</v>
      </c>
      <c r="K95" s="92">
        <f t="shared" si="28"/>
        <v>46.666666666666664</v>
      </c>
      <c r="L95" s="92">
        <f t="shared" si="29"/>
        <v>0</v>
      </c>
      <c r="M95" s="92">
        <f t="shared" si="30"/>
        <v>53.333333333333336</v>
      </c>
      <c r="N95" s="125">
        <f t="shared" si="26"/>
        <v>100</v>
      </c>
      <c r="O95" s="91">
        <v>27.3</v>
      </c>
      <c r="P95" s="92"/>
      <c r="Q95" s="92">
        <v>35.299999999999997</v>
      </c>
      <c r="R95" s="93">
        <f t="shared" si="27"/>
        <v>62.599999999999994</v>
      </c>
      <c r="S95" s="97">
        <v>3</v>
      </c>
      <c r="T95" s="95"/>
      <c r="V95" s="82" t="s">
        <v>215</v>
      </c>
      <c r="W95" s="73" t="s">
        <v>88</v>
      </c>
      <c r="X95" s="73" t="s">
        <v>11</v>
      </c>
      <c r="Y95" s="83">
        <v>15.3</v>
      </c>
      <c r="Z95" s="73" t="s">
        <v>96</v>
      </c>
      <c r="AA95" s="73" t="s">
        <v>97</v>
      </c>
      <c r="AB95" s="73" t="s">
        <v>12</v>
      </c>
      <c r="AC95" s="73">
        <v>12.7</v>
      </c>
      <c r="AD95" s="82" t="s">
        <v>99</v>
      </c>
      <c r="AE95" s="73" t="s">
        <v>100</v>
      </c>
      <c r="AF95" s="73" t="s">
        <v>11</v>
      </c>
      <c r="AG95" s="83">
        <v>12</v>
      </c>
      <c r="AH95" s="73" t="s">
        <v>95</v>
      </c>
      <c r="AI95" s="73" t="s">
        <v>98</v>
      </c>
      <c r="AJ95" s="73" t="s">
        <v>12</v>
      </c>
      <c r="AK95" s="73">
        <v>9.3000000000000007</v>
      </c>
      <c r="AL95" s="82" t="s">
        <v>216</v>
      </c>
      <c r="AM95" s="73" t="s">
        <v>218</v>
      </c>
      <c r="AN95" s="73" t="s">
        <v>12</v>
      </c>
      <c r="AO95" s="83">
        <v>7.3</v>
      </c>
      <c r="AP95" s="82" t="s">
        <v>217</v>
      </c>
      <c r="AQ95" s="73" t="s">
        <v>219</v>
      </c>
      <c r="AR95" s="73" t="s">
        <v>12</v>
      </c>
      <c r="AS95" s="83">
        <v>6</v>
      </c>
      <c r="AW95" s="83"/>
      <c r="BA95" s="84"/>
    </row>
    <row r="96" spans="1:53" s="73" customFormat="1">
      <c r="A96" s="73">
        <v>2002</v>
      </c>
      <c r="C96" s="988" t="s">
        <v>214</v>
      </c>
      <c r="D96" s="988"/>
      <c r="E96" s="73">
        <v>0</v>
      </c>
      <c r="G96" s="123">
        <v>7</v>
      </c>
      <c r="I96" s="73">
        <v>8</v>
      </c>
      <c r="J96" s="134">
        <v>15</v>
      </c>
      <c r="K96" s="92">
        <f t="shared" si="28"/>
        <v>46.666666666666664</v>
      </c>
      <c r="L96" s="92">
        <f t="shared" si="29"/>
        <v>0</v>
      </c>
      <c r="M96" s="92">
        <f t="shared" si="30"/>
        <v>53.333333333333336</v>
      </c>
      <c r="N96" s="125">
        <f t="shared" si="26"/>
        <v>100</v>
      </c>
      <c r="O96" s="91">
        <v>27.3</v>
      </c>
      <c r="P96" s="92"/>
      <c r="Q96" s="92">
        <v>35.299999999999997</v>
      </c>
      <c r="R96" s="93">
        <f t="shared" si="27"/>
        <v>62.599999999999994</v>
      </c>
      <c r="S96" s="97">
        <v>3</v>
      </c>
      <c r="T96" s="95"/>
      <c r="V96" s="82" t="s">
        <v>215</v>
      </c>
      <c r="W96" s="73" t="s">
        <v>88</v>
      </c>
      <c r="X96" s="73" t="s">
        <v>11</v>
      </c>
      <c r="Y96" s="83">
        <v>15.3</v>
      </c>
      <c r="Z96" s="73" t="s">
        <v>96</v>
      </c>
      <c r="AA96" s="73" t="s">
        <v>97</v>
      </c>
      <c r="AB96" s="73" t="s">
        <v>12</v>
      </c>
      <c r="AC96" s="73">
        <v>12.7</v>
      </c>
      <c r="AD96" s="82" t="s">
        <v>99</v>
      </c>
      <c r="AE96" s="73" t="s">
        <v>100</v>
      </c>
      <c r="AF96" s="73" t="s">
        <v>11</v>
      </c>
      <c r="AG96" s="83">
        <v>12</v>
      </c>
      <c r="AH96" s="73" t="s">
        <v>95</v>
      </c>
      <c r="AI96" s="73" t="s">
        <v>98</v>
      </c>
      <c r="AJ96" s="73" t="s">
        <v>12</v>
      </c>
      <c r="AK96" s="73">
        <v>9.3000000000000007</v>
      </c>
      <c r="AL96" s="82" t="s">
        <v>216</v>
      </c>
      <c r="AM96" s="73" t="s">
        <v>218</v>
      </c>
      <c r="AN96" s="73" t="s">
        <v>12</v>
      </c>
      <c r="AO96" s="83">
        <v>7.3</v>
      </c>
      <c r="AP96" s="82" t="s">
        <v>217</v>
      </c>
      <c r="AQ96" s="73" t="s">
        <v>219</v>
      </c>
      <c r="AR96" s="73" t="s">
        <v>12</v>
      </c>
      <c r="AS96" s="83">
        <v>6</v>
      </c>
      <c r="AW96" s="83"/>
      <c r="BA96" s="84"/>
    </row>
    <row r="97" spans="1:53" s="73" customFormat="1">
      <c r="A97" s="73">
        <v>2002</v>
      </c>
      <c r="C97" s="988" t="s">
        <v>214</v>
      </c>
      <c r="D97" s="988"/>
      <c r="E97" s="73">
        <f>365-E96</f>
        <v>365</v>
      </c>
      <c r="G97" s="123">
        <v>7</v>
      </c>
      <c r="I97" s="73">
        <v>8</v>
      </c>
      <c r="J97" s="134">
        <v>15</v>
      </c>
      <c r="K97" s="92">
        <f t="shared" si="28"/>
        <v>46.666666666666664</v>
      </c>
      <c r="L97" s="92">
        <f t="shared" si="29"/>
        <v>0</v>
      </c>
      <c r="M97" s="92">
        <f t="shared" si="30"/>
        <v>53.333333333333336</v>
      </c>
      <c r="N97" s="125">
        <f t="shared" si="26"/>
        <v>100</v>
      </c>
      <c r="O97" s="91">
        <v>27.3</v>
      </c>
      <c r="P97" s="92"/>
      <c r="Q97" s="92">
        <v>35.299999999999997</v>
      </c>
      <c r="R97" s="93">
        <f t="shared" si="27"/>
        <v>62.599999999999994</v>
      </c>
      <c r="S97" s="97">
        <v>3</v>
      </c>
      <c r="T97" s="95"/>
      <c r="V97" s="82" t="s">
        <v>215</v>
      </c>
      <c r="W97" s="73" t="s">
        <v>88</v>
      </c>
      <c r="X97" s="73" t="s">
        <v>11</v>
      </c>
      <c r="Y97" s="83">
        <v>15.3</v>
      </c>
      <c r="Z97" s="73" t="s">
        <v>96</v>
      </c>
      <c r="AA97" s="73" t="s">
        <v>97</v>
      </c>
      <c r="AB97" s="73" t="s">
        <v>12</v>
      </c>
      <c r="AC97" s="73">
        <v>12.7</v>
      </c>
      <c r="AD97" s="82" t="s">
        <v>99</v>
      </c>
      <c r="AE97" s="73" t="s">
        <v>100</v>
      </c>
      <c r="AF97" s="73" t="s">
        <v>11</v>
      </c>
      <c r="AG97" s="83">
        <v>12</v>
      </c>
      <c r="AH97" s="73" t="s">
        <v>95</v>
      </c>
      <c r="AI97" s="73" t="s">
        <v>98</v>
      </c>
      <c r="AJ97" s="73" t="s">
        <v>12</v>
      </c>
      <c r="AK97" s="73">
        <v>9.3000000000000007</v>
      </c>
      <c r="AL97" s="82" t="s">
        <v>216</v>
      </c>
      <c r="AM97" s="73" t="s">
        <v>218</v>
      </c>
      <c r="AN97" s="73" t="s">
        <v>12</v>
      </c>
      <c r="AO97" s="83">
        <v>7.3</v>
      </c>
      <c r="AP97" s="82" t="s">
        <v>217</v>
      </c>
      <c r="AQ97" s="73" t="s">
        <v>219</v>
      </c>
      <c r="AR97" s="73" t="s">
        <v>12</v>
      </c>
      <c r="AS97" s="83">
        <v>6</v>
      </c>
      <c r="AW97" s="83"/>
      <c r="BA97" s="84"/>
    </row>
    <row r="98" spans="1:53" s="73" customFormat="1">
      <c r="A98" s="73">
        <v>2003</v>
      </c>
      <c r="C98" s="988" t="s">
        <v>214</v>
      </c>
      <c r="D98" s="988"/>
      <c r="E98" s="73">
        <v>192</v>
      </c>
      <c r="G98" s="123">
        <v>7</v>
      </c>
      <c r="I98" s="73">
        <v>8</v>
      </c>
      <c r="J98" s="134">
        <v>15</v>
      </c>
      <c r="K98" s="92">
        <f t="shared" si="28"/>
        <v>46.666666666666664</v>
      </c>
      <c r="L98" s="92">
        <f t="shared" si="29"/>
        <v>0</v>
      </c>
      <c r="M98" s="92">
        <f t="shared" si="30"/>
        <v>53.333333333333336</v>
      </c>
      <c r="N98" s="125">
        <f t="shared" si="26"/>
        <v>100</v>
      </c>
      <c r="O98" s="91">
        <v>27.3</v>
      </c>
      <c r="P98" s="92"/>
      <c r="Q98" s="92">
        <v>35.299999999999997</v>
      </c>
      <c r="R98" s="93">
        <f t="shared" si="27"/>
        <v>62.599999999999994</v>
      </c>
      <c r="S98" s="97">
        <v>3</v>
      </c>
      <c r="T98" s="95"/>
      <c r="V98" s="82" t="s">
        <v>215</v>
      </c>
      <c r="W98" s="73" t="s">
        <v>88</v>
      </c>
      <c r="X98" s="73" t="s">
        <v>11</v>
      </c>
      <c r="Y98" s="83">
        <v>15.3</v>
      </c>
      <c r="Z98" s="73" t="s">
        <v>96</v>
      </c>
      <c r="AA98" s="73" t="s">
        <v>97</v>
      </c>
      <c r="AB98" s="73" t="s">
        <v>12</v>
      </c>
      <c r="AC98" s="73">
        <v>12.7</v>
      </c>
      <c r="AD98" s="82" t="s">
        <v>99</v>
      </c>
      <c r="AE98" s="73" t="s">
        <v>100</v>
      </c>
      <c r="AF98" s="73" t="s">
        <v>11</v>
      </c>
      <c r="AG98" s="83">
        <v>12</v>
      </c>
      <c r="AH98" s="73" t="s">
        <v>95</v>
      </c>
      <c r="AI98" s="73" t="s">
        <v>98</v>
      </c>
      <c r="AJ98" s="73" t="s">
        <v>12</v>
      </c>
      <c r="AK98" s="73">
        <v>9.3000000000000007</v>
      </c>
      <c r="AL98" s="82" t="s">
        <v>216</v>
      </c>
      <c r="AM98" s="73" t="s">
        <v>218</v>
      </c>
      <c r="AN98" s="73" t="s">
        <v>12</v>
      </c>
      <c r="AO98" s="83">
        <v>7.3</v>
      </c>
      <c r="AP98" s="82" t="s">
        <v>217</v>
      </c>
      <c r="AQ98" s="73" t="s">
        <v>219</v>
      </c>
      <c r="AR98" s="73" t="s">
        <v>12</v>
      </c>
      <c r="AS98" s="83">
        <v>6</v>
      </c>
      <c r="AW98" s="83"/>
      <c r="BA98" s="84"/>
    </row>
    <row r="99" spans="1:53" s="334" customFormat="1">
      <c r="A99" s="334">
        <v>2003</v>
      </c>
      <c r="B99" s="355">
        <v>37814</v>
      </c>
      <c r="C99" s="992" t="s">
        <v>220</v>
      </c>
      <c r="D99" s="992"/>
      <c r="E99" s="334">
        <v>173</v>
      </c>
      <c r="F99" s="334">
        <v>1</v>
      </c>
      <c r="G99" s="419">
        <v>7</v>
      </c>
      <c r="I99" s="334">
        <v>8</v>
      </c>
      <c r="J99" s="435">
        <v>15</v>
      </c>
      <c r="K99" s="384">
        <f t="shared" si="28"/>
        <v>46.666666666666664</v>
      </c>
      <c r="L99" s="384">
        <f t="shared" si="29"/>
        <v>0</v>
      </c>
      <c r="M99" s="384">
        <f t="shared" si="30"/>
        <v>53.333333333333336</v>
      </c>
      <c r="N99" s="421">
        <f t="shared" si="26"/>
        <v>100</v>
      </c>
      <c r="O99" s="383">
        <v>32.700000000000003</v>
      </c>
      <c r="P99" s="384"/>
      <c r="Q99" s="384">
        <v>32</v>
      </c>
      <c r="R99" s="385">
        <f t="shared" si="27"/>
        <v>64.7</v>
      </c>
      <c r="S99" s="388">
        <v>2</v>
      </c>
      <c r="T99" s="342">
        <v>37759</v>
      </c>
      <c r="U99" s="355">
        <v>37814</v>
      </c>
      <c r="V99" s="343" t="s">
        <v>215</v>
      </c>
      <c r="W99" s="334" t="s">
        <v>88</v>
      </c>
      <c r="X99" s="334" t="s">
        <v>11</v>
      </c>
      <c r="Y99" s="344">
        <v>16.7</v>
      </c>
      <c r="Z99" s="334" t="s">
        <v>96</v>
      </c>
      <c r="AA99" s="334" t="s">
        <v>97</v>
      </c>
      <c r="AB99" s="334" t="s">
        <v>12</v>
      </c>
      <c r="AC99" s="334">
        <v>16.7</v>
      </c>
      <c r="AD99" s="343" t="s">
        <v>221</v>
      </c>
      <c r="AE99" s="334" t="s">
        <v>100</v>
      </c>
      <c r="AF99" s="334" t="s">
        <v>11</v>
      </c>
      <c r="AG99" s="344">
        <v>16</v>
      </c>
      <c r="AH99" s="334" t="s">
        <v>95</v>
      </c>
      <c r="AI99" s="334" t="s">
        <v>98</v>
      </c>
      <c r="AJ99" s="334" t="s">
        <v>12</v>
      </c>
      <c r="AK99" s="334">
        <v>15.3</v>
      </c>
      <c r="AL99" s="343"/>
      <c r="AO99" s="344"/>
      <c r="AP99" s="343"/>
      <c r="AS99" s="344"/>
      <c r="AW99" s="344"/>
      <c r="BA99" s="345"/>
    </row>
    <row r="100" spans="1:53" s="334" customFormat="1">
      <c r="A100" s="334">
        <v>2004</v>
      </c>
      <c r="C100" s="992" t="s">
        <v>220</v>
      </c>
      <c r="D100" s="992"/>
      <c r="E100" s="334">
        <v>0</v>
      </c>
      <c r="G100" s="419">
        <v>7</v>
      </c>
      <c r="I100" s="334">
        <v>8</v>
      </c>
      <c r="J100" s="435">
        <v>15</v>
      </c>
      <c r="K100" s="384">
        <f t="shared" si="28"/>
        <v>46.666666666666664</v>
      </c>
      <c r="L100" s="384">
        <f t="shared" si="29"/>
        <v>0</v>
      </c>
      <c r="M100" s="384">
        <f t="shared" si="30"/>
        <v>53.333333333333336</v>
      </c>
      <c r="N100" s="421">
        <f t="shared" si="26"/>
        <v>100</v>
      </c>
      <c r="O100" s="383">
        <v>32.700000000000003</v>
      </c>
      <c r="P100" s="384"/>
      <c r="Q100" s="384">
        <v>32</v>
      </c>
      <c r="R100" s="385">
        <f t="shared" si="27"/>
        <v>64.7</v>
      </c>
      <c r="S100" s="388">
        <v>2</v>
      </c>
      <c r="T100" s="342"/>
      <c r="V100" s="343" t="s">
        <v>215</v>
      </c>
      <c r="W100" s="334" t="s">
        <v>88</v>
      </c>
      <c r="X100" s="334" t="s">
        <v>11</v>
      </c>
      <c r="Y100" s="344">
        <v>16.7</v>
      </c>
      <c r="Z100" s="334" t="s">
        <v>96</v>
      </c>
      <c r="AA100" s="334" t="s">
        <v>97</v>
      </c>
      <c r="AB100" s="334" t="s">
        <v>12</v>
      </c>
      <c r="AC100" s="334">
        <v>16.7</v>
      </c>
      <c r="AD100" s="343" t="s">
        <v>221</v>
      </c>
      <c r="AE100" s="334" t="s">
        <v>100</v>
      </c>
      <c r="AF100" s="334" t="s">
        <v>11</v>
      </c>
      <c r="AG100" s="344">
        <v>16</v>
      </c>
      <c r="AH100" s="334" t="s">
        <v>95</v>
      </c>
      <c r="AI100" s="334" t="s">
        <v>98</v>
      </c>
      <c r="AJ100" s="334" t="s">
        <v>12</v>
      </c>
      <c r="AK100" s="334">
        <v>15.3</v>
      </c>
      <c r="AL100" s="343"/>
      <c r="AO100" s="344"/>
      <c r="AP100" s="343"/>
      <c r="AS100" s="344"/>
      <c r="AW100" s="344"/>
      <c r="BA100" s="345"/>
    </row>
    <row r="101" spans="1:53" s="334" customFormat="1">
      <c r="A101" s="334">
        <v>2004</v>
      </c>
      <c r="C101" s="992" t="s">
        <v>220</v>
      </c>
      <c r="D101" s="992"/>
      <c r="E101" s="334">
        <v>366</v>
      </c>
      <c r="G101" s="419">
        <v>7</v>
      </c>
      <c r="I101" s="334">
        <v>8</v>
      </c>
      <c r="J101" s="435">
        <v>15</v>
      </c>
      <c r="K101" s="384">
        <f t="shared" si="28"/>
        <v>46.666666666666664</v>
      </c>
      <c r="L101" s="384">
        <f t="shared" si="29"/>
        <v>0</v>
      </c>
      <c r="M101" s="384">
        <f t="shared" si="30"/>
        <v>53.333333333333336</v>
      </c>
      <c r="N101" s="421">
        <f t="shared" si="26"/>
        <v>100</v>
      </c>
      <c r="O101" s="383">
        <v>32.700000000000003</v>
      </c>
      <c r="P101" s="384"/>
      <c r="Q101" s="384">
        <v>32</v>
      </c>
      <c r="R101" s="385">
        <f t="shared" si="27"/>
        <v>64.7</v>
      </c>
      <c r="S101" s="388">
        <v>2</v>
      </c>
      <c r="T101" s="342"/>
      <c r="V101" s="343" t="s">
        <v>215</v>
      </c>
      <c r="W101" s="334" t="s">
        <v>88</v>
      </c>
      <c r="X101" s="334" t="s">
        <v>11</v>
      </c>
      <c r="Y101" s="344">
        <v>16.7</v>
      </c>
      <c r="Z101" s="334" t="s">
        <v>96</v>
      </c>
      <c r="AA101" s="334" t="s">
        <v>97</v>
      </c>
      <c r="AB101" s="334" t="s">
        <v>12</v>
      </c>
      <c r="AC101" s="334">
        <v>16.7</v>
      </c>
      <c r="AD101" s="343" t="s">
        <v>221</v>
      </c>
      <c r="AE101" s="334" t="s">
        <v>100</v>
      </c>
      <c r="AF101" s="334" t="s">
        <v>11</v>
      </c>
      <c r="AG101" s="344">
        <v>16</v>
      </c>
      <c r="AH101" s="334" t="s">
        <v>95</v>
      </c>
      <c r="AI101" s="334" t="s">
        <v>98</v>
      </c>
      <c r="AJ101" s="334" t="s">
        <v>12</v>
      </c>
      <c r="AK101" s="334">
        <v>15.3</v>
      </c>
      <c r="AL101" s="343"/>
      <c r="AO101" s="344"/>
      <c r="AP101" s="343"/>
      <c r="AS101" s="344"/>
      <c r="AW101" s="344"/>
      <c r="BA101" s="345"/>
    </row>
    <row r="102" spans="1:53" s="334" customFormat="1">
      <c r="A102" s="334">
        <v>2005</v>
      </c>
      <c r="C102" s="992" t="s">
        <v>220</v>
      </c>
      <c r="D102" s="992"/>
      <c r="E102" s="334">
        <v>0</v>
      </c>
      <c r="G102" s="419">
        <v>7</v>
      </c>
      <c r="I102" s="334">
        <v>8</v>
      </c>
      <c r="J102" s="435">
        <v>15</v>
      </c>
      <c r="K102" s="384">
        <f t="shared" ref="K102:K108" si="31">G102/J102*100</f>
        <v>46.666666666666664</v>
      </c>
      <c r="L102" s="384">
        <f t="shared" ref="L102:L108" si="32">H102/J102*100</f>
        <v>0</v>
      </c>
      <c r="M102" s="384">
        <f t="shared" ref="M102:M108" si="33">I102/J102*100</f>
        <v>53.333333333333336</v>
      </c>
      <c r="N102" s="421">
        <f t="shared" si="26"/>
        <v>100</v>
      </c>
      <c r="O102" s="383">
        <v>32.700000000000003</v>
      </c>
      <c r="P102" s="384"/>
      <c r="Q102" s="384">
        <v>32</v>
      </c>
      <c r="R102" s="385">
        <f t="shared" si="27"/>
        <v>64.7</v>
      </c>
      <c r="S102" s="388">
        <v>2</v>
      </c>
      <c r="T102" s="342"/>
      <c r="V102" s="343" t="s">
        <v>215</v>
      </c>
      <c r="W102" s="334" t="s">
        <v>88</v>
      </c>
      <c r="X102" s="334" t="s">
        <v>11</v>
      </c>
      <c r="Y102" s="344">
        <v>16.7</v>
      </c>
      <c r="Z102" s="334" t="s">
        <v>96</v>
      </c>
      <c r="AA102" s="334" t="s">
        <v>97</v>
      </c>
      <c r="AB102" s="334" t="s">
        <v>12</v>
      </c>
      <c r="AC102" s="334">
        <v>16.7</v>
      </c>
      <c r="AD102" s="343" t="s">
        <v>221</v>
      </c>
      <c r="AE102" s="334" t="s">
        <v>100</v>
      </c>
      <c r="AF102" s="334" t="s">
        <v>11</v>
      </c>
      <c r="AG102" s="344">
        <v>16</v>
      </c>
      <c r="AH102" s="334" t="s">
        <v>95</v>
      </c>
      <c r="AI102" s="334" t="s">
        <v>98</v>
      </c>
      <c r="AJ102" s="334" t="s">
        <v>12</v>
      </c>
      <c r="AK102" s="334">
        <v>15.3</v>
      </c>
      <c r="AL102" s="343"/>
      <c r="AO102" s="344"/>
      <c r="AP102" s="343"/>
      <c r="AS102" s="344"/>
      <c r="AW102" s="344"/>
      <c r="BA102" s="345"/>
    </row>
    <row r="103" spans="1:53" s="334" customFormat="1">
      <c r="A103" s="334">
        <v>2005</v>
      </c>
      <c r="C103" s="992" t="s">
        <v>220</v>
      </c>
      <c r="D103" s="992"/>
      <c r="E103" s="334">
        <f>365-E102</f>
        <v>365</v>
      </c>
      <c r="G103" s="419">
        <v>7</v>
      </c>
      <c r="I103" s="334">
        <v>8</v>
      </c>
      <c r="J103" s="435">
        <v>15</v>
      </c>
      <c r="K103" s="384">
        <f t="shared" si="31"/>
        <v>46.666666666666664</v>
      </c>
      <c r="L103" s="384">
        <f t="shared" si="32"/>
        <v>0</v>
      </c>
      <c r="M103" s="384">
        <f t="shared" si="33"/>
        <v>53.333333333333336</v>
      </c>
      <c r="N103" s="421">
        <f t="shared" si="26"/>
        <v>100</v>
      </c>
      <c r="O103" s="383">
        <v>32.700000000000003</v>
      </c>
      <c r="P103" s="384"/>
      <c r="Q103" s="384">
        <v>32</v>
      </c>
      <c r="R103" s="385">
        <f t="shared" si="27"/>
        <v>64.7</v>
      </c>
      <c r="S103" s="388">
        <v>2</v>
      </c>
      <c r="T103" s="342"/>
      <c r="V103" s="343" t="s">
        <v>215</v>
      </c>
      <c r="W103" s="334" t="s">
        <v>88</v>
      </c>
      <c r="X103" s="334" t="s">
        <v>11</v>
      </c>
      <c r="Y103" s="344">
        <v>16.7</v>
      </c>
      <c r="Z103" s="334" t="s">
        <v>96</v>
      </c>
      <c r="AA103" s="334" t="s">
        <v>97</v>
      </c>
      <c r="AB103" s="334" t="s">
        <v>12</v>
      </c>
      <c r="AC103" s="334">
        <v>16.7</v>
      </c>
      <c r="AD103" s="343" t="s">
        <v>221</v>
      </c>
      <c r="AE103" s="334" t="s">
        <v>100</v>
      </c>
      <c r="AF103" s="334" t="s">
        <v>11</v>
      </c>
      <c r="AG103" s="344">
        <v>16</v>
      </c>
      <c r="AH103" s="334" t="s">
        <v>95</v>
      </c>
      <c r="AI103" s="334" t="s">
        <v>98</v>
      </c>
      <c r="AJ103" s="334" t="s">
        <v>12</v>
      </c>
      <c r="AK103" s="334">
        <v>15.3</v>
      </c>
      <c r="AL103" s="343"/>
      <c r="AO103" s="344"/>
      <c r="AP103" s="343"/>
      <c r="AS103" s="344"/>
      <c r="AW103" s="344"/>
      <c r="BA103" s="345"/>
    </row>
    <row r="104" spans="1:53" s="334" customFormat="1">
      <c r="A104" s="334">
        <v>2006</v>
      </c>
      <c r="C104" s="992" t="s">
        <v>220</v>
      </c>
      <c r="D104" s="992"/>
      <c r="E104" s="334">
        <v>0</v>
      </c>
      <c r="G104" s="419">
        <v>7</v>
      </c>
      <c r="I104" s="334">
        <v>8</v>
      </c>
      <c r="J104" s="435">
        <v>15</v>
      </c>
      <c r="K104" s="384">
        <f>G104/J104*100</f>
        <v>46.666666666666664</v>
      </c>
      <c r="L104" s="384">
        <f t="shared" si="32"/>
        <v>0</v>
      </c>
      <c r="M104" s="384">
        <f t="shared" si="33"/>
        <v>53.333333333333336</v>
      </c>
      <c r="N104" s="421">
        <f t="shared" si="26"/>
        <v>100</v>
      </c>
      <c r="O104" s="383">
        <v>32.700000000000003</v>
      </c>
      <c r="P104" s="384"/>
      <c r="Q104" s="384">
        <v>32</v>
      </c>
      <c r="R104" s="385">
        <f t="shared" si="27"/>
        <v>64.7</v>
      </c>
      <c r="S104" s="388">
        <v>2</v>
      </c>
      <c r="T104" s="342"/>
      <c r="V104" s="343" t="s">
        <v>215</v>
      </c>
      <c r="W104" s="334" t="s">
        <v>88</v>
      </c>
      <c r="X104" s="334" t="s">
        <v>11</v>
      </c>
      <c r="Y104" s="344">
        <v>16.7</v>
      </c>
      <c r="Z104" s="334" t="s">
        <v>96</v>
      </c>
      <c r="AA104" s="334" t="s">
        <v>97</v>
      </c>
      <c r="AB104" s="334" t="s">
        <v>12</v>
      </c>
      <c r="AC104" s="334">
        <v>16.7</v>
      </c>
      <c r="AD104" s="343" t="s">
        <v>221</v>
      </c>
      <c r="AE104" s="334" t="s">
        <v>100</v>
      </c>
      <c r="AF104" s="334" t="s">
        <v>11</v>
      </c>
      <c r="AG104" s="344">
        <v>16</v>
      </c>
      <c r="AH104" s="334" t="s">
        <v>95</v>
      </c>
      <c r="AI104" s="334" t="s">
        <v>98</v>
      </c>
      <c r="AJ104" s="334" t="s">
        <v>12</v>
      </c>
      <c r="AK104" s="334">
        <v>15.3</v>
      </c>
      <c r="AL104" s="343"/>
      <c r="AO104" s="344"/>
      <c r="AP104" s="343"/>
      <c r="AS104" s="344"/>
      <c r="AW104" s="344"/>
      <c r="BA104" s="345"/>
    </row>
    <row r="105" spans="1:53" s="334" customFormat="1">
      <c r="A105" s="334">
        <v>2006</v>
      </c>
      <c r="C105" s="992" t="s">
        <v>220</v>
      </c>
      <c r="D105" s="992"/>
      <c r="E105" s="334">
        <f>365-E104</f>
        <v>365</v>
      </c>
      <c r="G105" s="419">
        <v>7</v>
      </c>
      <c r="I105" s="334">
        <v>8</v>
      </c>
      <c r="J105" s="435">
        <v>15</v>
      </c>
      <c r="K105" s="384">
        <f t="shared" si="31"/>
        <v>46.666666666666664</v>
      </c>
      <c r="L105" s="384">
        <f t="shared" si="32"/>
        <v>0</v>
      </c>
      <c r="M105" s="384">
        <f t="shared" si="33"/>
        <v>53.333333333333336</v>
      </c>
      <c r="N105" s="421">
        <f t="shared" si="26"/>
        <v>100</v>
      </c>
      <c r="O105" s="383">
        <v>32.700000000000003</v>
      </c>
      <c r="P105" s="384"/>
      <c r="Q105" s="384">
        <v>32</v>
      </c>
      <c r="R105" s="385">
        <f t="shared" si="27"/>
        <v>64.7</v>
      </c>
      <c r="S105" s="388">
        <v>2</v>
      </c>
      <c r="T105" s="342"/>
      <c r="V105" s="343" t="s">
        <v>215</v>
      </c>
      <c r="W105" s="334" t="s">
        <v>88</v>
      </c>
      <c r="X105" s="334" t="s">
        <v>11</v>
      </c>
      <c r="Y105" s="344">
        <v>16.7</v>
      </c>
      <c r="Z105" s="334" t="s">
        <v>96</v>
      </c>
      <c r="AA105" s="334" t="s">
        <v>97</v>
      </c>
      <c r="AB105" s="334" t="s">
        <v>12</v>
      </c>
      <c r="AC105" s="334">
        <v>16.7</v>
      </c>
      <c r="AD105" s="343" t="s">
        <v>221</v>
      </c>
      <c r="AE105" s="334" t="s">
        <v>100</v>
      </c>
      <c r="AF105" s="334" t="s">
        <v>11</v>
      </c>
      <c r="AG105" s="344">
        <v>16</v>
      </c>
      <c r="AH105" s="334" t="s">
        <v>95</v>
      </c>
      <c r="AI105" s="334" t="s">
        <v>98</v>
      </c>
      <c r="AJ105" s="334" t="s">
        <v>12</v>
      </c>
      <c r="AK105" s="334">
        <v>15.3</v>
      </c>
      <c r="AL105" s="343"/>
      <c r="AO105" s="344"/>
      <c r="AP105" s="343"/>
      <c r="AS105" s="344"/>
      <c r="AW105" s="344"/>
      <c r="BA105" s="345"/>
    </row>
    <row r="106" spans="1:53" s="334" customFormat="1">
      <c r="A106" s="334">
        <v>2007</v>
      </c>
      <c r="C106" s="992" t="s">
        <v>220</v>
      </c>
      <c r="D106" s="992"/>
      <c r="E106" s="334">
        <v>354</v>
      </c>
      <c r="G106" s="419">
        <v>7</v>
      </c>
      <c r="I106" s="334">
        <v>8</v>
      </c>
      <c r="J106" s="435">
        <v>15</v>
      </c>
      <c r="K106" s="384">
        <f t="shared" si="31"/>
        <v>46.666666666666664</v>
      </c>
      <c r="L106" s="384">
        <f t="shared" si="32"/>
        <v>0</v>
      </c>
      <c r="M106" s="384">
        <f t="shared" si="33"/>
        <v>53.333333333333336</v>
      </c>
      <c r="N106" s="421">
        <f t="shared" si="26"/>
        <v>100</v>
      </c>
      <c r="O106" s="383">
        <v>32.700000000000003</v>
      </c>
      <c r="P106" s="384"/>
      <c r="Q106" s="384">
        <v>32</v>
      </c>
      <c r="R106" s="385">
        <f t="shared" si="27"/>
        <v>64.7</v>
      </c>
      <c r="S106" s="388">
        <v>2</v>
      </c>
      <c r="T106" s="342"/>
      <c r="V106" s="343" t="s">
        <v>215</v>
      </c>
      <c r="W106" s="334" t="s">
        <v>88</v>
      </c>
      <c r="X106" s="334" t="s">
        <v>11</v>
      </c>
      <c r="Y106" s="344">
        <v>16.7</v>
      </c>
      <c r="Z106" s="334" t="s">
        <v>96</v>
      </c>
      <c r="AA106" s="334" t="s">
        <v>97</v>
      </c>
      <c r="AB106" s="334" t="s">
        <v>12</v>
      </c>
      <c r="AC106" s="334">
        <v>16.7</v>
      </c>
      <c r="AD106" s="343" t="s">
        <v>221</v>
      </c>
      <c r="AE106" s="334" t="s">
        <v>100</v>
      </c>
      <c r="AF106" s="334" t="s">
        <v>11</v>
      </c>
      <c r="AG106" s="344">
        <v>16</v>
      </c>
      <c r="AH106" s="334" t="s">
        <v>95</v>
      </c>
      <c r="AI106" s="334" t="s">
        <v>98</v>
      </c>
      <c r="AJ106" s="334" t="s">
        <v>12</v>
      </c>
      <c r="AK106" s="334">
        <v>15.3</v>
      </c>
      <c r="AL106" s="343"/>
      <c r="AO106" s="344"/>
      <c r="AP106" s="343"/>
      <c r="AS106" s="344"/>
      <c r="AW106" s="344"/>
      <c r="BA106" s="345"/>
    </row>
    <row r="107" spans="1:53" s="73" customFormat="1">
      <c r="A107" s="73">
        <v>2007</v>
      </c>
      <c r="B107" s="85">
        <v>39437</v>
      </c>
      <c r="C107" s="988" t="s">
        <v>222</v>
      </c>
      <c r="D107" s="988"/>
      <c r="E107" s="73">
        <f>365-E106</f>
        <v>11</v>
      </c>
      <c r="F107" s="73">
        <v>1</v>
      </c>
      <c r="G107" s="123">
        <v>6</v>
      </c>
      <c r="H107" s="73">
        <v>5</v>
      </c>
      <c r="I107" s="73">
        <v>3</v>
      </c>
      <c r="J107" s="134">
        <v>14</v>
      </c>
      <c r="K107" s="92">
        <f t="shared" si="31"/>
        <v>42.857142857142854</v>
      </c>
      <c r="L107" s="92">
        <f t="shared" si="32"/>
        <v>35.714285714285715</v>
      </c>
      <c r="M107" s="92">
        <f t="shared" si="33"/>
        <v>21.428571428571427</v>
      </c>
      <c r="N107" s="125">
        <f t="shared" si="26"/>
        <v>100</v>
      </c>
      <c r="O107" s="91">
        <v>27.3</v>
      </c>
      <c r="P107" s="92">
        <v>26.7</v>
      </c>
      <c r="Q107" s="92">
        <v>13.3</v>
      </c>
      <c r="R107" s="93">
        <f t="shared" si="27"/>
        <v>67.3</v>
      </c>
      <c r="S107" s="97">
        <v>3</v>
      </c>
      <c r="T107" s="95">
        <v>39243</v>
      </c>
      <c r="U107" s="85">
        <v>39437</v>
      </c>
      <c r="V107" s="82" t="s">
        <v>215</v>
      </c>
      <c r="W107" s="73" t="s">
        <v>88</v>
      </c>
      <c r="X107" s="73" t="s">
        <v>11</v>
      </c>
      <c r="Y107" s="83">
        <v>12</v>
      </c>
      <c r="Z107" s="73" t="s">
        <v>223</v>
      </c>
      <c r="AA107" s="73" t="s">
        <v>82</v>
      </c>
      <c r="AB107" s="73" t="s">
        <v>18</v>
      </c>
      <c r="AC107" s="73">
        <v>20</v>
      </c>
      <c r="AD107" s="82" t="s">
        <v>221</v>
      </c>
      <c r="AE107" s="73" t="s">
        <v>100</v>
      </c>
      <c r="AF107" s="73" t="s">
        <v>11</v>
      </c>
      <c r="AG107" s="83">
        <v>15.3</v>
      </c>
      <c r="AH107" s="73" t="s">
        <v>96</v>
      </c>
      <c r="AI107" s="73" t="s">
        <v>97</v>
      </c>
      <c r="AJ107" s="73" t="s">
        <v>12</v>
      </c>
      <c r="AK107" s="73">
        <v>13.3</v>
      </c>
      <c r="AL107" s="82" t="s">
        <v>224</v>
      </c>
      <c r="AM107" s="73" t="s">
        <v>86</v>
      </c>
      <c r="AN107" s="73" t="s">
        <v>18</v>
      </c>
      <c r="AO107" s="83">
        <v>6.7</v>
      </c>
      <c r="AP107" s="82"/>
      <c r="AS107" s="83"/>
      <c r="AW107" s="83"/>
      <c r="BA107" s="84"/>
    </row>
    <row r="108" spans="1:53" s="73" customFormat="1">
      <c r="A108" s="73">
        <v>2008</v>
      </c>
      <c r="C108" s="988" t="s">
        <v>222</v>
      </c>
      <c r="D108" s="988"/>
      <c r="E108" s="73">
        <v>79</v>
      </c>
      <c r="G108" s="123">
        <v>6</v>
      </c>
      <c r="H108" s="73">
        <v>5</v>
      </c>
      <c r="I108" s="73">
        <v>3</v>
      </c>
      <c r="J108" s="134">
        <v>14</v>
      </c>
      <c r="K108" s="92">
        <f t="shared" si="31"/>
        <v>42.857142857142854</v>
      </c>
      <c r="L108" s="92">
        <f t="shared" si="32"/>
        <v>35.714285714285715</v>
      </c>
      <c r="M108" s="92">
        <f t="shared" si="33"/>
        <v>21.428571428571427</v>
      </c>
      <c r="N108" s="125">
        <f t="shared" si="26"/>
        <v>100</v>
      </c>
      <c r="O108" s="91">
        <v>27.3</v>
      </c>
      <c r="P108" s="92">
        <v>26.7</v>
      </c>
      <c r="Q108" s="92">
        <v>13.3</v>
      </c>
      <c r="R108" s="93">
        <f t="shared" si="27"/>
        <v>67.3</v>
      </c>
      <c r="S108" s="97">
        <v>3</v>
      </c>
      <c r="T108" s="95"/>
      <c r="V108" s="82" t="s">
        <v>215</v>
      </c>
      <c r="W108" s="73" t="s">
        <v>88</v>
      </c>
      <c r="X108" s="73" t="s">
        <v>11</v>
      </c>
      <c r="Y108" s="83">
        <v>12</v>
      </c>
      <c r="Z108" s="73" t="s">
        <v>223</v>
      </c>
      <c r="AA108" s="73" t="s">
        <v>82</v>
      </c>
      <c r="AB108" s="73" t="s">
        <v>18</v>
      </c>
      <c r="AC108" s="73">
        <v>20</v>
      </c>
      <c r="AD108" s="82" t="s">
        <v>221</v>
      </c>
      <c r="AE108" s="73" t="s">
        <v>100</v>
      </c>
      <c r="AF108" s="73" t="s">
        <v>11</v>
      </c>
      <c r="AG108" s="83">
        <v>15.3</v>
      </c>
      <c r="AH108" s="73" t="s">
        <v>96</v>
      </c>
      <c r="AI108" s="73" t="s">
        <v>97</v>
      </c>
      <c r="AJ108" s="73" t="s">
        <v>12</v>
      </c>
      <c r="AK108" s="73">
        <v>13.3</v>
      </c>
      <c r="AL108" s="82" t="s">
        <v>224</v>
      </c>
      <c r="AM108" s="73" t="s">
        <v>86</v>
      </c>
      <c r="AN108" s="73" t="s">
        <v>18</v>
      </c>
      <c r="AO108" s="83">
        <v>6.7</v>
      </c>
      <c r="AP108" s="82"/>
      <c r="AS108" s="83"/>
      <c r="AW108" s="83"/>
      <c r="BA108" s="84"/>
    </row>
    <row r="109" spans="1:53" s="334" customFormat="1">
      <c r="A109" s="334">
        <v>2008</v>
      </c>
      <c r="B109" s="355">
        <v>39527</v>
      </c>
      <c r="C109" s="992" t="s">
        <v>225</v>
      </c>
      <c r="D109" s="992"/>
      <c r="E109" s="334">
        <v>285</v>
      </c>
      <c r="F109" s="334">
        <v>2</v>
      </c>
      <c r="G109" s="419">
        <v>7</v>
      </c>
      <c r="H109" s="334">
        <v>5</v>
      </c>
      <c r="I109" s="334">
        <v>3</v>
      </c>
      <c r="J109" s="435">
        <f>G109+H109+I109</f>
        <v>15</v>
      </c>
      <c r="K109" s="384">
        <f t="shared" ref="K109:K115" si="34">G109/J109*100</f>
        <v>46.666666666666664</v>
      </c>
      <c r="L109" s="384">
        <f t="shared" ref="L109:L115" si="35">H109/J109*100</f>
        <v>33.333333333333329</v>
      </c>
      <c r="M109" s="384">
        <f t="shared" ref="M109:M115" si="36">I109/J109*100</f>
        <v>20</v>
      </c>
      <c r="N109" s="421">
        <f t="shared" si="26"/>
        <v>100</v>
      </c>
      <c r="O109" s="383">
        <v>27.3</v>
      </c>
      <c r="P109" s="384">
        <v>26.7</v>
      </c>
      <c r="Q109" s="384">
        <v>13.3</v>
      </c>
      <c r="R109" s="385">
        <f t="shared" si="27"/>
        <v>67.3</v>
      </c>
      <c r="S109" s="388">
        <v>3</v>
      </c>
      <c r="T109" s="342"/>
      <c r="U109" s="355">
        <v>39527</v>
      </c>
      <c r="V109" s="343" t="s">
        <v>223</v>
      </c>
      <c r="W109" s="334" t="s">
        <v>82</v>
      </c>
      <c r="X109" s="334" t="s">
        <v>18</v>
      </c>
      <c r="Y109" s="344">
        <v>20</v>
      </c>
      <c r="Z109" s="334" t="s">
        <v>215</v>
      </c>
      <c r="AA109" s="334" t="s">
        <v>88</v>
      </c>
      <c r="AB109" s="334" t="s">
        <v>11</v>
      </c>
      <c r="AC109" s="334">
        <v>12</v>
      </c>
      <c r="AD109" s="343" t="s">
        <v>221</v>
      </c>
      <c r="AE109" s="334" t="s">
        <v>100</v>
      </c>
      <c r="AF109" s="334" t="s">
        <v>11</v>
      </c>
      <c r="AG109" s="344">
        <v>15.3</v>
      </c>
      <c r="AH109" s="334" t="s">
        <v>96</v>
      </c>
      <c r="AI109" s="334" t="s">
        <v>97</v>
      </c>
      <c r="AJ109" s="334" t="s">
        <v>12</v>
      </c>
      <c r="AK109" s="334">
        <v>13.3</v>
      </c>
      <c r="AL109" s="343" t="s">
        <v>224</v>
      </c>
      <c r="AM109" s="334" t="s">
        <v>86</v>
      </c>
      <c r="AN109" s="334" t="s">
        <v>18</v>
      </c>
      <c r="AO109" s="344">
        <v>6.7</v>
      </c>
      <c r="AP109" s="343"/>
      <c r="AS109" s="344"/>
      <c r="AW109" s="344"/>
      <c r="BA109" s="345"/>
    </row>
    <row r="110" spans="1:53" s="73" customFormat="1">
      <c r="A110" s="73">
        <v>2008</v>
      </c>
      <c r="B110" s="85">
        <v>39812</v>
      </c>
      <c r="C110" s="988" t="s">
        <v>226</v>
      </c>
      <c r="D110" s="988"/>
      <c r="E110" s="73">
        <v>2</v>
      </c>
      <c r="F110" s="73">
        <v>2</v>
      </c>
      <c r="G110" s="123">
        <v>7</v>
      </c>
      <c r="H110" s="73">
        <v>5</v>
      </c>
      <c r="I110" s="73">
        <v>3</v>
      </c>
      <c r="J110" s="134">
        <v>15</v>
      </c>
      <c r="K110" s="92">
        <f t="shared" si="34"/>
        <v>46.666666666666664</v>
      </c>
      <c r="L110" s="92">
        <f t="shared" si="35"/>
        <v>33.333333333333329</v>
      </c>
      <c r="M110" s="92">
        <f t="shared" si="36"/>
        <v>20</v>
      </c>
      <c r="N110" s="125">
        <f t="shared" si="26"/>
        <v>100</v>
      </c>
      <c r="O110" s="91">
        <v>27.3</v>
      </c>
      <c r="P110" s="92">
        <v>26.7</v>
      </c>
      <c r="Q110" s="92">
        <v>13.3</v>
      </c>
      <c r="R110" s="93">
        <f t="shared" si="27"/>
        <v>67.3</v>
      </c>
      <c r="S110" s="97">
        <v>3</v>
      </c>
      <c r="T110" s="95"/>
      <c r="U110" s="85">
        <v>39812</v>
      </c>
      <c r="V110" s="82" t="s">
        <v>223</v>
      </c>
      <c r="W110" s="73" t="s">
        <v>82</v>
      </c>
      <c r="X110" s="73" t="s">
        <v>18</v>
      </c>
      <c r="Y110" s="83">
        <v>20</v>
      </c>
      <c r="Z110" s="73" t="s">
        <v>215</v>
      </c>
      <c r="AA110" s="73" t="s">
        <v>88</v>
      </c>
      <c r="AB110" s="73" t="s">
        <v>11</v>
      </c>
      <c r="AC110" s="73">
        <v>12</v>
      </c>
      <c r="AD110" s="82" t="s">
        <v>221</v>
      </c>
      <c r="AE110" s="73" t="s">
        <v>100</v>
      </c>
      <c r="AF110" s="73" t="s">
        <v>11</v>
      </c>
      <c r="AG110" s="83">
        <v>15.3</v>
      </c>
      <c r="AH110" s="73" t="s">
        <v>96</v>
      </c>
      <c r="AI110" s="73" t="s">
        <v>97</v>
      </c>
      <c r="AJ110" s="73" t="s">
        <v>12</v>
      </c>
      <c r="AK110" s="73">
        <v>13.3</v>
      </c>
      <c r="AL110" s="82" t="s">
        <v>224</v>
      </c>
      <c r="AM110" s="73" t="s">
        <v>86</v>
      </c>
      <c r="AN110" s="73" t="s">
        <v>18</v>
      </c>
      <c r="AO110" s="83">
        <v>6.7</v>
      </c>
      <c r="AP110" s="82"/>
      <c r="AS110" s="83"/>
      <c r="AW110" s="83"/>
      <c r="BA110" s="84"/>
    </row>
    <row r="111" spans="1:53" s="73" customFormat="1">
      <c r="A111" s="73">
        <v>2009</v>
      </c>
      <c r="B111" s="85"/>
      <c r="C111" s="988" t="s">
        <v>226</v>
      </c>
      <c r="D111" s="988"/>
      <c r="E111" s="73">
        <v>197</v>
      </c>
      <c r="G111" s="123">
        <v>7</v>
      </c>
      <c r="H111" s="73">
        <v>5</v>
      </c>
      <c r="I111" s="73">
        <v>3</v>
      </c>
      <c r="J111" s="134">
        <v>15</v>
      </c>
      <c r="K111" s="92">
        <f t="shared" si="34"/>
        <v>46.666666666666664</v>
      </c>
      <c r="L111" s="92">
        <f t="shared" si="35"/>
        <v>33.333333333333329</v>
      </c>
      <c r="M111" s="92">
        <f t="shared" si="36"/>
        <v>20</v>
      </c>
      <c r="N111" s="125">
        <f t="shared" si="26"/>
        <v>100</v>
      </c>
      <c r="O111" s="91">
        <v>27.3</v>
      </c>
      <c r="P111" s="92">
        <v>26.7</v>
      </c>
      <c r="Q111" s="92">
        <v>13.3</v>
      </c>
      <c r="R111" s="93">
        <f t="shared" si="27"/>
        <v>67.3</v>
      </c>
      <c r="S111" s="97">
        <v>3</v>
      </c>
      <c r="T111" s="95"/>
      <c r="U111" s="85"/>
      <c r="V111" s="82" t="s">
        <v>223</v>
      </c>
      <c r="W111" s="73" t="s">
        <v>82</v>
      </c>
      <c r="X111" s="73" t="s">
        <v>18</v>
      </c>
      <c r="Y111" s="83">
        <v>20</v>
      </c>
      <c r="Z111" s="73" t="s">
        <v>215</v>
      </c>
      <c r="AA111" s="73" t="s">
        <v>88</v>
      </c>
      <c r="AB111" s="73" t="s">
        <v>11</v>
      </c>
      <c r="AC111" s="73">
        <v>12</v>
      </c>
      <c r="AD111" s="82" t="s">
        <v>221</v>
      </c>
      <c r="AE111" s="73" t="s">
        <v>100</v>
      </c>
      <c r="AF111" s="73" t="s">
        <v>11</v>
      </c>
      <c r="AG111" s="83">
        <v>15.3</v>
      </c>
      <c r="AH111" s="73" t="s">
        <v>96</v>
      </c>
      <c r="AI111" s="73" t="s">
        <v>97</v>
      </c>
      <c r="AJ111" s="73" t="s">
        <v>12</v>
      </c>
      <c r="AK111" s="73">
        <v>13.3</v>
      </c>
      <c r="AL111" s="82" t="s">
        <v>224</v>
      </c>
      <c r="AM111" s="73" t="s">
        <v>86</v>
      </c>
      <c r="AN111" s="73" t="s">
        <v>18</v>
      </c>
      <c r="AO111" s="83">
        <v>6.7</v>
      </c>
      <c r="AP111" s="82"/>
      <c r="AS111" s="83"/>
      <c r="AW111" s="83"/>
      <c r="BA111" s="84"/>
    </row>
    <row r="112" spans="1:53" s="73" customFormat="1">
      <c r="A112" s="73">
        <v>2009</v>
      </c>
      <c r="B112" s="149">
        <v>40011</v>
      </c>
      <c r="C112" s="988" t="s">
        <v>226</v>
      </c>
      <c r="D112" s="988"/>
      <c r="E112" s="73">
        <v>131</v>
      </c>
      <c r="F112" s="150">
        <v>0</v>
      </c>
      <c r="G112" s="123">
        <v>6</v>
      </c>
      <c r="H112" s="73">
        <v>6</v>
      </c>
      <c r="I112" s="73">
        <v>3</v>
      </c>
      <c r="J112" s="134">
        <v>15</v>
      </c>
      <c r="K112" s="92">
        <f t="shared" si="34"/>
        <v>40</v>
      </c>
      <c r="L112" s="92">
        <f t="shared" si="35"/>
        <v>40</v>
      </c>
      <c r="M112" s="92">
        <f t="shared" si="36"/>
        <v>20</v>
      </c>
      <c r="N112" s="125">
        <f t="shared" si="26"/>
        <v>100</v>
      </c>
      <c r="O112" s="91">
        <v>27.3</v>
      </c>
      <c r="P112" s="92">
        <v>26.7</v>
      </c>
      <c r="Q112" s="92">
        <v>13.3</v>
      </c>
      <c r="R112" s="93">
        <f t="shared" si="27"/>
        <v>67.3</v>
      </c>
      <c r="S112" s="97">
        <v>3</v>
      </c>
      <c r="T112" s="95"/>
      <c r="U112" s="85"/>
      <c r="V112" s="82" t="s">
        <v>223</v>
      </c>
      <c r="W112" s="73" t="s">
        <v>82</v>
      </c>
      <c r="X112" s="73" t="s">
        <v>18</v>
      </c>
      <c r="Y112" s="83">
        <v>20</v>
      </c>
      <c r="Z112" s="73" t="s">
        <v>215</v>
      </c>
      <c r="AA112" s="73" t="s">
        <v>88</v>
      </c>
      <c r="AB112" s="73" t="s">
        <v>11</v>
      </c>
      <c r="AC112" s="73">
        <v>12</v>
      </c>
      <c r="AD112" s="82" t="s">
        <v>221</v>
      </c>
      <c r="AE112" s="73" t="s">
        <v>100</v>
      </c>
      <c r="AF112" s="73" t="s">
        <v>11</v>
      </c>
      <c r="AG112" s="83">
        <v>15.3</v>
      </c>
      <c r="AH112" s="73" t="s">
        <v>96</v>
      </c>
      <c r="AI112" s="73" t="s">
        <v>97</v>
      </c>
      <c r="AJ112" s="73" t="s">
        <v>12</v>
      </c>
      <c r="AK112" s="73">
        <v>13.3</v>
      </c>
      <c r="AL112" s="82" t="s">
        <v>224</v>
      </c>
      <c r="AM112" s="73" t="s">
        <v>86</v>
      </c>
      <c r="AN112" s="73" t="s">
        <v>18</v>
      </c>
      <c r="AO112" s="83">
        <v>6.7</v>
      </c>
      <c r="AP112" s="82"/>
      <c r="AS112" s="83"/>
      <c r="AW112" s="83"/>
      <c r="BA112" s="84"/>
    </row>
    <row r="113" spans="1:53" s="334" customFormat="1">
      <c r="A113" s="334">
        <v>2009</v>
      </c>
      <c r="B113" s="355">
        <v>40142</v>
      </c>
      <c r="C113" s="992" t="s">
        <v>227</v>
      </c>
      <c r="D113" s="992"/>
      <c r="E113" s="334">
        <v>37</v>
      </c>
      <c r="F113" s="334">
        <v>2</v>
      </c>
      <c r="G113" s="419">
        <v>6</v>
      </c>
      <c r="H113" s="334">
        <v>6</v>
      </c>
      <c r="I113" s="334">
        <v>3</v>
      </c>
      <c r="J113" s="435">
        <v>15</v>
      </c>
      <c r="K113" s="384">
        <f>G113/J113*100</f>
        <v>40</v>
      </c>
      <c r="L113" s="384">
        <f t="shared" si="35"/>
        <v>40</v>
      </c>
      <c r="M113" s="384">
        <f t="shared" si="36"/>
        <v>20</v>
      </c>
      <c r="N113" s="421">
        <f t="shared" si="26"/>
        <v>100</v>
      </c>
      <c r="O113" s="383">
        <v>27.3</v>
      </c>
      <c r="P113" s="384">
        <v>26.7</v>
      </c>
      <c r="Q113" s="384">
        <v>13.3</v>
      </c>
      <c r="R113" s="385">
        <f t="shared" si="27"/>
        <v>67.3</v>
      </c>
      <c r="S113" s="388">
        <v>3</v>
      </c>
      <c r="T113" s="342"/>
      <c r="U113" s="355">
        <v>40142</v>
      </c>
      <c r="V113" s="343" t="s">
        <v>223</v>
      </c>
      <c r="W113" s="334" t="s">
        <v>82</v>
      </c>
      <c r="X113" s="334" t="s">
        <v>18</v>
      </c>
      <c r="Y113" s="344">
        <v>20</v>
      </c>
      <c r="Z113" s="334" t="s">
        <v>215</v>
      </c>
      <c r="AA113" s="334" t="s">
        <v>88</v>
      </c>
      <c r="AB113" s="334" t="s">
        <v>11</v>
      </c>
      <c r="AC113" s="334">
        <v>12</v>
      </c>
      <c r="AD113" s="343" t="s">
        <v>221</v>
      </c>
      <c r="AE113" s="334" t="s">
        <v>100</v>
      </c>
      <c r="AF113" s="334" t="s">
        <v>11</v>
      </c>
      <c r="AG113" s="344">
        <v>15.3</v>
      </c>
      <c r="AH113" s="334" t="s">
        <v>96</v>
      </c>
      <c r="AI113" s="334" t="s">
        <v>97</v>
      </c>
      <c r="AJ113" s="334" t="s">
        <v>12</v>
      </c>
      <c r="AK113" s="334">
        <v>13.3</v>
      </c>
      <c r="AL113" s="343" t="s">
        <v>224</v>
      </c>
      <c r="AM113" s="334" t="s">
        <v>86</v>
      </c>
      <c r="AN113" s="334" t="s">
        <v>18</v>
      </c>
      <c r="AO113" s="344">
        <v>6.7</v>
      </c>
      <c r="AP113" s="343"/>
      <c r="AS113" s="344"/>
      <c r="AW113" s="344"/>
      <c r="BA113" s="345"/>
    </row>
    <row r="114" spans="1:53" s="334" customFormat="1">
      <c r="A114" s="334">
        <v>2010</v>
      </c>
      <c r="C114" s="992" t="s">
        <v>227</v>
      </c>
      <c r="D114" s="992"/>
      <c r="E114" s="334">
        <v>163</v>
      </c>
      <c r="G114" s="419">
        <v>6</v>
      </c>
      <c r="H114" s="334">
        <v>6</v>
      </c>
      <c r="I114" s="334">
        <v>3</v>
      </c>
      <c r="J114" s="435">
        <v>15</v>
      </c>
      <c r="K114" s="384">
        <f t="shared" si="34"/>
        <v>40</v>
      </c>
      <c r="L114" s="384">
        <f t="shared" si="35"/>
        <v>40</v>
      </c>
      <c r="M114" s="384">
        <f t="shared" si="36"/>
        <v>20</v>
      </c>
      <c r="N114" s="421">
        <f t="shared" si="26"/>
        <v>100</v>
      </c>
      <c r="O114" s="383">
        <v>27.3</v>
      </c>
      <c r="P114" s="384">
        <v>26.7</v>
      </c>
      <c r="Q114" s="384">
        <v>13.3</v>
      </c>
      <c r="R114" s="385">
        <f t="shared" si="27"/>
        <v>67.3</v>
      </c>
      <c r="S114" s="388">
        <v>3</v>
      </c>
      <c r="T114" s="342"/>
      <c r="V114" s="343" t="s">
        <v>223</v>
      </c>
      <c r="W114" s="334" t="s">
        <v>82</v>
      </c>
      <c r="X114" s="334" t="s">
        <v>18</v>
      </c>
      <c r="Y114" s="344">
        <v>20</v>
      </c>
      <c r="Z114" s="334" t="s">
        <v>215</v>
      </c>
      <c r="AA114" s="334" t="s">
        <v>88</v>
      </c>
      <c r="AB114" s="334" t="s">
        <v>11</v>
      </c>
      <c r="AC114" s="334">
        <v>12</v>
      </c>
      <c r="AD114" s="343" t="s">
        <v>221</v>
      </c>
      <c r="AE114" s="334" t="s">
        <v>100</v>
      </c>
      <c r="AF114" s="334" t="s">
        <v>11</v>
      </c>
      <c r="AG114" s="344">
        <v>15.3</v>
      </c>
      <c r="AH114" s="334" t="s">
        <v>96</v>
      </c>
      <c r="AI114" s="334" t="s">
        <v>97</v>
      </c>
      <c r="AJ114" s="334" t="s">
        <v>12</v>
      </c>
      <c r="AK114" s="334">
        <v>13.3</v>
      </c>
      <c r="AL114" s="343" t="s">
        <v>224</v>
      </c>
      <c r="AM114" s="334" t="s">
        <v>86</v>
      </c>
      <c r="AN114" s="334" t="s">
        <v>18</v>
      </c>
      <c r="AO114" s="344">
        <v>6.7</v>
      </c>
      <c r="AP114" s="343"/>
      <c r="AS114" s="344"/>
      <c r="AW114" s="344"/>
      <c r="BA114" s="345"/>
    </row>
    <row r="115" spans="1:53" s="329" customFormat="1">
      <c r="A115" s="329">
        <v>2010</v>
      </c>
      <c r="B115" s="328">
        <v>40342</v>
      </c>
      <c r="C115" s="988" t="s">
        <v>227</v>
      </c>
      <c r="D115" s="988"/>
      <c r="E115" s="329">
        <f>365-E114</f>
        <v>202</v>
      </c>
      <c r="F115" s="329">
        <v>1</v>
      </c>
      <c r="G115" s="123">
        <v>6</v>
      </c>
      <c r="H115" s="329">
        <v>6</v>
      </c>
      <c r="I115" s="329">
        <v>3</v>
      </c>
      <c r="J115" s="134">
        <v>15</v>
      </c>
      <c r="K115" s="92">
        <f t="shared" si="34"/>
        <v>40</v>
      </c>
      <c r="L115" s="92">
        <f t="shared" si="35"/>
        <v>40</v>
      </c>
      <c r="M115" s="92">
        <f t="shared" si="36"/>
        <v>20</v>
      </c>
      <c r="N115" s="125">
        <f t="shared" si="26"/>
        <v>100</v>
      </c>
      <c r="O115" s="91">
        <v>20.7</v>
      </c>
      <c r="P115" s="92">
        <v>17.3</v>
      </c>
      <c r="Q115" s="92">
        <v>17.3</v>
      </c>
      <c r="R115" s="93">
        <f t="shared" si="27"/>
        <v>55.3</v>
      </c>
      <c r="S115" s="97">
        <v>6</v>
      </c>
      <c r="T115" s="95">
        <v>40342</v>
      </c>
      <c r="U115" s="328">
        <v>40342</v>
      </c>
      <c r="V115" s="82" t="s">
        <v>223</v>
      </c>
      <c r="W115" s="329" t="s">
        <v>82</v>
      </c>
      <c r="X115" s="329" t="s">
        <v>18</v>
      </c>
      <c r="Y115" s="83">
        <v>11.3</v>
      </c>
      <c r="Z115" s="329" t="s">
        <v>215</v>
      </c>
      <c r="AA115" s="329" t="s">
        <v>88</v>
      </c>
      <c r="AB115" s="329" t="s">
        <v>11</v>
      </c>
      <c r="AC115" s="329">
        <v>8.6999999999999993</v>
      </c>
      <c r="AD115" s="82" t="s">
        <v>221</v>
      </c>
      <c r="AE115" s="329" t="s">
        <v>100</v>
      </c>
      <c r="AF115" s="329" t="s">
        <v>11</v>
      </c>
      <c r="AG115" s="83">
        <v>12</v>
      </c>
      <c r="AH115" s="329" t="s">
        <v>96</v>
      </c>
      <c r="AI115" s="329" t="s">
        <v>97</v>
      </c>
      <c r="AJ115" s="329" t="s">
        <v>12</v>
      </c>
      <c r="AK115" s="329">
        <v>17.3</v>
      </c>
      <c r="AL115" s="82" t="s">
        <v>224</v>
      </c>
      <c r="AM115" s="329" t="s">
        <v>86</v>
      </c>
      <c r="AN115" s="329" t="s">
        <v>18</v>
      </c>
      <c r="AO115" s="83">
        <v>6</v>
      </c>
      <c r="AP115" s="82"/>
      <c r="AS115" s="83"/>
      <c r="AW115" s="83"/>
      <c r="BA115" s="84"/>
    </row>
    <row r="116" spans="1:53" s="329" customFormat="1">
      <c r="A116" s="329">
        <v>2011</v>
      </c>
      <c r="C116" s="988" t="s">
        <v>227</v>
      </c>
      <c r="D116" s="988"/>
      <c r="E116" s="329">
        <v>339</v>
      </c>
      <c r="G116" s="123">
        <v>6</v>
      </c>
      <c r="H116" s="329">
        <v>6</v>
      </c>
      <c r="I116" s="329">
        <v>3</v>
      </c>
      <c r="J116" s="134">
        <v>15</v>
      </c>
      <c r="K116" s="92">
        <f t="shared" ref="K116:K121" si="37">G116/J116*100</f>
        <v>40</v>
      </c>
      <c r="L116" s="92">
        <f t="shared" ref="L116:L122" si="38">H116/J116*100</f>
        <v>40</v>
      </c>
      <c r="M116" s="92">
        <f t="shared" ref="M116:M122" si="39">I116/J116*100</f>
        <v>20</v>
      </c>
      <c r="N116" s="125">
        <f t="shared" si="26"/>
        <v>100</v>
      </c>
      <c r="O116" s="91">
        <v>20.7</v>
      </c>
      <c r="P116" s="92">
        <v>17.3</v>
      </c>
      <c r="Q116" s="92">
        <v>17.3</v>
      </c>
      <c r="R116" s="93">
        <f t="shared" si="27"/>
        <v>55.3</v>
      </c>
      <c r="S116" s="97">
        <v>6</v>
      </c>
      <c r="T116" s="95"/>
      <c r="V116" s="82" t="s">
        <v>223</v>
      </c>
      <c r="W116" s="329" t="s">
        <v>82</v>
      </c>
      <c r="X116" s="329" t="s">
        <v>18</v>
      </c>
      <c r="Y116" s="83">
        <v>11.3</v>
      </c>
      <c r="Z116" s="329" t="s">
        <v>215</v>
      </c>
      <c r="AA116" s="329" t="s">
        <v>88</v>
      </c>
      <c r="AB116" s="329" t="s">
        <v>11</v>
      </c>
      <c r="AC116" s="329">
        <v>8.6999999999999993</v>
      </c>
      <c r="AD116" s="82" t="s">
        <v>221</v>
      </c>
      <c r="AE116" s="329" t="s">
        <v>100</v>
      </c>
      <c r="AF116" s="329" t="s">
        <v>11</v>
      </c>
      <c r="AG116" s="83">
        <v>12</v>
      </c>
      <c r="AH116" s="329" t="s">
        <v>96</v>
      </c>
      <c r="AI116" s="329" t="s">
        <v>97</v>
      </c>
      <c r="AJ116" s="329" t="s">
        <v>12</v>
      </c>
      <c r="AK116" s="329">
        <v>17.3</v>
      </c>
      <c r="AL116" s="82" t="s">
        <v>224</v>
      </c>
      <c r="AM116" s="329" t="s">
        <v>86</v>
      </c>
      <c r="AN116" s="329" t="s">
        <v>18</v>
      </c>
      <c r="AO116" s="83">
        <v>6</v>
      </c>
      <c r="AP116" s="82"/>
      <c r="AS116" s="83"/>
      <c r="AW116" s="83"/>
      <c r="BA116" s="84"/>
    </row>
    <row r="117" spans="1:53" s="334" customFormat="1">
      <c r="A117" s="334">
        <v>2011</v>
      </c>
      <c r="B117" s="355">
        <v>40883</v>
      </c>
      <c r="C117" s="992" t="s">
        <v>228</v>
      </c>
      <c r="D117" s="992"/>
      <c r="E117" s="334">
        <v>26</v>
      </c>
      <c r="F117" s="334">
        <v>1</v>
      </c>
      <c r="G117" s="419">
        <v>5</v>
      </c>
      <c r="H117" s="334">
        <v>3</v>
      </c>
      <c r="I117" s="334">
        <v>5</v>
      </c>
      <c r="J117" s="435">
        <v>13</v>
      </c>
      <c r="K117" s="384">
        <f t="shared" si="37"/>
        <v>38.461538461538467</v>
      </c>
      <c r="L117" s="384">
        <f t="shared" si="38"/>
        <v>23.076923076923077</v>
      </c>
      <c r="M117" s="384">
        <f t="shared" si="39"/>
        <v>38.461538461538467</v>
      </c>
      <c r="N117" s="421">
        <f t="shared" si="26"/>
        <v>100.00000000000001</v>
      </c>
      <c r="O117" s="383">
        <v>20.7</v>
      </c>
      <c r="P117" s="384">
        <v>17.3</v>
      </c>
      <c r="Q117" s="384">
        <v>26</v>
      </c>
      <c r="R117" s="385">
        <f t="shared" si="27"/>
        <v>64</v>
      </c>
      <c r="S117" s="388">
        <v>3</v>
      </c>
      <c r="T117" s="342"/>
      <c r="U117" s="355">
        <v>40883</v>
      </c>
      <c r="V117" s="343" t="s">
        <v>96</v>
      </c>
      <c r="W117" s="334" t="s">
        <v>97</v>
      </c>
      <c r="X117" s="334" t="s">
        <v>12</v>
      </c>
      <c r="Y117" s="344">
        <v>17.3</v>
      </c>
      <c r="Z117" s="334" t="s">
        <v>223</v>
      </c>
      <c r="AA117" s="334" t="s">
        <v>82</v>
      </c>
      <c r="AB117" s="334" t="s">
        <v>18</v>
      </c>
      <c r="AC117" s="334">
        <v>11.3</v>
      </c>
      <c r="AD117" s="343" t="s">
        <v>221</v>
      </c>
      <c r="AE117" s="334" t="s">
        <v>100</v>
      </c>
      <c r="AF117" s="334" t="s">
        <v>11</v>
      </c>
      <c r="AG117" s="344">
        <v>12</v>
      </c>
      <c r="AH117" s="334" t="s">
        <v>215</v>
      </c>
      <c r="AI117" s="334" t="s">
        <v>88</v>
      </c>
      <c r="AJ117" s="334" t="s">
        <v>11</v>
      </c>
      <c r="AK117" s="334">
        <v>8.6999999999999993</v>
      </c>
      <c r="AL117" s="343" t="s">
        <v>95</v>
      </c>
      <c r="AM117" s="334" t="s">
        <v>98</v>
      </c>
      <c r="AN117" s="334" t="s">
        <v>12</v>
      </c>
      <c r="AO117" s="344">
        <v>8.6999999999999993</v>
      </c>
      <c r="AP117" s="343" t="s">
        <v>224</v>
      </c>
      <c r="AQ117" s="334" t="s">
        <v>86</v>
      </c>
      <c r="AR117" s="334" t="s">
        <v>18</v>
      </c>
      <c r="AS117" s="344">
        <v>6</v>
      </c>
      <c r="AW117" s="344"/>
      <c r="BA117" s="345"/>
    </row>
    <row r="118" spans="1:53" s="334" customFormat="1">
      <c r="A118" s="334">
        <v>2012</v>
      </c>
      <c r="C118" s="992" t="s">
        <v>228</v>
      </c>
      <c r="D118" s="992"/>
      <c r="E118" s="334">
        <v>0</v>
      </c>
      <c r="G118" s="419">
        <v>5</v>
      </c>
      <c r="H118" s="334">
        <v>3</v>
      </c>
      <c r="I118" s="334">
        <v>5</v>
      </c>
      <c r="J118" s="435">
        <v>13</v>
      </c>
      <c r="K118" s="384">
        <f t="shared" si="37"/>
        <v>38.461538461538467</v>
      </c>
      <c r="L118" s="384">
        <f t="shared" si="38"/>
        <v>23.076923076923077</v>
      </c>
      <c r="M118" s="384">
        <f t="shared" si="39"/>
        <v>38.461538461538467</v>
      </c>
      <c r="N118" s="421">
        <f t="shared" si="26"/>
        <v>100.00000000000001</v>
      </c>
      <c r="O118" s="383">
        <v>20.7</v>
      </c>
      <c r="P118" s="384">
        <v>17.3</v>
      </c>
      <c r="Q118" s="384">
        <v>26</v>
      </c>
      <c r="R118" s="385">
        <f t="shared" si="27"/>
        <v>64</v>
      </c>
      <c r="S118" s="388">
        <v>3</v>
      </c>
      <c r="T118" s="342"/>
      <c r="V118" s="343" t="s">
        <v>96</v>
      </c>
      <c r="W118" s="334" t="s">
        <v>97</v>
      </c>
      <c r="X118" s="334" t="s">
        <v>12</v>
      </c>
      <c r="Y118" s="344">
        <v>17.3</v>
      </c>
      <c r="Z118" s="334" t="s">
        <v>223</v>
      </c>
      <c r="AA118" s="334" t="s">
        <v>82</v>
      </c>
      <c r="AB118" s="334" t="s">
        <v>18</v>
      </c>
      <c r="AC118" s="334">
        <v>11.3</v>
      </c>
      <c r="AD118" s="343" t="s">
        <v>221</v>
      </c>
      <c r="AE118" s="334" t="s">
        <v>100</v>
      </c>
      <c r="AF118" s="334" t="s">
        <v>11</v>
      </c>
      <c r="AG118" s="344">
        <v>12</v>
      </c>
      <c r="AH118" s="334" t="s">
        <v>215</v>
      </c>
      <c r="AI118" s="334" t="s">
        <v>88</v>
      </c>
      <c r="AJ118" s="334" t="s">
        <v>11</v>
      </c>
      <c r="AK118" s="334">
        <v>8.6999999999999993</v>
      </c>
      <c r="AL118" s="343" t="s">
        <v>95</v>
      </c>
      <c r="AM118" s="334" t="s">
        <v>98</v>
      </c>
      <c r="AN118" s="334" t="s">
        <v>12</v>
      </c>
      <c r="AO118" s="344">
        <v>8.6999999999999993</v>
      </c>
      <c r="AP118" s="343" t="s">
        <v>224</v>
      </c>
      <c r="AQ118" s="334" t="s">
        <v>86</v>
      </c>
      <c r="AR118" s="334" t="s">
        <v>18</v>
      </c>
      <c r="AS118" s="344">
        <v>6</v>
      </c>
      <c r="AW118" s="344"/>
      <c r="BA118" s="345"/>
    </row>
    <row r="119" spans="1:53" s="334" customFormat="1">
      <c r="A119" s="334">
        <v>2012</v>
      </c>
      <c r="C119" s="992" t="s">
        <v>228</v>
      </c>
      <c r="D119" s="992"/>
      <c r="E119" s="334">
        <v>366</v>
      </c>
      <c r="G119" s="419">
        <v>5</v>
      </c>
      <c r="H119" s="334">
        <v>3</v>
      </c>
      <c r="I119" s="334">
        <v>5</v>
      </c>
      <c r="J119" s="435">
        <v>13</v>
      </c>
      <c r="K119" s="384">
        <f t="shared" si="37"/>
        <v>38.461538461538467</v>
      </c>
      <c r="L119" s="384">
        <f t="shared" si="38"/>
        <v>23.076923076923077</v>
      </c>
      <c r="M119" s="384">
        <f t="shared" si="39"/>
        <v>38.461538461538467</v>
      </c>
      <c r="N119" s="421">
        <f t="shared" ref="N119:N124" si="40">SUM(K119:M119)</f>
        <v>100.00000000000001</v>
      </c>
      <c r="O119" s="383">
        <v>20.7</v>
      </c>
      <c r="P119" s="384">
        <v>17.3</v>
      </c>
      <c r="Q119" s="384">
        <v>26</v>
      </c>
      <c r="R119" s="385">
        <f t="shared" si="27"/>
        <v>64</v>
      </c>
      <c r="S119" s="388">
        <v>3</v>
      </c>
      <c r="T119" s="342"/>
      <c r="V119" s="343" t="s">
        <v>96</v>
      </c>
      <c r="W119" s="334" t="s">
        <v>97</v>
      </c>
      <c r="X119" s="334" t="s">
        <v>12</v>
      </c>
      <c r="Y119" s="344">
        <v>17.3</v>
      </c>
      <c r="Z119" s="334" t="s">
        <v>223</v>
      </c>
      <c r="AA119" s="334" t="s">
        <v>82</v>
      </c>
      <c r="AB119" s="334" t="s">
        <v>18</v>
      </c>
      <c r="AC119" s="334">
        <v>11.3</v>
      </c>
      <c r="AD119" s="343" t="s">
        <v>221</v>
      </c>
      <c r="AE119" s="334" t="s">
        <v>100</v>
      </c>
      <c r="AF119" s="334" t="s">
        <v>11</v>
      </c>
      <c r="AG119" s="344">
        <v>12</v>
      </c>
      <c r="AH119" s="334" t="s">
        <v>215</v>
      </c>
      <c r="AI119" s="334" t="s">
        <v>88</v>
      </c>
      <c r="AJ119" s="334" t="s">
        <v>11</v>
      </c>
      <c r="AK119" s="334">
        <v>8.6999999999999993</v>
      </c>
      <c r="AL119" s="343" t="s">
        <v>95</v>
      </c>
      <c r="AM119" s="334" t="s">
        <v>98</v>
      </c>
      <c r="AN119" s="334" t="s">
        <v>12</v>
      </c>
      <c r="AO119" s="344">
        <v>8.6999999999999993</v>
      </c>
      <c r="AP119" s="343" t="s">
        <v>224</v>
      </c>
      <c r="AQ119" s="334" t="s">
        <v>86</v>
      </c>
      <c r="AR119" s="334" t="s">
        <v>18</v>
      </c>
      <c r="AS119" s="344">
        <v>6</v>
      </c>
      <c r="AW119" s="344"/>
      <c r="BA119" s="345"/>
    </row>
    <row r="120" spans="1:53" s="334" customFormat="1">
      <c r="A120" s="334">
        <v>2013</v>
      </c>
      <c r="C120" s="992" t="s">
        <v>228</v>
      </c>
      <c r="D120" s="992"/>
      <c r="E120" s="334">
        <v>0</v>
      </c>
      <c r="G120" s="419">
        <v>5</v>
      </c>
      <c r="H120" s="334">
        <v>3</v>
      </c>
      <c r="I120" s="334">
        <v>5</v>
      </c>
      <c r="J120" s="435">
        <v>13</v>
      </c>
      <c r="K120" s="384">
        <f t="shared" si="37"/>
        <v>38.461538461538467</v>
      </c>
      <c r="L120" s="384">
        <f t="shared" si="38"/>
        <v>23.076923076923077</v>
      </c>
      <c r="M120" s="384">
        <f t="shared" si="39"/>
        <v>38.461538461538467</v>
      </c>
      <c r="N120" s="421">
        <f t="shared" si="40"/>
        <v>100.00000000000001</v>
      </c>
      <c r="O120" s="383">
        <v>20.7</v>
      </c>
      <c r="P120" s="384">
        <v>17.3</v>
      </c>
      <c r="Q120" s="384">
        <v>26</v>
      </c>
      <c r="R120" s="385">
        <f t="shared" si="27"/>
        <v>64</v>
      </c>
      <c r="S120" s="388">
        <v>3</v>
      </c>
      <c r="T120" s="342"/>
      <c r="V120" s="343" t="s">
        <v>96</v>
      </c>
      <c r="W120" s="334" t="s">
        <v>97</v>
      </c>
      <c r="X120" s="334" t="s">
        <v>12</v>
      </c>
      <c r="Y120" s="344">
        <v>17.3</v>
      </c>
      <c r="Z120" s="334" t="s">
        <v>223</v>
      </c>
      <c r="AA120" s="334" t="s">
        <v>82</v>
      </c>
      <c r="AB120" s="334" t="s">
        <v>18</v>
      </c>
      <c r="AC120" s="334">
        <v>11.3</v>
      </c>
      <c r="AD120" s="343" t="s">
        <v>221</v>
      </c>
      <c r="AE120" s="334" t="s">
        <v>100</v>
      </c>
      <c r="AF120" s="334" t="s">
        <v>11</v>
      </c>
      <c r="AG120" s="344">
        <v>12</v>
      </c>
      <c r="AH120" s="334" t="s">
        <v>215</v>
      </c>
      <c r="AI120" s="334" t="s">
        <v>88</v>
      </c>
      <c r="AJ120" s="334" t="s">
        <v>11</v>
      </c>
      <c r="AK120" s="334">
        <v>8.6999999999999993</v>
      </c>
      <c r="AL120" s="343" t="s">
        <v>95</v>
      </c>
      <c r="AM120" s="334" t="s">
        <v>98</v>
      </c>
      <c r="AN120" s="334" t="s">
        <v>12</v>
      </c>
      <c r="AO120" s="344">
        <v>8.6999999999999993</v>
      </c>
      <c r="AP120" s="343" t="s">
        <v>224</v>
      </c>
      <c r="AQ120" s="334" t="s">
        <v>86</v>
      </c>
      <c r="AR120" s="334" t="s">
        <v>18</v>
      </c>
      <c r="AS120" s="344">
        <v>6</v>
      </c>
      <c r="AW120" s="344"/>
      <c r="BA120" s="345"/>
    </row>
    <row r="121" spans="1:53" s="334" customFormat="1">
      <c r="A121" s="334">
        <v>2013</v>
      </c>
      <c r="C121" s="992" t="s">
        <v>228</v>
      </c>
      <c r="D121" s="992"/>
      <c r="E121" s="334">
        <v>365</v>
      </c>
      <c r="G121" s="419">
        <v>5</v>
      </c>
      <c r="H121" s="334">
        <v>3</v>
      </c>
      <c r="I121" s="334">
        <v>5</v>
      </c>
      <c r="J121" s="435">
        <v>13</v>
      </c>
      <c r="K121" s="384">
        <f t="shared" si="37"/>
        <v>38.461538461538467</v>
      </c>
      <c r="L121" s="384">
        <f t="shared" si="38"/>
        <v>23.076923076923077</v>
      </c>
      <c r="M121" s="384">
        <f t="shared" si="39"/>
        <v>38.461538461538467</v>
      </c>
      <c r="N121" s="421">
        <f t="shared" si="40"/>
        <v>100.00000000000001</v>
      </c>
      <c r="O121" s="383">
        <v>20.7</v>
      </c>
      <c r="P121" s="384">
        <v>17.3</v>
      </c>
      <c r="Q121" s="384">
        <v>26</v>
      </c>
      <c r="R121" s="385">
        <f>SUM(O121:Q121)</f>
        <v>64</v>
      </c>
      <c r="S121" s="388">
        <v>3</v>
      </c>
      <c r="T121" s="342"/>
      <c r="V121" s="343" t="s">
        <v>96</v>
      </c>
      <c r="W121" s="334" t="s">
        <v>97</v>
      </c>
      <c r="X121" s="334" t="s">
        <v>12</v>
      </c>
      <c r="Y121" s="344">
        <v>17.3</v>
      </c>
      <c r="Z121" s="334" t="s">
        <v>223</v>
      </c>
      <c r="AA121" s="334" t="s">
        <v>82</v>
      </c>
      <c r="AB121" s="334" t="s">
        <v>18</v>
      </c>
      <c r="AC121" s="334">
        <v>11.3</v>
      </c>
      <c r="AD121" s="343" t="s">
        <v>221</v>
      </c>
      <c r="AE121" s="334" t="s">
        <v>100</v>
      </c>
      <c r="AF121" s="334" t="s">
        <v>11</v>
      </c>
      <c r="AG121" s="344">
        <v>12</v>
      </c>
      <c r="AH121" s="334" t="s">
        <v>215</v>
      </c>
      <c r="AI121" s="334" t="s">
        <v>88</v>
      </c>
      <c r="AJ121" s="334" t="s">
        <v>11</v>
      </c>
      <c r="AK121" s="334">
        <v>8.6999999999999993</v>
      </c>
      <c r="AL121" s="343" t="s">
        <v>95</v>
      </c>
      <c r="AM121" s="334" t="s">
        <v>98</v>
      </c>
      <c r="AN121" s="334" t="s">
        <v>12</v>
      </c>
      <c r="AO121" s="344">
        <v>8.6999999999999993</v>
      </c>
      <c r="AP121" s="343" t="s">
        <v>224</v>
      </c>
      <c r="AQ121" s="334" t="s">
        <v>86</v>
      </c>
      <c r="AR121" s="334" t="s">
        <v>18</v>
      </c>
      <c r="AS121" s="344">
        <v>6</v>
      </c>
      <c r="AW121" s="344"/>
      <c r="BA121" s="345"/>
    </row>
    <row r="122" spans="1:53" s="513" customFormat="1">
      <c r="A122" s="513">
        <v>2014</v>
      </c>
      <c r="C122" s="992" t="s">
        <v>228</v>
      </c>
      <c r="D122" s="992"/>
      <c r="E122" s="513">
        <v>145</v>
      </c>
      <c r="G122" s="497">
        <v>5</v>
      </c>
      <c r="H122" s="513">
        <v>3</v>
      </c>
      <c r="I122" s="513">
        <v>5</v>
      </c>
      <c r="J122" s="499">
        <v>13</v>
      </c>
      <c r="K122" s="495">
        <f>G122/J122*100</f>
        <v>38.461538461538467</v>
      </c>
      <c r="L122" s="495">
        <f t="shared" si="38"/>
        <v>23.076923076923077</v>
      </c>
      <c r="M122" s="495">
        <f t="shared" si="39"/>
        <v>38.461538461538467</v>
      </c>
      <c r="N122" s="498">
        <f t="shared" si="40"/>
        <v>100.00000000000001</v>
      </c>
      <c r="O122" s="494">
        <v>20.7</v>
      </c>
      <c r="P122" s="495">
        <v>17.3</v>
      </c>
      <c r="Q122" s="495">
        <v>26</v>
      </c>
      <c r="R122" s="496">
        <f>SUM(O122:Q122)</f>
        <v>64</v>
      </c>
      <c r="S122" s="388">
        <v>3</v>
      </c>
      <c r="T122" s="487"/>
      <c r="V122" s="488" t="s">
        <v>96</v>
      </c>
      <c r="W122" s="513" t="s">
        <v>97</v>
      </c>
      <c r="X122" s="513" t="s">
        <v>12</v>
      </c>
      <c r="Y122" s="489">
        <v>17.3</v>
      </c>
      <c r="Z122" s="513" t="s">
        <v>223</v>
      </c>
      <c r="AA122" s="513" t="s">
        <v>82</v>
      </c>
      <c r="AB122" s="513" t="s">
        <v>18</v>
      </c>
      <c r="AC122" s="513">
        <v>11.3</v>
      </c>
      <c r="AD122" s="488" t="s">
        <v>221</v>
      </c>
      <c r="AE122" s="513" t="s">
        <v>100</v>
      </c>
      <c r="AF122" s="513" t="s">
        <v>11</v>
      </c>
      <c r="AG122" s="489">
        <v>12</v>
      </c>
      <c r="AH122" s="513" t="s">
        <v>215</v>
      </c>
      <c r="AI122" s="513" t="s">
        <v>88</v>
      </c>
      <c r="AJ122" s="513" t="s">
        <v>11</v>
      </c>
      <c r="AK122" s="513">
        <v>8.6999999999999993</v>
      </c>
      <c r="AL122" s="488" t="s">
        <v>95</v>
      </c>
      <c r="AM122" s="513" t="s">
        <v>98</v>
      </c>
      <c r="AN122" s="513" t="s">
        <v>12</v>
      </c>
      <c r="AO122" s="489">
        <v>8.6999999999999993</v>
      </c>
      <c r="AP122" s="488" t="s">
        <v>224</v>
      </c>
      <c r="AQ122" s="513" t="s">
        <v>86</v>
      </c>
      <c r="AR122" s="513" t="s">
        <v>18</v>
      </c>
      <c r="AS122" s="489">
        <v>6</v>
      </c>
      <c r="AW122" s="489"/>
      <c r="BA122" s="490"/>
    </row>
    <row r="123" spans="1:53" s="514" customFormat="1">
      <c r="A123" s="514">
        <v>2014</v>
      </c>
      <c r="B123" s="510">
        <v>41785</v>
      </c>
      <c r="C123" s="988" t="s">
        <v>228</v>
      </c>
      <c r="D123" s="988"/>
      <c r="E123" s="514">
        <v>138</v>
      </c>
      <c r="F123" s="514">
        <v>1</v>
      </c>
      <c r="G123" s="480">
        <v>5</v>
      </c>
      <c r="H123" s="514">
        <v>3</v>
      </c>
      <c r="I123" s="514">
        <v>5</v>
      </c>
      <c r="J123" s="482">
        <v>13</v>
      </c>
      <c r="K123" s="477">
        <f>G123/J123*100</f>
        <v>38.461538461538467</v>
      </c>
      <c r="L123" s="477">
        <f>H123/J123*100</f>
        <v>23.076923076923077</v>
      </c>
      <c r="M123" s="477">
        <f>I123/J123*100</f>
        <v>38.461538461538467</v>
      </c>
      <c r="N123" s="481">
        <f t="shared" si="40"/>
        <v>100.00000000000001</v>
      </c>
      <c r="O123" s="476">
        <v>22.6</v>
      </c>
      <c r="P123" s="477">
        <v>18</v>
      </c>
      <c r="Q123" s="477">
        <v>24</v>
      </c>
      <c r="R123" s="478">
        <f>SUM(O123:Q123)</f>
        <v>64.599999999999994</v>
      </c>
      <c r="S123" s="97">
        <v>6</v>
      </c>
      <c r="T123" s="479">
        <v>41784</v>
      </c>
      <c r="U123" s="510">
        <v>41785</v>
      </c>
      <c r="V123" s="472" t="s">
        <v>96</v>
      </c>
      <c r="W123" s="514" t="s">
        <v>97</v>
      </c>
      <c r="X123" s="514" t="s">
        <v>12</v>
      </c>
      <c r="Y123" s="473">
        <v>15.3</v>
      </c>
      <c r="Z123" s="514" t="s">
        <v>223</v>
      </c>
      <c r="AA123" s="514" t="s">
        <v>82</v>
      </c>
      <c r="AB123" s="514" t="s">
        <v>18</v>
      </c>
      <c r="AC123" s="514">
        <v>12</v>
      </c>
      <c r="AD123" s="472" t="s">
        <v>221</v>
      </c>
      <c r="AE123" s="514" t="s">
        <v>100</v>
      </c>
      <c r="AF123" s="514" t="s">
        <v>11</v>
      </c>
      <c r="AG123" s="473">
        <v>13.3</v>
      </c>
      <c r="AH123" s="514" t="s">
        <v>215</v>
      </c>
      <c r="AI123" s="514" t="s">
        <v>88</v>
      </c>
      <c r="AJ123" s="514" t="s">
        <v>11</v>
      </c>
      <c r="AK123" s="514">
        <v>9.3000000000000007</v>
      </c>
      <c r="AL123" s="472" t="s">
        <v>95</v>
      </c>
      <c r="AM123" s="514" t="s">
        <v>98</v>
      </c>
      <c r="AN123" s="514" t="s">
        <v>12</v>
      </c>
      <c r="AO123" s="473">
        <v>8.6999999999999993</v>
      </c>
      <c r="AP123" s="472" t="s">
        <v>224</v>
      </c>
      <c r="AQ123" s="514" t="s">
        <v>86</v>
      </c>
      <c r="AR123" s="514" t="s">
        <v>18</v>
      </c>
      <c r="AS123" s="473">
        <v>6</v>
      </c>
      <c r="AW123" s="473"/>
      <c r="BA123" s="474"/>
    </row>
    <row r="124" spans="1:53" s="513" customFormat="1">
      <c r="A124" s="513">
        <v>2014</v>
      </c>
      <c r="B124" s="511">
        <v>41923</v>
      </c>
      <c r="C124" s="992" t="s">
        <v>1292</v>
      </c>
      <c r="D124" s="992"/>
      <c r="E124" s="513">
        <v>82</v>
      </c>
      <c r="F124" s="513">
        <v>1</v>
      </c>
      <c r="G124" s="497">
        <v>9</v>
      </c>
      <c r="H124" s="513">
        <v>5</v>
      </c>
      <c r="J124" s="499">
        <v>14</v>
      </c>
      <c r="K124" s="495">
        <f>G124/J124*100</f>
        <v>64.285714285714292</v>
      </c>
      <c r="L124" s="495">
        <f>H124/J124*100</f>
        <v>35.714285714285715</v>
      </c>
      <c r="M124" s="495">
        <f>I124/J124*100</f>
        <v>0</v>
      </c>
      <c r="N124" s="498">
        <f t="shared" si="40"/>
        <v>100</v>
      </c>
      <c r="O124" s="494">
        <v>22.6</v>
      </c>
      <c r="P124" s="495">
        <v>34</v>
      </c>
      <c r="Q124" s="495"/>
      <c r="R124" s="496">
        <f>SUM(O124:Q124)</f>
        <v>56.6</v>
      </c>
      <c r="S124" s="388">
        <v>2</v>
      </c>
      <c r="T124" s="487"/>
      <c r="U124" s="511">
        <v>41923</v>
      </c>
      <c r="V124" s="488" t="s">
        <v>221</v>
      </c>
      <c r="W124" s="513" t="s">
        <v>100</v>
      </c>
      <c r="X124" s="513" t="s">
        <v>11</v>
      </c>
      <c r="Y124" s="489">
        <v>13.3</v>
      </c>
      <c r="Z124" s="513" t="s">
        <v>1293</v>
      </c>
      <c r="AA124" s="513" t="s">
        <v>90</v>
      </c>
      <c r="AB124" s="513" t="s">
        <v>18</v>
      </c>
      <c r="AC124" s="513">
        <v>22</v>
      </c>
      <c r="AD124" s="488" t="s">
        <v>223</v>
      </c>
      <c r="AE124" s="513" t="s">
        <v>82</v>
      </c>
      <c r="AF124" s="513" t="s">
        <v>18</v>
      </c>
      <c r="AG124" s="489">
        <v>12</v>
      </c>
      <c r="AH124" s="513" t="s">
        <v>215</v>
      </c>
      <c r="AI124" s="513" t="s">
        <v>88</v>
      </c>
      <c r="AJ124" s="513" t="s">
        <v>11</v>
      </c>
      <c r="AK124" s="513">
        <v>9.3000000000000007</v>
      </c>
      <c r="AL124" s="488"/>
      <c r="AO124" s="489"/>
      <c r="AP124" s="488"/>
      <c r="AS124" s="489"/>
      <c r="AW124" s="489"/>
      <c r="BA124" s="490"/>
    </row>
    <row r="125" spans="1:53" s="686" customFormat="1">
      <c r="A125" s="686">
        <v>2015</v>
      </c>
      <c r="B125" s="681"/>
      <c r="C125" s="992" t="s">
        <v>1292</v>
      </c>
      <c r="D125" s="992"/>
      <c r="E125" s="686">
        <v>0</v>
      </c>
      <c r="G125" s="642">
        <v>9</v>
      </c>
      <c r="H125" s="686">
        <v>5</v>
      </c>
      <c r="J125" s="644">
        <v>14</v>
      </c>
      <c r="K125" s="640">
        <f t="shared" ref="K125:K127" si="41">G125/J125*100</f>
        <v>64.285714285714292</v>
      </c>
      <c r="L125" s="640">
        <f t="shared" ref="L125:L127" si="42">H125/J125*100</f>
        <v>35.714285714285715</v>
      </c>
      <c r="M125" s="640">
        <f t="shared" ref="M125:M127" si="43">I125/J125*100</f>
        <v>0</v>
      </c>
      <c r="N125" s="643">
        <f t="shared" ref="N125:N127" si="44">SUM(K125:M125)</f>
        <v>100</v>
      </c>
      <c r="O125" s="639">
        <v>22.6</v>
      </c>
      <c r="P125" s="640">
        <v>34</v>
      </c>
      <c r="Q125" s="640"/>
      <c r="R125" s="641">
        <f t="shared" ref="R125:R126" si="45">SUM(O125:Q125)</f>
        <v>56.6</v>
      </c>
      <c r="S125" s="388">
        <v>2</v>
      </c>
      <c r="T125" s="487"/>
      <c r="U125" s="681"/>
      <c r="V125" s="634" t="s">
        <v>221</v>
      </c>
      <c r="W125" s="686" t="s">
        <v>100</v>
      </c>
      <c r="X125" s="686" t="s">
        <v>11</v>
      </c>
      <c r="Y125" s="635">
        <v>13.3</v>
      </c>
      <c r="Z125" s="686" t="s">
        <v>1293</v>
      </c>
      <c r="AA125" s="686" t="s">
        <v>90</v>
      </c>
      <c r="AB125" s="686" t="s">
        <v>18</v>
      </c>
      <c r="AC125" s="686">
        <v>22</v>
      </c>
      <c r="AD125" s="634" t="s">
        <v>223</v>
      </c>
      <c r="AE125" s="686" t="s">
        <v>82</v>
      </c>
      <c r="AF125" s="686" t="s">
        <v>18</v>
      </c>
      <c r="AG125" s="635">
        <v>12</v>
      </c>
      <c r="AH125" s="686" t="s">
        <v>215</v>
      </c>
      <c r="AI125" s="686" t="s">
        <v>88</v>
      </c>
      <c r="AJ125" s="686" t="s">
        <v>11</v>
      </c>
      <c r="AK125" s="686">
        <v>9.3000000000000007</v>
      </c>
      <c r="AL125" s="634"/>
      <c r="AO125" s="635"/>
      <c r="AP125" s="634"/>
      <c r="AS125" s="635"/>
      <c r="AW125" s="635"/>
      <c r="BA125" s="636"/>
    </row>
    <row r="126" spans="1:53" s="686" customFormat="1">
      <c r="A126" s="686">
        <v>2015</v>
      </c>
      <c r="B126" s="681"/>
      <c r="C126" s="992" t="s">
        <v>1292</v>
      </c>
      <c r="D126" s="992"/>
      <c r="E126" s="686">
        <v>365</v>
      </c>
      <c r="G126" s="642">
        <v>9</v>
      </c>
      <c r="H126" s="686">
        <v>5</v>
      </c>
      <c r="J126" s="644">
        <v>14</v>
      </c>
      <c r="K126" s="640">
        <f t="shared" si="41"/>
        <v>64.285714285714292</v>
      </c>
      <c r="L126" s="640">
        <f t="shared" si="42"/>
        <v>35.714285714285715</v>
      </c>
      <c r="M126" s="640">
        <f t="shared" si="43"/>
        <v>0</v>
      </c>
      <c r="N126" s="643">
        <f t="shared" si="44"/>
        <v>100</v>
      </c>
      <c r="O126" s="639">
        <v>22.6</v>
      </c>
      <c r="P126" s="640">
        <v>34</v>
      </c>
      <c r="Q126" s="640"/>
      <c r="R126" s="641">
        <f t="shared" si="45"/>
        <v>56.6</v>
      </c>
      <c r="S126" s="388">
        <v>2</v>
      </c>
      <c r="T126" s="487"/>
      <c r="U126" s="681"/>
      <c r="V126" s="634" t="s">
        <v>221</v>
      </c>
      <c r="W126" s="686" t="s">
        <v>100</v>
      </c>
      <c r="X126" s="686" t="s">
        <v>11</v>
      </c>
      <c r="Y126" s="635">
        <v>13.3</v>
      </c>
      <c r="Z126" s="686" t="s">
        <v>1293</v>
      </c>
      <c r="AA126" s="686" t="s">
        <v>90</v>
      </c>
      <c r="AB126" s="686" t="s">
        <v>18</v>
      </c>
      <c r="AC126" s="686">
        <v>22</v>
      </c>
      <c r="AD126" s="634" t="s">
        <v>223</v>
      </c>
      <c r="AE126" s="686" t="s">
        <v>82</v>
      </c>
      <c r="AF126" s="686" t="s">
        <v>18</v>
      </c>
      <c r="AG126" s="635">
        <v>12</v>
      </c>
      <c r="AH126" s="686" t="s">
        <v>215</v>
      </c>
      <c r="AI126" s="686" t="s">
        <v>88</v>
      </c>
      <c r="AJ126" s="686" t="s">
        <v>11</v>
      </c>
      <c r="AK126" s="686">
        <v>9.3000000000000007</v>
      </c>
      <c r="AL126" s="634"/>
      <c r="AO126" s="635"/>
      <c r="AP126" s="634"/>
      <c r="AS126" s="635"/>
      <c r="AW126" s="635"/>
      <c r="BA126" s="636"/>
    </row>
    <row r="127" spans="1:53" s="785" customFormat="1">
      <c r="A127" s="785">
        <v>2016</v>
      </c>
      <c r="B127" s="780"/>
      <c r="C127" s="992" t="s">
        <v>1292</v>
      </c>
      <c r="D127" s="992"/>
      <c r="E127" s="785">
        <v>0</v>
      </c>
      <c r="G127" s="642">
        <v>9</v>
      </c>
      <c r="H127" s="785">
        <v>5</v>
      </c>
      <c r="J127" s="644">
        <v>14</v>
      </c>
      <c r="K127" s="640">
        <f t="shared" si="41"/>
        <v>64.285714285714292</v>
      </c>
      <c r="L127" s="640">
        <f t="shared" si="42"/>
        <v>35.714285714285715</v>
      </c>
      <c r="M127" s="640">
        <f t="shared" si="43"/>
        <v>0</v>
      </c>
      <c r="N127" s="643">
        <f t="shared" si="44"/>
        <v>100</v>
      </c>
      <c r="O127" s="639">
        <v>22.6</v>
      </c>
      <c r="P127" s="640">
        <v>34</v>
      </c>
      <c r="Q127" s="640"/>
      <c r="R127" s="641">
        <f t="shared" ref="R127" si="46">SUM(O127:Q127)</f>
        <v>56.6</v>
      </c>
      <c r="S127" s="388">
        <v>2</v>
      </c>
      <c r="T127" s="487"/>
      <c r="U127" s="780"/>
      <c r="V127" s="634" t="s">
        <v>221</v>
      </c>
      <c r="W127" s="785" t="s">
        <v>100</v>
      </c>
      <c r="X127" s="785" t="s">
        <v>11</v>
      </c>
      <c r="Y127" s="635">
        <v>13.3</v>
      </c>
      <c r="Z127" s="785" t="s">
        <v>1293</v>
      </c>
      <c r="AA127" s="785" t="s">
        <v>90</v>
      </c>
      <c r="AB127" s="785" t="s">
        <v>18</v>
      </c>
      <c r="AC127" s="785">
        <v>22</v>
      </c>
      <c r="AD127" s="634" t="s">
        <v>223</v>
      </c>
      <c r="AE127" s="785" t="s">
        <v>82</v>
      </c>
      <c r="AF127" s="785" t="s">
        <v>18</v>
      </c>
      <c r="AG127" s="635">
        <v>12</v>
      </c>
      <c r="AH127" s="785" t="s">
        <v>215</v>
      </c>
      <c r="AI127" s="785" t="s">
        <v>88</v>
      </c>
      <c r="AJ127" s="785" t="s">
        <v>11</v>
      </c>
      <c r="AK127" s="785">
        <v>9.3000000000000007</v>
      </c>
      <c r="AL127" s="634"/>
      <c r="AO127" s="635"/>
      <c r="AP127" s="634"/>
      <c r="AS127" s="635"/>
      <c r="AW127" s="635"/>
      <c r="BA127" s="636"/>
    </row>
    <row r="128" spans="1:53" s="785" customFormat="1">
      <c r="A128" s="785">
        <v>2016</v>
      </c>
      <c r="B128" s="780"/>
      <c r="C128" s="992" t="s">
        <v>1292</v>
      </c>
      <c r="D128" s="992"/>
      <c r="E128" s="785">
        <v>366</v>
      </c>
      <c r="G128" s="642">
        <v>9</v>
      </c>
      <c r="H128" s="785">
        <v>5</v>
      </c>
      <c r="J128" s="644">
        <v>14</v>
      </c>
      <c r="K128" s="640">
        <f t="shared" ref="K128:K132" si="47">G128/J128*100</f>
        <v>64.285714285714292</v>
      </c>
      <c r="L128" s="640">
        <f t="shared" ref="L128:L132" si="48">H128/J128*100</f>
        <v>35.714285714285715</v>
      </c>
      <c r="M128" s="640">
        <f t="shared" ref="M128:M132" si="49">I128/J128*100</f>
        <v>0</v>
      </c>
      <c r="N128" s="643">
        <f t="shared" ref="N128:N132" si="50">SUM(K128:M128)</f>
        <v>100</v>
      </c>
      <c r="O128" s="639">
        <v>22.6</v>
      </c>
      <c r="P128" s="640">
        <v>34</v>
      </c>
      <c r="Q128" s="640"/>
      <c r="R128" s="641">
        <f t="shared" ref="R128:R130" si="51">SUM(O128:Q128)</f>
        <v>56.6</v>
      </c>
      <c r="S128" s="388">
        <v>2</v>
      </c>
      <c r="T128" s="487"/>
      <c r="U128" s="780"/>
      <c r="V128" s="634" t="s">
        <v>221</v>
      </c>
      <c r="W128" s="785" t="s">
        <v>100</v>
      </c>
      <c r="X128" s="785" t="s">
        <v>11</v>
      </c>
      <c r="Y128" s="635">
        <v>13.3</v>
      </c>
      <c r="Z128" s="785" t="s">
        <v>1293</v>
      </c>
      <c r="AA128" s="785" t="s">
        <v>90</v>
      </c>
      <c r="AB128" s="785" t="s">
        <v>18</v>
      </c>
      <c r="AC128" s="785">
        <v>22</v>
      </c>
      <c r="AD128" s="634" t="s">
        <v>223</v>
      </c>
      <c r="AE128" s="785" t="s">
        <v>82</v>
      </c>
      <c r="AF128" s="785" t="s">
        <v>18</v>
      </c>
      <c r="AG128" s="635">
        <v>12</v>
      </c>
      <c r="AH128" s="785" t="s">
        <v>215</v>
      </c>
      <c r="AI128" s="785" t="s">
        <v>88</v>
      </c>
      <c r="AJ128" s="785" t="s">
        <v>11</v>
      </c>
      <c r="AK128" s="785">
        <v>9.3000000000000007</v>
      </c>
      <c r="AL128" s="634"/>
      <c r="AO128" s="635"/>
      <c r="AP128" s="634"/>
      <c r="AS128" s="635"/>
      <c r="AW128" s="635"/>
      <c r="BA128" s="636"/>
    </row>
    <row r="129" spans="1:53" s="885" customFormat="1">
      <c r="A129" s="885">
        <v>2017</v>
      </c>
      <c r="B129" s="883"/>
      <c r="C129" s="992" t="s">
        <v>1292</v>
      </c>
      <c r="D129" s="992"/>
      <c r="E129" s="885">
        <v>0</v>
      </c>
      <c r="G129" s="642">
        <v>9</v>
      </c>
      <c r="H129" s="885">
        <v>5</v>
      </c>
      <c r="J129" s="644">
        <v>14</v>
      </c>
      <c r="K129" s="640">
        <f t="shared" si="47"/>
        <v>64.285714285714292</v>
      </c>
      <c r="L129" s="640">
        <f t="shared" si="48"/>
        <v>35.714285714285715</v>
      </c>
      <c r="M129" s="640">
        <f t="shared" si="49"/>
        <v>0</v>
      </c>
      <c r="N129" s="643">
        <f t="shared" si="50"/>
        <v>100</v>
      </c>
      <c r="O129" s="639">
        <v>22.6</v>
      </c>
      <c r="P129" s="640">
        <v>34</v>
      </c>
      <c r="Q129" s="640"/>
      <c r="R129" s="641">
        <f t="shared" si="51"/>
        <v>56.6</v>
      </c>
      <c r="S129" s="388">
        <v>2</v>
      </c>
      <c r="T129" s="487"/>
      <c r="U129" s="883"/>
      <c r="V129" s="634" t="s">
        <v>221</v>
      </c>
      <c r="W129" s="885" t="s">
        <v>100</v>
      </c>
      <c r="X129" s="885" t="s">
        <v>11</v>
      </c>
      <c r="Y129" s="635">
        <v>13.3</v>
      </c>
      <c r="Z129" s="885" t="s">
        <v>1293</v>
      </c>
      <c r="AA129" s="885" t="s">
        <v>90</v>
      </c>
      <c r="AB129" s="885" t="s">
        <v>18</v>
      </c>
      <c r="AC129" s="885">
        <v>22</v>
      </c>
      <c r="AD129" s="634" t="s">
        <v>223</v>
      </c>
      <c r="AE129" s="885" t="s">
        <v>82</v>
      </c>
      <c r="AF129" s="885" t="s">
        <v>18</v>
      </c>
      <c r="AG129" s="635">
        <v>12</v>
      </c>
      <c r="AH129" s="885" t="s">
        <v>215</v>
      </c>
      <c r="AI129" s="885" t="s">
        <v>88</v>
      </c>
      <c r="AJ129" s="885" t="s">
        <v>11</v>
      </c>
      <c r="AK129" s="885">
        <v>9.3000000000000007</v>
      </c>
      <c r="AL129" s="634"/>
      <c r="AO129" s="635"/>
      <c r="AP129" s="634"/>
      <c r="AS129" s="635"/>
      <c r="AW129" s="635"/>
      <c r="BA129" s="636"/>
    </row>
    <row r="130" spans="1:53" s="885" customFormat="1">
      <c r="A130" s="885">
        <v>2017</v>
      </c>
      <c r="B130" s="883"/>
      <c r="C130" s="992" t="s">
        <v>1292</v>
      </c>
      <c r="D130" s="992"/>
      <c r="E130" s="885">
        <v>365</v>
      </c>
      <c r="G130" s="642">
        <v>9</v>
      </c>
      <c r="H130" s="885">
        <v>5</v>
      </c>
      <c r="J130" s="644">
        <v>14</v>
      </c>
      <c r="K130" s="640">
        <f t="shared" si="47"/>
        <v>64.285714285714292</v>
      </c>
      <c r="L130" s="640">
        <f t="shared" si="48"/>
        <v>35.714285714285715</v>
      </c>
      <c r="M130" s="640">
        <f t="shared" si="49"/>
        <v>0</v>
      </c>
      <c r="N130" s="643">
        <f t="shared" si="50"/>
        <v>100</v>
      </c>
      <c r="O130" s="639">
        <v>22.6</v>
      </c>
      <c r="P130" s="640">
        <v>34</v>
      </c>
      <c r="Q130" s="640"/>
      <c r="R130" s="641">
        <f t="shared" si="51"/>
        <v>56.6</v>
      </c>
      <c r="S130" s="388">
        <v>2</v>
      </c>
      <c r="T130" s="487"/>
      <c r="U130" s="883"/>
      <c r="V130" s="634" t="s">
        <v>221</v>
      </c>
      <c r="W130" s="885" t="s">
        <v>100</v>
      </c>
      <c r="X130" s="885" t="s">
        <v>11</v>
      </c>
      <c r="Y130" s="635">
        <v>13.3</v>
      </c>
      <c r="Z130" s="885" t="s">
        <v>1293</v>
      </c>
      <c r="AA130" s="885" t="s">
        <v>90</v>
      </c>
      <c r="AB130" s="885" t="s">
        <v>18</v>
      </c>
      <c r="AC130" s="885">
        <v>22</v>
      </c>
      <c r="AD130" s="634" t="s">
        <v>223</v>
      </c>
      <c r="AE130" s="885" t="s">
        <v>82</v>
      </c>
      <c r="AF130" s="885" t="s">
        <v>18</v>
      </c>
      <c r="AG130" s="635">
        <v>12</v>
      </c>
      <c r="AH130" s="885" t="s">
        <v>215</v>
      </c>
      <c r="AI130" s="885" t="s">
        <v>88</v>
      </c>
      <c r="AJ130" s="885" t="s">
        <v>11</v>
      </c>
      <c r="AK130" s="885">
        <v>9.3000000000000007</v>
      </c>
      <c r="AL130" s="634"/>
      <c r="AO130" s="635"/>
      <c r="AP130" s="634"/>
      <c r="AS130" s="635"/>
      <c r="AW130" s="635"/>
      <c r="BA130" s="636"/>
    </row>
    <row r="131" spans="1:53" s="932" customFormat="1">
      <c r="A131" s="932">
        <v>2018</v>
      </c>
      <c r="B131" s="928"/>
      <c r="C131" s="992" t="s">
        <v>1292</v>
      </c>
      <c r="D131" s="992"/>
      <c r="E131" s="932">
        <v>342</v>
      </c>
      <c r="G131" s="642">
        <v>9</v>
      </c>
      <c r="H131" s="932">
        <v>5</v>
      </c>
      <c r="J131" s="644">
        <v>14</v>
      </c>
      <c r="K131" s="640">
        <f t="shared" si="47"/>
        <v>64.285714285714292</v>
      </c>
      <c r="L131" s="640">
        <f t="shared" si="48"/>
        <v>35.714285714285715</v>
      </c>
      <c r="M131" s="640">
        <f t="shared" si="49"/>
        <v>0</v>
      </c>
      <c r="N131" s="643">
        <f t="shared" si="50"/>
        <v>100</v>
      </c>
      <c r="O131" s="639">
        <v>22.6</v>
      </c>
      <c r="P131" s="640">
        <v>34</v>
      </c>
      <c r="Q131" s="640"/>
      <c r="R131" s="641">
        <f t="shared" ref="R131:R132" si="52">SUM(O131:Q131)</f>
        <v>56.6</v>
      </c>
      <c r="S131" s="388">
        <v>2</v>
      </c>
      <c r="T131" s="487"/>
      <c r="U131" s="928"/>
      <c r="V131" s="634" t="s">
        <v>221</v>
      </c>
      <c r="W131" s="932" t="s">
        <v>100</v>
      </c>
      <c r="X131" s="932" t="s">
        <v>11</v>
      </c>
      <c r="Y131" s="635">
        <v>13.3</v>
      </c>
      <c r="Z131" s="932" t="s">
        <v>1293</v>
      </c>
      <c r="AA131" s="932" t="s">
        <v>90</v>
      </c>
      <c r="AB131" s="932" t="s">
        <v>18</v>
      </c>
      <c r="AC131" s="932">
        <v>22</v>
      </c>
      <c r="AD131" s="634" t="s">
        <v>223</v>
      </c>
      <c r="AE131" s="932" t="s">
        <v>82</v>
      </c>
      <c r="AF131" s="932" t="s">
        <v>18</v>
      </c>
      <c r="AG131" s="635">
        <v>12</v>
      </c>
      <c r="AH131" s="932" t="s">
        <v>215</v>
      </c>
      <c r="AI131" s="932" t="s">
        <v>88</v>
      </c>
      <c r="AJ131" s="932" t="s">
        <v>11</v>
      </c>
      <c r="AK131" s="932">
        <v>9.3000000000000007</v>
      </c>
      <c r="AL131" s="634"/>
      <c r="AO131" s="635"/>
      <c r="AP131" s="634"/>
      <c r="AS131" s="635"/>
      <c r="AW131" s="635"/>
      <c r="BA131" s="636"/>
    </row>
    <row r="132" spans="1:53" s="933" customFormat="1">
      <c r="A132" s="933">
        <v>2018</v>
      </c>
      <c r="B132" s="929">
        <v>43443</v>
      </c>
      <c r="C132" s="988" t="s">
        <v>1406</v>
      </c>
      <c r="D132" s="988"/>
      <c r="E132" s="933">
        <v>12</v>
      </c>
      <c r="F132" s="933">
        <v>4</v>
      </c>
      <c r="G132" s="596">
        <v>10</v>
      </c>
      <c r="H132" s="933">
        <v>3</v>
      </c>
      <c r="J132" s="598">
        <v>13</v>
      </c>
      <c r="K132" s="593">
        <f t="shared" si="47"/>
        <v>76.923076923076934</v>
      </c>
      <c r="L132" s="593">
        <f t="shared" si="48"/>
        <v>23.076923076923077</v>
      </c>
      <c r="M132" s="593">
        <f t="shared" si="49"/>
        <v>0</v>
      </c>
      <c r="N132" s="597">
        <f t="shared" si="50"/>
        <v>100.00000000000001</v>
      </c>
      <c r="O132" s="592">
        <v>22.6</v>
      </c>
      <c r="P132" s="593">
        <v>12</v>
      </c>
      <c r="Q132" s="593"/>
      <c r="R132" s="594">
        <f t="shared" si="52"/>
        <v>34.6</v>
      </c>
      <c r="S132" s="97">
        <v>5</v>
      </c>
      <c r="T132" s="595"/>
      <c r="U132" s="929">
        <v>43443</v>
      </c>
      <c r="V132" s="588" t="s">
        <v>221</v>
      </c>
      <c r="W132" s="933" t="s">
        <v>88</v>
      </c>
      <c r="X132" s="933" t="s">
        <v>11</v>
      </c>
      <c r="Y132" s="589">
        <v>13.3</v>
      </c>
      <c r="Z132" s="933" t="s">
        <v>223</v>
      </c>
      <c r="AA132" s="933" t="s">
        <v>82</v>
      </c>
      <c r="AB132" s="933" t="s">
        <v>18</v>
      </c>
      <c r="AC132" s="933">
        <v>12</v>
      </c>
      <c r="AD132" s="588" t="s">
        <v>215</v>
      </c>
      <c r="AE132" s="933" t="s">
        <v>88</v>
      </c>
      <c r="AF132" s="933" t="s">
        <v>11</v>
      </c>
      <c r="AG132" s="589">
        <v>9.3000000000000007</v>
      </c>
      <c r="AL132" s="588"/>
      <c r="AO132" s="589"/>
      <c r="AP132" s="588"/>
      <c r="AS132" s="589"/>
      <c r="AW132" s="589"/>
      <c r="BA132" s="590"/>
    </row>
    <row r="133" spans="1:53" s="933" customFormat="1">
      <c r="A133" s="933">
        <v>2018</v>
      </c>
      <c r="B133" s="929">
        <v>43455</v>
      </c>
      <c r="C133" s="988" t="s">
        <v>1406</v>
      </c>
      <c r="D133" s="988"/>
      <c r="E133" s="933">
        <v>11</v>
      </c>
      <c r="F133" s="933">
        <v>2</v>
      </c>
      <c r="G133" s="596">
        <v>10</v>
      </c>
      <c r="H133" s="933">
        <v>3</v>
      </c>
      <c r="J133" s="598">
        <v>13</v>
      </c>
      <c r="K133" s="593">
        <f t="shared" ref="K133" si="53">G133/J133*100</f>
        <v>76.923076923076934</v>
      </c>
      <c r="L133" s="593">
        <f t="shared" ref="L133" si="54">H133/J133*100</f>
        <v>23.076923076923077</v>
      </c>
      <c r="M133" s="593">
        <f t="shared" ref="M133" si="55">I133/J133*100</f>
        <v>0</v>
      </c>
      <c r="N133" s="597">
        <f t="shared" ref="N133" si="56">SUM(K133:M133)</f>
        <v>100.00000000000001</v>
      </c>
      <c r="O133" s="592">
        <v>22.6</v>
      </c>
      <c r="P133" s="593">
        <v>12</v>
      </c>
      <c r="Q133" s="593"/>
      <c r="R133" s="594">
        <f t="shared" ref="R133" si="57">SUM(O133:Q133)</f>
        <v>34.6</v>
      </c>
      <c r="S133" s="97">
        <v>6</v>
      </c>
      <c r="T133" s="595"/>
      <c r="U133" s="929">
        <v>43455</v>
      </c>
      <c r="V133" s="588" t="s">
        <v>221</v>
      </c>
      <c r="W133" s="933" t="s">
        <v>88</v>
      </c>
      <c r="X133" s="933" t="s">
        <v>11</v>
      </c>
      <c r="Y133" s="589">
        <v>13.3</v>
      </c>
      <c r="Z133" s="933" t="s">
        <v>223</v>
      </c>
      <c r="AA133" s="933" t="s">
        <v>82</v>
      </c>
      <c r="AB133" s="933" t="s">
        <v>18</v>
      </c>
      <c r="AC133" s="933">
        <v>12</v>
      </c>
      <c r="AD133" s="588" t="s">
        <v>215</v>
      </c>
      <c r="AE133" s="933" t="s">
        <v>88</v>
      </c>
      <c r="AF133" s="933" t="s">
        <v>11</v>
      </c>
      <c r="AG133" s="589">
        <v>9.3000000000000007</v>
      </c>
      <c r="AL133" s="588"/>
      <c r="AO133" s="589"/>
      <c r="AP133" s="588"/>
      <c r="AS133" s="589"/>
      <c r="AW133" s="589"/>
      <c r="BA133" s="590"/>
    </row>
    <row r="134" spans="1:53" s="16" customFormat="1">
      <c r="B134" s="798"/>
      <c r="J134" s="799"/>
      <c r="K134" s="800"/>
      <c r="L134" s="800"/>
      <c r="M134" s="800"/>
      <c r="N134" s="45"/>
      <c r="O134" s="800"/>
      <c r="P134" s="800"/>
      <c r="Q134" s="800"/>
      <c r="R134" s="45"/>
      <c r="S134" s="203"/>
      <c r="T134" s="798"/>
      <c r="U134" s="798"/>
    </row>
    <row r="137" spans="1:53" s="2" customFormat="1" ht="18" customHeight="1">
      <c r="B137" s="437" t="s">
        <v>1278</v>
      </c>
    </row>
    <row r="138" spans="1:53" s="2" customFormat="1" ht="9" customHeight="1"/>
    <row r="139" spans="1:53" s="364" customFormat="1" ht="9" customHeight="1">
      <c r="A139" s="362"/>
      <c r="B139" s="363" t="s">
        <v>1229</v>
      </c>
      <c r="C139" s="363"/>
      <c r="D139" s="363"/>
      <c r="E139" s="363"/>
      <c r="F139" s="363"/>
      <c r="G139" s="363" t="s">
        <v>1230</v>
      </c>
      <c r="H139" s="363"/>
      <c r="I139" s="363"/>
      <c r="J139" s="363"/>
      <c r="K139" s="363"/>
      <c r="L139" s="363"/>
      <c r="M139" s="363"/>
      <c r="N139" s="363"/>
      <c r="R139" s="982" t="s">
        <v>1231</v>
      </c>
      <c r="S139" s="982"/>
      <c r="T139" s="982"/>
      <c r="U139" s="982"/>
      <c r="V139" s="982"/>
      <c r="W139" s="982"/>
      <c r="X139" s="365"/>
      <c r="Y139" s="365"/>
      <c r="AA139" s="365"/>
      <c r="AB139" s="365"/>
      <c r="AC139" s="365"/>
      <c r="AD139" s="365"/>
    </row>
    <row r="140" spans="1:53" s="369" customFormat="1" ht="9" customHeight="1">
      <c r="A140" s="366"/>
      <c r="B140" s="367" t="s">
        <v>1233</v>
      </c>
      <c r="C140" s="368"/>
      <c r="D140" s="368"/>
      <c r="E140" s="368"/>
      <c r="F140" s="368"/>
      <c r="G140" s="367" t="s">
        <v>1232</v>
      </c>
      <c r="H140" s="368"/>
      <c r="I140" s="368"/>
      <c r="J140" s="368"/>
      <c r="K140" s="368"/>
      <c r="L140" s="368"/>
      <c r="M140" s="368"/>
      <c r="N140" s="368"/>
      <c r="R140" s="370" t="s">
        <v>1234</v>
      </c>
      <c r="S140" s="371"/>
      <c r="T140" s="372"/>
      <c r="U140" s="372"/>
      <c r="V140" s="372"/>
      <c r="W140" s="370" t="s">
        <v>1235</v>
      </c>
      <c r="X140" s="372"/>
      <c r="Y140" s="372"/>
      <c r="AA140" s="372"/>
      <c r="AB140" s="372"/>
      <c r="AC140" s="372"/>
      <c r="AD140" s="372"/>
    </row>
    <row r="141" spans="1:53" s="351" customFormat="1" ht="12" customHeight="1">
      <c r="A141" s="373" t="s">
        <v>3</v>
      </c>
      <c r="B141" s="374" t="s">
        <v>8</v>
      </c>
      <c r="C141" s="374" t="s">
        <v>9</v>
      </c>
      <c r="D141" s="374" t="s">
        <v>10</v>
      </c>
      <c r="E141" s="375" t="s">
        <v>1209</v>
      </c>
      <c r="F141" s="374"/>
      <c r="G141" s="351" t="s">
        <v>3</v>
      </c>
      <c r="H141" s="983" t="s">
        <v>0</v>
      </c>
      <c r="I141" s="983"/>
      <c r="J141" s="983" t="s">
        <v>1</v>
      </c>
      <c r="K141" s="983"/>
      <c r="L141" s="983" t="s">
        <v>2</v>
      </c>
      <c r="M141" s="983"/>
      <c r="N141" s="984" t="s">
        <v>1209</v>
      </c>
      <c r="O141" s="984"/>
      <c r="P141" s="376"/>
      <c r="Q141" s="376"/>
      <c r="R141" s="377" t="s">
        <v>3</v>
      </c>
      <c r="S141" s="378" t="s">
        <v>136</v>
      </c>
      <c r="T141" s="376" t="s">
        <v>134</v>
      </c>
      <c r="U141" s="374" t="s">
        <v>135</v>
      </c>
      <c r="V141" s="376"/>
      <c r="W141" s="379" t="s">
        <v>26</v>
      </c>
    </row>
    <row r="142" spans="1:53" s="273" customFormat="1">
      <c r="A142" s="263">
        <v>1959</v>
      </c>
      <c r="B142" s="260">
        <f>(K6*($E6/365))+(K7*($E7/365))</f>
        <v>33.333333333333329</v>
      </c>
      <c r="C142" s="260">
        <f>(L6*($E6/365))+(L7*($E7/365))</f>
        <v>66.666666666666657</v>
      </c>
      <c r="D142" s="260">
        <f>(M6*($E6/365))+(M7*($E7/365))</f>
        <v>0</v>
      </c>
      <c r="E142" s="261">
        <f>B142+C142+D142</f>
        <v>99.999999999999986</v>
      </c>
      <c r="G142" s="263">
        <v>1959</v>
      </c>
      <c r="H142" s="991">
        <f xml:space="preserve"> (O6/$R6*100*($E6/365))+(O7/$R7*100*($E7/365))</f>
        <v>16.779661016949156</v>
      </c>
      <c r="I142" s="991"/>
      <c r="J142" s="991">
        <f xml:space="preserve"> (P6/$R6*100*($E6/365))+(P7/$R7*100*($E7/365))</f>
        <v>83.220338983050851</v>
      </c>
      <c r="K142" s="991"/>
      <c r="L142" s="991">
        <f xml:space="preserve"> (Q6/$R6*100*($E6/365))+(Q7/$R7*100*($E7/365))</f>
        <v>0</v>
      </c>
      <c r="M142" s="991"/>
      <c r="N142" s="993">
        <f>H142+J142+K142</f>
        <v>100</v>
      </c>
      <c r="O142" s="993"/>
      <c r="R142" s="263">
        <v>1959</v>
      </c>
      <c r="S142" s="260">
        <f>(O6*($E6/365))+(O7*($E7/365))</f>
        <v>9.9</v>
      </c>
      <c r="T142" s="260">
        <f>(P6*($E6/365))+(P7*($E7/365))</f>
        <v>49.1</v>
      </c>
      <c r="U142" s="260">
        <f>(Q6*($E6/365))+(Q7*($E7/365))</f>
        <v>0</v>
      </c>
      <c r="V142" s="274"/>
      <c r="W142" s="260">
        <f>S142+T142+U142</f>
        <v>59</v>
      </c>
    </row>
    <row r="143" spans="1:53">
      <c r="A143" s="20">
        <v>1960</v>
      </c>
      <c r="B143" s="8">
        <f>(K8*($E8/366))+(K9*($E9/366))</f>
        <v>33.884335154826957</v>
      </c>
      <c r="C143" s="8">
        <f>(L8*($E8/366))+(L9*($E9/366))</f>
        <v>66.115664845173029</v>
      </c>
      <c r="D143" s="8">
        <f>(M8*($E8/366))+(M9*($E9/366))</f>
        <v>0</v>
      </c>
      <c r="E143" s="31">
        <f t="shared" ref="E143:E174" si="58">SUM(B143:D143)</f>
        <v>99.999999999999986</v>
      </c>
      <c r="G143" s="20">
        <v>1960</v>
      </c>
      <c r="H143" s="989">
        <f>(O8/$R8*100*($E8/366))+(O9/$R9*100*($E9/366))</f>
        <v>16.779661016949156</v>
      </c>
      <c r="I143" s="989"/>
      <c r="J143" s="958">
        <f>(P8/$R8*100*($E8/366))+(P9/$R9*100*($E9/366))</f>
        <v>83.220338983050851</v>
      </c>
      <c r="K143" s="958"/>
      <c r="L143" s="958">
        <f>(Q8/$R8*100*($E8/366))+(Q9/$R9*100*($E9/366))</f>
        <v>0</v>
      </c>
      <c r="M143" s="958"/>
      <c r="N143" s="990">
        <f>SUM(H143:L143)</f>
        <v>100</v>
      </c>
      <c r="O143" s="990"/>
      <c r="P143" s="2"/>
      <c r="R143" s="20">
        <v>1960</v>
      </c>
      <c r="S143" s="8">
        <f>(O8*($E8/366))+(O9*($E9/366))</f>
        <v>9.8999999999999986</v>
      </c>
      <c r="T143" s="8">
        <f>(P8*($E8/366))+(P9*($E9/366))</f>
        <v>49.099999999999994</v>
      </c>
      <c r="U143" s="8">
        <f>(Q8*($E8/366))+(Q9*($E9/366))</f>
        <v>0</v>
      </c>
      <c r="V143" s="7"/>
      <c r="W143" s="8">
        <f>R8*(E8/366) + R9*(E9/366)</f>
        <v>59</v>
      </c>
    </row>
    <row r="144" spans="1:53">
      <c r="A144" s="20">
        <v>1961</v>
      </c>
      <c r="B144" s="8">
        <f>(K10*($E10/365))+(K11*($E11/365))</f>
        <v>10.931506849315069</v>
      </c>
      <c r="C144" s="8">
        <f>(L10*($E10/365))+(L11*($E11/365))</f>
        <v>60.752618855761483</v>
      </c>
      <c r="D144" s="8">
        <f>(M10*($E10/365))+(M11*($E11/365))</f>
        <v>28.315874294923443</v>
      </c>
      <c r="E144" s="31">
        <f t="shared" si="58"/>
        <v>100</v>
      </c>
      <c r="G144" s="20">
        <v>1961</v>
      </c>
      <c r="H144" s="989">
        <f>(O10/$R10*100*($E10/365))+(O11/$R11*100*($E11/365))</f>
        <v>5.2407708381704214</v>
      </c>
      <c r="I144" s="989"/>
      <c r="J144" s="958">
        <f>(P10/$R10*100*($E10/365))+(P11/$R11*100*($E11/365))</f>
        <v>62.684104518816838</v>
      </c>
      <c r="K144" s="958"/>
      <c r="L144" s="958">
        <f>(Q10/$R10*100*($E10/365))+(Q11/$R11*100*($E11/365))</f>
        <v>32.075124643012728</v>
      </c>
      <c r="M144" s="958"/>
      <c r="N144" s="990">
        <f>SUM(H144:L144)</f>
        <v>99.999999999999986</v>
      </c>
      <c r="O144" s="990"/>
      <c r="R144" s="20">
        <v>1961</v>
      </c>
      <c r="S144" s="8">
        <f>(O10*($E10/365))+(O11*($E11/365))</f>
        <v>3.0920547945205481</v>
      </c>
      <c r="T144" s="8">
        <f>(P10*($E10/365))+(P11*($E11/365))</f>
        <v>46.48684931506849</v>
      </c>
      <c r="U144" s="8">
        <f>(Q10*($E10/365))+(Q11*($E11/365))</f>
        <v>27.231780821917809</v>
      </c>
      <c r="V144" s="7"/>
      <c r="W144" s="8">
        <f>R10*(E10/365) + R11*(E11/365)</f>
        <v>76.810684931506856</v>
      </c>
    </row>
    <row r="145" spans="1:23">
      <c r="A145" s="20">
        <v>1962</v>
      </c>
      <c r="B145" s="8">
        <f>(K12*($E12/365))+(K13*($E13/365))</f>
        <v>0</v>
      </c>
      <c r="C145" s="8">
        <f>(L12*($E12/365))+(L13*($E13/365))</f>
        <v>58.82352941176471</v>
      </c>
      <c r="D145" s="8">
        <f>(M12*($E12/365))+(M13*($E13/365))</f>
        <v>41.17647058823529</v>
      </c>
      <c r="E145" s="31">
        <f t="shared" si="58"/>
        <v>100</v>
      </c>
      <c r="G145" s="20">
        <v>1962</v>
      </c>
      <c r="H145" s="989">
        <f>(O12/$R12*100*($E12/365))+(O13/$R13*100*($E13/365))</f>
        <v>0</v>
      </c>
      <c r="I145" s="989"/>
      <c r="J145" s="958">
        <f>(P12/$R12*100*($E12/365))+(P13/$R13*100*($E13/365))</f>
        <v>53.356890459363946</v>
      </c>
      <c r="K145" s="958"/>
      <c r="L145" s="958">
        <f>(Q12/$R12*100*($E12/365))+(Q13/$R13*100*($E13/365))</f>
        <v>46.64310954063604</v>
      </c>
      <c r="M145" s="958"/>
      <c r="N145" s="990">
        <f>SUM(H145:L145)</f>
        <v>99.999999999999986</v>
      </c>
      <c r="O145" s="990"/>
      <c r="R145" s="20">
        <v>1962</v>
      </c>
      <c r="S145" s="8">
        <f>(O12*($E12/365))+(O13*($E13/365))</f>
        <v>0</v>
      </c>
      <c r="T145" s="8">
        <f>(P12*($E12/365))+(P13*($E13/365))</f>
        <v>45.3</v>
      </c>
      <c r="U145" s="8">
        <f>(Q12*($E12/365))+(Q13*($E13/365))</f>
        <v>39.6</v>
      </c>
      <c r="V145" s="7"/>
      <c r="W145" s="8">
        <f>R12*(E12/365) + R13*(E13/365)</f>
        <v>84.9</v>
      </c>
    </row>
    <row r="146" spans="1:23">
      <c r="A146" s="20">
        <v>1963</v>
      </c>
      <c r="B146" s="8">
        <f>(K14*($E14/365))+(K15*($E15/365))</f>
        <v>0</v>
      </c>
      <c r="C146" s="8">
        <f>(L14*($E14/365))+(L15*($E15/365))</f>
        <v>58.82352941176471</v>
      </c>
      <c r="D146" s="8">
        <f>(M14*($E14/365))+(M15*($E15/365))</f>
        <v>41.17647058823529</v>
      </c>
      <c r="E146" s="31">
        <f t="shared" si="58"/>
        <v>100</v>
      </c>
      <c r="G146" s="20">
        <v>1963</v>
      </c>
      <c r="H146" s="989">
        <f>(O14/$R14*100*($E14/365))+(O15/$R15*100*($E15/365))</f>
        <v>0</v>
      </c>
      <c r="I146" s="989"/>
      <c r="J146" s="958">
        <f>(P14/$R14*100*($E14/365))+(P15/$R15*100*($E15/365))</f>
        <v>53.356890459363946</v>
      </c>
      <c r="K146" s="958"/>
      <c r="L146" s="958">
        <f>(Q14/$R14*100*($E14/365))+(Q15/$R15*100*($E15/365))</f>
        <v>46.64310954063604</v>
      </c>
      <c r="M146" s="958"/>
      <c r="N146" s="990">
        <f t="shared" ref="N146:N195" si="59">SUM(H146:L146)</f>
        <v>99.999999999999986</v>
      </c>
      <c r="O146" s="990"/>
      <c r="R146" s="20">
        <v>1963</v>
      </c>
      <c r="S146" s="8">
        <f>(O14*($E14/365))+(O15*($E15/365))</f>
        <v>0</v>
      </c>
      <c r="T146" s="8">
        <f>(P14*($E14/365))+(P15*($E15/365))</f>
        <v>45.3</v>
      </c>
      <c r="U146" s="8">
        <f>(Q14*($E14/365))+(Q15*($E15/365))</f>
        <v>39.6</v>
      </c>
      <c r="V146" s="7"/>
      <c r="W146" s="8">
        <f>R14*(E14/365) + R15*(E15/365)</f>
        <v>84.9</v>
      </c>
    </row>
    <row r="147" spans="1:23">
      <c r="A147" s="20">
        <v>1964</v>
      </c>
      <c r="B147" s="8">
        <f>(K16*($E16/366))+(K17*($E17/366))</f>
        <v>0</v>
      </c>
      <c r="C147" s="8">
        <f>(L16*($E16/366))+(L17*($E17/366))</f>
        <v>58.82352941176471</v>
      </c>
      <c r="D147" s="8">
        <f>(M16*($E16/366))+(M17*($E17/366))</f>
        <v>41.17647058823529</v>
      </c>
      <c r="E147" s="31">
        <f t="shared" si="58"/>
        <v>100</v>
      </c>
      <c r="G147" s="20">
        <v>1964</v>
      </c>
      <c r="H147" s="989">
        <f>(O16/$R16*100*($E16/366))+(O17/$R17*100*($E17/366))</f>
        <v>0</v>
      </c>
      <c r="I147" s="989"/>
      <c r="J147" s="958">
        <f>(P16/$R16*100*($E16/366))+(P17/$R17*100*($E17/366))</f>
        <v>53.356890459363946</v>
      </c>
      <c r="K147" s="958"/>
      <c r="L147" s="958">
        <f>(Q16/$R16*100*($E16/366))+(Q17/$R17*100*($E17/366))</f>
        <v>46.64310954063604</v>
      </c>
      <c r="M147" s="958"/>
      <c r="N147" s="990">
        <f t="shared" si="59"/>
        <v>99.999999999999986</v>
      </c>
      <c r="O147" s="990"/>
      <c r="R147" s="20">
        <v>1964</v>
      </c>
      <c r="S147" s="8">
        <f>(O16*($E16/366))+(O17*($E17/366))</f>
        <v>0</v>
      </c>
      <c r="T147" s="8">
        <f>(P16*($E16/366))+(P17*($E17/366))</f>
        <v>45.3</v>
      </c>
      <c r="U147" s="8">
        <f>(Q16*($E16/366))+(Q17*($E17/366))</f>
        <v>39.6</v>
      </c>
      <c r="V147" s="7"/>
      <c r="W147" s="8">
        <f>R16*(E16/366) + R17*(E17/366)</f>
        <v>84.9</v>
      </c>
    </row>
    <row r="148" spans="1:23">
      <c r="A148" s="20">
        <v>1965</v>
      </c>
      <c r="B148" s="8">
        <f>(K18*($E18/365))+(K19*($E19/365))</f>
        <v>0</v>
      </c>
      <c r="C148" s="8">
        <f>(L18*($E18/365))+(L19*($E19/365))</f>
        <v>59.329572925060432</v>
      </c>
      <c r="D148" s="8">
        <f>(M18*($E18/365))+(M19*($E19/365))</f>
        <v>40.670427074939568</v>
      </c>
      <c r="E148" s="31">
        <f t="shared" si="58"/>
        <v>100</v>
      </c>
      <c r="G148" s="20">
        <v>1965</v>
      </c>
      <c r="H148" s="989">
        <f>(O18/$R18*100*($E18/365))+(O19/$R19*100*($E19/365))</f>
        <v>0</v>
      </c>
      <c r="I148" s="989"/>
      <c r="J148" s="958">
        <f>(P18/$R18*100*($E18/365))+(P19/$R19*100*($E19/365))</f>
        <v>53.885776447993493</v>
      </c>
      <c r="K148" s="958"/>
      <c r="L148" s="958">
        <f>(Q18/$R18*100*($E18/365))+(Q19/$R19*100*($E19/365))</f>
        <v>46.1142235520065</v>
      </c>
      <c r="M148" s="958"/>
      <c r="N148" s="990">
        <f t="shared" si="59"/>
        <v>100</v>
      </c>
      <c r="O148" s="990"/>
      <c r="R148" s="20">
        <v>1965</v>
      </c>
      <c r="S148" s="8">
        <f>(O18*($E18/365))+(O19*($E19/365))</f>
        <v>0</v>
      </c>
      <c r="T148" s="8">
        <f>(P18*($E18/365))+(P19*($E19/365))</f>
        <v>41.42876712328767</v>
      </c>
      <c r="U148" s="8">
        <f>(Q18*($E18/365))+(Q19*($E19/365))</f>
        <v>35.556712328767119</v>
      </c>
      <c r="V148" s="7"/>
      <c r="W148" s="8">
        <f>R18*(E18/365) + R19*(E19/365)</f>
        <v>76.985479452054804</v>
      </c>
    </row>
    <row r="149" spans="1:23">
      <c r="A149" s="20">
        <v>1966</v>
      </c>
      <c r="B149" s="8">
        <f>(K20*($E20/365))+(K21*($E21/365))</f>
        <v>28.968997837058396</v>
      </c>
      <c r="C149" s="8">
        <f>(L20*($E20/365))+(L21*($E21/365))</f>
        <v>62.483056957462153</v>
      </c>
      <c r="D149" s="8">
        <f>(M20*($E20/365))+(M21*($E21/365))</f>
        <v>8.5479452054794525</v>
      </c>
      <c r="E149" s="31">
        <f t="shared" si="58"/>
        <v>100</v>
      </c>
      <c r="G149" s="20">
        <v>1966</v>
      </c>
      <c r="H149" s="989">
        <f>(O20/$R20*100*($E20/365))+(O21/$R21*100*($E21/365))</f>
        <v>30.170477010023955</v>
      </c>
      <c r="I149" s="989"/>
      <c r="J149" s="958">
        <f>(P20/$R20*100*($E20/365))+(P21/$R21*100*($E21/365))</f>
        <v>60.124713019845231</v>
      </c>
      <c r="K149" s="958"/>
      <c r="L149" s="958">
        <f>(Q20/$R20*100*($E20/365))+(Q21/$R21*100*($E21/365))</f>
        <v>9.7048099701308068</v>
      </c>
      <c r="M149" s="958"/>
      <c r="N149" s="990">
        <f t="shared" si="59"/>
        <v>100</v>
      </c>
      <c r="O149" s="990"/>
      <c r="R149" s="20">
        <v>1966</v>
      </c>
      <c r="S149" s="8">
        <f>(O20*($E20/365))+(O21*($E21/365))</f>
        <v>17.770410958904112</v>
      </c>
      <c r="T149" s="8">
        <f>(P20*($E20/365))+(P21*($E21/365))</f>
        <v>36.299999999999997</v>
      </c>
      <c r="U149" s="8">
        <f>(Q20*($E20/365))+(Q21*($E21/365))</f>
        <v>6.4536986301369863</v>
      </c>
      <c r="V149" s="7"/>
      <c r="W149" s="8">
        <f>R20*(E20/365) + R21*(E21/365)</f>
        <v>60.524109589041096</v>
      </c>
    </row>
    <row r="150" spans="1:23">
      <c r="A150" s="20">
        <v>1967</v>
      </c>
      <c r="B150" s="8">
        <f>(K22*($E22/365))+(K23*($E23/365))</f>
        <v>36.84210526315789</v>
      </c>
      <c r="C150" s="8">
        <f>(L22*($E22/365))+(L23*($E23/365))</f>
        <v>63.157894736842103</v>
      </c>
      <c r="D150" s="8">
        <f>(M22*($E22/365))+(M23*($E23/365))</f>
        <v>0</v>
      </c>
      <c r="E150" s="31">
        <f t="shared" si="58"/>
        <v>100</v>
      </c>
      <c r="G150" s="20">
        <v>1967</v>
      </c>
      <c r="H150" s="989">
        <f>(O22/$R22*100*($E22/365))+(O23/$R23*100*($E23/365))</f>
        <v>38.370118845500848</v>
      </c>
      <c r="I150" s="989"/>
      <c r="J150" s="958">
        <f>(P22/$R22*100*($E22/365))+(P23/$R23*100*($E23/365))</f>
        <v>61.629881154499145</v>
      </c>
      <c r="K150" s="958"/>
      <c r="L150" s="958">
        <f>(Q22/$R22*100*($E22/365))+(Q23/$R23*100*($E23/365))</f>
        <v>0</v>
      </c>
      <c r="M150" s="958"/>
      <c r="N150" s="990">
        <f t="shared" si="59"/>
        <v>100</v>
      </c>
      <c r="O150" s="990"/>
      <c r="R150" s="20">
        <v>1967</v>
      </c>
      <c r="S150" s="8">
        <f>(O22*($E22/365))+(O23*($E23/365))</f>
        <v>22.6</v>
      </c>
      <c r="T150" s="8">
        <f>(P22*($E22/365))+(P23*($E23/365))</f>
        <v>36.299999999999997</v>
      </c>
      <c r="U150" s="8">
        <f>(Q22*($E22/365))+(Q23*($E23/365))</f>
        <v>0</v>
      </c>
      <c r="V150" s="7"/>
      <c r="W150" s="8">
        <f>R22*(E22/365) + R23*(E23/365)</f>
        <v>58.9</v>
      </c>
    </row>
    <row r="151" spans="1:23">
      <c r="A151" s="20">
        <v>1968</v>
      </c>
      <c r="B151" s="8">
        <f>(K24*($E24/366))+(K25*($E25/366))</f>
        <v>17.011791774518262</v>
      </c>
      <c r="C151" s="8">
        <f>(L24*($E24/366))+(L25*($E25/366))</f>
        <v>61.059448865028386</v>
      </c>
      <c r="D151" s="8">
        <f>(M24*($E24/366))+(M25*($E25/366))</f>
        <v>21.928759360453352</v>
      </c>
      <c r="E151" s="31">
        <f t="shared" si="58"/>
        <v>100</v>
      </c>
      <c r="G151" s="20">
        <v>1968</v>
      </c>
      <c r="H151" s="989">
        <f>(O24/$R24*100*($E24/366))+(O25/$R25*100*($E25/366))</f>
        <v>17.717349958714873</v>
      </c>
      <c r="I151" s="989"/>
      <c r="J151" s="958">
        <f>(P24/$R24*100*($E24/366))+(P25/$R25*100*($E25/366))</f>
        <v>57.508828885420769</v>
      </c>
      <c r="K151" s="958"/>
      <c r="L151" s="958">
        <f>(Q24/$R24*100*($E24/366))+(Q25/$R25*100*($E25/366))</f>
        <v>24.773821155864368</v>
      </c>
      <c r="M151" s="958"/>
      <c r="N151" s="990">
        <f t="shared" si="59"/>
        <v>100.00000000000001</v>
      </c>
      <c r="O151" s="990"/>
      <c r="R151" s="20">
        <v>1968</v>
      </c>
      <c r="S151" s="8">
        <f>(O24*($E24/366))+(O25*($E25/366))</f>
        <v>10.435519125683062</v>
      </c>
      <c r="T151" s="8">
        <f>(P24*($E24/366))+(P25*($E25/366))</f>
        <v>34.308469945355199</v>
      </c>
      <c r="U151" s="8">
        <f>(Q24*($E24/366))+(Q25*($E25/366))</f>
        <v>14.963387978142078</v>
      </c>
      <c r="V151" s="7"/>
      <c r="W151" s="8">
        <f>R24*(E24/366) + R25*(E25/366)</f>
        <v>59.70737704918033</v>
      </c>
    </row>
    <row r="152" spans="1:23">
      <c r="A152" s="20">
        <v>1969</v>
      </c>
      <c r="B152" s="8">
        <f>(K26*($E26/365))+(K27*($E27/365))</f>
        <v>0</v>
      </c>
      <c r="C152" s="8">
        <f>(L26*($E26/365))+(L27*($E27/365))</f>
        <v>59.259259259259252</v>
      </c>
      <c r="D152" s="8">
        <f>(M26*($E26/365))+(M27*($E27/365))</f>
        <v>40.74074074074074</v>
      </c>
      <c r="E152" s="31">
        <f t="shared" si="58"/>
        <v>100</v>
      </c>
      <c r="G152" s="20">
        <v>1969</v>
      </c>
      <c r="H152" s="989">
        <f>(O26/$R26*100*($E26/365))+(O27/$R27*100*($E27/365))</f>
        <v>0</v>
      </c>
      <c r="I152" s="989"/>
      <c r="J152" s="958">
        <f>(P26/$R26*100*($E26/365))+(P27/$R27*100*($E27/365))</f>
        <v>53.973509933774835</v>
      </c>
      <c r="K152" s="958"/>
      <c r="L152" s="958">
        <f>(Q26/$R26*100*($E26/365))+(Q27/$R27*100*($E27/365))</f>
        <v>46.026490066225165</v>
      </c>
      <c r="M152" s="958"/>
      <c r="N152" s="990">
        <f t="shared" si="59"/>
        <v>100</v>
      </c>
      <c r="O152" s="990"/>
      <c r="R152" s="20">
        <v>1969</v>
      </c>
      <c r="S152" s="8">
        <f>(O26*($E26/365))+(O27*($E27/365))</f>
        <v>0</v>
      </c>
      <c r="T152" s="8">
        <f>(P26*($E26/365))+(P27*($E27/365))</f>
        <v>32.6</v>
      </c>
      <c r="U152" s="8">
        <f>(Q26*($E26/365))+(Q27*($E27/365))</f>
        <v>27.8</v>
      </c>
      <c r="V152" s="7"/>
      <c r="W152" s="8">
        <f>R26*(E26/365) + R27*(E27/365)</f>
        <v>60.400000000000006</v>
      </c>
    </row>
    <row r="153" spans="1:23">
      <c r="A153" s="20">
        <v>1970</v>
      </c>
      <c r="B153" s="8">
        <f>(K28*($E28/365))+(K29*($E29/365))</f>
        <v>0</v>
      </c>
      <c r="C153" s="8">
        <f>(L28*($E28/365))+(L29*($E29/365))</f>
        <v>59.259259259259252</v>
      </c>
      <c r="D153" s="8">
        <f>(M28*($E28/365))+(M29*($E29/365))</f>
        <v>40.74074074074074</v>
      </c>
      <c r="E153" s="31">
        <f t="shared" si="58"/>
        <v>100</v>
      </c>
      <c r="G153" s="20">
        <v>1970</v>
      </c>
      <c r="H153" s="989">
        <f>(O28/$R28*100*($E28/365))+(O29/$R29*100*($E29/365))</f>
        <v>0</v>
      </c>
      <c r="I153" s="989"/>
      <c r="J153" s="958">
        <f>(P28/$R28*100*($E28/365))+(P29/$R29*100*($E29/365))</f>
        <v>53.973509933774835</v>
      </c>
      <c r="K153" s="958"/>
      <c r="L153" s="958">
        <f>(Q28/$R28*100*($E28/365))+(Q29/$R29*100*($E29/365))</f>
        <v>46.026490066225165</v>
      </c>
      <c r="M153" s="958"/>
      <c r="N153" s="990">
        <f t="shared" si="59"/>
        <v>100</v>
      </c>
      <c r="O153" s="990"/>
      <c r="R153" s="20">
        <v>1970</v>
      </c>
      <c r="S153" s="8">
        <f>(O28*($E28/365))+(O29*($E29/365))</f>
        <v>0</v>
      </c>
      <c r="T153" s="8">
        <f>(P28*($E28/365))+(P29*($E29/365))</f>
        <v>32.6</v>
      </c>
      <c r="U153" s="8">
        <f>(Q28*($E28/365))+(Q29*($E29/365))</f>
        <v>27.8</v>
      </c>
      <c r="V153" s="7"/>
      <c r="W153" s="8">
        <f>R28*(E28/365) + R29*(E29/365)</f>
        <v>60.400000000000006</v>
      </c>
    </row>
    <row r="154" spans="1:23">
      <c r="A154" s="20">
        <v>1971</v>
      </c>
      <c r="B154" s="8">
        <f>(K30*($E30/365))+(K31*($E31/365))</f>
        <v>0</v>
      </c>
      <c r="C154" s="8">
        <f>(L30*($E30/365))+(L31*($E31/365))</f>
        <v>59.259259259259252</v>
      </c>
      <c r="D154" s="8">
        <f>(M30*($E30/365))+(M31*($E31/365))</f>
        <v>40.74074074074074</v>
      </c>
      <c r="E154" s="31">
        <f t="shared" si="58"/>
        <v>100</v>
      </c>
      <c r="G154" s="20">
        <v>1971</v>
      </c>
      <c r="H154" s="989">
        <f>(O30/$R30*100*($E30/365))+(O31/$R31*100*($E31/365))</f>
        <v>0</v>
      </c>
      <c r="I154" s="989"/>
      <c r="J154" s="958">
        <f>(P30/$R30*100*($E30/365))+(P31/$R31*100*($E31/365))</f>
        <v>53.973509933774835</v>
      </c>
      <c r="K154" s="958"/>
      <c r="L154" s="958">
        <f>(Q30/$R30*100*($E30/365))+(Q31/$R31*100*($E31/365))</f>
        <v>46.026490066225165</v>
      </c>
      <c r="M154" s="958"/>
      <c r="N154" s="990">
        <f t="shared" si="59"/>
        <v>100</v>
      </c>
      <c r="O154" s="990"/>
      <c r="R154" s="20">
        <v>1971</v>
      </c>
      <c r="S154" s="8">
        <f>(O30*($E30/365))+(O31*($E31/365))</f>
        <v>0</v>
      </c>
      <c r="T154" s="8">
        <f>(P30*($E30/365))+(P31*($E31/365))</f>
        <v>32.6</v>
      </c>
      <c r="U154" s="8">
        <f>(Q30*($E30/365))+(Q31*($E31/365))</f>
        <v>27.8</v>
      </c>
      <c r="V154" s="7"/>
      <c r="W154" s="8">
        <f>R30*(E30/365) + R31*(E31/365)</f>
        <v>60.400000000000006</v>
      </c>
    </row>
    <row r="155" spans="1:23">
      <c r="A155" s="20">
        <v>1972</v>
      </c>
      <c r="B155" s="8">
        <f>(K32*($E32/366))+(K33*($E33/366))</f>
        <v>0</v>
      </c>
      <c r="C155" s="8">
        <f>(L32*($E32/366))+(L33*($E33/366))</f>
        <v>52.993747270422567</v>
      </c>
      <c r="D155" s="8">
        <f>(M32*($E32/366))+(M33*($E33/366))</f>
        <v>47.006252729577433</v>
      </c>
      <c r="E155" s="31">
        <f t="shared" si="58"/>
        <v>100</v>
      </c>
      <c r="G155" s="20">
        <v>1972</v>
      </c>
      <c r="H155" s="989">
        <f>(O32/$R32*100*($E32/366))+(O33/$R33*100*($E33/366))</f>
        <v>0</v>
      </c>
      <c r="I155" s="989"/>
      <c r="J155" s="958">
        <f>(P32/$R32*100*($E32/366))+(P33/$R33*100*($E33/366))</f>
        <v>53.973509933774835</v>
      </c>
      <c r="K155" s="958"/>
      <c r="L155" s="958">
        <f>(Q32/$R32*100*($E32/366))+(Q33/$R33*100*($E33/366))</f>
        <v>46.026490066225165</v>
      </c>
      <c r="M155" s="958"/>
      <c r="N155" s="990">
        <f t="shared" si="59"/>
        <v>100</v>
      </c>
      <c r="O155" s="990"/>
      <c r="R155" s="20">
        <v>1972</v>
      </c>
      <c r="S155" s="8">
        <f>(O32*($E32/366))+(O33*($E33/366))</f>
        <v>0</v>
      </c>
      <c r="T155" s="8">
        <f>(P32*($E32/366))+(P33*($E33/366))</f>
        <v>32.6</v>
      </c>
      <c r="U155" s="8">
        <f>(Q32*($E32/366))+(Q33*($E33/366))</f>
        <v>27.800000000000004</v>
      </c>
      <c r="V155" s="7"/>
      <c r="W155" s="8">
        <f>R32*(E32/366) + R33*(E33/366)</f>
        <v>60.400000000000006</v>
      </c>
    </row>
    <row r="156" spans="1:23">
      <c r="A156" s="20">
        <v>1973</v>
      </c>
      <c r="B156" s="8">
        <f>(K34*($E34/365))+(K35*($E35/365))</f>
        <v>16.936488169364882</v>
      </c>
      <c r="C156" s="8">
        <f>(L34*($E34/365))+(L35*($E35/365))</f>
        <v>41.712001048698959</v>
      </c>
      <c r="D156" s="8">
        <f>(M34*($E34/365))+(M35*($E35/365))</f>
        <v>41.351510781936156</v>
      </c>
      <c r="E156" s="31">
        <f t="shared" si="58"/>
        <v>100</v>
      </c>
      <c r="G156" s="20">
        <v>1973</v>
      </c>
      <c r="H156" s="989">
        <f>(O34/$R34*100*($E34/365))+(O35/$R35*100*($E35/365))</f>
        <v>12.544648113985163</v>
      </c>
      <c r="I156" s="989"/>
      <c r="J156" s="958">
        <f>(P34/$R34*100*($E34/365))+(P35/$R35*100*($E35/365))</f>
        <v>45.868186004413282</v>
      </c>
      <c r="K156" s="958"/>
      <c r="L156" s="958">
        <f>(Q34/$R34*100*($E34/365))+(Q35/$R35*100*($E35/365))</f>
        <v>41.587165881601564</v>
      </c>
      <c r="M156" s="958"/>
      <c r="N156" s="990">
        <f t="shared" si="59"/>
        <v>100</v>
      </c>
      <c r="O156" s="990"/>
      <c r="R156" s="20">
        <v>1973</v>
      </c>
      <c r="S156" s="8">
        <f>(O34*($E34/365))+(O35*($E35/365))</f>
        <v>8.7561643835616429</v>
      </c>
      <c r="T156" s="8">
        <f>(P34*($E34/365))+(P35*($E35/365))</f>
        <v>31.668493150684931</v>
      </c>
      <c r="U156" s="8">
        <f>(Q34*($E34/365))+(Q35*($E35/365))</f>
        <v>28.731506849315068</v>
      </c>
      <c r="V156" s="7"/>
      <c r="W156" s="8">
        <f>R34*(E34/365) + R35*(E35/365)</f>
        <v>69.156164383561631</v>
      </c>
    </row>
    <row r="157" spans="1:23">
      <c r="A157" s="20">
        <v>1974</v>
      </c>
      <c r="B157" s="8">
        <f>(K36*($E36/365))+(K37*($E37/365))+(K38*($E38/365))</f>
        <v>25.721963688798585</v>
      </c>
      <c r="C157" s="8">
        <f>(L36*($E36/365))+(L37*($E37/365))+(L38*($E38/365))</f>
        <v>61.500950383430563</v>
      </c>
      <c r="D157" s="8">
        <f>(M36*($E36/365))+(M37*($E37/365))+(M38*($E38/365))</f>
        <v>12.777085927770861</v>
      </c>
      <c r="E157" s="31">
        <f t="shared" si="58"/>
        <v>100</v>
      </c>
      <c r="G157" s="20">
        <v>1974</v>
      </c>
      <c r="H157" s="989">
        <f>(O36/$R36*100*($E36/365))+(O37/$R37*100*($E37/365))+(O38/$R38*100*($E38/365))</f>
        <v>15.034061254051272</v>
      </c>
      <c r="I157" s="989"/>
      <c r="J157" s="958">
        <f>(P36/$R36*100*($E36/365))+(P37/$R37*100*($E37/365))+(P38/$R38*100*($E38/365))</f>
        <v>72.079021133984995</v>
      </c>
      <c r="K157" s="958"/>
      <c r="L157" s="958">
        <f>(Q36/$R36*100*($E36/365))+(Q37/$R37*100*($E37/365))+(Q38/$R38*100*($E38/365))</f>
        <v>12.886917611963733</v>
      </c>
      <c r="M157" s="958"/>
      <c r="N157" s="990">
        <f t="shared" si="59"/>
        <v>100</v>
      </c>
      <c r="O157" s="990"/>
      <c r="R157" s="20">
        <v>1974</v>
      </c>
      <c r="S157" s="8">
        <f>(O36*($E36/365))+(O37*($E37/365))+(O38*($E38/365))</f>
        <v>9.2624657534246566</v>
      </c>
      <c r="T157" s="8">
        <f>(P36*($E36/365))+(P37*($E37/365))+(P38*($E38/365))</f>
        <v>43.794794520547946</v>
      </c>
      <c r="U157" s="8">
        <f>(Q36*($E36/365))+(Q37*($E37/365))+(Q38*($E38/365))</f>
        <v>8.9950684931506846</v>
      </c>
      <c r="V157" s="7"/>
      <c r="W157" s="8">
        <f>R36*(E36/365) + R37*(E37/365)+R38*(E38/365)</f>
        <v>62.052328767123292</v>
      </c>
    </row>
    <row r="158" spans="1:23">
      <c r="A158" s="20">
        <v>1975</v>
      </c>
      <c r="B158" s="8">
        <f>(K39*($E39/365))+(K40*($E40/365))</f>
        <v>28.571428571428569</v>
      </c>
      <c r="C158" s="8">
        <f>(L39*($E39/365))+(L40*($E40/365))</f>
        <v>71.428571428571431</v>
      </c>
      <c r="D158" s="8">
        <f>(M39*($E39/365))+(M40*($E40/365))</f>
        <v>0</v>
      </c>
      <c r="E158" s="31">
        <f t="shared" si="58"/>
        <v>100</v>
      </c>
      <c r="G158" s="20">
        <v>1975</v>
      </c>
      <c r="H158" s="989">
        <f>(O39/$R39*100*($E39/365))+(O40/$R40*100*($E40/365))</f>
        <v>15.410385259631489</v>
      </c>
      <c r="I158" s="989"/>
      <c r="J158" s="958">
        <f>(P39/$R39*100*($E39/365))+(P40/$R40*100*($E40/365))</f>
        <v>84.589614740368503</v>
      </c>
      <c r="K158" s="958"/>
      <c r="L158" s="958">
        <f>(Q39/$R39*100*($E39/365))+(Q40/$R40*100*($E40/365))</f>
        <v>0</v>
      </c>
      <c r="M158" s="958"/>
      <c r="N158" s="990">
        <f t="shared" si="59"/>
        <v>100</v>
      </c>
      <c r="O158" s="990"/>
      <c r="R158" s="20">
        <v>1975</v>
      </c>
      <c r="S158" s="8">
        <f>(O39*($E39/365))+(O40*($E40/365))</f>
        <v>9.1999999999999993</v>
      </c>
      <c r="T158" s="8">
        <f>(P39*($E39/365))+(P40*($E40/365))</f>
        <v>50.5</v>
      </c>
      <c r="U158" s="8">
        <f>(Q39*($E39/365))+(Q40*($E40/365))</f>
        <v>0</v>
      </c>
      <c r="V158" s="7"/>
      <c r="W158" s="8">
        <f>R39*(E39/365) + R40*(E40/365)</f>
        <v>59.7</v>
      </c>
    </row>
    <row r="159" spans="1:23">
      <c r="A159" s="20">
        <v>1976</v>
      </c>
      <c r="B159" s="8">
        <f>(K41*($E41/366))+(K42*($E42/366))</f>
        <v>28.786885245901637</v>
      </c>
      <c r="C159" s="8">
        <f>(L41*($E41/366))+(L42*($E42/366))</f>
        <v>71.213114754098356</v>
      </c>
      <c r="D159" s="8">
        <f>(M41*($E41/366))+(M42*($E42/366))</f>
        <v>0</v>
      </c>
      <c r="E159" s="31">
        <f t="shared" si="58"/>
        <v>100</v>
      </c>
      <c r="G159" s="20">
        <v>1976</v>
      </c>
      <c r="H159" s="989">
        <f>(O41/$R41*100*($E41/366))+(O42/$R42*100*($E42/366))</f>
        <v>15.410385259631489</v>
      </c>
      <c r="I159" s="989"/>
      <c r="J159" s="958">
        <f>(P41/$R41*100*($E41/366))+(P42/$R42*100*($E42/366))</f>
        <v>84.589614740368518</v>
      </c>
      <c r="K159" s="958"/>
      <c r="L159" s="958">
        <f>(Q41/$R41*100*($E41/366))+(Q42/$R42*100*($E42/366))</f>
        <v>0</v>
      </c>
      <c r="M159" s="958"/>
      <c r="N159" s="990">
        <f t="shared" si="59"/>
        <v>100</v>
      </c>
      <c r="O159" s="990"/>
      <c r="R159" s="20">
        <v>1976</v>
      </c>
      <c r="S159" s="8">
        <f>(O41*($E41/366))+(O42*($E42/366))</f>
        <v>9.2000000000000011</v>
      </c>
      <c r="T159" s="8">
        <f>(P41*($E41/366))+(P42*($E42/366))</f>
        <v>50.500000000000007</v>
      </c>
      <c r="U159" s="8">
        <f>(Q41*($E41/366))+(Q42*($E42/366))</f>
        <v>0</v>
      </c>
      <c r="V159" s="7"/>
      <c r="W159" s="8">
        <f>R41*(E41/366) + R42*(E42/366)</f>
        <v>59.7</v>
      </c>
    </row>
    <row r="160" spans="1:23">
      <c r="A160" s="20">
        <v>1977</v>
      </c>
      <c r="B160" s="8">
        <f>(K43*($E43/365))+(K44*($E44/365))</f>
        <v>13.413698630136986</v>
      </c>
      <c r="C160" s="8">
        <f>(L43*($E43/365))+(L44*($E44/365))</f>
        <v>63.85848719475878</v>
      </c>
      <c r="D160" s="8">
        <f>(M43*($E43/365))+(M44*($E44/365))</f>
        <v>22.727814175104225</v>
      </c>
      <c r="E160" s="31">
        <f t="shared" si="58"/>
        <v>100</v>
      </c>
      <c r="G160" s="20">
        <v>1977</v>
      </c>
      <c r="H160" s="989">
        <f>(O43/$R43*100*($E43/365))+(O44/$R44*100*($E44/365))</f>
        <v>6.4596957389688159</v>
      </c>
      <c r="I160" s="989"/>
      <c r="J160" s="958">
        <f>(P43/$R43*100*($E43/365))+(P44/$R44*100*($E44/365))</f>
        <v>72.602032656092916</v>
      </c>
      <c r="K160" s="958"/>
      <c r="L160" s="958">
        <f>(Q43/$R43*100*($E43/365))+(Q44/$R44*100*($E44/365))</f>
        <v>20.938271604938269</v>
      </c>
      <c r="M160" s="958"/>
      <c r="N160" s="990">
        <f t="shared" si="59"/>
        <v>100</v>
      </c>
      <c r="O160" s="990"/>
      <c r="R160" s="20">
        <v>1977</v>
      </c>
      <c r="S160" s="8">
        <f>(O43*($E43/365))+(O44*($E44/365))</f>
        <v>3.8564383561643831</v>
      </c>
      <c r="T160" s="8">
        <f>(P43*($E43/365))+(P44*($E44/365))</f>
        <v>51.255068493150681</v>
      </c>
      <c r="U160" s="8">
        <f>(Q43*($E43/365))+(Q44*($E44/365))</f>
        <v>16.959999999999997</v>
      </c>
      <c r="V160" s="7"/>
      <c r="W160" s="8">
        <f>R43*(E43/365) + R44*(E44/365)</f>
        <v>72.071506849315071</v>
      </c>
    </row>
    <row r="161" spans="1:23">
      <c r="A161" s="20">
        <v>1978</v>
      </c>
      <c r="B161" s="8">
        <f>(K45*($E45/365))+(K46*($E46/365))</f>
        <v>0</v>
      </c>
      <c r="C161" s="8">
        <f>(L45*($E45/365))+(L46*($E46/365))</f>
        <v>60.513833992094874</v>
      </c>
      <c r="D161" s="8">
        <f>(M45*($E45/365))+(M46*($E46/365))</f>
        <v>39.48616600790514</v>
      </c>
      <c r="E161" s="31">
        <f t="shared" si="58"/>
        <v>100.00000000000001</v>
      </c>
      <c r="G161" s="20">
        <v>1978</v>
      </c>
      <c r="H161" s="989">
        <f>(O45/$R45*100*($E45/365))+(O46/$R46*100*($E46/365))</f>
        <v>0</v>
      </c>
      <c r="I161" s="989"/>
      <c r="J161" s="958">
        <f>(P45/$R45*100*($E45/365))+(P46/$R46*100*($E46/365))</f>
        <v>63.950617283950628</v>
      </c>
      <c r="K161" s="958"/>
      <c r="L161" s="958">
        <f>(Q45/$R45*100*($E45/365))+(Q46/$R46*100*($E46/365))</f>
        <v>36.049382716049379</v>
      </c>
      <c r="M161" s="958"/>
      <c r="N161" s="990">
        <f t="shared" si="59"/>
        <v>100</v>
      </c>
      <c r="O161" s="990"/>
      <c r="R161" s="20">
        <v>1978</v>
      </c>
      <c r="S161" s="8">
        <f>(O45*($E45/365))+(O46*($E46/365))</f>
        <v>0</v>
      </c>
      <c r="T161" s="8">
        <f>(P45*($E45/365))+(P46*($E46/365))</f>
        <v>51.8</v>
      </c>
      <c r="U161" s="8">
        <f>(Q45*($E45/365))+(Q46*($E46/365))</f>
        <v>29.2</v>
      </c>
      <c r="V161" s="7"/>
      <c r="W161" s="8">
        <f>R45*(E45/365) + R46*(E46/365)</f>
        <v>81</v>
      </c>
    </row>
    <row r="162" spans="1:23">
      <c r="A162" s="20">
        <v>1979</v>
      </c>
      <c r="B162" s="8">
        <f>(K47*($E47/365))+(K48*($E48/365))</f>
        <v>0</v>
      </c>
      <c r="C162" s="8">
        <f>(L47*($E47/365))+(L48*($E48/365))</f>
        <v>59.770859277708595</v>
      </c>
      <c r="D162" s="8">
        <f>(M47*($E47/365))+(M48*($E48/365))</f>
        <v>40.229140722291412</v>
      </c>
      <c r="E162" s="31">
        <f t="shared" si="58"/>
        <v>100</v>
      </c>
      <c r="G162" s="20">
        <v>1979</v>
      </c>
      <c r="H162" s="989">
        <f>(O47/$R47*100*($E47/365))+(O48/$R48*100*($E48/365))</f>
        <v>0</v>
      </c>
      <c r="I162" s="989"/>
      <c r="J162" s="958">
        <f>(P47/$R47*100*($E47/365))+(P48/$R48*100*($E48/365))</f>
        <v>62.170664917128185</v>
      </c>
      <c r="K162" s="958"/>
      <c r="L162" s="958">
        <f>(Q47/$R47*100*($E47/365))+(Q48/$R48*100*($E48/365))</f>
        <v>37.829335082871815</v>
      </c>
      <c r="M162" s="958"/>
      <c r="N162" s="990">
        <f t="shared" si="59"/>
        <v>100</v>
      </c>
      <c r="O162" s="990"/>
      <c r="R162" s="20">
        <v>1979</v>
      </c>
      <c r="S162" s="8">
        <f>(O47*($E47/365))+(O48*($E48/365))</f>
        <v>0</v>
      </c>
      <c r="T162" s="8">
        <f>(P47*($E47/365))+(P48*($E48/365))</f>
        <v>45.89123287671233</v>
      </c>
      <c r="U162" s="8">
        <f>(Q47*($E47/365))+(Q48*($E48/365))</f>
        <v>27.853698630136986</v>
      </c>
      <c r="V162" s="7"/>
      <c r="W162" s="8">
        <f>R47*(E47/365) + R48*(E48/365)</f>
        <v>73.744931506849326</v>
      </c>
    </row>
    <row r="163" spans="1:23">
      <c r="A163" s="20">
        <v>1980</v>
      </c>
      <c r="B163" s="8">
        <f>(K49*($E49/366))+(K50*($E50/366))+(K51*($E51/366))+(K52*($E52/366))</f>
        <v>7.9437360858125885</v>
      </c>
      <c r="C163" s="8">
        <f>(L49*($E49/366))+(L50*($E50/366))+(L51*($E51/366))+(L52*($E52/366))</f>
        <v>48.605950212507594</v>
      </c>
      <c r="D163" s="8">
        <f>(M49*($E49/366))+(M50*($E50/366))+(M51*($E51/366))+(M52*($E52/366))</f>
        <v>43.450313701679818</v>
      </c>
      <c r="E163" s="31">
        <f t="shared" si="58"/>
        <v>100</v>
      </c>
      <c r="G163" s="20">
        <v>1980</v>
      </c>
      <c r="H163" s="989">
        <f>(O49/$R49*100*($E49/366))+(O50/$R50*100*($E50/366))+(O51/$R51*100*($E51/366))+(O52/$R52*100*($E52/366))</f>
        <v>5.8316368441730067</v>
      </c>
      <c r="I163" s="989"/>
      <c r="J163" s="958">
        <f>(P49/$R49*100*($E49/366))+(P50/$R50*100*($E50/366))+(P51/$R51*100*($E51/366))+(P52/$R52*100*($E52/366))</f>
        <v>55.315089190370955</v>
      </c>
      <c r="K163" s="958"/>
      <c r="L163" s="958">
        <f>(Q49/$R49*100*($E49/366))+(Q50/$R50*100*($E50/366))+(Q51/$R51*100*($E51/366))+(Q52/$R52*100*($E52/366))</f>
        <v>38.853273965456047</v>
      </c>
      <c r="M163" s="958"/>
      <c r="N163" s="990">
        <f t="shared" si="59"/>
        <v>100</v>
      </c>
      <c r="O163" s="990"/>
      <c r="R163" s="20">
        <v>1980</v>
      </c>
      <c r="S163" s="8">
        <f>(O49*($E49/366))+(O50*($E50/366))+(O51*($E51/366))+(O52*($E52/366))</f>
        <v>4.4612021857923496</v>
      </c>
      <c r="T163" s="8">
        <f>(P49*($E49/366))+(P50*($E50/366))+(P51*($E51/366))+(P52*($E52/366))</f>
        <v>39.012568306010934</v>
      </c>
      <c r="U163" s="8">
        <f>(Q49*($E49/366))+(Q50*($E50/366))+(Q51*($E51/366))+(Q52*($E52/366))</f>
        <v>27.4</v>
      </c>
      <c r="V163" s="7"/>
      <c r="W163" s="8">
        <f>R49*(E49/366) + R50*(E50/366) + R51*(E51/366) + R52*(E52/366)</f>
        <v>70.87377049180327</v>
      </c>
    </row>
    <row r="164" spans="1:23">
      <c r="A164" s="20">
        <v>1981</v>
      </c>
      <c r="B164" s="8">
        <f>(K53*($E53/365))+(K54*($E54/365))+(K55*($E55/365))</f>
        <v>2.054794520547945</v>
      </c>
      <c r="C164" s="8">
        <f>(L53*($E53/365))+(L54*($E54/365))+(L55*($E55/365))</f>
        <v>51.917808219178077</v>
      </c>
      <c r="D164" s="8">
        <f>(M53*($E53/365))+(M54*($E54/365))+(M55*($E55/365))</f>
        <v>46.027397260273972</v>
      </c>
      <c r="E164" s="31">
        <f t="shared" si="58"/>
        <v>100</v>
      </c>
      <c r="G164" s="20">
        <v>1981</v>
      </c>
      <c r="H164" s="989">
        <f>(O53/$R53*100*($E53/365))+(O54/$R54*100*($E54/365))+(O55/$R55*100*($E55/365))</f>
        <v>1.889023105194171</v>
      </c>
      <c r="I164" s="989"/>
      <c r="J164" s="958">
        <f>(P53/$R53*100*($E53/365))+(P54/$R54*100*($E54/365))+(P55/$R55*100*($E55/365))</f>
        <v>58.362152987484009</v>
      </c>
      <c r="K164" s="958"/>
      <c r="L164" s="958">
        <f>(Q53/$R53*100*($E53/365))+(Q54/$R54*100*($E54/365))+(Q55/$R55*100*($E55/365))</f>
        <v>39.748823907321821</v>
      </c>
      <c r="M164" s="958"/>
      <c r="N164" s="990">
        <f t="shared" si="59"/>
        <v>100</v>
      </c>
      <c r="O164" s="990"/>
      <c r="R164" s="20">
        <v>1981</v>
      </c>
      <c r="S164" s="8">
        <f>(O53*($E53/365))+(O54*($E54/365))+(O55*($E55/365))</f>
        <v>1.0068493150684932</v>
      </c>
      <c r="T164" s="8">
        <f>(P53*($E53/365))+(P54*($E54/365))+(P55*($E55/365))</f>
        <v>38.293150684931511</v>
      </c>
      <c r="U164" s="8">
        <f>(Q53*($E53/365))+(Q54*($E54/365))+(Q55*($E55/365))</f>
        <v>26.273972602739725</v>
      </c>
      <c r="V164" s="7"/>
      <c r="W164" s="8">
        <f>R53*(E53/365) + R54*(E54/365) + R55*(E55/365)</f>
        <v>65.573972602739715</v>
      </c>
    </row>
    <row r="165" spans="1:23">
      <c r="A165" s="20">
        <v>1982</v>
      </c>
      <c r="B165" s="8">
        <f>(K56*($E56/365))+(K57*($E57/365))</f>
        <v>50</v>
      </c>
      <c r="C165" s="8">
        <f>(L56*($E56/365))+(L57*($E57/365))</f>
        <v>50</v>
      </c>
      <c r="D165" s="8">
        <f>(M56*($E56/365))+(M57*($E57/365))</f>
        <v>0</v>
      </c>
      <c r="E165" s="31">
        <f t="shared" si="58"/>
        <v>100</v>
      </c>
      <c r="G165" s="20">
        <v>1982</v>
      </c>
      <c r="H165" s="989">
        <f>(O56/$R56*100*($E56/365))+(O57/$R57*100*($E57/365))</f>
        <v>45.966228893058165</v>
      </c>
      <c r="I165" s="989"/>
      <c r="J165" s="958">
        <f>(P56/$R56*100*($E56/365))+(P57/$R57*100*($E57/365))</f>
        <v>54.033771106941842</v>
      </c>
      <c r="K165" s="958"/>
      <c r="L165" s="958">
        <f>(Q56/$R56*100*($E56/365))+(Q57/$R57*100*($E57/365))</f>
        <v>0</v>
      </c>
      <c r="M165" s="958"/>
      <c r="N165" s="990">
        <f t="shared" si="59"/>
        <v>100</v>
      </c>
      <c r="O165" s="990"/>
      <c r="R165" s="20">
        <v>1982</v>
      </c>
      <c r="S165" s="8">
        <f>(O56*($E56/365))+(O57*($E57/365))</f>
        <v>24.5</v>
      </c>
      <c r="T165" s="8">
        <f>(P56*($E56/365))+(P57*($E57/365))</f>
        <v>28.8</v>
      </c>
      <c r="U165" s="8">
        <f>(Q56*($E56/365))+(Q57*($E57/365))</f>
        <v>0</v>
      </c>
      <c r="V165" s="7"/>
      <c r="W165" s="8">
        <f>R56*(E56/365) + R57*(E57/365)</f>
        <v>53.3</v>
      </c>
    </row>
    <row r="166" spans="1:23">
      <c r="A166" s="20">
        <v>1983</v>
      </c>
      <c r="B166" s="8">
        <f>(K58*($E58/365))+(K59*($E59/365))</f>
        <v>50</v>
      </c>
      <c r="C166" s="8">
        <f>(L58*($E58/365))+(L59*($E59/365))</f>
        <v>50</v>
      </c>
      <c r="D166" s="8">
        <f>(M58*($E58/365))+(M59*($E59/365))</f>
        <v>0</v>
      </c>
      <c r="E166" s="31">
        <f t="shared" si="58"/>
        <v>100</v>
      </c>
      <c r="G166" s="20">
        <v>1983</v>
      </c>
      <c r="H166" s="989">
        <f>(O58/$R58*100*($E58/365))+(O59/$R59*100*($E59/365))</f>
        <v>45.966228893058165</v>
      </c>
      <c r="I166" s="989"/>
      <c r="J166" s="958">
        <f>(P58/$R58*100*($E58/365))+(P59/$R59*100*($E59/365))</f>
        <v>54.033771106941842</v>
      </c>
      <c r="K166" s="958"/>
      <c r="L166" s="958">
        <f>(Q58/$R58*100*($E58/365))+(Q59/$R59*100*($E59/365))</f>
        <v>0</v>
      </c>
      <c r="M166" s="958"/>
      <c r="N166" s="990">
        <f t="shared" si="59"/>
        <v>100</v>
      </c>
      <c r="O166" s="990"/>
      <c r="R166" s="20">
        <v>1983</v>
      </c>
      <c r="S166" s="8">
        <f>(O58*($E58/365))+(O59*($E59/365))</f>
        <v>24.5</v>
      </c>
      <c r="T166" s="8">
        <f>(P58*($E58/365))+(P59*($E59/365))</f>
        <v>28.8</v>
      </c>
      <c r="U166" s="8">
        <f>(Q58*($E58/365))+(Q59*($E59/365))</f>
        <v>0</v>
      </c>
      <c r="V166" s="7"/>
      <c r="W166" s="8">
        <f>R58*(E58/365) + R59*(E59/365)</f>
        <v>53.3</v>
      </c>
    </row>
    <row r="167" spans="1:23">
      <c r="A167" s="20">
        <v>1984</v>
      </c>
      <c r="B167" s="8">
        <f>(K60*($E60/366))+(K61*($E61/366))</f>
        <v>50</v>
      </c>
      <c r="C167" s="8">
        <f>(L60*($E60/366))+(L61*($E61/366))</f>
        <v>50</v>
      </c>
      <c r="D167" s="8">
        <f>(M60*($E60/366))+(M61*($E61/366))</f>
        <v>0</v>
      </c>
      <c r="E167" s="31">
        <f t="shared" si="58"/>
        <v>100</v>
      </c>
      <c r="G167" s="20">
        <v>1984</v>
      </c>
      <c r="H167" s="989">
        <f>(O60/$R60*100*($E60/366))+(O61/$R61*100*($E61/366))</f>
        <v>45.966228893058165</v>
      </c>
      <c r="I167" s="989"/>
      <c r="J167" s="958">
        <f>(P60/$R60*100*($E60/366))+(P61/$R61*100*($E61/366))</f>
        <v>54.033771106941842</v>
      </c>
      <c r="K167" s="958"/>
      <c r="L167" s="958">
        <f>(Q60/$R60*100*($E60/366))+(Q61/$R61*100*($E61/366))</f>
        <v>0</v>
      </c>
      <c r="M167" s="958"/>
      <c r="N167" s="990">
        <f t="shared" si="59"/>
        <v>100</v>
      </c>
      <c r="O167" s="990"/>
      <c r="R167" s="20">
        <v>1984</v>
      </c>
      <c r="S167" s="8">
        <f>(O60*($E60/366))+(O61*($E61/366))</f>
        <v>24.5</v>
      </c>
      <c r="T167" s="8">
        <f>(P60*($E60/366))+(P61*($E61/366))</f>
        <v>28.8</v>
      </c>
      <c r="U167" s="8">
        <f>(Q60*($E60/366))+(Q61*($E61/366))</f>
        <v>0</v>
      </c>
      <c r="V167" s="7"/>
      <c r="W167" s="8">
        <f>R60*(E60/366) + R61*(E61/366)</f>
        <v>53.3</v>
      </c>
    </row>
    <row r="168" spans="1:23">
      <c r="A168" s="20">
        <v>1985</v>
      </c>
      <c r="B168" s="8">
        <f>(K62*($E62/365))+(K63*($E63/365))</f>
        <v>49.689497716894984</v>
      </c>
      <c r="C168" s="8">
        <f>(L62*($E62/365))+(L63*($E63/365))</f>
        <v>50.310502283105031</v>
      </c>
      <c r="D168" s="8">
        <f>(M62*($E62/365))+(M63*($E63/365))</f>
        <v>0</v>
      </c>
      <c r="E168" s="31">
        <f t="shared" si="58"/>
        <v>100.00000000000001</v>
      </c>
      <c r="G168" s="20">
        <v>1985</v>
      </c>
      <c r="H168" s="989">
        <f>(O62/$R62*100*($E62/365))+(O63/$R63*100*($E63/365))</f>
        <v>45.41390787985857</v>
      </c>
      <c r="I168" s="989"/>
      <c r="J168" s="958">
        <f>(P62/$R62*100*($E62/365))+(P63/$R63*100*($E63/365))</f>
        <v>54.586092120141437</v>
      </c>
      <c r="K168" s="958"/>
      <c r="L168" s="958">
        <f>(Q62/$R62*100*($E62/365))+(Q63/$R63*100*($E63/365))</f>
        <v>0</v>
      </c>
      <c r="M168" s="958"/>
      <c r="N168" s="990">
        <f t="shared" si="59"/>
        <v>100</v>
      </c>
      <c r="O168" s="990"/>
      <c r="R168" s="20">
        <v>1985</v>
      </c>
      <c r="S168" s="8">
        <f>(O62*($E62/365))+(O63*($E63/365))</f>
        <v>24.239178082191781</v>
      </c>
      <c r="T168" s="8">
        <f>(P62*($E62/365))+(P63*($E63/365))</f>
        <v>29.144657534246576</v>
      </c>
      <c r="U168" s="8">
        <f>(Q62*($E62/365))+(Q63*($E63/365))</f>
        <v>0</v>
      </c>
      <c r="V168" s="7"/>
      <c r="W168" s="8">
        <f>R62*(E62/365) + R63*(E63/365)</f>
        <v>53.383835616438361</v>
      </c>
    </row>
    <row r="169" spans="1:23">
      <c r="A169" s="20">
        <v>1986</v>
      </c>
      <c r="B169" s="8">
        <f>(K64*($E64/365))+(K65*($E65/365))</f>
        <v>46.666666666666664</v>
      </c>
      <c r="C169" s="8">
        <f>(L64*($E64/365))+(L65*($E65/365))</f>
        <v>53.333333333333336</v>
      </c>
      <c r="D169" s="8">
        <f>(M64*($E64/365))+(M65*($E65/365))</f>
        <v>0</v>
      </c>
      <c r="E169" s="31">
        <f t="shared" si="58"/>
        <v>100</v>
      </c>
      <c r="G169" s="20">
        <v>1986</v>
      </c>
      <c r="H169" s="989">
        <f>(O64/$R64*100*($E64/365))+(O65/$R65*100*($E65/365))</f>
        <v>40.036900369003689</v>
      </c>
      <c r="I169" s="989"/>
      <c r="J169" s="958">
        <f>(P64/$R64*100*($E64/365))+(P65/$R65*100*($E65/365))</f>
        <v>59.963099630996311</v>
      </c>
      <c r="K169" s="958"/>
      <c r="L169" s="958">
        <f>(Q64/$R64*100*($E64/365))+(Q65/$R65*100*($E65/365))</f>
        <v>0</v>
      </c>
      <c r="M169" s="958"/>
      <c r="N169" s="990">
        <f t="shared" si="59"/>
        <v>100</v>
      </c>
      <c r="O169" s="990"/>
      <c r="R169" s="20">
        <v>1986</v>
      </c>
      <c r="S169" s="8">
        <f>(O64*($E64/365))+(O65*($E65/365))</f>
        <v>21.7</v>
      </c>
      <c r="T169" s="8">
        <f>(P64*($E64/365))+(P65*($E65/365))</f>
        <v>32.5</v>
      </c>
      <c r="U169" s="8">
        <f>(Q64*($E64/365))+(Q65*($E65/365))</f>
        <v>0</v>
      </c>
      <c r="V169" s="7"/>
      <c r="W169" s="8">
        <f>R64*(E64/365) + R65*(E65/365)</f>
        <v>54.2</v>
      </c>
    </row>
    <row r="170" spans="1:23" ht="9" customHeight="1">
      <c r="A170" s="20">
        <v>1987</v>
      </c>
      <c r="B170" s="8">
        <f>(K66*($E66/365))+(K67*($E67/365))</f>
        <v>46.083333333333336</v>
      </c>
      <c r="C170" s="8">
        <f>(L66*($E66/365))+(L67*($E67/365))</f>
        <v>53.916666666666671</v>
      </c>
      <c r="D170" s="8">
        <f>(M66*($E66/365))+(M67*($E67/365))</f>
        <v>0</v>
      </c>
      <c r="E170" s="31">
        <f t="shared" si="58"/>
        <v>100</v>
      </c>
      <c r="G170" s="20">
        <v>1987</v>
      </c>
      <c r="H170" s="989">
        <f>(O66/$R66*100*($E66/365))+(O67/$R67*100*($E67/365))</f>
        <v>40.738576171888887</v>
      </c>
      <c r="I170" s="989"/>
      <c r="J170" s="958">
        <f>(P66/$R66*100*($E66/365))+(P67/$R67*100*($E67/365))</f>
        <v>59.261423828111113</v>
      </c>
      <c r="K170" s="958"/>
      <c r="L170" s="958">
        <f>(Q66/$R66*100*($E66/365))+(Q67/$R67*100*($E67/365))</f>
        <v>0</v>
      </c>
      <c r="M170" s="958"/>
      <c r="N170" s="990">
        <f t="shared" si="59"/>
        <v>100</v>
      </c>
      <c r="O170" s="990"/>
      <c r="R170" s="20">
        <v>1987</v>
      </c>
      <c r="S170" s="8">
        <f>(O66*($E66/365))+(O67*($E67/365))</f>
        <v>21.88</v>
      </c>
      <c r="T170" s="8">
        <f>(P66*($E66/365))+(P67*($E67/365))</f>
        <v>31.86</v>
      </c>
      <c r="U170" s="8">
        <f>(Q66*($E66/365))+(Q67*($E67/365))</f>
        <v>0</v>
      </c>
      <c r="V170" s="7"/>
      <c r="W170" s="8">
        <f>R66*(E66/365) + R67*(E67/365)</f>
        <v>53.740000000000009</v>
      </c>
    </row>
    <row r="171" spans="1:23" ht="9" customHeight="1">
      <c r="A171" s="1">
        <v>1988</v>
      </c>
      <c r="B171" s="8">
        <f>(K68*($E68/366))+(K69*($E69/366))</f>
        <v>19.125683060109289</v>
      </c>
      <c r="C171" s="8">
        <f>(L68*($E68/366))+(L69*($E69/366))</f>
        <v>54.387656702025069</v>
      </c>
      <c r="D171" s="8">
        <f>(M68*($E68/366))+(M69*($E69/366))</f>
        <v>26.486660237865635</v>
      </c>
      <c r="E171" s="31">
        <f t="shared" si="58"/>
        <v>100</v>
      </c>
      <c r="F171" s="5"/>
      <c r="G171" s="1">
        <v>1988</v>
      </c>
      <c r="H171" s="989">
        <f>(O68/$R68*100*($E68/366))+(O69/$R69*100*($E69/366))</f>
        <v>19.036187708603133</v>
      </c>
      <c r="I171" s="989"/>
      <c r="J171" s="958">
        <f>(P68/$R68*100*($E68/366))+(P69/$R69*100*($E69/366))</f>
        <v>53.934699266173808</v>
      </c>
      <c r="K171" s="958"/>
      <c r="L171" s="958">
        <f>(Q68/$R68*100*($E68/366))+(Q69/$R69*100*($E69/366))</f>
        <v>27.029113025223054</v>
      </c>
      <c r="M171" s="958"/>
      <c r="N171" s="990">
        <f t="shared" si="59"/>
        <v>100</v>
      </c>
      <c r="O171" s="990"/>
      <c r="R171" s="1">
        <v>1988</v>
      </c>
      <c r="S171" s="8">
        <f>(O68*($E68/366))+(O69*($E69/366))</f>
        <v>9.8797814207650276</v>
      </c>
      <c r="T171" s="8">
        <f>(P68*($E68/366))+(P69*($E69/366))</f>
        <v>33.521311475409831</v>
      </c>
      <c r="U171" s="8">
        <f>(Q68*($E68/366))+(Q69*($E69/366))</f>
        <v>19.136612021857921</v>
      </c>
      <c r="V171" s="7"/>
      <c r="W171" s="8">
        <f>R68*(E68/366) + R69*(E69/366)</f>
        <v>62.537704918032787</v>
      </c>
    </row>
    <row r="172" spans="1:23" s="4" customFormat="1" ht="9" customHeight="1">
      <c r="A172" s="4">
        <v>1989</v>
      </c>
      <c r="B172" s="11">
        <f>(K70*($E70/365))+(K71*($E71/365))</f>
        <v>0</v>
      </c>
      <c r="C172" s="11">
        <f>(L70*($E70/365))+(L71*($E71/365))</f>
        <v>52.941176470588239</v>
      </c>
      <c r="D172" s="11">
        <f>(M70*($E70/365))+(M71*($E71/365))</f>
        <v>47.058823529411761</v>
      </c>
      <c r="E172" s="62">
        <f t="shared" si="58"/>
        <v>100</v>
      </c>
      <c r="G172" s="4">
        <v>1989</v>
      </c>
      <c r="H172" s="999">
        <f>(O70*100*($E70/365)/($R70))+(O71*100*($E71/365)/($R71))</f>
        <v>0</v>
      </c>
      <c r="I172" s="999"/>
      <c r="J172" s="960">
        <f>(P70*100*($E70/365)/($R70))+(P71*100*($E71/365)/($R71))</f>
        <v>51.977401129943502</v>
      </c>
      <c r="K172" s="960"/>
      <c r="L172" s="960">
        <f>(Q70*100*($E70/365)/($R70))+(Q71*100*($E71/365)/($R71))</f>
        <v>48.022598870056498</v>
      </c>
      <c r="M172" s="960"/>
      <c r="N172" s="987">
        <f t="shared" si="59"/>
        <v>100</v>
      </c>
      <c r="O172" s="987"/>
      <c r="R172" s="4">
        <v>1989</v>
      </c>
      <c r="S172" s="11">
        <f>(O70*($E70/365))+(O71*($E71/365))</f>
        <v>0</v>
      </c>
      <c r="T172" s="11">
        <f>(P70*($E70/365))+(P71*($E71/365))</f>
        <v>36.799999999999997</v>
      </c>
      <c r="U172" s="11">
        <f>(Q70*($E70/365))+(Q71*($E71/365))</f>
        <v>34</v>
      </c>
      <c r="V172" s="11"/>
      <c r="W172" s="11">
        <f>R70*(E70/365) + R71*(E71/365)</f>
        <v>70.8</v>
      </c>
    </row>
    <row r="173" spans="1:23" ht="9" customHeight="1">
      <c r="A173" s="1">
        <v>1990</v>
      </c>
      <c r="B173" s="8">
        <f>(K72*($E72/365))+(K73*($E73/365))</f>
        <v>0</v>
      </c>
      <c r="C173" s="8">
        <f>(L72*($E72/365))+(L73*($E73/365))</f>
        <v>52.941176470588239</v>
      </c>
      <c r="D173" s="8">
        <f>(M72*($E72/365))+(M73*($E73/365))</f>
        <v>47.058823529411761</v>
      </c>
      <c r="E173" s="31">
        <f t="shared" si="58"/>
        <v>100</v>
      </c>
      <c r="G173" s="1">
        <v>1990</v>
      </c>
      <c r="H173" s="989">
        <f>(O72*100*($E72/365)/($R72))+(O73*100*($E73/365)/($R73))</f>
        <v>0</v>
      </c>
      <c r="I173" s="989"/>
      <c r="J173" s="958">
        <f>(P72*100*($E72/365)/($R72))+(P73*100*($E73/365)/($R73))</f>
        <v>51.977401129943502</v>
      </c>
      <c r="K173" s="958"/>
      <c r="L173" s="958">
        <f>(Q72*100*($E72/365)/($R72))+(Q73*100*($E73/365)/($R73))</f>
        <v>48.022598870056498</v>
      </c>
      <c r="M173" s="958"/>
      <c r="N173" s="990">
        <f t="shared" si="59"/>
        <v>100</v>
      </c>
      <c r="O173" s="990"/>
      <c r="R173" s="1">
        <v>1990</v>
      </c>
      <c r="S173" s="8">
        <f>(O72*($E72/365))+(O73*($E73/365))</f>
        <v>0</v>
      </c>
      <c r="T173" s="8">
        <f>(P72*($E72/365))+(P73*($E73/365))</f>
        <v>36.799999999999997</v>
      </c>
      <c r="U173" s="8">
        <f>(Q72*($E72/365))+(Q73*($E73/365))</f>
        <v>34</v>
      </c>
      <c r="V173" s="7"/>
      <c r="W173" s="8">
        <f>R72*(E72/365) + R73*(E73/365)</f>
        <v>70.8</v>
      </c>
    </row>
    <row r="174" spans="1:23" ht="9" customHeight="1">
      <c r="A174" s="1">
        <v>1991</v>
      </c>
      <c r="B174" s="8">
        <f>(K74*($E74/365))+(K75*($E75/365))</f>
        <v>0</v>
      </c>
      <c r="C174" s="8">
        <f>(L74*($E74/365))+(L75*($E75/365))</f>
        <v>51.490733279613217</v>
      </c>
      <c r="D174" s="8">
        <f>(M74*($E74/365))+(M75*($E75/365))</f>
        <v>48.509266720386783</v>
      </c>
      <c r="E174" s="31">
        <f t="shared" si="58"/>
        <v>100</v>
      </c>
      <c r="G174" s="1">
        <v>1991</v>
      </c>
      <c r="H174" s="1001">
        <f>(O74*100*($E74/365)/($R74))+(O75*100*($E75/365)/($R75))</f>
        <v>0</v>
      </c>
      <c r="I174" s="1001"/>
      <c r="J174" s="1002">
        <f>(P74*100*($E74/365)/($R74))+(P75*100*($E75/365)/($R75))</f>
        <v>51.977401129943502</v>
      </c>
      <c r="K174" s="1002"/>
      <c r="L174" s="1002">
        <f>(Q74*100*($E74/365)/($R74))+(Q75*100*($E75/365)/($R75))</f>
        <v>48.022598870056498</v>
      </c>
      <c r="M174" s="1002"/>
      <c r="N174" s="990">
        <f t="shared" si="59"/>
        <v>100</v>
      </c>
      <c r="O174" s="990"/>
      <c r="R174" s="1">
        <v>1991</v>
      </c>
      <c r="S174" s="8">
        <f>(O74*($E74/365))+(O75*($E75/365))</f>
        <v>0</v>
      </c>
      <c r="T174" s="8">
        <f>(P74*($E74/365))+(P75*($E75/365))</f>
        <v>36.799999999999997</v>
      </c>
      <c r="U174" s="8">
        <f>(Q74*($E74/365))+(Q75*($E75/365))</f>
        <v>34</v>
      </c>
      <c r="V174" s="7"/>
      <c r="W174" s="8">
        <f>R74*(E74/365) + R75*(E75/365)</f>
        <v>70.8</v>
      </c>
    </row>
    <row r="175" spans="1:23" ht="9" customHeight="1">
      <c r="A175" s="1">
        <v>1992</v>
      </c>
      <c r="B175" s="8">
        <f>(K76*($E76/366))+(K77*($E77/366))</f>
        <v>0</v>
      </c>
      <c r="C175" s="8">
        <f>(L76*($E76/366))+(L77*($E77/366))</f>
        <v>46.743812279009958</v>
      </c>
      <c r="D175" s="8">
        <f>(M76*($E76/366))+(M77*($E77/366))</f>
        <v>53.256187720990042</v>
      </c>
      <c r="E175" s="31">
        <f t="shared" ref="E175:E194" si="60">SUM(B175:D175)</f>
        <v>100</v>
      </c>
      <c r="G175" s="1">
        <v>1992</v>
      </c>
      <c r="H175" s="1001">
        <f>(O76*100*($E76/366)/($R76))+(O77*100*($E77/366)/($R77))</f>
        <v>0</v>
      </c>
      <c r="I175" s="1001"/>
      <c r="J175" s="1002">
        <f>(P76*100*($E76/366)/($R76))+(P77*100*($E77/366)/($R77))</f>
        <v>48.40208852675017</v>
      </c>
      <c r="K175" s="1002"/>
      <c r="L175" s="1002">
        <f>(Q76*100*($E76/366)/($R76))+(Q77*100*($E77/366)/($R77))</f>
        <v>51.597911473249837</v>
      </c>
      <c r="M175" s="1002"/>
      <c r="N175" s="990">
        <f t="shared" si="59"/>
        <v>100</v>
      </c>
      <c r="O175" s="990"/>
      <c r="R175" s="1">
        <v>1992</v>
      </c>
      <c r="S175" s="8">
        <f>(O76*($E76/366))+(O77*($E77/366))</f>
        <v>0</v>
      </c>
      <c r="T175" s="8">
        <f>(P76*($E76/366))+(P77*($E77/366))</f>
        <v>28.847540983606557</v>
      </c>
      <c r="U175" s="8">
        <f>(Q76*($E76/366))+(Q77*($E77/366))</f>
        <v>30.545901639344265</v>
      </c>
      <c r="V175" s="7"/>
      <c r="W175" s="8">
        <f>R76*(E76/366) + R77*(E77/366)</f>
        <v>59.393442622950815</v>
      </c>
    </row>
    <row r="176" spans="1:23" ht="9" customHeight="1">
      <c r="A176" s="1">
        <v>1993</v>
      </c>
      <c r="B176" s="8">
        <f>(K78*($E78/365))+(K79*($E79/365))</f>
        <v>0</v>
      </c>
      <c r="C176" s="8">
        <f>(L78*($E78/365))+(L79*($E79/365))</f>
        <v>46.666666666666664</v>
      </c>
      <c r="D176" s="8">
        <f>(M78*($E78/365))+(M79*($E79/365))</f>
        <v>53.333333333333336</v>
      </c>
      <c r="E176" s="31">
        <f t="shared" si="60"/>
        <v>100</v>
      </c>
      <c r="G176" s="1">
        <v>1993</v>
      </c>
      <c r="H176" s="1001">
        <f>(O78*100*($E78/365)/($R78))+(O79*100*($E79/365)/($R79))</f>
        <v>0</v>
      </c>
      <c r="I176" s="1001"/>
      <c r="J176" s="1002">
        <f>(P78*100*($E78/365)/($R78))+(P79*100*($E79/365)/($R79))</f>
        <v>47.526501766784456</v>
      </c>
      <c r="K176" s="1002"/>
      <c r="L176" s="1002">
        <f>(Q78*100*($E78/365)/($R78))+(Q79*100*($E79/365)/($R79))</f>
        <v>52.473498233215551</v>
      </c>
      <c r="M176" s="1002"/>
      <c r="N176" s="990">
        <f t="shared" si="59"/>
        <v>100</v>
      </c>
      <c r="O176" s="990"/>
      <c r="R176" s="1">
        <v>1993</v>
      </c>
      <c r="S176" s="8">
        <f>(O78*($E78/365))+(O79*($E79/365))</f>
        <v>0</v>
      </c>
      <c r="T176" s="8">
        <f>(P78*($E78/365))+(P79*($E79/365))</f>
        <v>26.9</v>
      </c>
      <c r="U176" s="8">
        <f>(Q78*($E78/365))+(Q79*($E79/365))</f>
        <v>29.7</v>
      </c>
      <c r="V176" s="7"/>
      <c r="W176" s="8">
        <f>R78*(E78/365) + R79*(E79/365)</f>
        <v>56.599999999999994</v>
      </c>
    </row>
    <row r="177" spans="1:23" ht="9" customHeight="1">
      <c r="A177" s="1">
        <v>1994</v>
      </c>
      <c r="B177" s="8">
        <f>(K80*($E80/365))+(K81*($E81/365))</f>
        <v>0</v>
      </c>
      <c r="C177" s="8">
        <f>(L80*($E80/365))+(L81*($E81/365))</f>
        <v>46.666666666666664</v>
      </c>
      <c r="D177" s="8">
        <f>(M80*($E80/365))+(M81*($E81/365))</f>
        <v>53.333333333333336</v>
      </c>
      <c r="E177" s="31">
        <f t="shared" si="60"/>
        <v>100</v>
      </c>
      <c r="G177" s="1">
        <v>1994</v>
      </c>
      <c r="H177" s="1001">
        <f>(O80*100*($E80/365)/($R80))+(O81*100*($E81/365)/($R81))</f>
        <v>0</v>
      </c>
      <c r="I177" s="1001"/>
      <c r="J177" s="1002">
        <f>(P80*100*($E80/365)/($R80))+(P81*100*($E81/365)/($R81))</f>
        <v>47.526501766784456</v>
      </c>
      <c r="K177" s="1002"/>
      <c r="L177" s="1002">
        <f>(Q80*100*($E80/365)/($R80))+(Q81*100*($E81/365)/($R81))</f>
        <v>52.473498233215551</v>
      </c>
      <c r="M177" s="1002"/>
      <c r="N177" s="990">
        <f t="shared" si="59"/>
        <v>100</v>
      </c>
      <c r="O177" s="990"/>
      <c r="R177" s="1">
        <v>1994</v>
      </c>
      <c r="S177" s="8">
        <f>(O80*($E80/365))+(O81*($E81/365))</f>
        <v>0</v>
      </c>
      <c r="T177" s="8">
        <f>(P80*($E80/365))+(P81*($E81/365))</f>
        <v>26.9</v>
      </c>
      <c r="U177" s="8">
        <f>(Q80*($E80/365))+(Q81*($E81/365))</f>
        <v>29.7</v>
      </c>
      <c r="V177" s="7"/>
      <c r="W177" s="8">
        <f>R80*(E80/365) + R81*(E81/365)</f>
        <v>56.599999999999994</v>
      </c>
    </row>
    <row r="178" spans="1:23" ht="9" customHeight="1">
      <c r="A178" s="1">
        <v>1995</v>
      </c>
      <c r="B178" s="8">
        <f>(K82*($E82/365))+(K83*($E83/365))</f>
        <v>0</v>
      </c>
      <c r="C178" s="8">
        <f>(L82*($E82/365))+(L83*($E83/365))</f>
        <v>46.666666666666657</v>
      </c>
      <c r="D178" s="8">
        <f>(M82*($E82/365))+(M83*($E83/365))</f>
        <v>53.333333333333329</v>
      </c>
      <c r="E178" s="31">
        <f t="shared" si="60"/>
        <v>99.999999999999986</v>
      </c>
      <c r="G178" s="1">
        <v>1995</v>
      </c>
      <c r="H178" s="1001">
        <f>(O82*100*($E82/365)/($R82))+(O83*100*($E83/365)/($R83))</f>
        <v>0</v>
      </c>
      <c r="I178" s="1001"/>
      <c r="J178" s="1002">
        <f>(P82*100*($E82/365)/($R82))+(P83*100*($E83/365)/($R83))</f>
        <v>48.827629604530713</v>
      </c>
      <c r="K178" s="1002"/>
      <c r="L178" s="1002">
        <f>(Q82*100*($E82/365)/($R82))+(Q83*100*($E83/365)/($R83))</f>
        <v>51.172370395469287</v>
      </c>
      <c r="M178" s="1002"/>
      <c r="N178" s="990">
        <f t="shared" si="59"/>
        <v>100</v>
      </c>
      <c r="O178" s="990"/>
      <c r="R178" s="1">
        <v>1995</v>
      </c>
      <c r="S178" s="8">
        <f>(O82*($E82/365))+(O83*($E83/365))</f>
        <v>0</v>
      </c>
      <c r="T178" s="8">
        <f>(P82*($E82/365))+(P83*($E83/365))</f>
        <v>27.110410958904108</v>
      </c>
      <c r="U178" s="8">
        <f>(Q82*($E82/365))+(Q83*($E83/365))</f>
        <v>28.437534246575339</v>
      </c>
      <c r="V178" s="7"/>
      <c r="W178" s="8">
        <f>R82*(E82/365) + R83*(E83/365)</f>
        <v>55.547945205479451</v>
      </c>
    </row>
    <row r="179" spans="1:23" ht="9" customHeight="1">
      <c r="A179" s="1">
        <v>1996</v>
      </c>
      <c r="B179" s="8">
        <f>(K84*($E84/366))+(K85*($E85/366))</f>
        <v>0</v>
      </c>
      <c r="C179" s="8">
        <f>(L84*($E84/366))+(L85*($E85/366))</f>
        <v>46.666666666666664</v>
      </c>
      <c r="D179" s="8">
        <f>(M84*($E84/366))+(M85*($E85/366))</f>
        <v>53.333333333333336</v>
      </c>
      <c r="E179" s="31">
        <f t="shared" si="60"/>
        <v>100</v>
      </c>
      <c r="G179" s="1">
        <v>1996</v>
      </c>
      <c r="H179" s="1001">
        <f>(O84*100*($E84/366)/($R84))+(O85*100*($E85/366)/($R85))</f>
        <v>0</v>
      </c>
      <c r="I179" s="1001"/>
      <c r="J179" s="1002">
        <f>(P84*100*($E84/366)/($R84))+(P85*100*($E85/366)/($R85))</f>
        <v>50</v>
      </c>
      <c r="K179" s="1002"/>
      <c r="L179" s="1002">
        <f>(Q84*100*($E84/366)/($R84))+(Q85*100*($E85/366)/($R85))</f>
        <v>50</v>
      </c>
      <c r="M179" s="1002"/>
      <c r="N179" s="990">
        <f t="shared" si="59"/>
        <v>100</v>
      </c>
      <c r="O179" s="990"/>
      <c r="R179" s="1">
        <v>1996</v>
      </c>
      <c r="S179" s="8">
        <f>(O84*($E84/366))+(O85*($E85/366))</f>
        <v>0</v>
      </c>
      <c r="T179" s="8">
        <f>(P84*($E84/366))+(P85*($E85/366))</f>
        <v>27.3</v>
      </c>
      <c r="U179" s="8">
        <f>(Q84*($E84/366))+(Q85*($E85/366))</f>
        <v>27.3</v>
      </c>
      <c r="V179" s="7"/>
      <c r="W179" s="8">
        <f>R84*(E84/366) + R85*(E85/366)</f>
        <v>54.6</v>
      </c>
    </row>
    <row r="180" spans="1:23" ht="9" customHeight="1">
      <c r="A180" s="1">
        <v>1997</v>
      </c>
      <c r="B180" s="8">
        <f>(K86*($E86/365))+(K87*($E87/365))</f>
        <v>0</v>
      </c>
      <c r="C180" s="8">
        <f>(L86*($E86/365))+(L87*($E87/365))</f>
        <v>46.666666666666664</v>
      </c>
      <c r="D180" s="8">
        <f>(M86*($E86/365))+(M87*($E87/365))</f>
        <v>53.333333333333336</v>
      </c>
      <c r="E180" s="31">
        <f t="shared" si="60"/>
        <v>100</v>
      </c>
      <c r="G180" s="1">
        <v>1997</v>
      </c>
      <c r="H180" s="1001">
        <f>(O86*100*($E86/365)/($R86))+(O87*100*($E87/365)/($R87))</f>
        <v>0</v>
      </c>
      <c r="I180" s="1001"/>
      <c r="J180" s="1002">
        <f>(P86*100*($E86/365)/($R86))+(P87*100*($E87/365)/($R87))</f>
        <v>50</v>
      </c>
      <c r="K180" s="1002"/>
      <c r="L180" s="1002">
        <f>(Q86*100*($E86/365)/($R86))+(Q87*100*($E87/365)/($R87))</f>
        <v>50</v>
      </c>
      <c r="M180" s="1002"/>
      <c r="N180" s="990">
        <f t="shared" si="59"/>
        <v>100</v>
      </c>
      <c r="O180" s="990"/>
      <c r="R180" s="1">
        <v>1997</v>
      </c>
      <c r="S180" s="8">
        <f>(O86*($E86/365))+(O87*($E87/365))</f>
        <v>0</v>
      </c>
      <c r="T180" s="8">
        <f>(P86*($E86/365))+(P87*($E87/365))</f>
        <v>27.3</v>
      </c>
      <c r="U180" s="8">
        <f>(Q86*($E86/365))+(Q87*($E87/365))</f>
        <v>27.3</v>
      </c>
      <c r="V180" s="7"/>
      <c r="W180" s="8">
        <f>R86*(E86/365) + R87*(E87/365)</f>
        <v>54.6</v>
      </c>
    </row>
    <row r="181" spans="1:23" ht="9" customHeight="1">
      <c r="A181" s="1">
        <v>1998</v>
      </c>
      <c r="B181" s="8">
        <f>(K88*($E88/365))+(K89*($E89/365))</f>
        <v>0</v>
      </c>
      <c r="C181" s="8">
        <f>(L88*($E88/365))+(L89*($E89/365))</f>
        <v>46.666666666666664</v>
      </c>
      <c r="D181" s="8">
        <f>(M88*($E88/365))+(M89*($E89/365))</f>
        <v>53.333333333333336</v>
      </c>
      <c r="E181" s="31">
        <f t="shared" si="60"/>
        <v>100</v>
      </c>
      <c r="G181" s="1">
        <v>1998</v>
      </c>
      <c r="H181" s="1001">
        <f>(O88*100*($E88/365)/($R88))+(O89*100*($E89/365)/($R89))</f>
        <v>0</v>
      </c>
      <c r="I181" s="1001"/>
      <c r="J181" s="1002">
        <f>(P88*100*($E88/365)/($R88))+(P89*100*($E89/365)/($R89))</f>
        <v>50</v>
      </c>
      <c r="K181" s="1002"/>
      <c r="L181" s="1002">
        <f>(Q88*100*($E88/365)/($R88))+(Q89*100*($E89/365)/($R89))</f>
        <v>50</v>
      </c>
      <c r="M181" s="1002"/>
      <c r="N181" s="990">
        <f t="shared" si="59"/>
        <v>100</v>
      </c>
      <c r="O181" s="990"/>
      <c r="R181" s="1">
        <v>1998</v>
      </c>
      <c r="S181" s="8">
        <f>(O88*($E88/365))+(O89*($E89/365))</f>
        <v>0</v>
      </c>
      <c r="T181" s="8">
        <f>(P88*($E88/365))+(P89*($E89/365))</f>
        <v>27.3</v>
      </c>
      <c r="U181" s="8">
        <f>(Q88*($E88/365))+(Q89*($E89/365))</f>
        <v>27.3</v>
      </c>
      <c r="V181" s="7"/>
      <c r="W181" s="8">
        <f>R88*(E88/365) + R89*(E89/365)</f>
        <v>54.6</v>
      </c>
    </row>
    <row r="182" spans="1:23" ht="9" customHeight="1">
      <c r="A182" s="1">
        <v>1999</v>
      </c>
      <c r="B182" s="8">
        <f>(K90*($E90/365))+(K91*($E91/365))</f>
        <v>21.990867579908674</v>
      </c>
      <c r="C182" s="8">
        <f>(L90*($E90/365))+(L91*($E91/365))</f>
        <v>24.675799086757991</v>
      </c>
      <c r="D182" s="8">
        <f>(M90*($E90/365))+(M91*($E91/365))</f>
        <v>53.333333333333343</v>
      </c>
      <c r="E182" s="31">
        <f t="shared" si="60"/>
        <v>100</v>
      </c>
      <c r="G182" s="1">
        <v>1999</v>
      </c>
      <c r="H182" s="1001">
        <f>(O90*100*($E90/365)/($R90))+(O91*100*($E91/365)/($R91))</f>
        <v>20.550571140968973</v>
      </c>
      <c r="I182" s="1001"/>
      <c r="J182" s="1002">
        <f>(P90*100*($E90/365)/($R90))+(P91*100*($E91/365)/($R91))</f>
        <v>26.438356164383563</v>
      </c>
      <c r="K182" s="1002"/>
      <c r="L182" s="1002">
        <f>(Q90*100*($E90/365)/($R90))+(Q91*100*($E91/365)/($R91))</f>
        <v>53.011072694647467</v>
      </c>
      <c r="M182" s="1002"/>
      <c r="N182" s="990">
        <f t="shared" si="59"/>
        <v>100</v>
      </c>
      <c r="O182" s="990"/>
      <c r="R182" s="1">
        <v>1999</v>
      </c>
      <c r="S182" s="8">
        <f>(O90*($E90/365))+(O91*($E91/365))</f>
        <v>12.864657534246575</v>
      </c>
      <c r="T182" s="8">
        <f>(P90*($E90/365))+(P91*($E91/365))</f>
        <v>14.435342465753426</v>
      </c>
      <c r="U182" s="8">
        <f>(Q90*($E90/365))+(Q91*($E91/365))</f>
        <v>31.06986301369863</v>
      </c>
      <c r="V182" s="7"/>
      <c r="W182" s="8">
        <f>R90*(E90/365) + R91*(E91/365)</f>
        <v>58.369863013698634</v>
      </c>
    </row>
    <row r="183" spans="1:23" ht="9" customHeight="1">
      <c r="A183" s="1">
        <v>2000</v>
      </c>
      <c r="B183" s="8">
        <f>(K92*($E92/366))+(K93*($E93/366))</f>
        <v>46.666666666666664</v>
      </c>
      <c r="C183" s="8">
        <f>(L92*($E92/366))+(L93*($E93/366))</f>
        <v>0</v>
      </c>
      <c r="D183" s="8">
        <f>(M92*($E92/366))+(M93*($E93/366))</f>
        <v>53.333333333333336</v>
      </c>
      <c r="E183" s="31">
        <f t="shared" si="60"/>
        <v>100</v>
      </c>
      <c r="G183" s="1">
        <v>2000</v>
      </c>
      <c r="H183" s="1001">
        <f>(O92*100*($E92/366)/($R92))+(O93*100*($E93/366)/($R93))</f>
        <v>43.610223642172528</v>
      </c>
      <c r="I183" s="1001"/>
      <c r="J183" s="1002">
        <f>(P92*100*($E92/366)/($R92))+(P93*100*($E93/366)/($R93))</f>
        <v>0</v>
      </c>
      <c r="K183" s="1002"/>
      <c r="L183" s="1002">
        <f>(Q92*100*($E92/366)/($R92))+(Q93*100*($E93/366)/($R93))</f>
        <v>56.389776357827472</v>
      </c>
      <c r="M183" s="1002"/>
      <c r="N183" s="990">
        <f t="shared" si="59"/>
        <v>100</v>
      </c>
      <c r="O183" s="990"/>
      <c r="R183" s="1">
        <v>2000</v>
      </c>
      <c r="S183" s="8">
        <f>(O92*($E92/366))+(O93*($E93/366))</f>
        <v>27.3</v>
      </c>
      <c r="T183" s="8">
        <f>(P92*($E92/366))+(P93*($E93/366))</f>
        <v>0</v>
      </c>
      <c r="U183" s="8">
        <f>(Q92*($E92/366))+(Q93*($E93/366))</f>
        <v>35.299999999999997</v>
      </c>
      <c r="V183" s="7"/>
      <c r="W183" s="8">
        <f>R92*(E92/366) + R93*(E93/366)</f>
        <v>62.599999999999994</v>
      </c>
    </row>
    <row r="184" spans="1:23" ht="9" customHeight="1">
      <c r="A184" s="1">
        <v>2001</v>
      </c>
      <c r="B184" s="8">
        <f>(K94*($E94/365))+(K95*($E95/365))</f>
        <v>46.666666666666664</v>
      </c>
      <c r="C184" s="8">
        <f>(L94*($E94/365))+(L95*($E95/365))</f>
        <v>0</v>
      </c>
      <c r="D184" s="8">
        <f>(M94*($E94/365))+(M95*($E95/365))</f>
        <v>53.333333333333336</v>
      </c>
      <c r="E184" s="31">
        <f t="shared" si="60"/>
        <v>100</v>
      </c>
      <c r="G184" s="1">
        <v>2001</v>
      </c>
      <c r="H184" s="1001">
        <f>(O94*100*($E94/365)/($R94))+(O95*100*($E95/365)/($R95))</f>
        <v>43.610223642172528</v>
      </c>
      <c r="I184" s="1001"/>
      <c r="J184" s="1002">
        <f>(P94*100*($E94/365)/($R94))+(P95*100*($E95/365)/($R95))</f>
        <v>0</v>
      </c>
      <c r="K184" s="1002"/>
      <c r="L184" s="1002">
        <f>(Q94*100*($E94/365)/($R94))+(Q95*100*($E95/365)/($R95))</f>
        <v>56.389776357827472</v>
      </c>
      <c r="M184" s="1002"/>
      <c r="N184" s="990">
        <f t="shared" si="59"/>
        <v>100</v>
      </c>
      <c r="O184" s="990"/>
      <c r="R184" s="1">
        <v>2001</v>
      </c>
      <c r="S184" s="8">
        <f>(O94*($E94/365))+(O95*($E95/365))</f>
        <v>27.3</v>
      </c>
      <c r="T184" s="8">
        <f>(P94*($E94/365))+(P95*($E95/365))</f>
        <v>0</v>
      </c>
      <c r="U184" s="8">
        <f>(Q94*($E94/365))+(Q95*($E95/365))</f>
        <v>35.299999999999997</v>
      </c>
      <c r="V184" s="7"/>
      <c r="W184" s="8">
        <f>R94*(E94/365) + R95*(E95/365)</f>
        <v>62.599999999999994</v>
      </c>
    </row>
    <row r="185" spans="1:23" ht="9" customHeight="1">
      <c r="A185" s="1">
        <v>2002</v>
      </c>
      <c r="B185" s="8">
        <f>(K96*($E96/365))+(K97*($E97/365))</f>
        <v>46.666666666666664</v>
      </c>
      <c r="C185" s="8">
        <f>(L96*($E96/365))+(L97*($E97/365))</f>
        <v>0</v>
      </c>
      <c r="D185" s="8">
        <f>(M96*($E96/365))+(M97*($E97/365))</f>
        <v>53.333333333333336</v>
      </c>
      <c r="E185" s="31">
        <f t="shared" si="60"/>
        <v>100</v>
      </c>
      <c r="G185" s="1">
        <v>2002</v>
      </c>
      <c r="H185" s="1001">
        <f>(O96*100*($E96/365)/($R96))+(O97*100*($E97/365)/($R97))</f>
        <v>43.610223642172528</v>
      </c>
      <c r="I185" s="1001"/>
      <c r="J185" s="1002">
        <f>(P96*100*($E96/365)/($R96))+(P97*100*($E97/365)/($R97))</f>
        <v>0</v>
      </c>
      <c r="K185" s="1002"/>
      <c r="L185" s="1002">
        <f>(Q96*100*($E96/365)/($R96))+(Q97*100*($E97/365)/($R97))</f>
        <v>56.389776357827472</v>
      </c>
      <c r="M185" s="1002"/>
      <c r="N185" s="990">
        <f t="shared" si="59"/>
        <v>100</v>
      </c>
      <c r="O185" s="990"/>
      <c r="R185" s="1">
        <v>2002</v>
      </c>
      <c r="S185" s="8">
        <f>(O96*($E96/365))+(O97*($E97/365))</f>
        <v>27.3</v>
      </c>
      <c r="T185" s="8">
        <f>(P96*($E96/365))+(P97*($E97/365))</f>
        <v>0</v>
      </c>
      <c r="U185" s="8">
        <f>(Q96*($E96/365))+(Q97*($E97/365))</f>
        <v>35.299999999999997</v>
      </c>
      <c r="V185" s="7"/>
      <c r="W185" s="8">
        <f>R96*(E96/365) + R97*(E97/365)</f>
        <v>62.599999999999994</v>
      </c>
    </row>
    <row r="186" spans="1:23" ht="9" customHeight="1">
      <c r="A186" s="1">
        <v>2003</v>
      </c>
      <c r="B186" s="8">
        <f>(K98*($E98/365))+(K99*($E99/365))</f>
        <v>46.666666666666657</v>
      </c>
      <c r="C186" s="8">
        <f>(L98*($E98/365))+(L99*($E99/365))</f>
        <v>0</v>
      </c>
      <c r="D186" s="8">
        <f>(M98*($E98/365))+(M99*($E99/365))</f>
        <v>53.333333333333329</v>
      </c>
      <c r="E186" s="31">
        <f t="shared" si="60"/>
        <v>99.999999999999986</v>
      </c>
      <c r="G186" s="1">
        <v>2003</v>
      </c>
      <c r="H186" s="1001">
        <f>(O98*100*($E98/365)/($R98))+(O99*100*($E99/365)/($R99))</f>
        <v>46.895201972116794</v>
      </c>
      <c r="I186" s="1001"/>
      <c r="J186" s="1002">
        <f>(P98*100*($E98/365)/($R98))+(P99*100*($E99/365)/($R99))</f>
        <v>0</v>
      </c>
      <c r="K186" s="1002"/>
      <c r="L186" s="1002">
        <f>(Q98*100*($E98/365)/($R98))+(Q99*100*($E99/365)/($R99))</f>
        <v>53.104798027883206</v>
      </c>
      <c r="M186" s="1002"/>
      <c r="N186" s="990">
        <f t="shared" si="59"/>
        <v>100</v>
      </c>
      <c r="O186" s="990"/>
      <c r="R186" s="1">
        <v>2003</v>
      </c>
      <c r="S186" s="8">
        <f>(O98*($E98/365))+(O99*($E99/365))</f>
        <v>29.859452054794524</v>
      </c>
      <c r="T186" s="8">
        <f>(P98*($E98/365))+(P99*($E99/365))</f>
        <v>0</v>
      </c>
      <c r="U186" s="8">
        <f>(Q98*($E98/365))+(Q99*($E99/365))</f>
        <v>33.735890410958902</v>
      </c>
      <c r="V186" s="7"/>
      <c r="W186" s="8">
        <f>R98*(E98/365) + R99*(E99/365)</f>
        <v>63.595342465753419</v>
      </c>
    </row>
    <row r="187" spans="1:23" ht="9" customHeight="1">
      <c r="A187" s="1">
        <v>2004</v>
      </c>
      <c r="B187" s="8">
        <f>(K100*($E100/366))+(K101*($E101/366))</f>
        <v>46.666666666666664</v>
      </c>
      <c r="C187" s="8">
        <f>(L100*($E100/366))+(L101*($E101/366))</f>
        <v>0</v>
      </c>
      <c r="D187" s="8">
        <f>(M100*($E100/366))+(M101*($E101/366))</f>
        <v>53.333333333333336</v>
      </c>
      <c r="E187" s="31">
        <f t="shared" si="60"/>
        <v>100</v>
      </c>
      <c r="G187" s="1">
        <v>2004</v>
      </c>
      <c r="H187" s="1001">
        <f>(O100*100*($E100/366)/($R100))+(O101*100*($E101/366)/($R101))</f>
        <v>50.540958268933544</v>
      </c>
      <c r="I187" s="1001"/>
      <c r="J187" s="1002">
        <f>(P100*100*($E100/366)/($R100))+(P101*100*($E101/366)/($R101))</f>
        <v>0</v>
      </c>
      <c r="K187" s="1002"/>
      <c r="L187" s="1002">
        <f>(Q100*100*($E100/366)/($R100))+(Q101*100*($E101/366)/($R101))</f>
        <v>49.459041731066456</v>
      </c>
      <c r="M187" s="1002"/>
      <c r="N187" s="990">
        <f t="shared" si="59"/>
        <v>100</v>
      </c>
      <c r="O187" s="990"/>
      <c r="R187" s="1">
        <v>2004</v>
      </c>
      <c r="S187" s="8">
        <f>(O100*($E100/366))+(O101*($E101/366))</f>
        <v>32.700000000000003</v>
      </c>
      <c r="T187" s="8">
        <f>(P100*($E100/366))+(P101*($E101/366))</f>
        <v>0</v>
      </c>
      <c r="U187" s="8">
        <f>(Q100*($E100/366))+(Q101*($E101/366))</f>
        <v>32</v>
      </c>
      <c r="V187" s="7"/>
      <c r="W187" s="8">
        <f>R100*(E100/366) + R101*(E101/366)</f>
        <v>64.7</v>
      </c>
    </row>
    <row r="188" spans="1:23" ht="9" customHeight="1">
      <c r="A188" s="1">
        <v>2005</v>
      </c>
      <c r="B188" s="8">
        <f>(K102*($E102/365))+(K103*($E103/365))</f>
        <v>46.666666666666664</v>
      </c>
      <c r="C188" s="8">
        <f>(L102*($E102/365))+(L103*($E103/365))</f>
        <v>0</v>
      </c>
      <c r="D188" s="8">
        <f>(M102*($E102/365))+(M103*($E103/365))</f>
        <v>53.333333333333336</v>
      </c>
      <c r="E188" s="31">
        <f t="shared" si="60"/>
        <v>100</v>
      </c>
      <c r="G188" s="1">
        <v>2005</v>
      </c>
      <c r="H188" s="1001">
        <f>(O102*100*($E102/365)/($R102))+(O103*100*($E103/365)/($R103))</f>
        <v>50.540958268933544</v>
      </c>
      <c r="I188" s="1001"/>
      <c r="J188" s="1002">
        <f>(P102*100*($E102/365)/($R102))+(P103*100*($E103/365)/($R103))</f>
        <v>0</v>
      </c>
      <c r="K188" s="1002"/>
      <c r="L188" s="1002">
        <f>(Q102*100*($E102/365)/($R102))+(Q103*100*($E103/365)/($R103))</f>
        <v>49.459041731066456</v>
      </c>
      <c r="M188" s="1002"/>
      <c r="N188" s="990">
        <f t="shared" si="59"/>
        <v>100</v>
      </c>
      <c r="O188" s="990"/>
      <c r="R188" s="1">
        <v>2005</v>
      </c>
      <c r="S188" s="8">
        <f>(O102*($E102/365))+(O103*($E103/365))</f>
        <v>32.700000000000003</v>
      </c>
      <c r="T188" s="8">
        <f>(P102*($E102/365))+(P103*($E103/365))</f>
        <v>0</v>
      </c>
      <c r="U188" s="8">
        <f>(Q102*($E102/365))+(Q103*($E103/365))</f>
        <v>32</v>
      </c>
      <c r="V188" s="7"/>
      <c r="W188" s="8">
        <f>R102*(E102/365) + R103*(E103/365)</f>
        <v>64.7</v>
      </c>
    </row>
    <row r="189" spans="1:23" ht="9" customHeight="1">
      <c r="A189" s="1">
        <v>2006</v>
      </c>
      <c r="B189" s="8">
        <f>(K104*($E104/365))+(K105*($E105/365))</f>
        <v>46.666666666666664</v>
      </c>
      <c r="C189" s="8">
        <f>(L104*($E104/365))+(L105*($E105/365))</f>
        <v>0</v>
      </c>
      <c r="D189" s="8">
        <f>(M104*($E104/365))+(M105*($E105/365))</f>
        <v>53.333333333333336</v>
      </c>
      <c r="E189" s="31">
        <f t="shared" si="60"/>
        <v>100</v>
      </c>
      <c r="G189" s="1">
        <v>2006</v>
      </c>
      <c r="H189" s="1001">
        <f>(O104*100*($E104/365)/($R104))+(O105*100*($E105/365)/($R105))</f>
        <v>50.540958268933544</v>
      </c>
      <c r="I189" s="1001"/>
      <c r="J189" s="1002">
        <f>(P104*100*($E104/365)/($R104))+(P105*100*($E105/365)/($R105))</f>
        <v>0</v>
      </c>
      <c r="K189" s="1002"/>
      <c r="L189" s="1002">
        <f>(Q104*100*($E104/365)/($R104))+(Q105*100*($E105/365)/($R105))</f>
        <v>49.459041731066456</v>
      </c>
      <c r="M189" s="1002"/>
      <c r="N189" s="990">
        <f t="shared" si="59"/>
        <v>100</v>
      </c>
      <c r="O189" s="990"/>
      <c r="R189" s="1">
        <v>2006</v>
      </c>
      <c r="S189" s="8">
        <f>(O104*($E104/365))+(O105*($E105/365))</f>
        <v>32.700000000000003</v>
      </c>
      <c r="T189" s="8">
        <f>(P104*($E104/365))+(P105*($E105/365))</f>
        <v>0</v>
      </c>
      <c r="U189" s="8">
        <f>(Q104*($E104/365))+(Q105*($E105/365))</f>
        <v>32</v>
      </c>
      <c r="V189" s="7"/>
      <c r="W189" s="8">
        <f>R104*(E104/365) + R105*(E105/365)</f>
        <v>64.7</v>
      </c>
    </row>
    <row r="190" spans="1:23" ht="9" customHeight="1">
      <c r="A190" s="1">
        <v>2007</v>
      </c>
      <c r="B190" s="8">
        <f>(K106*($E106/365))+(K107*($E107/365))</f>
        <v>46.551859099804304</v>
      </c>
      <c r="C190" s="8">
        <f>(L106*($E106/365))+(L107*($E107/365))</f>
        <v>1.076320939334638</v>
      </c>
      <c r="D190" s="8">
        <f>(M106*($E106/365))+(M107*($E107/365))</f>
        <v>52.37181996086106</v>
      </c>
      <c r="E190" s="31">
        <f t="shared" si="60"/>
        <v>100</v>
      </c>
      <c r="G190" s="1">
        <v>2007</v>
      </c>
      <c r="H190" s="1001">
        <f>(O106*100*($E106/365)/($R106))+(O107*100*($E107/365)/($R107))</f>
        <v>50.240301980122801</v>
      </c>
      <c r="I190" s="1001"/>
      <c r="J190" s="1002">
        <f>(P106*100*($E106/365)/($R106))+(P107*100*($E107/365)/($R107))</f>
        <v>1.1956278369191313</v>
      </c>
      <c r="K190" s="1002"/>
      <c r="L190" s="1002">
        <f>(Q106*100*($E106/365)/($R106))+(Q107*100*($E107/365)/($R107))</f>
        <v>48.564070182958069</v>
      </c>
      <c r="M190" s="1002"/>
      <c r="N190" s="990">
        <f t="shared" si="59"/>
        <v>100</v>
      </c>
      <c r="O190" s="990"/>
      <c r="R190" s="1">
        <v>2007</v>
      </c>
      <c r="S190" s="8">
        <f>(O106*($E106/365))+(O107*($E107/365))</f>
        <v>32.537260273972606</v>
      </c>
      <c r="T190" s="8">
        <f>(P106*($E106/365))+(P107*($E107/365))</f>
        <v>0.80465753424657538</v>
      </c>
      <c r="U190" s="8">
        <f>(Q106*($E106/365))+(Q107*($E107/365))</f>
        <v>31.436438356164384</v>
      </c>
      <c r="V190" s="7"/>
      <c r="W190" s="8">
        <f>R106*(E106/365) + R107*(E107/365)</f>
        <v>64.778356164383567</v>
      </c>
    </row>
    <row r="191" spans="1:23" ht="9" customHeight="1">
      <c r="A191" s="1">
        <v>2008</v>
      </c>
      <c r="B191" s="7">
        <f>(K108*($E108/366))+(K109*($E109/366))+(K110*($E110/366))</f>
        <v>45.844392401769447</v>
      </c>
      <c r="C191" s="7">
        <f>(L108*($E108/366))+(L109*($E109/366))+(L110*($E110/366))</f>
        <v>33.847254748894088</v>
      </c>
      <c r="D191" s="7">
        <f>(M108*($E108/366))+(M109*($E109/366))+(M110*($E110/366))</f>
        <v>20.308352849336458</v>
      </c>
      <c r="E191" s="31">
        <f t="shared" si="60"/>
        <v>99.999999999999986</v>
      </c>
      <c r="G191" s="1">
        <v>2008</v>
      </c>
      <c r="H191" s="1001">
        <f>(O108*100*($E108/366)/($R108))+(O109*100*($E109/366)/($R109))+(O110*100*($E110/366)/($R110))</f>
        <v>40.564635958395243</v>
      </c>
      <c r="I191" s="1001"/>
      <c r="J191" s="1002">
        <f>(P108*100*($E108/366)/($R108))+(P109*100*($E109/366)/($R109))+(P110*100*($E110/366)/($R110))</f>
        <v>39.673105497771168</v>
      </c>
      <c r="K191" s="1002"/>
      <c r="L191" s="1002">
        <f>(Q108*100*($E108/366)/($R108))+(Q109*100*($E109/366)/($R109))+(Q110*100*($E110/366)/($R110))</f>
        <v>19.762258543833578</v>
      </c>
      <c r="M191" s="1002"/>
      <c r="N191" s="990">
        <f t="shared" si="59"/>
        <v>100</v>
      </c>
      <c r="O191" s="990"/>
      <c r="R191" s="1">
        <v>2008</v>
      </c>
      <c r="S191" s="7">
        <f>(O108*($E108/366))+(O109*($E109/366))+(O110*($E110/366))</f>
        <v>27.299999999999997</v>
      </c>
      <c r="T191" s="7">
        <f>(P108*($E108/366))+(P109*($E109/366))+(P110*($E110/366))</f>
        <v>26.7</v>
      </c>
      <c r="U191" s="7">
        <f>(Q108*($E108/366))+(Q109*($E109/366))+(Q110*($E110/366))</f>
        <v>13.299999999999999</v>
      </c>
      <c r="V191" s="7"/>
      <c r="W191" s="8">
        <f>R108*(E108/366) + R109*(E109/366) + R110*(E110/366)</f>
        <v>67.3</v>
      </c>
    </row>
    <row r="192" spans="1:23" ht="9" customHeight="1">
      <c r="A192" s="1">
        <v>2009</v>
      </c>
      <c r="B192" s="7">
        <f>(K111*($E111/365))+(K112*($E112/365))+(K113*($E113/365))</f>
        <v>43.598173515981735</v>
      </c>
      <c r="C192" s="7">
        <f>(L111*($E111/365))+(L112*($E112/365))+(L113*($E113/365))</f>
        <v>36.401826484018258</v>
      </c>
      <c r="D192" s="7">
        <f>(M111*($E111/365))+(M112*($E112/365))+(M113*($E113/365))</f>
        <v>20</v>
      </c>
      <c r="E192" s="31">
        <f t="shared" si="60"/>
        <v>100</v>
      </c>
      <c r="G192" s="1">
        <v>2009</v>
      </c>
      <c r="H192" s="1001">
        <f>(O111*100*($E111/365)/($R111))+(O112*100*($E112/365)/($R112))+(O113*100*($E113/365)/($R113))</f>
        <v>40.564635958395243</v>
      </c>
      <c r="I192" s="1001"/>
      <c r="J192" s="1002">
        <f>(P111*100*($E111/365)/($R111))+(P112*100*($E112/365)/($R112))+(P113*100*($E113/365)/($R113))</f>
        <v>39.673105497771175</v>
      </c>
      <c r="K192" s="1002"/>
      <c r="L192" s="1002">
        <f>(Q111*100*($E111/365)/($R111))+(Q112*100*($E112/365)/($R112))+(Q113*100*($E113/365)/($R113))</f>
        <v>19.762258543833582</v>
      </c>
      <c r="M192" s="1002"/>
      <c r="N192" s="990">
        <f t="shared" si="59"/>
        <v>100</v>
      </c>
      <c r="O192" s="990"/>
      <c r="R192" s="1">
        <v>2009</v>
      </c>
      <c r="S192" s="7">
        <f>(O111*($E111/365))+(O112*($E112/365))+(O113*($E113/365))</f>
        <v>27.300000000000004</v>
      </c>
      <c r="T192" s="7">
        <f>(P111*($E111/365))+(P112*($E112/365))+(P113*($E113/365))</f>
        <v>26.700000000000003</v>
      </c>
      <c r="U192" s="7">
        <f>(Q111*($E111/365))+(Q112*($E112/365))+(Q113*($E113/365))</f>
        <v>13.3</v>
      </c>
      <c r="V192" s="7"/>
      <c r="W192" s="8">
        <f>R111*(E111/365) + R112*(E112/365) + R113*(E113/365)</f>
        <v>67.300000000000011</v>
      </c>
    </row>
    <row r="193" spans="1:23" s="15" customFormat="1" ht="9" customHeight="1">
      <c r="A193" s="15">
        <v>2010</v>
      </c>
      <c r="B193" s="46">
        <f>(K114*($E114/365))+(K115*($E115/365))</f>
        <v>40</v>
      </c>
      <c r="C193" s="46">
        <f>(L114*($E114/365))+(L115*($E115/365))</f>
        <v>40</v>
      </c>
      <c r="D193" s="46">
        <f>(M114*($E114/365))+(M115*($E115/365))</f>
        <v>20</v>
      </c>
      <c r="E193" s="228">
        <f t="shared" si="60"/>
        <v>100</v>
      </c>
      <c r="G193" s="15">
        <v>2010</v>
      </c>
      <c r="H193" s="1003">
        <f>(O114*100*($E114/365)/($R114))+(O115*100*($E115/365)/($R115))</f>
        <v>38.831062055804153</v>
      </c>
      <c r="I193" s="1003"/>
      <c r="J193" s="1003">
        <f>(P114*100*($E114/365)/($R114))+(P115*100*($E115/365)/($R115))</f>
        <v>35.030315620716863</v>
      </c>
      <c r="K193" s="1003"/>
      <c r="L193" s="1003">
        <f>(Q114*100*($E114/365)/($R114))+(Q115*100*($E115/365)/($R115))</f>
        <v>26.13862232347898</v>
      </c>
      <c r="M193" s="1003"/>
      <c r="N193" s="1004">
        <f t="shared" si="59"/>
        <v>100</v>
      </c>
      <c r="O193" s="1004"/>
      <c r="R193" s="15">
        <v>2010</v>
      </c>
      <c r="S193" s="46">
        <f>(O114*($E114/365))+(O115*($E115/365))</f>
        <v>23.647397260273969</v>
      </c>
      <c r="T193" s="46">
        <f>(P114*($E114/365))+(P115*($E115/365))</f>
        <v>21.497808219178083</v>
      </c>
      <c r="U193" s="46">
        <f>(Q114*($E114/365))+(Q115*($E115/365))</f>
        <v>15.513698630136986</v>
      </c>
      <c r="V193" s="46"/>
      <c r="W193" s="196">
        <f>R114*(E114/365) + R115*(E115/365)</f>
        <v>60.658904109589038</v>
      </c>
    </row>
    <row r="194" spans="1:23" s="15" customFormat="1" ht="9" customHeight="1">
      <c r="A194" s="15">
        <v>2011</v>
      </c>
      <c r="B194" s="46">
        <f>(K116*($E116/365))+(K117*($E117/365))</f>
        <v>39.890410958904106</v>
      </c>
      <c r="C194" s="46">
        <f>(L116*($E116/365))+(L117*($E117/365))</f>
        <v>38.794520547945204</v>
      </c>
      <c r="D194" s="46">
        <f>(M116*($E116/365))+(M117*($E117/365))</f>
        <v>21.315068493150683</v>
      </c>
      <c r="E194" s="228">
        <f t="shared" si="60"/>
        <v>100</v>
      </c>
      <c r="G194" s="15">
        <v>2011</v>
      </c>
      <c r="H194" s="1003">
        <f>(O116*100*($E116/365)/($R116))+(O117*100*($E117/365)/($R117))</f>
        <v>37.069723983749903</v>
      </c>
      <c r="I194" s="1003"/>
      <c r="J194" s="1003">
        <f>(P116*100*($E116/365)/($R116))+(P117*100*($E117/365)/($R117))</f>
        <v>30.98097704922094</v>
      </c>
      <c r="K194" s="1003"/>
      <c r="L194" s="1003">
        <f>(Q116*100*($E116/365)/($R116))+(Q117*100*($E117/365)/($R117))</f>
        <v>31.949298967029158</v>
      </c>
      <c r="M194" s="1003"/>
      <c r="N194" s="1004">
        <f t="shared" si="59"/>
        <v>100</v>
      </c>
      <c r="O194" s="1004"/>
      <c r="R194" s="15">
        <v>2011</v>
      </c>
      <c r="S194" s="46">
        <f>(O116*($E116/365))+(O117*($E117/365))</f>
        <v>20.699999999999996</v>
      </c>
      <c r="T194" s="46">
        <f>(P116*($E116/365))+(P117*($E117/365))</f>
        <v>17.3</v>
      </c>
      <c r="U194" s="46">
        <f>(Q116*($E116/365))+(Q117*($E117/365))</f>
        <v>17.91972602739726</v>
      </c>
      <c r="V194" s="46"/>
      <c r="W194" s="196">
        <f>R116*(E116/365) + R117*(E117/365)</f>
        <v>55.91972602739726</v>
      </c>
    </row>
    <row r="195" spans="1:23" ht="9" customHeight="1">
      <c r="A195" s="1">
        <v>2012</v>
      </c>
      <c r="B195" s="7">
        <f>(K118*($E118/366))+(K119*($E119/366))</f>
        <v>38.461538461538467</v>
      </c>
      <c r="C195" s="7">
        <f>(L118*($E118/366))+(L119*($E119/366))</f>
        <v>23.076923076923077</v>
      </c>
      <c r="D195" s="7">
        <f>(M118*($E118/366))+(M119*($E119/366))</f>
        <v>38.461538461538467</v>
      </c>
      <c r="E195" s="31">
        <f t="shared" ref="E195:E201" si="61">SUM(B195:D195)</f>
        <v>100.00000000000001</v>
      </c>
      <c r="G195" s="1">
        <v>2012</v>
      </c>
      <c r="H195" s="1001">
        <f>(O118*100*($E118/366)/($R118))+(O119*100*($E119/366)/($R119))</f>
        <v>32.34375</v>
      </c>
      <c r="I195" s="1001"/>
      <c r="J195" s="1002">
        <f>(P118*100*($E118/366)/($R118))+(P119*100*($E119/366)/($R119))</f>
        <v>27.03125</v>
      </c>
      <c r="K195" s="1002"/>
      <c r="L195" s="1002">
        <f>(Q118*100*($E118/366)/($R118))+(Q119*100*($E119/366)/($R119))</f>
        <v>40.625</v>
      </c>
      <c r="M195" s="1002"/>
      <c r="N195" s="990">
        <f t="shared" si="59"/>
        <v>100</v>
      </c>
      <c r="O195" s="990"/>
      <c r="R195" s="1">
        <v>2012</v>
      </c>
      <c r="S195" s="7">
        <f>(O118*($E118/366))+(O119*($E119/366))</f>
        <v>20.7</v>
      </c>
      <c r="T195" s="7">
        <f>(P118*($E118/366))+(P119*($E119/366))</f>
        <v>17.3</v>
      </c>
      <c r="U195" s="7">
        <f>(Q118*($E118/366))+(Q119*($E119/366))</f>
        <v>26</v>
      </c>
      <c r="V195" s="7"/>
      <c r="W195" s="8">
        <f>R118*(E118/366) + R119*(E119/366)</f>
        <v>64</v>
      </c>
    </row>
    <row r="196" spans="1:23">
      <c r="A196" s="1">
        <v>2013</v>
      </c>
      <c r="B196" s="7">
        <f>(K120*($E120/365))+(K121*($E121/365))</f>
        <v>38.461538461538467</v>
      </c>
      <c r="C196" s="7">
        <f>(L120*($E120/365))+(L121*($E121/365))</f>
        <v>23.076923076923077</v>
      </c>
      <c r="D196" s="7">
        <f>(M120*($E120/365))+(M121*($E121/365))</f>
        <v>38.461538461538467</v>
      </c>
      <c r="E196" s="293">
        <f t="shared" si="61"/>
        <v>100.00000000000001</v>
      </c>
      <c r="G196" s="1">
        <v>2013</v>
      </c>
      <c r="H196" s="1001">
        <f>(O120*100*($E120/365)/($R120))+(O121*100*($E121/365)/($R121))</f>
        <v>32.34375</v>
      </c>
      <c r="I196" s="1001"/>
      <c r="J196" s="1002">
        <f>(P120*100*($E120/365)/($R120))+(P121*100*($E121/365)/($R121))</f>
        <v>27.03125</v>
      </c>
      <c r="K196" s="1002"/>
      <c r="L196" s="1002">
        <f>(Q120*100*($E120/365)/($R120))+(Q121*100*($E121/365)/($R121))</f>
        <v>40.625</v>
      </c>
      <c r="M196" s="1002"/>
      <c r="N196" s="990">
        <f t="shared" ref="N196:N201" si="62">SUM(H196:L196)</f>
        <v>100</v>
      </c>
      <c r="O196" s="990"/>
      <c r="R196" s="1">
        <v>2013</v>
      </c>
      <c r="S196" s="7">
        <f>(O120*($E120/365))+(O121*($E121/365))</f>
        <v>20.7</v>
      </c>
      <c r="T196" s="7">
        <f>(P120*($E120/365))+(P121*($E121/365))</f>
        <v>17.3</v>
      </c>
      <c r="U196" s="7">
        <f>(Q120*($E120/365))+(Q121*($E121/365))</f>
        <v>26</v>
      </c>
      <c r="W196" s="8">
        <f>R120*(E120/365) + R121*(E121/365)</f>
        <v>64</v>
      </c>
    </row>
    <row r="197" spans="1:23">
      <c r="A197" s="1">
        <v>2014</v>
      </c>
      <c r="B197" s="7">
        <f>(K122*($E122/365))+(K123*($E123/365))+(K124*($E124/365))</f>
        <v>44.263134126147833</v>
      </c>
      <c r="C197" s="7">
        <f>(L122*($E122/365))+(L123*($E123/365))+(L124*($E124/365))</f>
        <v>25.916001806412766</v>
      </c>
      <c r="D197" s="7">
        <f>(M122*($E122/365))+(M123*($E123/365))+(M124*($E124/365))</f>
        <v>29.820864067439413</v>
      </c>
      <c r="E197" s="512">
        <f t="shared" si="61"/>
        <v>100.00000000000001</v>
      </c>
      <c r="G197" s="1">
        <v>2014</v>
      </c>
      <c r="H197" s="1001">
        <f>(O122*100*($E122/365)/($R122))+(O123*100*($E123/365)/($R123))+(O124*100*($E124/365)/($R124))</f>
        <v>35.046335545441778</v>
      </c>
      <c r="I197" s="1001"/>
      <c r="J197" s="1002">
        <f>(P122*100*($E122/365)/($R122))+(P123*100*($E123/365)/($R123))+(P124*100*($E124/365)/($R124))</f>
        <v>34.768568606557878</v>
      </c>
      <c r="K197" s="1002"/>
      <c r="L197" s="1002">
        <f>(Q122*100*($E122/365)/($R122))+(Q123*100*($E123/365)/($R123))+(Q124*100*($E124/365)/($R124))</f>
        <v>30.185095848000341</v>
      </c>
      <c r="M197" s="1002"/>
      <c r="N197" s="990">
        <f t="shared" si="62"/>
        <v>100</v>
      </c>
      <c r="O197" s="990"/>
      <c r="R197" s="1">
        <v>2014</v>
      </c>
      <c r="S197" s="7">
        <f>(O122*($E122/365))+(O123*($E123/365))+(O124*($E124/365))</f>
        <v>21.845205479452055</v>
      </c>
      <c r="T197" s="7">
        <f>(P122*($E122/365))+(P123*($E123/365))+(P124*($E124/365))</f>
        <v>21.316438356164383</v>
      </c>
      <c r="U197" s="7">
        <f>(Q122*($E122/365))+(Q123*($E123/365))+(Q124*($E124/365))</f>
        <v>19.402739726027399</v>
      </c>
      <c r="W197" s="8">
        <f>R122*(E122/365) + R123*(E123/365) + R124*(E124/365)</f>
        <v>62.564383561643837</v>
      </c>
    </row>
    <row r="198" spans="1:23" s="689" customFormat="1">
      <c r="A198" s="689">
        <v>2015</v>
      </c>
      <c r="B198" s="688">
        <f>(K125*($E125/365))+(K126*($E126/365))</f>
        <v>64.285714285714292</v>
      </c>
      <c r="C198" s="688">
        <f>(L125*($E125/365))+(L126*($E126/365))</f>
        <v>35.714285714285715</v>
      </c>
      <c r="D198" s="688">
        <f>(M125*($E125/365))+(M126*($E126/365))</f>
        <v>0</v>
      </c>
      <c r="E198" s="684">
        <f t="shared" si="61"/>
        <v>100</v>
      </c>
      <c r="G198" s="689">
        <v>2015</v>
      </c>
      <c r="H198" s="1001">
        <f>(O125*100*($E125/365)/($R125))+(O126*100*($E126/365)/($R126))</f>
        <v>39.929328621908127</v>
      </c>
      <c r="I198" s="1001"/>
      <c r="J198" s="1002">
        <f>(P125*100*($E125/365)/($R125))+(P126*100*($E126/365)/($R126))</f>
        <v>60.070671378091873</v>
      </c>
      <c r="K198" s="1002"/>
      <c r="L198" s="1002">
        <f>(Q125*100*($E125/365)/($R125))+(Q126*100*($E126/365)/($R126))</f>
        <v>0</v>
      </c>
      <c r="M198" s="1002"/>
      <c r="N198" s="990">
        <f t="shared" si="62"/>
        <v>100</v>
      </c>
      <c r="O198" s="990"/>
      <c r="R198" s="689">
        <v>2015</v>
      </c>
      <c r="S198" s="688">
        <f>(O125*($E125/365))+(O126*($E126/365))</f>
        <v>22.6</v>
      </c>
      <c r="T198" s="688">
        <f>(P125*($E125/365))+(P126*($E126/365))</f>
        <v>34</v>
      </c>
      <c r="U198" s="688">
        <f>(Q125*($E125/365))+(Q126*($E126/365))</f>
        <v>0</v>
      </c>
      <c r="W198" s="683">
        <f>R125*(E125/365) + R126*(E126/365)</f>
        <v>56.6</v>
      </c>
    </row>
    <row r="199" spans="1:23" s="689" customFormat="1">
      <c r="A199" s="788">
        <v>2016</v>
      </c>
      <c r="B199" s="787">
        <f>(K126*($E127/366))+(K128*($E128/366))</f>
        <v>64.285714285714292</v>
      </c>
      <c r="C199" s="787">
        <f>(L127*($E127/366))+(L128*($E128/366))</f>
        <v>35.714285714285715</v>
      </c>
      <c r="D199" s="787">
        <f>(M127*($E127/366))+(M128*($E128/366))</f>
        <v>0</v>
      </c>
      <c r="E199" s="784">
        <f t="shared" si="61"/>
        <v>100</v>
      </c>
      <c r="F199" s="788"/>
      <c r="G199" s="788">
        <v>2016</v>
      </c>
      <c r="H199" s="1001">
        <f>(O127*100*($E127/366)/($R127))+(O128*100*($E128/366)/($R128))</f>
        <v>39.929328621908127</v>
      </c>
      <c r="I199" s="1001"/>
      <c r="J199" s="1002">
        <f>(P127*100*($E127/366)/($R127))+(P128*100*($E128/366)/($R128))</f>
        <v>60.070671378091873</v>
      </c>
      <c r="K199" s="1002"/>
      <c r="L199" s="1002">
        <f>(Q127*100*($E127/366)/($R127))+(Q128*100*($E128/366)/($R128))</f>
        <v>0</v>
      </c>
      <c r="M199" s="1002"/>
      <c r="N199" s="990">
        <f t="shared" si="62"/>
        <v>100</v>
      </c>
      <c r="O199" s="990"/>
      <c r="P199" s="788"/>
      <c r="Q199" s="788"/>
      <c r="R199" s="788">
        <v>2016</v>
      </c>
      <c r="S199" s="787">
        <f>(O127*($E127/366))+(O128*($E128/366))</f>
        <v>22.6</v>
      </c>
      <c r="T199" s="787">
        <f>(P127*($E127/366))+(P128*($E128/366))</f>
        <v>34</v>
      </c>
      <c r="U199" s="787">
        <f>(Q127*($E127/366))+(Q128*($E128/366))</f>
        <v>0</v>
      </c>
      <c r="V199" s="788"/>
      <c r="W199" s="783">
        <f>R127*(E127/366) + R128*(E128/366)</f>
        <v>56.6</v>
      </c>
    </row>
    <row r="200" spans="1:23" s="689" customFormat="1">
      <c r="A200" s="912">
        <v>2017</v>
      </c>
      <c r="B200" s="910">
        <f>(K129*($E129/365))+(K130*($E130/365))</f>
        <v>64.285714285714292</v>
      </c>
      <c r="C200" s="910">
        <f t="shared" ref="C200:D200" si="63">(L129*($E129/365))+(L130*($E130/365))</f>
        <v>35.714285714285715</v>
      </c>
      <c r="D200" s="910">
        <f t="shared" si="63"/>
        <v>0</v>
      </c>
      <c r="E200" s="908">
        <f t="shared" si="61"/>
        <v>100</v>
      </c>
      <c r="G200" s="912">
        <v>2017</v>
      </c>
      <c r="H200" s="1001">
        <f>(O129*100*($E129/365)/($R129))+(O130*100*($E130/365)/($R130))</f>
        <v>39.929328621908127</v>
      </c>
      <c r="I200" s="1001"/>
      <c r="J200" s="1001">
        <f>(P129*100*($E129/365)/($R129))+(P130*100*($E130/365)/($R130))</f>
        <v>60.070671378091873</v>
      </c>
      <c r="K200" s="1001"/>
      <c r="L200" s="1001">
        <f>(Q129*100*($E129/365)/($R129))+(Q130*100*($E130/365)/($R130))</f>
        <v>0</v>
      </c>
      <c r="M200" s="1001"/>
      <c r="N200" s="990">
        <f t="shared" si="62"/>
        <v>100</v>
      </c>
      <c r="O200" s="990"/>
      <c r="R200" s="912">
        <v>2017</v>
      </c>
      <c r="S200" s="910">
        <f>(O129*($E129/365))+(O130*($E130/365))</f>
        <v>22.6</v>
      </c>
      <c r="T200" s="910">
        <f t="shared" ref="T200:U200" si="64">(P129*($E129/365))+(P130*($E130/365))</f>
        <v>34</v>
      </c>
      <c r="U200" s="910">
        <f t="shared" si="64"/>
        <v>0</v>
      </c>
      <c r="V200" s="912"/>
      <c r="W200" s="907">
        <f>R129*(E129/365) + R130*(E130/365)</f>
        <v>56.6</v>
      </c>
    </row>
    <row r="201" spans="1:23" s="689" customFormat="1">
      <c r="A201" s="689">
        <v>2018</v>
      </c>
      <c r="B201" s="935">
        <f>(K131*($E131/365))+(K132*($E132/365))+(K133*($E133/365))</f>
        <v>65.082041246424808</v>
      </c>
      <c r="C201" s="935">
        <f>(L131*($E131/365))+(L132*($E132/365))+(L133*($E133/365))</f>
        <v>34.917958753575192</v>
      </c>
      <c r="D201" s="935">
        <f>(M131*($E131/365))+(M132*($E132/365))+(M133*($E133/365))</f>
        <v>0</v>
      </c>
      <c r="E201" s="931">
        <f t="shared" si="61"/>
        <v>100</v>
      </c>
      <c r="G201" s="689">
        <v>2018</v>
      </c>
      <c r="H201" s="1001">
        <f>(O131*100*($E131/365)/($R131))+(O132*100*($E132/365)/($R132))+(O133*100*($E133/365)/($R133))</f>
        <v>41.529157609372334</v>
      </c>
      <c r="I201" s="1001"/>
      <c r="J201" s="1001">
        <f>(P131*100*($E131/365)/($R131))+(P132*100*($E132/365)/($R132))+(P133*100*($E133/365)/($R133))</f>
        <v>58.470842390627659</v>
      </c>
      <c r="K201" s="1001"/>
      <c r="L201" s="1001">
        <f>(Q131*100*($E131/365)/($R131))+(Q132*100*($E132/365)/($R132))+(Q133*100*($E133/365)/($R133))</f>
        <v>0</v>
      </c>
      <c r="M201" s="1001"/>
      <c r="N201" s="990">
        <f t="shared" si="62"/>
        <v>100</v>
      </c>
      <c r="O201" s="990"/>
      <c r="R201" s="689">
        <v>2018</v>
      </c>
      <c r="S201" s="935">
        <f>(O131*($E131/365))+(O132*($E132/365))+(O133*($E133/365))</f>
        <v>22.6</v>
      </c>
      <c r="T201" s="935">
        <f>(P131*($E131/365))+(P132*($E132/365))+(P133*($E133/365))</f>
        <v>32.613698630136987</v>
      </c>
      <c r="U201" s="935">
        <f>(Q131*($E131/365))+(Q132*($E132/365))+(Q133*($E133/365))</f>
        <v>0</v>
      </c>
      <c r="V201" s="939"/>
      <c r="W201" s="930">
        <f>R131*(E131/365) + R132*(E132/365)</f>
        <v>54.17095890410959</v>
      </c>
    </row>
    <row r="202" spans="1:23" s="689" customFormat="1">
      <c r="B202" s="688"/>
    </row>
    <row r="203" spans="1:23" s="689" customFormat="1">
      <c r="B203" s="688"/>
      <c r="C203" s="688"/>
      <c r="D203" s="688"/>
      <c r="E203" s="684"/>
      <c r="H203" s="1001"/>
      <c r="I203" s="1001"/>
      <c r="J203" s="1002"/>
      <c r="K203" s="1002"/>
      <c r="L203" s="1002"/>
      <c r="M203" s="1002"/>
      <c r="N203" s="990"/>
      <c r="O203" s="990"/>
      <c r="S203" s="688"/>
      <c r="T203" s="688"/>
      <c r="U203" s="688"/>
      <c r="W203" s="683"/>
    </row>
    <row r="204" spans="1:23" s="689" customFormat="1">
      <c r="B204" s="688"/>
      <c r="C204" s="688"/>
      <c r="D204" s="688"/>
      <c r="E204" s="684"/>
      <c r="H204" s="1001"/>
      <c r="I204" s="1001"/>
      <c r="J204" s="1002"/>
      <c r="K204" s="1002"/>
      <c r="L204" s="1002"/>
      <c r="M204" s="1002"/>
      <c r="N204" s="990"/>
      <c r="O204" s="990"/>
      <c r="S204" s="688"/>
      <c r="T204" s="688"/>
      <c r="U204" s="688"/>
      <c r="W204" s="683"/>
    </row>
  </sheetData>
  <mergeCells count="402">
    <mergeCell ref="H204:I204"/>
    <mergeCell ref="J204:K204"/>
    <mergeCell ref="L204:M204"/>
    <mergeCell ref="N204:O204"/>
    <mergeCell ref="H201:I201"/>
    <mergeCell ref="J201:K201"/>
    <mergeCell ref="L201:M201"/>
    <mergeCell ref="N201:O201"/>
    <mergeCell ref="H203:I203"/>
    <mergeCell ref="J203:K203"/>
    <mergeCell ref="L203:M203"/>
    <mergeCell ref="N203:O203"/>
    <mergeCell ref="H198:I198"/>
    <mergeCell ref="J198:K198"/>
    <mergeCell ref="L198:M198"/>
    <mergeCell ref="N198:O198"/>
    <mergeCell ref="H200:I200"/>
    <mergeCell ref="J200:K200"/>
    <mergeCell ref="L200:M200"/>
    <mergeCell ref="N200:O200"/>
    <mergeCell ref="N197:O197"/>
    <mergeCell ref="H197:I197"/>
    <mergeCell ref="J197:K197"/>
    <mergeCell ref="L197:M197"/>
    <mergeCell ref="H199:I199"/>
    <mergeCell ref="J199:K199"/>
    <mergeCell ref="L199:M199"/>
    <mergeCell ref="N199:O199"/>
    <mergeCell ref="AT4:AW4"/>
    <mergeCell ref="N188:O188"/>
    <mergeCell ref="N189:O189"/>
    <mergeCell ref="N190:O190"/>
    <mergeCell ref="N191:O191"/>
    <mergeCell ref="N169:O169"/>
    <mergeCell ref="N170:O170"/>
    <mergeCell ref="N171:O171"/>
    <mergeCell ref="N172:O172"/>
    <mergeCell ref="N173:O173"/>
    <mergeCell ref="N162:O162"/>
    <mergeCell ref="N163:O163"/>
    <mergeCell ref="N164:O164"/>
    <mergeCell ref="N165:O165"/>
    <mergeCell ref="N166:O166"/>
    <mergeCell ref="N167:O167"/>
    <mergeCell ref="N156:O156"/>
    <mergeCell ref="N157:O157"/>
    <mergeCell ref="N158:O158"/>
    <mergeCell ref="N159:O159"/>
    <mergeCell ref="N160:O160"/>
    <mergeCell ref="N161:O161"/>
    <mergeCell ref="N150:O150"/>
    <mergeCell ref="N151:O151"/>
    <mergeCell ref="AX4:BA4"/>
    <mergeCell ref="N196:O196"/>
    <mergeCell ref="C120:D120"/>
    <mergeCell ref="C121:D121"/>
    <mergeCell ref="H196:I196"/>
    <mergeCell ref="N186:O186"/>
    <mergeCell ref="N193:O193"/>
    <mergeCell ref="N194:O194"/>
    <mergeCell ref="N195:O195"/>
    <mergeCell ref="N187:O187"/>
    <mergeCell ref="N192:O192"/>
    <mergeCell ref="N180:O180"/>
    <mergeCell ref="N181:O181"/>
    <mergeCell ref="N182:O182"/>
    <mergeCell ref="N183:O183"/>
    <mergeCell ref="N184:O184"/>
    <mergeCell ref="N185:O185"/>
    <mergeCell ref="N174:O174"/>
    <mergeCell ref="N175:O175"/>
    <mergeCell ref="N176:O176"/>
    <mergeCell ref="N177:O177"/>
    <mergeCell ref="N178:O178"/>
    <mergeCell ref="N179:O179"/>
    <mergeCell ref="N168:O168"/>
    <mergeCell ref="N152:O152"/>
    <mergeCell ref="N153:O153"/>
    <mergeCell ref="N154:O154"/>
    <mergeCell ref="N155:O155"/>
    <mergeCell ref="N143:O143"/>
    <mergeCell ref="N144:O144"/>
    <mergeCell ref="N145:O145"/>
    <mergeCell ref="N146:O146"/>
    <mergeCell ref="N147:O147"/>
    <mergeCell ref="N148:O148"/>
    <mergeCell ref="N149:O149"/>
    <mergeCell ref="L148:M148"/>
    <mergeCell ref="L196:M196"/>
    <mergeCell ref="L187:M187"/>
    <mergeCell ref="L188:M188"/>
    <mergeCell ref="L189:M189"/>
    <mergeCell ref="L190:M190"/>
    <mergeCell ref="L191:M191"/>
    <mergeCell ref="L173:M173"/>
    <mergeCell ref="L174:M174"/>
    <mergeCell ref="L180:M180"/>
    <mergeCell ref="L181:M181"/>
    <mergeCell ref="L194:M194"/>
    <mergeCell ref="L195:M195"/>
    <mergeCell ref="L192:M192"/>
    <mergeCell ref="L193:M193"/>
    <mergeCell ref="L175:M175"/>
    <mergeCell ref="L176:M176"/>
    <mergeCell ref="L177:M177"/>
    <mergeCell ref="L161:M161"/>
    <mergeCell ref="L162:M162"/>
    <mergeCell ref="L163:M163"/>
    <mergeCell ref="L164:M164"/>
    <mergeCell ref="L165:M165"/>
    <mergeCell ref="L149:M149"/>
    <mergeCell ref="L150:M150"/>
    <mergeCell ref="L151:M151"/>
    <mergeCell ref="L152:M152"/>
    <mergeCell ref="L153:M153"/>
    <mergeCell ref="J171:K171"/>
    <mergeCell ref="L182:M182"/>
    <mergeCell ref="L183:M183"/>
    <mergeCell ref="L154:M154"/>
    <mergeCell ref="L155:M155"/>
    <mergeCell ref="L156:M156"/>
    <mergeCell ref="L157:M157"/>
    <mergeCell ref="L158:M158"/>
    <mergeCell ref="L159:M159"/>
    <mergeCell ref="L184:M184"/>
    <mergeCell ref="L185:M185"/>
    <mergeCell ref="L186:M186"/>
    <mergeCell ref="L166:M166"/>
    <mergeCell ref="L167:M167"/>
    <mergeCell ref="L168:M168"/>
    <mergeCell ref="L160:M160"/>
    <mergeCell ref="L178:M178"/>
    <mergeCell ref="L179:M179"/>
    <mergeCell ref="L169:M169"/>
    <mergeCell ref="L170:M170"/>
    <mergeCell ref="L171:M171"/>
    <mergeCell ref="L172:M172"/>
    <mergeCell ref="J196:K196"/>
    <mergeCell ref="J184:K184"/>
    <mergeCell ref="J185:K185"/>
    <mergeCell ref="J186:K186"/>
    <mergeCell ref="J187:K187"/>
    <mergeCell ref="J188:K188"/>
    <mergeCell ref="J165:K165"/>
    <mergeCell ref="J166:K166"/>
    <mergeCell ref="J167:K167"/>
    <mergeCell ref="J168:K168"/>
    <mergeCell ref="J182:K182"/>
    <mergeCell ref="J183:K183"/>
    <mergeCell ref="J175:K175"/>
    <mergeCell ref="J176:K176"/>
    <mergeCell ref="J169:K169"/>
    <mergeCell ref="J170:K170"/>
    <mergeCell ref="J193:K193"/>
    <mergeCell ref="J194:K194"/>
    <mergeCell ref="J195:K195"/>
    <mergeCell ref="J189:K189"/>
    <mergeCell ref="J190:K190"/>
    <mergeCell ref="J191:K191"/>
    <mergeCell ref="J192:K192"/>
    <mergeCell ref="H194:I194"/>
    <mergeCell ref="H195:I195"/>
    <mergeCell ref="J158:K158"/>
    <mergeCell ref="J159:K159"/>
    <mergeCell ref="J160:K160"/>
    <mergeCell ref="J161:K161"/>
    <mergeCell ref="J162:K162"/>
    <mergeCell ref="J163:K163"/>
    <mergeCell ref="J177:K177"/>
    <mergeCell ref="J178:K178"/>
    <mergeCell ref="H188:I188"/>
    <mergeCell ref="H189:I189"/>
    <mergeCell ref="H186:I186"/>
    <mergeCell ref="H190:I190"/>
    <mergeCell ref="H191:I191"/>
    <mergeCell ref="H193:I193"/>
    <mergeCell ref="H192:I192"/>
    <mergeCell ref="H182:I182"/>
    <mergeCell ref="H183:I183"/>
    <mergeCell ref="H184:I184"/>
    <mergeCell ref="H185:I185"/>
    <mergeCell ref="H180:I180"/>
    <mergeCell ref="H187:I187"/>
    <mergeCell ref="H177:I177"/>
    <mergeCell ref="H178:I178"/>
    <mergeCell ref="H179:I179"/>
    <mergeCell ref="H181:I181"/>
    <mergeCell ref="J179:K179"/>
    <mergeCell ref="J180:K180"/>
    <mergeCell ref="J181:K181"/>
    <mergeCell ref="J164:K164"/>
    <mergeCell ref="J150:K150"/>
    <mergeCell ref="J151:K151"/>
    <mergeCell ref="J152:K152"/>
    <mergeCell ref="J153:K153"/>
    <mergeCell ref="J154:K154"/>
    <mergeCell ref="J155:K155"/>
    <mergeCell ref="H171:I171"/>
    <mergeCell ref="H172:I172"/>
    <mergeCell ref="H173:I173"/>
    <mergeCell ref="H174:I174"/>
    <mergeCell ref="J172:K172"/>
    <mergeCell ref="J173:K173"/>
    <mergeCell ref="J174:K174"/>
    <mergeCell ref="H175:I175"/>
    <mergeCell ref="H176:I176"/>
    <mergeCell ref="H153:I153"/>
    <mergeCell ref="H154:I154"/>
    <mergeCell ref="J147:K147"/>
    <mergeCell ref="J148:K148"/>
    <mergeCell ref="J149:K149"/>
    <mergeCell ref="H168:I168"/>
    <mergeCell ref="H169:I169"/>
    <mergeCell ref="H170:I170"/>
    <mergeCell ref="H162:I162"/>
    <mergeCell ref="H163:I163"/>
    <mergeCell ref="H164:I164"/>
    <mergeCell ref="H165:I165"/>
    <mergeCell ref="H166:I166"/>
    <mergeCell ref="H167:I167"/>
    <mergeCell ref="H156:I156"/>
    <mergeCell ref="H157:I157"/>
    <mergeCell ref="H158:I158"/>
    <mergeCell ref="H159:I159"/>
    <mergeCell ref="H160:I160"/>
    <mergeCell ref="H161:I161"/>
    <mergeCell ref="H150:I150"/>
    <mergeCell ref="H151:I151"/>
    <mergeCell ref="H152:I152"/>
    <mergeCell ref="H155:I155"/>
    <mergeCell ref="J156:K156"/>
    <mergeCell ref="J157:K157"/>
    <mergeCell ref="H144:I144"/>
    <mergeCell ref="H145:I145"/>
    <mergeCell ref="H146:I146"/>
    <mergeCell ref="H147:I147"/>
    <mergeCell ref="H148:I148"/>
    <mergeCell ref="H149:I149"/>
    <mergeCell ref="R139:W139"/>
    <mergeCell ref="H141:I141"/>
    <mergeCell ref="J141:K141"/>
    <mergeCell ref="L141:M141"/>
    <mergeCell ref="N141:O141"/>
    <mergeCell ref="H143:I143"/>
    <mergeCell ref="J143:K143"/>
    <mergeCell ref="L143:M143"/>
    <mergeCell ref="H142:I142"/>
    <mergeCell ref="J142:K142"/>
    <mergeCell ref="N142:O142"/>
    <mergeCell ref="L144:M144"/>
    <mergeCell ref="L145:M145"/>
    <mergeCell ref="L146:M146"/>
    <mergeCell ref="L147:M147"/>
    <mergeCell ref="J144:K144"/>
    <mergeCell ref="J145:K145"/>
    <mergeCell ref="J146:K146"/>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116:D116"/>
    <mergeCell ref="C109:D109"/>
    <mergeCell ref="C110:D110"/>
    <mergeCell ref="C117:D117"/>
    <mergeCell ref="C118:D118"/>
    <mergeCell ref="C119:D119"/>
    <mergeCell ref="C111:D111"/>
    <mergeCell ref="C112:D112"/>
    <mergeCell ref="L142:M142"/>
    <mergeCell ref="C125:D125"/>
    <mergeCell ref="C126:D126"/>
    <mergeCell ref="C122:D122"/>
    <mergeCell ref="C123:D123"/>
    <mergeCell ref="C124:D124"/>
    <mergeCell ref="C127:D127"/>
    <mergeCell ref="C128:D128"/>
    <mergeCell ref="C129:D129"/>
    <mergeCell ref="C130:D130"/>
    <mergeCell ref="C131:D131"/>
    <mergeCell ref="C132:D132"/>
    <mergeCell ref="C133:D13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11"/>
  <sheetViews>
    <sheetView zoomScale="175" zoomScaleNormal="120" workbookViewId="0">
      <pane xSplit="1" ySplit="5" topLeftCell="C64" activePane="bottomRight" state="frozen"/>
      <selection pane="topRight" activeCell="B1" sqref="B1"/>
      <selection pane="bottomLeft" activeCell="A6" sqref="A6"/>
      <selection pane="bottomRight" activeCell="W109" sqref="W10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137</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73">
        <v>1990</v>
      </c>
      <c r="B6" s="85"/>
      <c r="C6" s="1005" t="s">
        <v>1277</v>
      </c>
      <c r="D6" s="1005"/>
      <c r="E6" s="102">
        <v>262</v>
      </c>
      <c r="G6" s="123"/>
      <c r="J6" s="134"/>
      <c r="K6" s="92"/>
      <c r="L6" s="92"/>
      <c r="M6" s="92"/>
      <c r="N6" s="125"/>
      <c r="O6" s="91"/>
      <c r="P6" s="92"/>
      <c r="Q6" s="92"/>
      <c r="R6" s="93"/>
      <c r="T6" s="81"/>
      <c r="V6" s="82"/>
      <c r="Y6" s="83"/>
      <c r="AD6" s="82"/>
      <c r="AG6" s="83"/>
      <c r="AL6" s="82"/>
      <c r="AO6" s="83"/>
      <c r="AP6" s="82"/>
      <c r="AS6" s="83"/>
      <c r="AW6" s="83"/>
      <c r="BA6" s="84"/>
    </row>
    <row r="7" spans="1:53" s="334" customFormat="1">
      <c r="A7" s="334">
        <v>1990</v>
      </c>
      <c r="B7" s="355">
        <v>33136</v>
      </c>
      <c r="C7" s="992" t="s">
        <v>982</v>
      </c>
      <c r="D7" s="992"/>
      <c r="E7" s="386">
        <v>78</v>
      </c>
      <c r="F7" s="334" t="s">
        <v>345</v>
      </c>
      <c r="G7" s="419"/>
      <c r="I7" s="334">
        <v>18</v>
      </c>
      <c r="J7" s="435">
        <v>18</v>
      </c>
      <c r="K7" s="384">
        <f>G7/J7*100</f>
        <v>0</v>
      </c>
      <c r="L7" s="384">
        <f>H7/J7*100</f>
        <v>0</v>
      </c>
      <c r="M7" s="384">
        <f>I7/J7*100</f>
        <v>100</v>
      </c>
      <c r="N7" s="421">
        <f>SUM(K7:M7)</f>
        <v>100</v>
      </c>
      <c r="O7" s="383"/>
      <c r="P7" s="384"/>
      <c r="Q7" s="384">
        <v>52.7</v>
      </c>
      <c r="R7" s="385">
        <f>SUM(O7:Q7)</f>
        <v>52.7</v>
      </c>
      <c r="S7" s="334">
        <v>1</v>
      </c>
      <c r="T7" s="342">
        <v>33041</v>
      </c>
      <c r="U7" s="355">
        <v>33136</v>
      </c>
      <c r="V7" s="343" t="s">
        <v>977</v>
      </c>
      <c r="W7" s="334" t="s">
        <v>992</v>
      </c>
      <c r="X7" s="334" t="s">
        <v>12</v>
      </c>
      <c r="Y7" s="344">
        <v>52.7</v>
      </c>
      <c r="AD7" s="343"/>
      <c r="AG7" s="344"/>
      <c r="AL7" s="343"/>
      <c r="AO7" s="344"/>
      <c r="AP7" s="343"/>
      <c r="AS7" s="344"/>
      <c r="AW7" s="344"/>
      <c r="BA7" s="345"/>
    </row>
    <row r="8" spans="1:53" s="73" customFormat="1">
      <c r="A8" s="73">
        <v>1990</v>
      </c>
      <c r="B8" s="85">
        <v>33214</v>
      </c>
      <c r="C8" s="988" t="s">
        <v>976</v>
      </c>
      <c r="D8" s="988"/>
      <c r="E8" s="102">
        <v>25</v>
      </c>
      <c r="F8" s="73">
        <v>2</v>
      </c>
      <c r="G8" s="123">
        <v>5</v>
      </c>
      <c r="I8" s="73">
        <v>8</v>
      </c>
      <c r="J8" s="134">
        <v>18</v>
      </c>
      <c r="K8" s="92">
        <f t="shared" ref="K8:K52" si="0">G8/J8*100</f>
        <v>27.777777777777779</v>
      </c>
      <c r="L8" s="92">
        <f t="shared" ref="L8:L52" si="1">H8/J8*100</f>
        <v>0</v>
      </c>
      <c r="M8" s="92">
        <f t="shared" ref="M8:M52" si="2">I8/J8*100</f>
        <v>44.444444444444443</v>
      </c>
      <c r="N8" s="125">
        <f t="shared" ref="N8:N30" si="3">SUM(K8:M8)</f>
        <v>72.222222222222229</v>
      </c>
      <c r="O8" s="91">
        <v>40</v>
      </c>
      <c r="P8" s="92"/>
      <c r="Q8" s="92">
        <v>52.7</v>
      </c>
      <c r="R8" s="93">
        <f t="shared" ref="R8:R56" si="4">SUM(O8:Q8)</f>
        <v>92.7</v>
      </c>
      <c r="S8" s="73">
        <v>6</v>
      </c>
      <c r="T8" s="95"/>
      <c r="U8" s="85">
        <v>33214</v>
      </c>
      <c r="V8" s="82" t="s">
        <v>977</v>
      </c>
      <c r="W8" s="73" t="s">
        <v>903</v>
      </c>
      <c r="X8" s="73" t="s">
        <v>12</v>
      </c>
      <c r="Y8" s="83">
        <v>52.7</v>
      </c>
      <c r="Z8" s="73" t="s">
        <v>878</v>
      </c>
      <c r="AA8" s="73" t="s">
        <v>17</v>
      </c>
      <c r="AB8" s="73" t="s">
        <v>11</v>
      </c>
      <c r="AC8" s="73">
        <v>36</v>
      </c>
      <c r="AD8" s="82" t="s">
        <v>978</v>
      </c>
      <c r="AE8" s="73" t="s">
        <v>880</v>
      </c>
      <c r="AF8" s="73" t="s">
        <v>11</v>
      </c>
      <c r="AG8" s="83">
        <v>4</v>
      </c>
      <c r="AL8" s="82"/>
      <c r="AO8" s="83"/>
      <c r="AP8" s="82"/>
      <c r="AS8" s="83"/>
      <c r="AW8" s="83"/>
      <c r="BA8" s="84"/>
    </row>
    <row r="9" spans="1:53" s="73" customFormat="1">
      <c r="A9" s="73">
        <v>1991</v>
      </c>
      <c r="B9" s="85"/>
      <c r="C9" s="988" t="s">
        <v>976</v>
      </c>
      <c r="D9" s="988"/>
      <c r="E9" s="102">
        <v>311</v>
      </c>
      <c r="G9" s="123">
        <v>5</v>
      </c>
      <c r="I9" s="73">
        <v>8</v>
      </c>
      <c r="J9" s="134">
        <v>18</v>
      </c>
      <c r="K9" s="92">
        <f t="shared" si="0"/>
        <v>27.777777777777779</v>
      </c>
      <c r="L9" s="92">
        <f t="shared" si="1"/>
        <v>0</v>
      </c>
      <c r="M9" s="92">
        <f t="shared" si="2"/>
        <v>44.444444444444443</v>
      </c>
      <c r="N9" s="125">
        <f t="shared" si="3"/>
        <v>72.222222222222229</v>
      </c>
      <c r="O9" s="91">
        <v>40</v>
      </c>
      <c r="P9" s="92"/>
      <c r="Q9" s="92">
        <v>52.7</v>
      </c>
      <c r="R9" s="93">
        <f t="shared" si="4"/>
        <v>92.7</v>
      </c>
      <c r="S9" s="73">
        <v>6</v>
      </c>
      <c r="T9" s="95"/>
      <c r="V9" s="82" t="s">
        <v>977</v>
      </c>
      <c r="W9" s="73" t="s">
        <v>903</v>
      </c>
      <c r="X9" s="73" t="s">
        <v>12</v>
      </c>
      <c r="Y9" s="83">
        <v>52.7</v>
      </c>
      <c r="Z9" s="73" t="s">
        <v>878</v>
      </c>
      <c r="AA9" s="73" t="s">
        <v>17</v>
      </c>
      <c r="AB9" s="73" t="s">
        <v>11</v>
      </c>
      <c r="AC9" s="73">
        <v>36</v>
      </c>
      <c r="AD9" s="82" t="s">
        <v>978</v>
      </c>
      <c r="AE9" s="73" t="s">
        <v>880</v>
      </c>
      <c r="AF9" s="73" t="s">
        <v>11</v>
      </c>
      <c r="AG9" s="83">
        <v>4</v>
      </c>
      <c r="AL9" s="82"/>
      <c r="AO9" s="83"/>
      <c r="AP9" s="82"/>
      <c r="AS9" s="83"/>
      <c r="AW9" s="83"/>
      <c r="BA9" s="84"/>
    </row>
    <row r="10" spans="1:53" s="334" customFormat="1">
      <c r="A10" s="334">
        <v>1991</v>
      </c>
      <c r="B10" s="355">
        <v>33550</v>
      </c>
      <c r="C10" s="992" t="s">
        <v>972</v>
      </c>
      <c r="D10" s="992"/>
      <c r="E10" s="386">
        <v>54</v>
      </c>
      <c r="F10" s="334">
        <v>1</v>
      </c>
      <c r="G10" s="419">
        <v>14</v>
      </c>
      <c r="J10" s="435">
        <v>14</v>
      </c>
      <c r="K10" s="384">
        <f t="shared" si="0"/>
        <v>100</v>
      </c>
      <c r="L10" s="384">
        <f t="shared" si="1"/>
        <v>0</v>
      </c>
      <c r="M10" s="384">
        <f t="shared" si="2"/>
        <v>0</v>
      </c>
      <c r="N10" s="421">
        <f t="shared" si="3"/>
        <v>100</v>
      </c>
      <c r="O10" s="383">
        <v>45.9</v>
      </c>
      <c r="P10" s="384"/>
      <c r="Q10" s="384"/>
      <c r="R10" s="385">
        <f t="shared" si="4"/>
        <v>45.9</v>
      </c>
      <c r="S10" s="334">
        <v>4</v>
      </c>
      <c r="T10" s="342">
        <v>33524</v>
      </c>
      <c r="U10" s="355">
        <v>33550</v>
      </c>
      <c r="V10" s="343" t="s">
        <v>878</v>
      </c>
      <c r="W10" s="334" t="s">
        <v>17</v>
      </c>
      <c r="X10" s="334" t="s">
        <v>11</v>
      </c>
      <c r="Y10" s="344">
        <v>45.9</v>
      </c>
      <c r="AD10" s="343"/>
      <c r="AG10" s="344"/>
      <c r="AL10" s="343"/>
      <c r="AO10" s="344"/>
      <c r="AP10" s="343"/>
      <c r="AS10" s="344"/>
      <c r="AW10" s="344"/>
      <c r="BA10" s="345"/>
    </row>
    <row r="11" spans="1:53" s="334" customFormat="1">
      <c r="A11" s="334">
        <v>1992</v>
      </c>
      <c r="B11" s="355"/>
      <c r="C11" s="992" t="s">
        <v>972</v>
      </c>
      <c r="D11" s="992"/>
      <c r="E11" s="386">
        <v>364</v>
      </c>
      <c r="G11" s="419">
        <v>14</v>
      </c>
      <c r="J11" s="435">
        <v>14</v>
      </c>
      <c r="K11" s="384">
        <f t="shared" si="0"/>
        <v>100</v>
      </c>
      <c r="L11" s="384">
        <f t="shared" si="1"/>
        <v>0</v>
      </c>
      <c r="M11" s="384">
        <f t="shared" si="2"/>
        <v>0</v>
      </c>
      <c r="N11" s="421">
        <f t="shared" si="3"/>
        <v>100</v>
      </c>
      <c r="O11" s="383">
        <v>45.9</v>
      </c>
      <c r="P11" s="384"/>
      <c r="Q11" s="384"/>
      <c r="R11" s="385">
        <f t="shared" si="4"/>
        <v>45.9</v>
      </c>
      <c r="S11" s="334">
        <v>4</v>
      </c>
      <c r="T11" s="357"/>
      <c r="U11" s="355"/>
      <c r="V11" s="343" t="s">
        <v>878</v>
      </c>
      <c r="W11" s="334" t="s">
        <v>17</v>
      </c>
      <c r="X11" s="334" t="s">
        <v>11</v>
      </c>
      <c r="Y11" s="344">
        <v>45.9</v>
      </c>
      <c r="AD11" s="343"/>
      <c r="AG11" s="344"/>
      <c r="AL11" s="343"/>
      <c r="AO11" s="344"/>
      <c r="AP11" s="343"/>
      <c r="AS11" s="344"/>
      <c r="AW11" s="344"/>
      <c r="BA11" s="345"/>
    </row>
    <row r="12" spans="1:53" s="73" customFormat="1">
      <c r="A12" s="73">
        <v>1992</v>
      </c>
      <c r="B12" s="85">
        <v>33968</v>
      </c>
      <c r="C12" s="988" t="s">
        <v>975</v>
      </c>
      <c r="D12" s="988"/>
      <c r="E12" s="102">
        <v>2</v>
      </c>
      <c r="F12" s="73">
        <v>5</v>
      </c>
      <c r="G12" s="123">
        <v>0</v>
      </c>
      <c r="H12" s="73">
        <v>0</v>
      </c>
      <c r="I12" s="73">
        <v>0</v>
      </c>
      <c r="J12" s="134">
        <v>14</v>
      </c>
      <c r="K12" s="92">
        <f t="shared" si="0"/>
        <v>0</v>
      </c>
      <c r="L12" s="92">
        <f t="shared" si="1"/>
        <v>0</v>
      </c>
      <c r="M12" s="92">
        <f t="shared" si="2"/>
        <v>0</v>
      </c>
      <c r="N12" s="125">
        <f t="shared" si="3"/>
        <v>0</v>
      </c>
      <c r="O12" s="91">
        <v>0</v>
      </c>
      <c r="P12" s="92">
        <v>0</v>
      </c>
      <c r="Q12" s="92">
        <v>0</v>
      </c>
      <c r="R12" s="93">
        <f t="shared" si="4"/>
        <v>0</v>
      </c>
      <c r="S12" s="73">
        <v>7</v>
      </c>
      <c r="T12" s="81"/>
      <c r="U12" s="85">
        <v>33968</v>
      </c>
      <c r="V12" s="152" t="s">
        <v>809</v>
      </c>
      <c r="Y12" s="83"/>
      <c r="AD12" s="82"/>
      <c r="AG12" s="83"/>
      <c r="AL12" s="82"/>
      <c r="AO12" s="83"/>
      <c r="AP12" s="82"/>
      <c r="AS12" s="83"/>
      <c r="AW12" s="83"/>
      <c r="BA12" s="84"/>
    </row>
    <row r="13" spans="1:53" s="73" customFormat="1">
      <c r="A13" s="73">
        <v>1993</v>
      </c>
      <c r="B13" s="85"/>
      <c r="C13" s="988" t="s">
        <v>975</v>
      </c>
      <c r="D13" s="988"/>
      <c r="E13" s="102">
        <v>0</v>
      </c>
      <c r="G13" s="123">
        <v>0</v>
      </c>
      <c r="H13" s="73">
        <v>0</v>
      </c>
      <c r="I13" s="73">
        <v>0</v>
      </c>
      <c r="J13" s="134">
        <v>14</v>
      </c>
      <c r="K13" s="92">
        <f t="shared" si="0"/>
        <v>0</v>
      </c>
      <c r="L13" s="92">
        <f t="shared" si="1"/>
        <v>0</v>
      </c>
      <c r="M13" s="92">
        <f t="shared" si="2"/>
        <v>0</v>
      </c>
      <c r="N13" s="125">
        <f t="shared" si="3"/>
        <v>0</v>
      </c>
      <c r="O13" s="91">
        <v>0</v>
      </c>
      <c r="P13" s="92">
        <v>0</v>
      </c>
      <c r="Q13" s="92">
        <v>0</v>
      </c>
      <c r="R13" s="93">
        <f t="shared" si="4"/>
        <v>0</v>
      </c>
      <c r="S13" s="73">
        <v>7</v>
      </c>
      <c r="T13" s="81"/>
      <c r="U13" s="85"/>
      <c r="V13" s="152" t="s">
        <v>809</v>
      </c>
      <c r="Y13" s="83"/>
      <c r="AD13" s="82"/>
      <c r="AG13" s="83"/>
      <c r="AL13" s="82"/>
      <c r="AO13" s="83"/>
      <c r="AP13" s="82"/>
      <c r="AS13" s="83"/>
      <c r="AW13" s="83"/>
      <c r="BA13" s="84"/>
    </row>
    <row r="14" spans="1:53" s="73" customFormat="1">
      <c r="A14" s="237">
        <v>1993</v>
      </c>
      <c r="B14" s="85"/>
      <c r="C14" s="988" t="s">
        <v>975</v>
      </c>
      <c r="D14" s="988"/>
      <c r="E14" s="102">
        <v>365</v>
      </c>
      <c r="G14" s="123">
        <v>0</v>
      </c>
      <c r="H14" s="73">
        <v>0</v>
      </c>
      <c r="I14" s="73">
        <v>0</v>
      </c>
      <c r="J14" s="134">
        <v>14</v>
      </c>
      <c r="K14" s="92">
        <f t="shared" si="0"/>
        <v>0</v>
      </c>
      <c r="L14" s="92">
        <f t="shared" si="1"/>
        <v>0</v>
      </c>
      <c r="M14" s="92">
        <f t="shared" si="2"/>
        <v>0</v>
      </c>
      <c r="N14" s="125">
        <f t="shared" si="3"/>
        <v>0</v>
      </c>
      <c r="O14" s="91">
        <v>0</v>
      </c>
      <c r="P14" s="92">
        <v>0</v>
      </c>
      <c r="Q14" s="92">
        <v>0</v>
      </c>
      <c r="R14" s="93">
        <f t="shared" si="4"/>
        <v>0</v>
      </c>
      <c r="S14" s="73">
        <v>7</v>
      </c>
      <c r="T14" s="81"/>
      <c r="U14" s="85"/>
      <c r="V14" s="152" t="s">
        <v>809</v>
      </c>
      <c r="Y14" s="83"/>
      <c r="AD14" s="82"/>
      <c r="AG14" s="83"/>
      <c r="AL14" s="82"/>
      <c r="AO14" s="83"/>
      <c r="AP14" s="82"/>
      <c r="AS14" s="83"/>
      <c r="AW14" s="83"/>
      <c r="BA14" s="84"/>
    </row>
    <row r="15" spans="1:53" s="73" customFormat="1">
      <c r="A15" s="73">
        <v>1994</v>
      </c>
      <c r="B15" s="85"/>
      <c r="C15" s="988" t="s">
        <v>975</v>
      </c>
      <c r="D15" s="988"/>
      <c r="E15" s="102">
        <v>280</v>
      </c>
      <c r="G15" s="123">
        <v>0</v>
      </c>
      <c r="H15" s="73">
        <v>0</v>
      </c>
      <c r="I15" s="73">
        <v>0</v>
      </c>
      <c r="J15" s="134">
        <v>14</v>
      </c>
      <c r="K15" s="92">
        <f t="shared" si="0"/>
        <v>0</v>
      </c>
      <c r="L15" s="92">
        <f t="shared" si="1"/>
        <v>0</v>
      </c>
      <c r="M15" s="92">
        <f t="shared" si="2"/>
        <v>0</v>
      </c>
      <c r="N15" s="125">
        <f t="shared" si="3"/>
        <v>0</v>
      </c>
      <c r="O15" s="91">
        <v>0</v>
      </c>
      <c r="P15" s="92">
        <v>0</v>
      </c>
      <c r="Q15" s="92">
        <v>0</v>
      </c>
      <c r="R15" s="93">
        <f t="shared" si="4"/>
        <v>0</v>
      </c>
      <c r="S15" s="73">
        <v>7</v>
      </c>
      <c r="T15" s="81"/>
      <c r="U15" s="85"/>
      <c r="V15" s="152" t="s">
        <v>809</v>
      </c>
      <c r="Y15" s="83"/>
      <c r="AD15" s="82"/>
      <c r="AG15" s="83"/>
      <c r="AL15" s="82"/>
      <c r="AO15" s="83"/>
      <c r="AP15" s="82"/>
      <c r="AS15" s="83"/>
      <c r="AW15" s="83"/>
      <c r="BA15" s="84"/>
    </row>
    <row r="16" spans="1:53" s="334" customFormat="1">
      <c r="A16" s="334">
        <v>1994</v>
      </c>
      <c r="B16" s="355">
        <v>34615</v>
      </c>
      <c r="C16" s="992" t="s">
        <v>979</v>
      </c>
      <c r="D16" s="992"/>
      <c r="E16" s="386">
        <v>85</v>
      </c>
      <c r="F16" s="334">
        <v>2</v>
      </c>
      <c r="G16" s="419">
        <v>0</v>
      </c>
      <c r="H16" s="334">
        <v>0</v>
      </c>
      <c r="I16" s="334">
        <v>0</v>
      </c>
      <c r="J16" s="435">
        <v>17</v>
      </c>
      <c r="K16" s="384">
        <f t="shared" si="0"/>
        <v>0</v>
      </c>
      <c r="L16" s="384">
        <f t="shared" si="1"/>
        <v>0</v>
      </c>
      <c r="M16" s="384">
        <f t="shared" si="2"/>
        <v>0</v>
      </c>
      <c r="N16" s="421">
        <f t="shared" si="3"/>
        <v>0</v>
      </c>
      <c r="O16" s="383">
        <v>0</v>
      </c>
      <c r="P16" s="384">
        <v>0</v>
      </c>
      <c r="Q16" s="384">
        <v>0</v>
      </c>
      <c r="R16" s="385">
        <f t="shared" si="4"/>
        <v>0</v>
      </c>
      <c r="S16" s="334">
        <v>6</v>
      </c>
      <c r="T16" s="342"/>
      <c r="U16" s="355">
        <v>34615</v>
      </c>
      <c r="V16" s="438" t="s">
        <v>808</v>
      </c>
      <c r="Y16" s="344"/>
      <c r="AD16" s="343"/>
      <c r="AG16" s="344"/>
      <c r="AL16" s="343"/>
      <c r="AO16" s="344"/>
      <c r="AP16" s="343"/>
      <c r="AS16" s="344"/>
      <c r="AW16" s="344"/>
      <c r="BA16" s="345"/>
    </row>
    <row r="17" spans="1:53" s="334" customFormat="1">
      <c r="A17" s="334">
        <v>1995</v>
      </c>
      <c r="B17" s="355"/>
      <c r="C17" s="992" t="s">
        <v>979</v>
      </c>
      <c r="D17" s="992"/>
      <c r="E17" s="386">
        <v>24</v>
      </c>
      <c r="G17" s="419">
        <v>0</v>
      </c>
      <c r="H17" s="334">
        <v>0</v>
      </c>
      <c r="I17" s="334">
        <v>0</v>
      </c>
      <c r="J17" s="435">
        <v>17</v>
      </c>
      <c r="K17" s="384">
        <f t="shared" si="0"/>
        <v>0</v>
      </c>
      <c r="L17" s="384">
        <f t="shared" si="1"/>
        <v>0</v>
      </c>
      <c r="M17" s="384">
        <f t="shared" si="2"/>
        <v>0</v>
      </c>
      <c r="N17" s="421">
        <f t="shared" si="3"/>
        <v>0</v>
      </c>
      <c r="O17" s="383">
        <v>0</v>
      </c>
      <c r="P17" s="384">
        <v>0</v>
      </c>
      <c r="Q17" s="384">
        <v>0</v>
      </c>
      <c r="R17" s="385">
        <f t="shared" si="4"/>
        <v>0</v>
      </c>
      <c r="S17" s="334">
        <v>6</v>
      </c>
      <c r="T17" s="342">
        <v>34686</v>
      </c>
      <c r="U17" s="355"/>
      <c r="V17" s="438" t="s">
        <v>808</v>
      </c>
      <c r="Y17" s="344"/>
      <c r="AD17" s="343"/>
      <c r="AG17" s="344"/>
      <c r="AL17" s="343"/>
      <c r="AO17" s="344"/>
      <c r="AP17" s="343"/>
      <c r="AS17" s="344"/>
      <c r="AW17" s="344"/>
      <c r="BA17" s="345"/>
    </row>
    <row r="18" spans="1:53" s="73" customFormat="1">
      <c r="A18" s="73">
        <v>1995</v>
      </c>
      <c r="B18" s="85">
        <v>34724</v>
      </c>
      <c r="C18" s="988" t="s">
        <v>981</v>
      </c>
      <c r="D18" s="988"/>
      <c r="E18" s="102">
        <v>341</v>
      </c>
      <c r="F18" s="73">
        <v>1</v>
      </c>
      <c r="G18" s="123"/>
      <c r="I18" s="73">
        <v>10</v>
      </c>
      <c r="J18" s="134">
        <v>18</v>
      </c>
      <c r="K18" s="92">
        <f t="shared" si="0"/>
        <v>0</v>
      </c>
      <c r="L18" s="92">
        <f t="shared" si="1"/>
        <v>0</v>
      </c>
      <c r="M18" s="92">
        <f t="shared" si="2"/>
        <v>55.555555555555557</v>
      </c>
      <c r="N18" s="125">
        <f t="shared" si="3"/>
        <v>55.555555555555557</v>
      </c>
      <c r="O18" s="91"/>
      <c r="P18" s="92"/>
      <c r="Q18" s="92">
        <v>52.1</v>
      </c>
      <c r="R18" s="93">
        <f t="shared" si="4"/>
        <v>52.1</v>
      </c>
      <c r="S18" s="73">
        <v>1</v>
      </c>
      <c r="T18" s="81"/>
      <c r="U18" s="85">
        <v>34724</v>
      </c>
      <c r="V18" s="82" t="s">
        <v>980</v>
      </c>
      <c r="W18" s="73" t="s">
        <v>98</v>
      </c>
      <c r="X18" s="73" t="s">
        <v>12</v>
      </c>
      <c r="Y18" s="83">
        <v>52.1</v>
      </c>
      <c r="AD18" s="82"/>
      <c r="AG18" s="83"/>
      <c r="AL18" s="82"/>
      <c r="AO18" s="83"/>
      <c r="AP18" s="82"/>
      <c r="AS18" s="83"/>
      <c r="AW18" s="83"/>
      <c r="BA18" s="84"/>
    </row>
    <row r="19" spans="1:53" s="73" customFormat="1">
      <c r="A19" s="73">
        <v>1996</v>
      </c>
      <c r="B19" s="85"/>
      <c r="C19" s="988" t="s">
        <v>981</v>
      </c>
      <c r="D19" s="988"/>
      <c r="E19" s="102">
        <v>0</v>
      </c>
      <c r="G19" s="123"/>
      <c r="I19" s="73">
        <v>10</v>
      </c>
      <c r="J19" s="134">
        <v>18</v>
      </c>
      <c r="K19" s="92">
        <f t="shared" si="0"/>
        <v>0</v>
      </c>
      <c r="L19" s="92">
        <f t="shared" si="1"/>
        <v>0</v>
      </c>
      <c r="M19" s="92">
        <f t="shared" si="2"/>
        <v>55.555555555555557</v>
      </c>
      <c r="N19" s="125">
        <f t="shared" si="3"/>
        <v>55.555555555555557</v>
      </c>
      <c r="O19" s="91"/>
      <c r="P19" s="92"/>
      <c r="Q19" s="92">
        <v>52.1</v>
      </c>
      <c r="R19" s="93">
        <f t="shared" si="4"/>
        <v>52.1</v>
      </c>
      <c r="S19" s="73">
        <v>1</v>
      </c>
      <c r="T19" s="81"/>
      <c r="U19" s="85"/>
      <c r="V19" s="82" t="s">
        <v>980</v>
      </c>
      <c r="W19" s="73" t="s">
        <v>98</v>
      </c>
      <c r="X19" s="73" t="s">
        <v>12</v>
      </c>
      <c r="Y19" s="83">
        <v>52.1</v>
      </c>
      <c r="AD19" s="82"/>
      <c r="AG19" s="83"/>
      <c r="AL19" s="82"/>
      <c r="AO19" s="83"/>
      <c r="AP19" s="82"/>
      <c r="AS19" s="83"/>
      <c r="AW19" s="83"/>
      <c r="BA19" s="84"/>
    </row>
    <row r="20" spans="1:53" s="73" customFormat="1">
      <c r="A20" s="73">
        <v>1996</v>
      </c>
      <c r="B20" s="85"/>
      <c r="C20" s="988" t="s">
        <v>981</v>
      </c>
      <c r="D20" s="988"/>
      <c r="E20" s="102">
        <v>366</v>
      </c>
      <c r="G20" s="123"/>
      <c r="I20" s="73">
        <v>10</v>
      </c>
      <c r="J20" s="134">
        <v>18</v>
      </c>
      <c r="K20" s="92">
        <f t="shared" si="0"/>
        <v>0</v>
      </c>
      <c r="L20" s="92">
        <f t="shared" si="1"/>
        <v>0</v>
      </c>
      <c r="M20" s="92">
        <f t="shared" si="2"/>
        <v>55.555555555555557</v>
      </c>
      <c r="N20" s="125">
        <f t="shared" si="3"/>
        <v>55.555555555555557</v>
      </c>
      <c r="O20" s="91"/>
      <c r="P20" s="92"/>
      <c r="Q20" s="92">
        <v>52.1</v>
      </c>
      <c r="R20" s="93">
        <f t="shared" si="4"/>
        <v>52.1</v>
      </c>
      <c r="S20" s="73">
        <v>1</v>
      </c>
      <c r="T20" s="81"/>
      <c r="U20" s="85"/>
      <c r="V20" s="82" t="s">
        <v>980</v>
      </c>
      <c r="W20" s="73" t="s">
        <v>98</v>
      </c>
      <c r="X20" s="73" t="s">
        <v>12</v>
      </c>
      <c r="Y20" s="83">
        <v>52.1</v>
      </c>
      <c r="AD20" s="82"/>
      <c r="AG20" s="83"/>
      <c r="AL20" s="82"/>
      <c r="AO20" s="83"/>
      <c r="AP20" s="82"/>
      <c r="AS20" s="83"/>
      <c r="AW20" s="83"/>
      <c r="BA20" s="84"/>
    </row>
    <row r="21" spans="1:53" s="73" customFormat="1">
      <c r="A21" s="73">
        <v>1997</v>
      </c>
      <c r="B21" s="85"/>
      <c r="C21" s="988" t="s">
        <v>981</v>
      </c>
      <c r="D21" s="988"/>
      <c r="E21" s="102">
        <v>42</v>
      </c>
      <c r="G21" s="123"/>
      <c r="I21" s="73">
        <v>10</v>
      </c>
      <c r="J21" s="134">
        <v>18</v>
      </c>
      <c r="K21" s="92">
        <f t="shared" si="0"/>
        <v>0</v>
      </c>
      <c r="L21" s="92">
        <f t="shared" si="1"/>
        <v>0</v>
      </c>
      <c r="M21" s="92">
        <f t="shared" si="2"/>
        <v>55.555555555555557</v>
      </c>
      <c r="N21" s="125">
        <f t="shared" si="3"/>
        <v>55.555555555555557</v>
      </c>
      <c r="O21" s="91"/>
      <c r="P21" s="92"/>
      <c r="Q21" s="92">
        <v>52.1</v>
      </c>
      <c r="R21" s="93">
        <f t="shared" si="4"/>
        <v>52.1</v>
      </c>
      <c r="S21" s="73">
        <v>1</v>
      </c>
      <c r="T21" s="81"/>
      <c r="U21" s="85"/>
      <c r="V21" s="82" t="s">
        <v>980</v>
      </c>
      <c r="W21" s="73" t="s">
        <v>98</v>
      </c>
      <c r="X21" s="73" t="s">
        <v>12</v>
      </c>
      <c r="Y21" s="83">
        <v>52.1</v>
      </c>
      <c r="AD21" s="82"/>
      <c r="AG21" s="83"/>
      <c r="AL21" s="82"/>
      <c r="AO21" s="83"/>
      <c r="AP21" s="82"/>
      <c r="AS21" s="83"/>
      <c r="AW21" s="83"/>
      <c r="BA21" s="84"/>
    </row>
    <row r="22" spans="1:53" s="334" customFormat="1">
      <c r="A22" s="334">
        <v>1997</v>
      </c>
      <c r="B22" s="355">
        <v>35473</v>
      </c>
      <c r="C22" s="992" t="s">
        <v>973</v>
      </c>
      <c r="D22" s="992"/>
      <c r="E22" s="386">
        <v>98</v>
      </c>
      <c r="F22" s="334">
        <v>4</v>
      </c>
      <c r="G22" s="419">
        <v>1</v>
      </c>
      <c r="J22" s="435">
        <v>17</v>
      </c>
      <c r="K22" s="384">
        <f>G22/J22*100</f>
        <v>5.8823529411764701</v>
      </c>
      <c r="L22" s="384">
        <f>H22/J22*100</f>
        <v>0</v>
      </c>
      <c r="M22" s="384">
        <f>I22/J22*100</f>
        <v>0</v>
      </c>
      <c r="N22" s="421">
        <f>SUM(K22:M22)</f>
        <v>5.8823529411764701</v>
      </c>
      <c r="O22" s="383">
        <v>28.8</v>
      </c>
      <c r="P22" s="384"/>
      <c r="Q22" s="384"/>
      <c r="R22" s="385">
        <f>SUM(O22:Q22)</f>
        <v>28.8</v>
      </c>
      <c r="S22" s="334">
        <v>6</v>
      </c>
      <c r="T22" s="357"/>
      <c r="U22" s="355">
        <v>35473</v>
      </c>
      <c r="V22" s="343" t="s">
        <v>878</v>
      </c>
      <c r="W22" s="334" t="s">
        <v>17</v>
      </c>
      <c r="X22" s="334" t="s">
        <v>11</v>
      </c>
      <c r="Y22" s="344">
        <v>28.8</v>
      </c>
      <c r="AD22" s="343"/>
      <c r="AG22" s="344"/>
      <c r="AL22" s="343"/>
      <c r="AO22" s="344"/>
      <c r="AP22" s="343"/>
      <c r="AS22" s="344"/>
      <c r="AW22" s="344"/>
      <c r="BA22" s="345"/>
    </row>
    <row r="23" spans="1:53" s="73" customFormat="1">
      <c r="A23" s="73">
        <v>1997</v>
      </c>
      <c r="B23" s="85">
        <v>35571</v>
      </c>
      <c r="C23" s="988" t="s">
        <v>974</v>
      </c>
      <c r="D23" s="988"/>
      <c r="E23" s="102">
        <v>225</v>
      </c>
      <c r="F23" s="73">
        <v>1</v>
      </c>
      <c r="G23" s="123">
        <v>17</v>
      </c>
      <c r="J23" s="134">
        <v>17</v>
      </c>
      <c r="K23" s="92">
        <f t="shared" si="0"/>
        <v>100</v>
      </c>
      <c r="L23" s="92">
        <f t="shared" si="1"/>
        <v>0</v>
      </c>
      <c r="M23" s="92">
        <f t="shared" si="2"/>
        <v>0</v>
      </c>
      <c r="N23" s="125">
        <f t="shared" si="3"/>
        <v>100</v>
      </c>
      <c r="O23" s="91">
        <v>57</v>
      </c>
      <c r="P23" s="92"/>
      <c r="Q23" s="92"/>
      <c r="R23" s="93">
        <f t="shared" si="4"/>
        <v>57</v>
      </c>
      <c r="S23" s="73">
        <v>1</v>
      </c>
      <c r="T23" s="95">
        <v>35539</v>
      </c>
      <c r="U23" s="85">
        <v>35571</v>
      </c>
      <c r="V23" s="82" t="s">
        <v>878</v>
      </c>
      <c r="W23" s="73" t="s">
        <v>17</v>
      </c>
      <c r="X23" s="73" t="s">
        <v>11</v>
      </c>
      <c r="Y23" s="83">
        <v>57</v>
      </c>
      <c r="AD23" s="82"/>
      <c r="AG23" s="83"/>
      <c r="AL23" s="82"/>
      <c r="AO23" s="83"/>
      <c r="AP23" s="82"/>
      <c r="AS23" s="83"/>
      <c r="AW23" s="83"/>
      <c r="BA23" s="84"/>
    </row>
    <row r="24" spans="1:53" s="73" customFormat="1">
      <c r="A24" s="73">
        <v>1998</v>
      </c>
      <c r="B24" s="85"/>
      <c r="C24" s="988" t="s">
        <v>974</v>
      </c>
      <c r="D24" s="988"/>
      <c r="E24" s="102">
        <v>0</v>
      </c>
      <c r="G24" s="123">
        <v>17</v>
      </c>
      <c r="J24" s="134">
        <v>17</v>
      </c>
      <c r="K24" s="92">
        <f t="shared" si="0"/>
        <v>100</v>
      </c>
      <c r="L24" s="92">
        <f t="shared" si="1"/>
        <v>0</v>
      </c>
      <c r="M24" s="92">
        <f t="shared" si="2"/>
        <v>0</v>
      </c>
      <c r="N24" s="125">
        <f t="shared" si="3"/>
        <v>100</v>
      </c>
      <c r="O24" s="91">
        <v>57</v>
      </c>
      <c r="P24" s="92"/>
      <c r="Q24" s="92"/>
      <c r="R24" s="93">
        <f t="shared" si="4"/>
        <v>57</v>
      </c>
      <c r="S24" s="73">
        <v>1</v>
      </c>
      <c r="T24" s="81"/>
      <c r="U24" s="85"/>
      <c r="V24" s="82" t="s">
        <v>878</v>
      </c>
      <c r="W24" s="73" t="s">
        <v>17</v>
      </c>
      <c r="X24" s="73" t="s">
        <v>11</v>
      </c>
      <c r="Y24" s="83">
        <v>57</v>
      </c>
      <c r="AD24" s="82"/>
      <c r="AG24" s="83"/>
      <c r="AL24" s="82"/>
      <c r="AO24" s="83"/>
      <c r="AP24" s="82"/>
      <c r="AS24" s="83"/>
      <c r="AW24" s="83"/>
      <c r="BA24" s="84"/>
    </row>
    <row r="25" spans="1:53" s="73" customFormat="1">
      <c r="A25" s="73">
        <v>1998</v>
      </c>
      <c r="B25" s="85"/>
      <c r="C25" s="988" t="s">
        <v>974</v>
      </c>
      <c r="D25" s="988"/>
      <c r="E25" s="102">
        <v>365</v>
      </c>
      <c r="G25" s="123">
        <v>17</v>
      </c>
      <c r="J25" s="134">
        <v>17</v>
      </c>
      <c r="K25" s="92">
        <f t="shared" si="0"/>
        <v>100</v>
      </c>
      <c r="L25" s="92">
        <f t="shared" si="1"/>
        <v>0</v>
      </c>
      <c r="M25" s="92">
        <f t="shared" si="2"/>
        <v>0</v>
      </c>
      <c r="N25" s="125">
        <f t="shared" si="3"/>
        <v>100</v>
      </c>
      <c r="O25" s="91">
        <v>57</v>
      </c>
      <c r="P25" s="92"/>
      <c r="Q25" s="92"/>
      <c r="R25" s="93">
        <f t="shared" si="4"/>
        <v>57</v>
      </c>
      <c r="S25" s="73">
        <v>1</v>
      </c>
      <c r="T25" s="81"/>
      <c r="U25" s="85"/>
      <c r="V25" s="82" t="s">
        <v>878</v>
      </c>
      <c r="W25" s="73" t="s">
        <v>17</v>
      </c>
      <c r="X25" s="73" t="s">
        <v>11</v>
      </c>
      <c r="Y25" s="83">
        <v>57</v>
      </c>
      <c r="AD25" s="82"/>
      <c r="AG25" s="83"/>
      <c r="AL25" s="82"/>
      <c r="AO25" s="83"/>
      <c r="AP25" s="82"/>
      <c r="AS25" s="83"/>
      <c r="AW25" s="83"/>
      <c r="BA25" s="84"/>
    </row>
    <row r="26" spans="1:53" s="73" customFormat="1">
      <c r="A26" s="73">
        <v>1999</v>
      </c>
      <c r="B26" s="85"/>
      <c r="C26" s="988" t="s">
        <v>974</v>
      </c>
      <c r="D26" s="988"/>
      <c r="E26" s="102">
        <v>354</v>
      </c>
      <c r="G26" s="123">
        <v>17</v>
      </c>
      <c r="J26" s="134">
        <v>17</v>
      </c>
      <c r="K26" s="92">
        <f t="shared" si="0"/>
        <v>100</v>
      </c>
      <c r="L26" s="92">
        <f t="shared" si="1"/>
        <v>0</v>
      </c>
      <c r="M26" s="92">
        <f t="shared" si="2"/>
        <v>0</v>
      </c>
      <c r="N26" s="125">
        <f t="shared" si="3"/>
        <v>100</v>
      </c>
      <c r="O26" s="91">
        <v>57</v>
      </c>
      <c r="P26" s="92"/>
      <c r="Q26" s="92"/>
      <c r="R26" s="93">
        <f t="shared" si="4"/>
        <v>57</v>
      </c>
      <c r="S26" s="73">
        <v>1</v>
      </c>
      <c r="T26" s="81"/>
      <c r="U26" s="85"/>
      <c r="V26" s="82" t="s">
        <v>878</v>
      </c>
      <c r="W26" s="73" t="s">
        <v>17</v>
      </c>
      <c r="X26" s="73" t="s">
        <v>11</v>
      </c>
      <c r="Y26" s="83">
        <v>57</v>
      </c>
      <c r="AD26" s="82"/>
      <c r="AG26" s="83"/>
      <c r="AL26" s="82"/>
      <c r="AO26" s="83"/>
      <c r="AP26" s="82"/>
      <c r="AS26" s="83"/>
      <c r="AW26" s="83"/>
      <c r="BA26" s="84"/>
    </row>
    <row r="27" spans="1:53" s="73" customFormat="1">
      <c r="A27" s="73">
        <v>1999</v>
      </c>
      <c r="B27" s="149">
        <v>36515</v>
      </c>
      <c r="C27" s="988" t="s">
        <v>974</v>
      </c>
      <c r="D27" s="988"/>
      <c r="E27" s="102">
        <v>11</v>
      </c>
      <c r="F27" s="150">
        <v>0</v>
      </c>
      <c r="G27" s="123">
        <v>8</v>
      </c>
      <c r="H27" s="73">
        <v>2</v>
      </c>
      <c r="J27" s="134">
        <v>16</v>
      </c>
      <c r="K27" s="92">
        <f t="shared" si="0"/>
        <v>50</v>
      </c>
      <c r="L27" s="92">
        <f t="shared" si="1"/>
        <v>12.5</v>
      </c>
      <c r="M27" s="92">
        <f t="shared" si="2"/>
        <v>0</v>
      </c>
      <c r="N27" s="125">
        <f t="shared" si="3"/>
        <v>62.5</v>
      </c>
      <c r="O27" s="91">
        <v>57</v>
      </c>
      <c r="P27" s="92"/>
      <c r="Q27" s="92"/>
      <c r="R27" s="93">
        <f t="shared" si="4"/>
        <v>57</v>
      </c>
      <c r="S27" s="73">
        <v>1</v>
      </c>
      <c r="T27" s="81"/>
      <c r="U27" s="85"/>
      <c r="V27" s="82" t="s">
        <v>878</v>
      </c>
      <c r="W27" s="73" t="s">
        <v>17</v>
      </c>
      <c r="X27" s="73" t="s">
        <v>11</v>
      </c>
      <c r="Y27" s="83">
        <v>57</v>
      </c>
      <c r="AD27" s="82"/>
      <c r="AG27" s="83"/>
      <c r="AL27" s="82"/>
      <c r="AO27" s="83"/>
      <c r="AP27" s="82"/>
      <c r="AS27" s="83"/>
      <c r="AW27" s="83"/>
      <c r="BA27" s="84"/>
    </row>
    <row r="28" spans="1:53" s="73" customFormat="1">
      <c r="A28" s="73">
        <v>2000</v>
      </c>
      <c r="B28" s="85"/>
      <c r="C28" s="988" t="s">
        <v>974</v>
      </c>
      <c r="D28" s="988"/>
      <c r="E28" s="102">
        <v>0</v>
      </c>
      <c r="G28" s="123">
        <v>8</v>
      </c>
      <c r="H28" s="73">
        <v>2</v>
      </c>
      <c r="J28" s="134">
        <v>16</v>
      </c>
      <c r="K28" s="92">
        <f t="shared" si="0"/>
        <v>50</v>
      </c>
      <c r="L28" s="92">
        <f t="shared" si="1"/>
        <v>12.5</v>
      </c>
      <c r="M28" s="92">
        <f t="shared" si="2"/>
        <v>0</v>
      </c>
      <c r="N28" s="125">
        <f t="shared" si="3"/>
        <v>62.5</v>
      </c>
      <c r="O28" s="91">
        <v>57</v>
      </c>
      <c r="P28" s="92"/>
      <c r="Q28" s="92"/>
      <c r="R28" s="93">
        <f t="shared" si="4"/>
        <v>57</v>
      </c>
      <c r="S28" s="73">
        <v>1</v>
      </c>
      <c r="T28" s="81"/>
      <c r="U28" s="85"/>
      <c r="V28" s="82" t="s">
        <v>878</v>
      </c>
      <c r="W28" s="73" t="s">
        <v>17</v>
      </c>
      <c r="X28" s="73" t="s">
        <v>11</v>
      </c>
      <c r="Y28" s="83">
        <v>57</v>
      </c>
      <c r="AD28" s="82"/>
      <c r="AG28" s="83"/>
      <c r="AL28" s="82"/>
      <c r="AO28" s="83"/>
      <c r="AP28" s="82"/>
      <c r="AS28" s="83"/>
      <c r="AW28" s="83"/>
      <c r="BA28" s="84"/>
    </row>
    <row r="29" spans="1:53" s="73" customFormat="1">
      <c r="A29" s="73">
        <v>2000</v>
      </c>
      <c r="B29" s="85"/>
      <c r="C29" s="988" t="s">
        <v>974</v>
      </c>
      <c r="D29" s="988"/>
      <c r="E29" s="102">
        <v>366</v>
      </c>
      <c r="G29" s="123">
        <v>8</v>
      </c>
      <c r="H29" s="73">
        <v>2</v>
      </c>
      <c r="J29" s="134">
        <v>16</v>
      </c>
      <c r="K29" s="92">
        <f t="shared" si="0"/>
        <v>50</v>
      </c>
      <c r="L29" s="92">
        <f t="shared" si="1"/>
        <v>12.5</v>
      </c>
      <c r="M29" s="92">
        <f t="shared" si="2"/>
        <v>0</v>
      </c>
      <c r="N29" s="125">
        <f t="shared" si="3"/>
        <v>62.5</v>
      </c>
      <c r="O29" s="91">
        <v>57</v>
      </c>
      <c r="P29" s="92"/>
      <c r="Q29" s="92"/>
      <c r="R29" s="93">
        <f t="shared" si="4"/>
        <v>57</v>
      </c>
      <c r="S29" s="73">
        <v>1</v>
      </c>
      <c r="T29" s="81"/>
      <c r="U29" s="85"/>
      <c r="V29" s="82" t="s">
        <v>878</v>
      </c>
      <c r="W29" s="73" t="s">
        <v>17</v>
      </c>
      <c r="X29" s="73" t="s">
        <v>11</v>
      </c>
      <c r="Y29" s="83">
        <v>57</v>
      </c>
      <c r="AD29" s="82"/>
      <c r="AG29" s="83"/>
      <c r="AL29" s="82"/>
      <c r="AO29" s="83"/>
      <c r="AP29" s="82"/>
      <c r="AS29" s="83"/>
      <c r="AW29" s="83"/>
      <c r="BA29" s="84"/>
    </row>
    <row r="30" spans="1:53" s="73" customFormat="1">
      <c r="A30" s="73">
        <v>2001</v>
      </c>
      <c r="B30" s="85"/>
      <c r="C30" s="988" t="s">
        <v>974</v>
      </c>
      <c r="D30" s="988"/>
      <c r="E30" s="102">
        <v>204</v>
      </c>
      <c r="G30" s="123">
        <v>8</v>
      </c>
      <c r="H30" s="73">
        <v>2</v>
      </c>
      <c r="J30" s="134">
        <v>16</v>
      </c>
      <c r="K30" s="92">
        <f t="shared" si="0"/>
        <v>50</v>
      </c>
      <c r="L30" s="92">
        <f t="shared" si="1"/>
        <v>12.5</v>
      </c>
      <c r="M30" s="92">
        <f t="shared" si="2"/>
        <v>0</v>
      </c>
      <c r="N30" s="125">
        <f t="shared" si="3"/>
        <v>62.5</v>
      </c>
      <c r="O30" s="91">
        <v>57</v>
      </c>
      <c r="P30" s="92"/>
      <c r="Q30" s="92"/>
      <c r="R30" s="93">
        <f t="shared" si="4"/>
        <v>57</v>
      </c>
      <c r="S30" s="73">
        <v>1</v>
      </c>
      <c r="T30" s="81"/>
      <c r="U30" s="85"/>
      <c r="V30" s="82" t="s">
        <v>878</v>
      </c>
      <c r="W30" s="73" t="s">
        <v>17</v>
      </c>
      <c r="X30" s="73" t="s">
        <v>11</v>
      </c>
      <c r="Y30" s="83">
        <v>57</v>
      </c>
      <c r="AD30" s="82"/>
      <c r="AG30" s="83"/>
      <c r="AL30" s="82"/>
      <c r="AO30" s="83"/>
      <c r="AP30" s="82"/>
      <c r="AS30" s="83"/>
      <c r="AW30" s="83"/>
      <c r="BA30" s="84"/>
    </row>
    <row r="31" spans="1:53" s="334" customFormat="1">
      <c r="A31" s="334">
        <v>2001</v>
      </c>
      <c r="B31" s="361">
        <v>37096</v>
      </c>
      <c r="C31" s="992" t="s">
        <v>983</v>
      </c>
      <c r="D31" s="992"/>
      <c r="E31" s="386">
        <v>161</v>
      </c>
      <c r="F31" s="334">
        <v>1</v>
      </c>
      <c r="G31" s="419">
        <v>15</v>
      </c>
      <c r="I31" s="334">
        <v>2</v>
      </c>
      <c r="J31" s="435">
        <v>17</v>
      </c>
      <c r="K31" s="384">
        <f t="shared" si="0"/>
        <v>88.235294117647058</v>
      </c>
      <c r="L31" s="384">
        <f t="shared" si="1"/>
        <v>0</v>
      </c>
      <c r="M31" s="384">
        <f t="shared" si="2"/>
        <v>11.76470588235294</v>
      </c>
      <c r="N31" s="421">
        <f>SUM(K31:M31)</f>
        <v>100</v>
      </c>
      <c r="O31" s="383">
        <v>58.75</v>
      </c>
      <c r="P31" s="384"/>
      <c r="Q31" s="384">
        <v>20</v>
      </c>
      <c r="R31" s="385">
        <f t="shared" si="4"/>
        <v>78.75</v>
      </c>
      <c r="S31" s="334">
        <v>3</v>
      </c>
      <c r="T31" s="342">
        <v>37059</v>
      </c>
      <c r="U31" s="355">
        <v>37096</v>
      </c>
      <c r="V31" s="343" t="s">
        <v>984</v>
      </c>
      <c r="W31" s="334" t="s">
        <v>985</v>
      </c>
      <c r="X31" s="334" t="s">
        <v>11</v>
      </c>
      <c r="Y31" s="344">
        <v>50</v>
      </c>
      <c r="Z31" s="334" t="s">
        <v>986</v>
      </c>
      <c r="AA31" s="334" t="s">
        <v>90</v>
      </c>
      <c r="AB31" s="334" t="s">
        <v>11</v>
      </c>
      <c r="AC31" s="334">
        <v>8.8000000000000007</v>
      </c>
      <c r="AD31" s="343" t="s">
        <v>988</v>
      </c>
      <c r="AE31" s="334" t="s">
        <v>116</v>
      </c>
      <c r="AF31" s="334" t="s">
        <v>12</v>
      </c>
      <c r="AG31" s="344">
        <v>20</v>
      </c>
      <c r="AL31" s="343"/>
      <c r="AO31" s="344"/>
      <c r="AP31" s="343"/>
      <c r="AS31" s="344"/>
      <c r="AW31" s="344"/>
      <c r="BA31" s="345"/>
    </row>
    <row r="32" spans="1:53" s="334" customFormat="1">
      <c r="A32" s="334">
        <v>2002</v>
      </c>
      <c r="B32" s="361"/>
      <c r="C32" s="992" t="s">
        <v>983</v>
      </c>
      <c r="D32" s="992"/>
      <c r="E32" s="439">
        <v>148</v>
      </c>
      <c r="G32" s="419">
        <v>15</v>
      </c>
      <c r="I32" s="334">
        <v>2</v>
      </c>
      <c r="J32" s="435">
        <v>17</v>
      </c>
      <c r="K32" s="384">
        <f t="shared" si="0"/>
        <v>88.235294117647058</v>
      </c>
      <c r="L32" s="384">
        <f t="shared" si="1"/>
        <v>0</v>
      </c>
      <c r="M32" s="384">
        <f t="shared" si="2"/>
        <v>11.76470588235294</v>
      </c>
      <c r="N32" s="421">
        <f t="shared" ref="N32:N60" si="5">SUM(K32:M32)</f>
        <v>100</v>
      </c>
      <c r="O32" s="383">
        <v>58.75</v>
      </c>
      <c r="P32" s="384"/>
      <c r="Q32" s="384">
        <v>20</v>
      </c>
      <c r="R32" s="385">
        <f t="shared" si="4"/>
        <v>78.75</v>
      </c>
      <c r="S32" s="334">
        <v>3</v>
      </c>
      <c r="T32" s="357"/>
      <c r="U32" s="355"/>
      <c r="V32" s="343" t="s">
        <v>984</v>
      </c>
      <c r="W32" s="334" t="s">
        <v>985</v>
      </c>
      <c r="X32" s="334" t="s">
        <v>11</v>
      </c>
      <c r="Y32" s="344">
        <v>50</v>
      </c>
      <c r="Z32" s="334" t="s">
        <v>986</v>
      </c>
      <c r="AA32" s="334" t="s">
        <v>90</v>
      </c>
      <c r="AB32" s="334" t="s">
        <v>11</v>
      </c>
      <c r="AC32" s="334">
        <v>8.8000000000000007</v>
      </c>
      <c r="AD32" s="343" t="s">
        <v>988</v>
      </c>
      <c r="AE32" s="334" t="s">
        <v>116</v>
      </c>
      <c r="AF32" s="334" t="s">
        <v>12</v>
      </c>
      <c r="AG32" s="344">
        <v>20</v>
      </c>
      <c r="AL32" s="343"/>
      <c r="AO32" s="344"/>
      <c r="AP32" s="343"/>
      <c r="AS32" s="344"/>
      <c r="AW32" s="344"/>
      <c r="BA32" s="345"/>
    </row>
    <row r="33" spans="1:53" s="334" customFormat="1">
      <c r="A33" s="334">
        <v>2002</v>
      </c>
      <c r="B33" s="440">
        <v>37405</v>
      </c>
      <c r="C33" s="992" t="s">
        <v>983</v>
      </c>
      <c r="D33" s="992"/>
      <c r="E33" s="439">
        <f>365-E32</f>
        <v>217</v>
      </c>
      <c r="F33" s="441">
        <v>0</v>
      </c>
      <c r="G33" s="419">
        <v>16</v>
      </c>
      <c r="I33" s="334">
        <v>2</v>
      </c>
      <c r="J33" s="435">
        <v>18</v>
      </c>
      <c r="K33" s="384">
        <f t="shared" si="0"/>
        <v>88.888888888888886</v>
      </c>
      <c r="L33" s="384">
        <f t="shared" si="1"/>
        <v>0</v>
      </c>
      <c r="M33" s="384">
        <f t="shared" si="2"/>
        <v>11.111111111111111</v>
      </c>
      <c r="N33" s="421">
        <f t="shared" si="5"/>
        <v>100</v>
      </c>
      <c r="O33" s="383">
        <v>58.75</v>
      </c>
      <c r="P33" s="384"/>
      <c r="Q33" s="384">
        <v>20</v>
      </c>
      <c r="R33" s="385">
        <f t="shared" si="4"/>
        <v>78.75</v>
      </c>
      <c r="S33" s="334">
        <v>3</v>
      </c>
      <c r="T33" s="357"/>
      <c r="U33" s="355"/>
      <c r="V33" s="343" t="s">
        <v>984</v>
      </c>
      <c r="W33" s="334" t="s">
        <v>985</v>
      </c>
      <c r="X33" s="334" t="s">
        <v>11</v>
      </c>
      <c r="Y33" s="344">
        <v>50</v>
      </c>
      <c r="Z33" s="334" t="s">
        <v>986</v>
      </c>
      <c r="AA33" s="334" t="s">
        <v>90</v>
      </c>
      <c r="AB33" s="334" t="s">
        <v>11</v>
      </c>
      <c r="AC33" s="334">
        <v>8.8000000000000007</v>
      </c>
      <c r="AD33" s="343" t="s">
        <v>988</v>
      </c>
      <c r="AE33" s="334" t="s">
        <v>116</v>
      </c>
      <c r="AF33" s="334" t="s">
        <v>12</v>
      </c>
      <c r="AG33" s="344">
        <v>20</v>
      </c>
      <c r="AL33" s="343"/>
      <c r="AO33" s="344"/>
      <c r="AP33" s="343"/>
      <c r="AS33" s="344"/>
      <c r="AW33" s="344"/>
      <c r="BA33" s="345"/>
    </row>
    <row r="34" spans="1:53" s="334" customFormat="1">
      <c r="A34" s="334">
        <v>2003</v>
      </c>
      <c r="B34" s="335"/>
      <c r="C34" s="992" t="s">
        <v>983</v>
      </c>
      <c r="D34" s="992"/>
      <c r="E34" s="439">
        <v>0</v>
      </c>
      <c r="G34" s="419">
        <v>16</v>
      </c>
      <c r="I34" s="334">
        <v>2</v>
      </c>
      <c r="J34" s="435">
        <v>18</v>
      </c>
      <c r="K34" s="384">
        <f t="shared" si="0"/>
        <v>88.888888888888886</v>
      </c>
      <c r="L34" s="384">
        <f t="shared" si="1"/>
        <v>0</v>
      </c>
      <c r="M34" s="384">
        <f t="shared" si="2"/>
        <v>11.111111111111111</v>
      </c>
      <c r="N34" s="421">
        <f t="shared" si="5"/>
        <v>100</v>
      </c>
      <c r="O34" s="383">
        <v>58.75</v>
      </c>
      <c r="P34" s="384"/>
      <c r="Q34" s="384">
        <v>20</v>
      </c>
      <c r="R34" s="385">
        <f t="shared" si="4"/>
        <v>78.75</v>
      </c>
      <c r="S34" s="334">
        <v>3</v>
      </c>
      <c r="T34" s="357"/>
      <c r="U34" s="355"/>
      <c r="V34" s="343" t="s">
        <v>984</v>
      </c>
      <c r="W34" s="334" t="s">
        <v>985</v>
      </c>
      <c r="X34" s="334" t="s">
        <v>11</v>
      </c>
      <c r="Y34" s="344">
        <v>50</v>
      </c>
      <c r="Z34" s="334" t="s">
        <v>986</v>
      </c>
      <c r="AA34" s="334" t="s">
        <v>90</v>
      </c>
      <c r="AB34" s="334" t="s">
        <v>11</v>
      </c>
      <c r="AC34" s="334">
        <v>8.8000000000000007</v>
      </c>
      <c r="AD34" s="343" t="s">
        <v>988</v>
      </c>
      <c r="AE34" s="334" t="s">
        <v>116</v>
      </c>
      <c r="AF34" s="334" t="s">
        <v>12</v>
      </c>
      <c r="AG34" s="344">
        <v>20</v>
      </c>
      <c r="AL34" s="343"/>
      <c r="AO34" s="344"/>
      <c r="AP34" s="343"/>
      <c r="AS34" s="344"/>
      <c r="AW34" s="344"/>
      <c r="BA34" s="345"/>
    </row>
    <row r="35" spans="1:53" s="334" customFormat="1">
      <c r="A35" s="334">
        <v>2003</v>
      </c>
      <c r="B35" s="335"/>
      <c r="C35" s="992" t="s">
        <v>983</v>
      </c>
      <c r="D35" s="992"/>
      <c r="E35" s="439">
        <v>365</v>
      </c>
      <c r="G35" s="419">
        <v>16</v>
      </c>
      <c r="I35" s="334">
        <v>2</v>
      </c>
      <c r="J35" s="435">
        <v>18</v>
      </c>
      <c r="K35" s="384">
        <f t="shared" si="0"/>
        <v>88.888888888888886</v>
      </c>
      <c r="L35" s="384">
        <f t="shared" si="1"/>
        <v>0</v>
      </c>
      <c r="M35" s="384">
        <f t="shared" si="2"/>
        <v>11.111111111111111</v>
      </c>
      <c r="N35" s="421">
        <f t="shared" si="5"/>
        <v>100</v>
      </c>
      <c r="O35" s="383">
        <v>58.75</v>
      </c>
      <c r="P35" s="384"/>
      <c r="Q35" s="384">
        <v>20</v>
      </c>
      <c r="R35" s="385">
        <f t="shared" si="4"/>
        <v>78.75</v>
      </c>
      <c r="S35" s="334">
        <v>3</v>
      </c>
      <c r="T35" s="357"/>
      <c r="U35" s="355"/>
      <c r="V35" s="343" t="s">
        <v>984</v>
      </c>
      <c r="W35" s="334" t="s">
        <v>985</v>
      </c>
      <c r="X35" s="334" t="s">
        <v>11</v>
      </c>
      <c r="Y35" s="344">
        <v>50</v>
      </c>
      <c r="Z35" s="334" t="s">
        <v>986</v>
      </c>
      <c r="AA35" s="334" t="s">
        <v>90</v>
      </c>
      <c r="AB35" s="334" t="s">
        <v>11</v>
      </c>
      <c r="AC35" s="334">
        <v>8.8000000000000007</v>
      </c>
      <c r="AD35" s="343" t="s">
        <v>988</v>
      </c>
      <c r="AE35" s="334" t="s">
        <v>116</v>
      </c>
      <c r="AF35" s="334" t="s">
        <v>12</v>
      </c>
      <c r="AG35" s="344">
        <v>20</v>
      </c>
      <c r="AL35" s="343"/>
      <c r="AO35" s="344"/>
      <c r="AP35" s="343"/>
      <c r="AS35" s="344"/>
      <c r="AW35" s="344"/>
      <c r="BA35" s="345"/>
    </row>
    <row r="36" spans="1:53" s="334" customFormat="1">
      <c r="A36" s="334">
        <v>2004</v>
      </c>
      <c r="B36" s="335"/>
      <c r="C36" s="992" t="s">
        <v>983</v>
      </c>
      <c r="D36" s="992"/>
      <c r="E36" s="439">
        <v>0</v>
      </c>
      <c r="G36" s="419">
        <v>16</v>
      </c>
      <c r="I36" s="334">
        <v>2</v>
      </c>
      <c r="J36" s="435">
        <v>18</v>
      </c>
      <c r="K36" s="384">
        <f t="shared" si="0"/>
        <v>88.888888888888886</v>
      </c>
      <c r="L36" s="384">
        <f t="shared" si="1"/>
        <v>0</v>
      </c>
      <c r="M36" s="384">
        <f t="shared" si="2"/>
        <v>11.111111111111111</v>
      </c>
      <c r="N36" s="421">
        <f t="shared" si="5"/>
        <v>100</v>
      </c>
      <c r="O36" s="383">
        <v>58.75</v>
      </c>
      <c r="P36" s="384"/>
      <c r="Q36" s="384">
        <v>20</v>
      </c>
      <c r="R36" s="385">
        <f t="shared" si="4"/>
        <v>78.75</v>
      </c>
      <c r="S36" s="334">
        <v>3</v>
      </c>
      <c r="T36" s="357"/>
      <c r="U36" s="355"/>
      <c r="V36" s="343" t="s">
        <v>984</v>
      </c>
      <c r="W36" s="334" t="s">
        <v>985</v>
      </c>
      <c r="X36" s="334" t="s">
        <v>11</v>
      </c>
      <c r="Y36" s="344">
        <v>50</v>
      </c>
      <c r="Z36" s="334" t="s">
        <v>986</v>
      </c>
      <c r="AA36" s="334" t="s">
        <v>90</v>
      </c>
      <c r="AB36" s="334" t="s">
        <v>11</v>
      </c>
      <c r="AC36" s="334">
        <v>8.8000000000000007</v>
      </c>
      <c r="AD36" s="343" t="s">
        <v>988</v>
      </c>
      <c r="AE36" s="334" t="s">
        <v>116</v>
      </c>
      <c r="AF36" s="334" t="s">
        <v>12</v>
      </c>
      <c r="AG36" s="344">
        <v>20</v>
      </c>
      <c r="AL36" s="343"/>
      <c r="AO36" s="344"/>
      <c r="AP36" s="343"/>
      <c r="AS36" s="344"/>
      <c r="AW36" s="344"/>
      <c r="BA36" s="345"/>
    </row>
    <row r="37" spans="1:53" s="334" customFormat="1">
      <c r="A37" s="334">
        <v>2004</v>
      </c>
      <c r="B37" s="335"/>
      <c r="C37" s="992" t="s">
        <v>983</v>
      </c>
      <c r="D37" s="992"/>
      <c r="E37" s="439">
        <v>366</v>
      </c>
      <c r="G37" s="419">
        <v>16</v>
      </c>
      <c r="I37" s="334">
        <v>2</v>
      </c>
      <c r="J37" s="435">
        <v>18</v>
      </c>
      <c r="K37" s="384">
        <f t="shared" si="0"/>
        <v>88.888888888888886</v>
      </c>
      <c r="L37" s="384">
        <f t="shared" si="1"/>
        <v>0</v>
      </c>
      <c r="M37" s="384">
        <f t="shared" si="2"/>
        <v>11.111111111111111</v>
      </c>
      <c r="N37" s="421">
        <f t="shared" si="5"/>
        <v>100</v>
      </c>
      <c r="O37" s="383">
        <v>58.75</v>
      </c>
      <c r="P37" s="384"/>
      <c r="Q37" s="384">
        <v>20</v>
      </c>
      <c r="R37" s="385">
        <f t="shared" si="4"/>
        <v>78.75</v>
      </c>
      <c r="S37" s="334">
        <v>3</v>
      </c>
      <c r="T37" s="357"/>
      <c r="U37" s="355"/>
      <c r="V37" s="343" t="s">
        <v>984</v>
      </c>
      <c r="W37" s="334" t="s">
        <v>985</v>
      </c>
      <c r="X37" s="334" t="s">
        <v>11</v>
      </c>
      <c r="Y37" s="344">
        <v>50</v>
      </c>
      <c r="Z37" s="334" t="s">
        <v>986</v>
      </c>
      <c r="AA37" s="334" t="s">
        <v>90</v>
      </c>
      <c r="AB37" s="334" t="s">
        <v>11</v>
      </c>
      <c r="AC37" s="334">
        <v>8.8000000000000007</v>
      </c>
      <c r="AD37" s="343" t="s">
        <v>988</v>
      </c>
      <c r="AE37" s="334" t="s">
        <v>116</v>
      </c>
      <c r="AF37" s="334" t="s">
        <v>12</v>
      </c>
      <c r="AG37" s="344">
        <v>20</v>
      </c>
      <c r="AL37" s="343"/>
      <c r="AO37" s="344"/>
      <c r="AP37" s="343"/>
      <c r="AS37" s="344"/>
      <c r="AW37" s="344"/>
      <c r="BA37" s="345"/>
    </row>
    <row r="38" spans="1:53" s="334" customFormat="1">
      <c r="A38" s="334">
        <v>2005</v>
      </c>
      <c r="B38" s="335"/>
      <c r="C38" s="992" t="s">
        <v>983</v>
      </c>
      <c r="D38" s="992"/>
      <c r="E38" s="442">
        <v>51</v>
      </c>
      <c r="G38" s="419">
        <v>16</v>
      </c>
      <c r="I38" s="334">
        <v>2</v>
      </c>
      <c r="J38" s="435">
        <v>18</v>
      </c>
      <c r="K38" s="384">
        <f t="shared" si="0"/>
        <v>88.888888888888886</v>
      </c>
      <c r="L38" s="384">
        <f t="shared" si="1"/>
        <v>0</v>
      </c>
      <c r="M38" s="384">
        <f t="shared" si="2"/>
        <v>11.111111111111111</v>
      </c>
      <c r="N38" s="421">
        <f t="shared" si="5"/>
        <v>100</v>
      </c>
      <c r="O38" s="383">
        <v>58.75</v>
      </c>
      <c r="P38" s="384"/>
      <c r="Q38" s="384">
        <v>20</v>
      </c>
      <c r="R38" s="385">
        <f t="shared" si="4"/>
        <v>78.75</v>
      </c>
      <c r="S38" s="334">
        <v>3</v>
      </c>
      <c r="T38" s="357"/>
      <c r="U38" s="355"/>
      <c r="V38" s="343" t="s">
        <v>984</v>
      </c>
      <c r="W38" s="334" t="s">
        <v>985</v>
      </c>
      <c r="X38" s="334" t="s">
        <v>11</v>
      </c>
      <c r="Y38" s="344">
        <v>50</v>
      </c>
      <c r="Z38" s="334" t="s">
        <v>986</v>
      </c>
      <c r="AA38" s="334" t="s">
        <v>90</v>
      </c>
      <c r="AB38" s="334" t="s">
        <v>11</v>
      </c>
      <c r="AC38" s="334">
        <v>8.8000000000000007</v>
      </c>
      <c r="AD38" s="343" t="s">
        <v>988</v>
      </c>
      <c r="AE38" s="334" t="s">
        <v>116</v>
      </c>
      <c r="AF38" s="334" t="s">
        <v>12</v>
      </c>
      <c r="AG38" s="344">
        <v>20</v>
      </c>
      <c r="AL38" s="343"/>
      <c r="AO38" s="344"/>
      <c r="AP38" s="343"/>
      <c r="AS38" s="344"/>
      <c r="AW38" s="344"/>
      <c r="BA38" s="345"/>
    </row>
    <row r="39" spans="1:53" s="334" customFormat="1">
      <c r="A39" s="334">
        <v>2005</v>
      </c>
      <c r="B39" s="440">
        <v>38404</v>
      </c>
      <c r="C39" s="992" t="s">
        <v>983</v>
      </c>
      <c r="D39" s="992"/>
      <c r="E39" s="442">
        <f>365-E40-E38</f>
        <v>176</v>
      </c>
      <c r="F39" s="441">
        <v>0</v>
      </c>
      <c r="G39" s="419">
        <v>17</v>
      </c>
      <c r="I39" s="334">
        <v>2</v>
      </c>
      <c r="J39" s="435">
        <v>19</v>
      </c>
      <c r="K39" s="384">
        <f>G39/J39*100</f>
        <v>89.473684210526315</v>
      </c>
      <c r="L39" s="384">
        <f>H39/J39*100</f>
        <v>0</v>
      </c>
      <c r="M39" s="384">
        <f>I39/J39*100</f>
        <v>10.526315789473683</v>
      </c>
      <c r="N39" s="421">
        <f t="shared" si="5"/>
        <v>100</v>
      </c>
      <c r="O39" s="383">
        <v>58.75</v>
      </c>
      <c r="P39" s="384"/>
      <c r="Q39" s="384">
        <v>20</v>
      </c>
      <c r="R39" s="385">
        <f t="shared" si="4"/>
        <v>78.75</v>
      </c>
      <c r="S39" s="334">
        <v>3</v>
      </c>
      <c r="T39" s="342"/>
      <c r="U39" s="355"/>
      <c r="V39" s="343" t="s">
        <v>984</v>
      </c>
      <c r="W39" s="334" t="s">
        <v>985</v>
      </c>
      <c r="X39" s="334" t="s">
        <v>11</v>
      </c>
      <c r="Y39" s="344">
        <v>50</v>
      </c>
      <c r="Z39" s="334" t="s">
        <v>986</v>
      </c>
      <c r="AA39" s="334" t="s">
        <v>90</v>
      </c>
      <c r="AB39" s="334" t="s">
        <v>11</v>
      </c>
      <c r="AC39" s="334">
        <v>8.8000000000000007</v>
      </c>
      <c r="AD39" s="343" t="s">
        <v>988</v>
      </c>
      <c r="AE39" s="334" t="s">
        <v>116</v>
      </c>
      <c r="AF39" s="334" t="s">
        <v>12</v>
      </c>
      <c r="AG39" s="344">
        <v>20</v>
      </c>
      <c r="AL39" s="343"/>
      <c r="AO39" s="344"/>
      <c r="AP39" s="343"/>
      <c r="AS39" s="344"/>
      <c r="AW39" s="344"/>
      <c r="BA39" s="345"/>
    </row>
    <row r="40" spans="1:53" s="73" customFormat="1">
      <c r="A40" s="73">
        <v>2005</v>
      </c>
      <c r="B40" s="121">
        <v>38580</v>
      </c>
      <c r="C40" s="988" t="s">
        <v>987</v>
      </c>
      <c r="D40" s="988"/>
      <c r="E40" s="153">
        <v>138</v>
      </c>
      <c r="F40" s="73">
        <v>1</v>
      </c>
      <c r="G40" s="123">
        <v>8</v>
      </c>
      <c r="I40" s="73">
        <v>9</v>
      </c>
      <c r="J40" s="134">
        <v>18</v>
      </c>
      <c r="K40" s="92">
        <f t="shared" si="0"/>
        <v>44.444444444444443</v>
      </c>
      <c r="L40" s="92">
        <f t="shared" si="1"/>
        <v>0</v>
      </c>
      <c r="M40" s="92">
        <f t="shared" si="2"/>
        <v>50</v>
      </c>
      <c r="N40" s="125">
        <f t="shared" si="5"/>
        <v>94.444444444444443</v>
      </c>
      <c r="O40" s="91">
        <v>35.869999999999997</v>
      </c>
      <c r="P40" s="92"/>
      <c r="Q40" s="92">
        <v>33.979999999999997</v>
      </c>
      <c r="R40" s="93">
        <f t="shared" si="4"/>
        <v>69.849999999999994</v>
      </c>
      <c r="S40" s="73">
        <v>3</v>
      </c>
      <c r="T40" s="95">
        <v>38528</v>
      </c>
      <c r="U40" s="85">
        <v>38580</v>
      </c>
      <c r="V40" s="82" t="s">
        <v>989</v>
      </c>
      <c r="W40" s="73" t="s">
        <v>116</v>
      </c>
      <c r="X40" s="73" t="s">
        <v>12</v>
      </c>
      <c r="Y40" s="83">
        <v>34</v>
      </c>
      <c r="Z40" s="73" t="s">
        <v>984</v>
      </c>
      <c r="AA40" s="73" t="s">
        <v>985</v>
      </c>
      <c r="AB40" s="73" t="s">
        <v>11</v>
      </c>
      <c r="AC40" s="73">
        <v>21.7</v>
      </c>
      <c r="AD40" s="82" t="s">
        <v>986</v>
      </c>
      <c r="AE40" s="73" t="s">
        <v>90</v>
      </c>
      <c r="AF40" s="73" t="s">
        <v>11</v>
      </c>
      <c r="AG40" s="83">
        <v>14.2</v>
      </c>
      <c r="AL40" s="82"/>
      <c r="AO40" s="83"/>
      <c r="AP40" s="82"/>
      <c r="AS40" s="83"/>
      <c r="AW40" s="83"/>
      <c r="BA40" s="84"/>
    </row>
    <row r="41" spans="1:53" s="73" customFormat="1">
      <c r="A41" s="73">
        <v>2006</v>
      </c>
      <c r="B41" s="121"/>
      <c r="C41" s="988" t="s">
        <v>987</v>
      </c>
      <c r="D41" s="988"/>
      <c r="E41" s="153">
        <v>0</v>
      </c>
      <c r="G41" s="123">
        <v>8</v>
      </c>
      <c r="I41" s="73">
        <v>9</v>
      </c>
      <c r="J41" s="134">
        <v>18</v>
      </c>
      <c r="K41" s="92">
        <f t="shared" si="0"/>
        <v>44.444444444444443</v>
      </c>
      <c r="L41" s="92">
        <f t="shared" si="1"/>
        <v>0</v>
      </c>
      <c r="M41" s="92">
        <f t="shared" si="2"/>
        <v>50</v>
      </c>
      <c r="N41" s="125">
        <f t="shared" si="5"/>
        <v>94.444444444444443</v>
      </c>
      <c r="O41" s="91">
        <v>35.869999999999997</v>
      </c>
      <c r="P41" s="92"/>
      <c r="Q41" s="92">
        <v>33.979999999999997</v>
      </c>
      <c r="R41" s="93">
        <f t="shared" si="4"/>
        <v>69.849999999999994</v>
      </c>
      <c r="S41" s="73">
        <v>3</v>
      </c>
      <c r="T41" s="81"/>
      <c r="U41" s="85"/>
      <c r="V41" s="82" t="s">
        <v>989</v>
      </c>
      <c r="W41" s="73" t="s">
        <v>116</v>
      </c>
      <c r="X41" s="73" t="s">
        <v>12</v>
      </c>
      <c r="Y41" s="83">
        <v>34</v>
      </c>
      <c r="Z41" s="73" t="s">
        <v>984</v>
      </c>
      <c r="AA41" s="73" t="s">
        <v>985</v>
      </c>
      <c r="AB41" s="73" t="s">
        <v>11</v>
      </c>
      <c r="AC41" s="73">
        <v>21.7</v>
      </c>
      <c r="AD41" s="82" t="s">
        <v>986</v>
      </c>
      <c r="AE41" s="73" t="s">
        <v>90</v>
      </c>
      <c r="AF41" s="73" t="s">
        <v>11</v>
      </c>
      <c r="AG41" s="83">
        <v>14.2</v>
      </c>
      <c r="AL41" s="82"/>
      <c r="AO41" s="83"/>
      <c r="AP41" s="82"/>
      <c r="AS41" s="83"/>
      <c r="AW41" s="83"/>
      <c r="BA41" s="84"/>
    </row>
    <row r="42" spans="1:53" s="73" customFormat="1">
      <c r="A42" s="73">
        <v>2006</v>
      </c>
      <c r="B42" s="121"/>
      <c r="C42" s="988" t="s">
        <v>987</v>
      </c>
      <c r="D42" s="988"/>
      <c r="E42" s="153">
        <v>365</v>
      </c>
      <c r="G42" s="123">
        <v>8</v>
      </c>
      <c r="I42" s="73">
        <v>9</v>
      </c>
      <c r="J42" s="134">
        <v>18</v>
      </c>
      <c r="K42" s="92">
        <f t="shared" si="0"/>
        <v>44.444444444444443</v>
      </c>
      <c r="L42" s="92">
        <f t="shared" si="1"/>
        <v>0</v>
      </c>
      <c r="M42" s="92">
        <f t="shared" si="2"/>
        <v>50</v>
      </c>
      <c r="N42" s="125">
        <f t="shared" si="5"/>
        <v>94.444444444444443</v>
      </c>
      <c r="O42" s="91">
        <v>35.869999999999997</v>
      </c>
      <c r="P42" s="92"/>
      <c r="Q42" s="92">
        <v>33.979999999999997</v>
      </c>
      <c r="R42" s="93">
        <f t="shared" si="4"/>
        <v>69.849999999999994</v>
      </c>
      <c r="S42" s="73">
        <v>3</v>
      </c>
      <c r="T42" s="81"/>
      <c r="U42" s="85"/>
      <c r="V42" s="82" t="s">
        <v>989</v>
      </c>
      <c r="W42" s="73" t="s">
        <v>116</v>
      </c>
      <c r="X42" s="73" t="s">
        <v>12</v>
      </c>
      <c r="Y42" s="83">
        <v>34</v>
      </c>
      <c r="Z42" s="73" t="s">
        <v>984</v>
      </c>
      <c r="AA42" s="73" t="s">
        <v>985</v>
      </c>
      <c r="AB42" s="73" t="s">
        <v>11</v>
      </c>
      <c r="AC42" s="73">
        <v>21.7</v>
      </c>
      <c r="AD42" s="82" t="s">
        <v>986</v>
      </c>
      <c r="AE42" s="73" t="s">
        <v>90</v>
      </c>
      <c r="AF42" s="73" t="s">
        <v>11</v>
      </c>
      <c r="AG42" s="83">
        <v>14.2</v>
      </c>
      <c r="AL42" s="82"/>
      <c r="AO42" s="83"/>
      <c r="AP42" s="82"/>
      <c r="AS42" s="83"/>
      <c r="AW42" s="83"/>
      <c r="BA42" s="84"/>
    </row>
    <row r="43" spans="1:53" s="73" customFormat="1">
      <c r="A43" s="73">
        <v>2007</v>
      </c>
      <c r="B43" s="121"/>
      <c r="C43" s="988" t="s">
        <v>987</v>
      </c>
      <c r="D43" s="988"/>
      <c r="E43" s="153">
        <v>0</v>
      </c>
      <c r="G43" s="123">
        <v>8</v>
      </c>
      <c r="I43" s="73">
        <v>9</v>
      </c>
      <c r="J43" s="134">
        <v>18</v>
      </c>
      <c r="K43" s="92">
        <f t="shared" si="0"/>
        <v>44.444444444444443</v>
      </c>
      <c r="L43" s="92">
        <f t="shared" si="1"/>
        <v>0</v>
      </c>
      <c r="M43" s="92">
        <f t="shared" si="2"/>
        <v>50</v>
      </c>
      <c r="N43" s="125">
        <f t="shared" si="5"/>
        <v>94.444444444444443</v>
      </c>
      <c r="O43" s="91">
        <v>35.869999999999997</v>
      </c>
      <c r="P43" s="92"/>
      <c r="Q43" s="92">
        <v>33.979999999999997</v>
      </c>
      <c r="R43" s="93">
        <f t="shared" si="4"/>
        <v>69.849999999999994</v>
      </c>
      <c r="S43" s="73">
        <v>3</v>
      </c>
      <c r="T43" s="81"/>
      <c r="U43" s="85"/>
      <c r="V43" s="82" t="s">
        <v>989</v>
      </c>
      <c r="W43" s="73" t="s">
        <v>116</v>
      </c>
      <c r="X43" s="73" t="s">
        <v>12</v>
      </c>
      <c r="Y43" s="83">
        <v>34</v>
      </c>
      <c r="Z43" s="73" t="s">
        <v>984</v>
      </c>
      <c r="AA43" s="73" t="s">
        <v>985</v>
      </c>
      <c r="AB43" s="73" t="s">
        <v>11</v>
      </c>
      <c r="AC43" s="73">
        <v>21.7</v>
      </c>
      <c r="AD43" s="82" t="s">
        <v>986</v>
      </c>
      <c r="AE43" s="73" t="s">
        <v>90</v>
      </c>
      <c r="AF43" s="73" t="s">
        <v>11</v>
      </c>
      <c r="AG43" s="83">
        <v>14.2</v>
      </c>
      <c r="AL43" s="82"/>
      <c r="AO43" s="83"/>
      <c r="AP43" s="82"/>
      <c r="AS43" s="83"/>
      <c r="AW43" s="83"/>
      <c r="BA43" s="84"/>
    </row>
    <row r="44" spans="1:53" s="73" customFormat="1">
      <c r="A44" s="73">
        <v>2007</v>
      </c>
      <c r="B44" s="121"/>
      <c r="C44" s="988" t="s">
        <v>987</v>
      </c>
      <c r="D44" s="988"/>
      <c r="E44" s="153">
        <v>365</v>
      </c>
      <c r="G44" s="123">
        <v>8</v>
      </c>
      <c r="I44" s="73">
        <v>9</v>
      </c>
      <c r="J44" s="134">
        <v>18</v>
      </c>
      <c r="K44" s="92">
        <f t="shared" si="0"/>
        <v>44.444444444444443</v>
      </c>
      <c r="L44" s="92">
        <f t="shared" si="1"/>
        <v>0</v>
      </c>
      <c r="M44" s="92">
        <f t="shared" si="2"/>
        <v>50</v>
      </c>
      <c r="N44" s="125">
        <f t="shared" si="5"/>
        <v>94.444444444444443</v>
      </c>
      <c r="O44" s="91">
        <v>35.869999999999997</v>
      </c>
      <c r="P44" s="92"/>
      <c r="Q44" s="92">
        <v>33.979999999999997</v>
      </c>
      <c r="R44" s="93">
        <f t="shared" si="4"/>
        <v>69.849999999999994</v>
      </c>
      <c r="S44" s="73">
        <v>3</v>
      </c>
      <c r="T44" s="81"/>
      <c r="U44" s="85"/>
      <c r="V44" s="82" t="s">
        <v>989</v>
      </c>
      <c r="W44" s="73" t="s">
        <v>116</v>
      </c>
      <c r="X44" s="73" t="s">
        <v>12</v>
      </c>
      <c r="Y44" s="83">
        <v>34</v>
      </c>
      <c r="Z44" s="73" t="s">
        <v>984</v>
      </c>
      <c r="AA44" s="73" t="s">
        <v>985</v>
      </c>
      <c r="AB44" s="73" t="s">
        <v>11</v>
      </c>
      <c r="AC44" s="73">
        <v>21.7</v>
      </c>
      <c r="AD44" s="82" t="s">
        <v>986</v>
      </c>
      <c r="AE44" s="73" t="s">
        <v>90</v>
      </c>
      <c r="AF44" s="73" t="s">
        <v>11</v>
      </c>
      <c r="AG44" s="83">
        <v>14.2</v>
      </c>
      <c r="AL44" s="82"/>
      <c r="AO44" s="83"/>
      <c r="AP44" s="82"/>
      <c r="AS44" s="83"/>
      <c r="AW44" s="83"/>
      <c r="BA44" s="84"/>
    </row>
    <row r="45" spans="1:53" s="73" customFormat="1">
      <c r="A45" s="73">
        <v>2008</v>
      </c>
      <c r="B45" s="121"/>
      <c r="C45" s="988" t="s">
        <v>987</v>
      </c>
      <c r="D45" s="988"/>
      <c r="E45" s="153">
        <v>114</v>
      </c>
      <c r="G45" s="123">
        <v>8</v>
      </c>
      <c r="I45" s="73">
        <v>9</v>
      </c>
      <c r="J45" s="134">
        <v>18</v>
      </c>
      <c r="K45" s="92">
        <f t="shared" si="0"/>
        <v>44.444444444444443</v>
      </c>
      <c r="L45" s="92">
        <f t="shared" si="1"/>
        <v>0</v>
      </c>
      <c r="M45" s="92">
        <f t="shared" si="2"/>
        <v>50</v>
      </c>
      <c r="N45" s="125">
        <f t="shared" si="5"/>
        <v>94.444444444444443</v>
      </c>
      <c r="O45" s="91">
        <v>35.869999999999997</v>
      </c>
      <c r="P45" s="92"/>
      <c r="Q45" s="92">
        <v>33.979999999999997</v>
      </c>
      <c r="R45" s="93">
        <f t="shared" si="4"/>
        <v>69.849999999999994</v>
      </c>
      <c r="S45" s="73">
        <v>3</v>
      </c>
      <c r="T45" s="81"/>
      <c r="U45" s="85"/>
      <c r="V45" s="82" t="s">
        <v>989</v>
      </c>
      <c r="W45" s="73" t="s">
        <v>116</v>
      </c>
      <c r="X45" s="73" t="s">
        <v>12</v>
      </c>
      <c r="Y45" s="83">
        <v>34</v>
      </c>
      <c r="Z45" s="73" t="s">
        <v>984</v>
      </c>
      <c r="AA45" s="73" t="s">
        <v>985</v>
      </c>
      <c r="AB45" s="73" t="s">
        <v>11</v>
      </c>
      <c r="AC45" s="73">
        <v>21.7</v>
      </c>
      <c r="AD45" s="82" t="s">
        <v>986</v>
      </c>
      <c r="AE45" s="73" t="s">
        <v>90</v>
      </c>
      <c r="AF45" s="73" t="s">
        <v>11</v>
      </c>
      <c r="AG45" s="83">
        <v>14.2</v>
      </c>
      <c r="AL45" s="82"/>
      <c r="AO45" s="83"/>
      <c r="AP45" s="82"/>
      <c r="AS45" s="83"/>
      <c r="AW45" s="83"/>
      <c r="BA45" s="84"/>
    </row>
    <row r="46" spans="1:53" s="73" customFormat="1">
      <c r="A46" s="73">
        <v>2008</v>
      </c>
      <c r="B46" s="154">
        <v>39562</v>
      </c>
      <c r="C46" s="988" t="s">
        <v>987</v>
      </c>
      <c r="D46" s="988"/>
      <c r="E46" s="153">
        <v>252</v>
      </c>
      <c r="F46" s="150">
        <v>0</v>
      </c>
      <c r="G46" s="123">
        <v>8</v>
      </c>
      <c r="I46" s="73">
        <v>10</v>
      </c>
      <c r="J46" s="134">
        <v>19</v>
      </c>
      <c r="K46" s="92">
        <f t="shared" si="0"/>
        <v>42.105263157894733</v>
      </c>
      <c r="L46" s="92">
        <f t="shared" si="1"/>
        <v>0</v>
      </c>
      <c r="M46" s="92">
        <f t="shared" si="2"/>
        <v>52.631578947368418</v>
      </c>
      <c r="N46" s="125">
        <f t="shared" si="5"/>
        <v>94.73684210526315</v>
      </c>
      <c r="O46" s="91">
        <v>35.869999999999997</v>
      </c>
      <c r="P46" s="92"/>
      <c r="Q46" s="92">
        <v>33.979999999999997</v>
      </c>
      <c r="R46" s="93">
        <f t="shared" si="4"/>
        <v>69.849999999999994</v>
      </c>
      <c r="S46" s="73">
        <v>3</v>
      </c>
      <c r="T46" s="81"/>
      <c r="U46" s="85"/>
      <c r="V46" s="82" t="s">
        <v>989</v>
      </c>
      <c r="W46" s="73" t="s">
        <v>116</v>
      </c>
      <c r="X46" s="73" t="s">
        <v>12</v>
      </c>
      <c r="Y46" s="83">
        <v>34</v>
      </c>
      <c r="Z46" s="73" t="s">
        <v>984</v>
      </c>
      <c r="AA46" s="73" t="s">
        <v>985</v>
      </c>
      <c r="AB46" s="73" t="s">
        <v>11</v>
      </c>
      <c r="AC46" s="73">
        <v>21.7</v>
      </c>
      <c r="AD46" s="82" t="s">
        <v>986</v>
      </c>
      <c r="AE46" s="73" t="s">
        <v>90</v>
      </c>
      <c r="AF46" s="73" t="s">
        <v>11</v>
      </c>
      <c r="AG46" s="83">
        <v>14.2</v>
      </c>
      <c r="AL46" s="82"/>
      <c r="AO46" s="83"/>
      <c r="AP46" s="82"/>
      <c r="AS46" s="83"/>
      <c r="AW46" s="83"/>
      <c r="BA46" s="84"/>
    </row>
    <row r="47" spans="1:53" s="291" customFormat="1">
      <c r="A47" s="291">
        <v>2009</v>
      </c>
      <c r="B47" s="121"/>
      <c r="C47" s="988" t="s">
        <v>987</v>
      </c>
      <c r="D47" s="988"/>
      <c r="E47" s="153">
        <v>207</v>
      </c>
      <c r="G47" s="123">
        <v>8</v>
      </c>
      <c r="I47" s="291">
        <v>10</v>
      </c>
      <c r="J47" s="134">
        <v>19</v>
      </c>
      <c r="K47" s="92">
        <f t="shared" si="0"/>
        <v>42.105263157894733</v>
      </c>
      <c r="L47" s="92">
        <f t="shared" si="1"/>
        <v>0</v>
      </c>
      <c r="M47" s="92">
        <f t="shared" si="2"/>
        <v>52.631578947368418</v>
      </c>
      <c r="N47" s="125">
        <f t="shared" si="5"/>
        <v>94.73684210526315</v>
      </c>
      <c r="O47" s="91">
        <v>35.869999999999997</v>
      </c>
      <c r="P47" s="92"/>
      <c r="Q47" s="92">
        <v>33.979999999999997</v>
      </c>
      <c r="R47" s="93">
        <f t="shared" si="4"/>
        <v>69.849999999999994</v>
      </c>
      <c r="S47" s="291">
        <v>3</v>
      </c>
      <c r="T47" s="81"/>
      <c r="U47" s="290"/>
      <c r="V47" s="82" t="s">
        <v>989</v>
      </c>
      <c r="W47" s="291" t="s">
        <v>116</v>
      </c>
      <c r="X47" s="291" t="s">
        <v>12</v>
      </c>
      <c r="Y47" s="83">
        <v>34</v>
      </c>
      <c r="Z47" s="291" t="s">
        <v>984</v>
      </c>
      <c r="AA47" s="291" t="s">
        <v>985</v>
      </c>
      <c r="AB47" s="291" t="s">
        <v>11</v>
      </c>
      <c r="AC47" s="291">
        <v>21.7</v>
      </c>
      <c r="AD47" s="82" t="s">
        <v>986</v>
      </c>
      <c r="AE47" s="291" t="s">
        <v>90</v>
      </c>
      <c r="AF47" s="291" t="s">
        <v>11</v>
      </c>
      <c r="AG47" s="83">
        <v>14.2</v>
      </c>
      <c r="AL47" s="82"/>
      <c r="AO47" s="83"/>
      <c r="AP47" s="82"/>
      <c r="AS47" s="83"/>
      <c r="AW47" s="83"/>
      <c r="BA47" s="84"/>
    </row>
    <row r="48" spans="1:53" s="334" customFormat="1">
      <c r="A48" s="334">
        <v>2009</v>
      </c>
      <c r="B48" s="335">
        <v>40021</v>
      </c>
      <c r="C48" s="992" t="s">
        <v>990</v>
      </c>
      <c r="D48" s="992"/>
      <c r="E48" s="443">
        <f>365-E47</f>
        <v>158</v>
      </c>
      <c r="F48" s="334">
        <v>1</v>
      </c>
      <c r="G48" s="419">
        <v>16</v>
      </c>
      <c r="J48" s="435">
        <v>17</v>
      </c>
      <c r="K48" s="384">
        <f t="shared" si="0"/>
        <v>94.117647058823522</v>
      </c>
      <c r="L48" s="384">
        <f t="shared" si="1"/>
        <v>0</v>
      </c>
      <c r="M48" s="384">
        <f t="shared" si="2"/>
        <v>0</v>
      </c>
      <c r="N48" s="421">
        <f t="shared" si="5"/>
        <v>94.117647058823522</v>
      </c>
      <c r="O48" s="383">
        <v>48.8</v>
      </c>
      <c r="P48" s="384"/>
      <c r="Q48" s="384"/>
      <c r="R48" s="385">
        <f t="shared" si="4"/>
        <v>48.8</v>
      </c>
      <c r="S48" s="334">
        <v>4</v>
      </c>
      <c r="T48" s="342">
        <v>39999</v>
      </c>
      <c r="U48" s="355">
        <v>40021</v>
      </c>
      <c r="V48" s="343" t="s">
        <v>991</v>
      </c>
      <c r="W48" s="334" t="s">
        <v>74</v>
      </c>
      <c r="X48" s="334" t="s">
        <v>11</v>
      </c>
      <c r="Y48" s="344">
        <v>48.8</v>
      </c>
      <c r="AD48" s="343"/>
      <c r="AG48" s="344"/>
      <c r="AL48" s="343"/>
      <c r="AO48" s="344"/>
      <c r="AP48" s="343"/>
      <c r="AS48" s="344"/>
      <c r="AW48" s="344"/>
      <c r="BA48" s="345"/>
    </row>
    <row r="49" spans="1:53" s="334" customFormat="1">
      <c r="A49" s="334">
        <v>2010</v>
      </c>
      <c r="B49" s="335"/>
      <c r="C49" s="992" t="s">
        <v>990</v>
      </c>
      <c r="D49" s="992"/>
      <c r="E49" s="443">
        <v>76</v>
      </c>
      <c r="G49" s="419">
        <v>16</v>
      </c>
      <c r="J49" s="435">
        <v>17</v>
      </c>
      <c r="K49" s="384">
        <f>G49/J49*100</f>
        <v>94.117647058823522</v>
      </c>
      <c r="L49" s="384">
        <f>H49/J49*100</f>
        <v>0</v>
      </c>
      <c r="M49" s="384">
        <f>I49/J49*100</f>
        <v>0</v>
      </c>
      <c r="N49" s="421">
        <f t="shared" si="5"/>
        <v>94.117647058823522</v>
      </c>
      <c r="O49" s="383">
        <v>48.8</v>
      </c>
      <c r="P49" s="384"/>
      <c r="Q49" s="384"/>
      <c r="R49" s="385">
        <f t="shared" si="4"/>
        <v>48.8</v>
      </c>
      <c r="S49" s="334">
        <v>4</v>
      </c>
      <c r="T49" s="357"/>
      <c r="U49" s="355"/>
      <c r="V49" s="343" t="s">
        <v>991</v>
      </c>
      <c r="W49" s="334" t="s">
        <v>74</v>
      </c>
      <c r="X49" s="334" t="s">
        <v>11</v>
      </c>
      <c r="Y49" s="344">
        <v>48.8</v>
      </c>
      <c r="AD49" s="343"/>
      <c r="AG49" s="344"/>
      <c r="AL49" s="343"/>
      <c r="AO49" s="344"/>
      <c r="AP49" s="343"/>
      <c r="AS49" s="344"/>
      <c r="AW49" s="344"/>
      <c r="BA49" s="345"/>
    </row>
    <row r="50" spans="1:53" s="334" customFormat="1">
      <c r="A50" s="334">
        <v>2010</v>
      </c>
      <c r="B50" s="440">
        <v>40255</v>
      </c>
      <c r="C50" s="992" t="s">
        <v>990</v>
      </c>
      <c r="D50" s="992"/>
      <c r="E50" s="443">
        <v>12</v>
      </c>
      <c r="F50" s="441">
        <v>0</v>
      </c>
      <c r="G50" s="419">
        <v>17</v>
      </c>
      <c r="J50" s="435">
        <v>18</v>
      </c>
      <c r="K50" s="384">
        <f>G50/J50*100</f>
        <v>94.444444444444443</v>
      </c>
      <c r="L50" s="384">
        <f>H50/J50*100</f>
        <v>0</v>
      </c>
      <c r="M50" s="384">
        <f>I50/J50*100</f>
        <v>0</v>
      </c>
      <c r="N50" s="421">
        <f t="shared" si="5"/>
        <v>94.444444444444443</v>
      </c>
      <c r="O50" s="383">
        <v>48.8</v>
      </c>
      <c r="P50" s="384"/>
      <c r="Q50" s="384"/>
      <c r="R50" s="385">
        <f t="shared" si="4"/>
        <v>48.8</v>
      </c>
      <c r="S50" s="334">
        <v>4</v>
      </c>
      <c r="T50" s="357"/>
      <c r="U50" s="355"/>
      <c r="V50" s="343" t="s">
        <v>991</v>
      </c>
      <c r="W50" s="334" t="s">
        <v>74</v>
      </c>
      <c r="X50" s="334" t="s">
        <v>11</v>
      </c>
      <c r="Y50" s="344">
        <v>48.8</v>
      </c>
      <c r="AD50" s="343"/>
      <c r="AG50" s="344"/>
      <c r="AL50" s="343"/>
      <c r="AO50" s="344"/>
      <c r="AP50" s="343"/>
      <c r="AS50" s="344"/>
      <c r="AW50" s="344"/>
      <c r="BA50" s="345"/>
    </row>
    <row r="51" spans="1:53" s="334" customFormat="1">
      <c r="A51" s="334">
        <v>2010</v>
      </c>
      <c r="B51" s="440">
        <v>40267</v>
      </c>
      <c r="C51" s="992" t="s">
        <v>990</v>
      </c>
      <c r="D51" s="992"/>
      <c r="E51" s="443">
        <v>264</v>
      </c>
      <c r="F51" s="441">
        <v>0</v>
      </c>
      <c r="G51" s="419">
        <v>16</v>
      </c>
      <c r="J51" s="435">
        <v>18</v>
      </c>
      <c r="K51" s="384">
        <f t="shared" si="0"/>
        <v>88.888888888888886</v>
      </c>
      <c r="L51" s="384">
        <f t="shared" si="1"/>
        <v>0</v>
      </c>
      <c r="M51" s="384">
        <f t="shared" si="2"/>
        <v>0</v>
      </c>
      <c r="N51" s="421">
        <f t="shared" si="5"/>
        <v>88.888888888888886</v>
      </c>
      <c r="O51" s="383">
        <v>48.8</v>
      </c>
      <c r="P51" s="384"/>
      <c r="Q51" s="384"/>
      <c r="R51" s="385">
        <f t="shared" si="4"/>
        <v>48.8</v>
      </c>
      <c r="S51" s="334">
        <v>4</v>
      </c>
      <c r="T51" s="357"/>
      <c r="U51" s="355"/>
      <c r="V51" s="343" t="s">
        <v>991</v>
      </c>
      <c r="W51" s="334" t="s">
        <v>74</v>
      </c>
      <c r="X51" s="334" t="s">
        <v>11</v>
      </c>
      <c r="Y51" s="344">
        <v>48.8</v>
      </c>
      <c r="AD51" s="343"/>
      <c r="AG51" s="344"/>
      <c r="AL51" s="343"/>
      <c r="AO51" s="344"/>
      <c r="AP51" s="343"/>
      <c r="AS51" s="344"/>
      <c r="AW51" s="344"/>
      <c r="BA51" s="345"/>
    </row>
    <row r="52" spans="1:53" s="334" customFormat="1">
      <c r="A52" s="334">
        <v>2010</v>
      </c>
      <c r="B52" s="440">
        <v>40531</v>
      </c>
      <c r="C52" s="992" t="s">
        <v>990</v>
      </c>
      <c r="D52" s="992"/>
      <c r="E52" s="443">
        <v>13</v>
      </c>
      <c r="F52" s="441">
        <v>0</v>
      </c>
      <c r="G52" s="419">
        <v>15</v>
      </c>
      <c r="J52" s="435">
        <v>17</v>
      </c>
      <c r="K52" s="384">
        <f t="shared" si="0"/>
        <v>88.235294117647058</v>
      </c>
      <c r="L52" s="384">
        <f t="shared" si="1"/>
        <v>0</v>
      </c>
      <c r="M52" s="384">
        <f t="shared" si="2"/>
        <v>0</v>
      </c>
      <c r="N52" s="421">
        <f t="shared" si="5"/>
        <v>88.235294117647058</v>
      </c>
      <c r="O52" s="383">
        <v>48.8</v>
      </c>
      <c r="P52" s="384"/>
      <c r="Q52" s="384"/>
      <c r="R52" s="385">
        <f t="shared" si="4"/>
        <v>48.8</v>
      </c>
      <c r="S52" s="334">
        <v>4</v>
      </c>
      <c r="T52" s="357"/>
      <c r="U52" s="355"/>
      <c r="V52" s="343" t="s">
        <v>991</v>
      </c>
      <c r="W52" s="334" t="s">
        <v>74</v>
      </c>
      <c r="X52" s="334" t="s">
        <v>11</v>
      </c>
      <c r="Y52" s="344">
        <v>48.8</v>
      </c>
      <c r="AD52" s="343"/>
      <c r="AG52" s="344"/>
      <c r="AL52" s="343"/>
      <c r="AO52" s="344"/>
      <c r="AP52" s="343"/>
      <c r="AS52" s="344"/>
      <c r="AW52" s="344"/>
      <c r="BA52" s="345"/>
    </row>
    <row r="53" spans="1:53" s="334" customFormat="1">
      <c r="A53" s="334">
        <v>2011</v>
      </c>
      <c r="B53" s="440"/>
      <c r="C53" s="992" t="s">
        <v>990</v>
      </c>
      <c r="D53" s="992"/>
      <c r="E53" s="443">
        <v>0</v>
      </c>
      <c r="G53" s="419">
        <v>15</v>
      </c>
      <c r="J53" s="435">
        <v>17</v>
      </c>
      <c r="K53" s="384">
        <f t="shared" ref="K53:K60" si="6">G53/J53*100</f>
        <v>88.235294117647058</v>
      </c>
      <c r="L53" s="384">
        <f t="shared" ref="L53:L60" si="7">H53/J53*100</f>
        <v>0</v>
      </c>
      <c r="M53" s="384">
        <f t="shared" ref="M53:M60" si="8">I53/J53*100</f>
        <v>0</v>
      </c>
      <c r="N53" s="421">
        <f t="shared" si="5"/>
        <v>88.235294117647058</v>
      </c>
      <c r="O53" s="383">
        <v>48.8</v>
      </c>
      <c r="P53" s="384"/>
      <c r="Q53" s="384"/>
      <c r="R53" s="385">
        <f t="shared" si="4"/>
        <v>48.8</v>
      </c>
      <c r="S53" s="334">
        <v>4</v>
      </c>
      <c r="T53" s="357"/>
      <c r="U53" s="355"/>
      <c r="V53" s="343" t="s">
        <v>991</v>
      </c>
      <c r="W53" s="334" t="s">
        <v>74</v>
      </c>
      <c r="X53" s="334" t="s">
        <v>11</v>
      </c>
      <c r="Y53" s="344">
        <v>48.8</v>
      </c>
      <c r="AD53" s="343"/>
      <c r="AG53" s="344"/>
      <c r="AL53" s="343"/>
      <c r="AO53" s="344"/>
      <c r="AP53" s="343"/>
      <c r="AS53" s="344"/>
      <c r="AW53" s="344"/>
      <c r="BA53" s="345"/>
    </row>
    <row r="54" spans="1:53" s="334" customFormat="1">
      <c r="A54" s="334">
        <v>2011</v>
      </c>
      <c r="B54" s="440"/>
      <c r="C54" s="992" t="s">
        <v>990</v>
      </c>
      <c r="D54" s="992"/>
      <c r="E54" s="443">
        <v>365</v>
      </c>
      <c r="F54" s="441"/>
      <c r="G54" s="419">
        <v>15</v>
      </c>
      <c r="J54" s="435">
        <v>17</v>
      </c>
      <c r="K54" s="384">
        <f t="shared" si="6"/>
        <v>88.235294117647058</v>
      </c>
      <c r="L54" s="384">
        <f t="shared" si="7"/>
        <v>0</v>
      </c>
      <c r="M54" s="384">
        <f t="shared" si="8"/>
        <v>0</v>
      </c>
      <c r="N54" s="421">
        <f t="shared" si="5"/>
        <v>88.235294117647058</v>
      </c>
      <c r="O54" s="383">
        <v>48.8</v>
      </c>
      <c r="P54" s="384"/>
      <c r="Q54" s="384"/>
      <c r="R54" s="385">
        <f t="shared" si="4"/>
        <v>48.8</v>
      </c>
      <c r="S54" s="334">
        <v>4</v>
      </c>
      <c r="T54" s="357"/>
      <c r="U54" s="355"/>
      <c r="V54" s="343" t="s">
        <v>991</v>
      </c>
      <c r="W54" s="334" t="s">
        <v>74</v>
      </c>
      <c r="X54" s="334" t="s">
        <v>11</v>
      </c>
      <c r="Y54" s="344">
        <v>48.8</v>
      </c>
      <c r="AD54" s="343"/>
      <c r="AG54" s="344"/>
      <c r="AL54" s="343"/>
      <c r="AO54" s="344"/>
      <c r="AP54" s="343"/>
      <c r="AS54" s="344"/>
      <c r="AW54" s="344"/>
      <c r="BA54" s="345"/>
    </row>
    <row r="55" spans="1:53" s="334" customFormat="1">
      <c r="A55" s="334">
        <v>2012</v>
      </c>
      <c r="B55" s="440"/>
      <c r="C55" s="992" t="s">
        <v>990</v>
      </c>
      <c r="D55" s="992"/>
      <c r="E55" s="443">
        <v>80</v>
      </c>
      <c r="F55" s="345"/>
      <c r="G55" s="334">
        <v>15</v>
      </c>
      <c r="J55" s="435">
        <v>17</v>
      </c>
      <c r="K55" s="384">
        <f t="shared" si="6"/>
        <v>88.235294117647058</v>
      </c>
      <c r="L55" s="384">
        <f t="shared" si="7"/>
        <v>0</v>
      </c>
      <c r="M55" s="384">
        <f t="shared" si="8"/>
        <v>0</v>
      </c>
      <c r="N55" s="421">
        <f t="shared" si="5"/>
        <v>88.235294117647058</v>
      </c>
      <c r="O55" s="383">
        <v>48.8</v>
      </c>
      <c r="P55" s="384"/>
      <c r="Q55" s="384"/>
      <c r="R55" s="385">
        <f t="shared" si="4"/>
        <v>48.8</v>
      </c>
      <c r="S55" s="334">
        <v>4</v>
      </c>
      <c r="T55" s="357"/>
      <c r="U55" s="355"/>
      <c r="V55" s="343" t="s">
        <v>991</v>
      </c>
      <c r="W55" s="334" t="s">
        <v>74</v>
      </c>
      <c r="X55" s="334" t="s">
        <v>11</v>
      </c>
      <c r="Y55" s="344">
        <v>48.8</v>
      </c>
      <c r="AD55" s="343"/>
      <c r="AG55" s="344"/>
      <c r="AL55" s="343"/>
      <c r="AO55" s="344"/>
      <c r="AP55" s="343"/>
      <c r="AS55" s="344"/>
      <c r="AW55" s="344"/>
      <c r="BA55" s="345"/>
    </row>
    <row r="56" spans="1:53" s="334" customFormat="1">
      <c r="A56" s="334">
        <v>2012</v>
      </c>
      <c r="B56" s="440">
        <v>40989</v>
      </c>
      <c r="C56" s="992" t="s">
        <v>990</v>
      </c>
      <c r="D56" s="992"/>
      <c r="E56" s="443">
        <v>286</v>
      </c>
      <c r="F56" s="444">
        <v>0</v>
      </c>
      <c r="G56" s="334">
        <v>16</v>
      </c>
      <c r="J56" s="435">
        <v>17</v>
      </c>
      <c r="K56" s="384">
        <f t="shared" si="6"/>
        <v>94.117647058823522</v>
      </c>
      <c r="L56" s="384">
        <f t="shared" si="7"/>
        <v>0</v>
      </c>
      <c r="M56" s="384">
        <f t="shared" si="8"/>
        <v>0</v>
      </c>
      <c r="N56" s="421">
        <f t="shared" si="5"/>
        <v>94.117647058823522</v>
      </c>
      <c r="O56" s="383">
        <v>48.8</v>
      </c>
      <c r="P56" s="384"/>
      <c r="Q56" s="384"/>
      <c r="R56" s="385">
        <f t="shared" si="4"/>
        <v>48.8</v>
      </c>
      <c r="S56" s="334">
        <v>4</v>
      </c>
      <c r="T56" s="357"/>
      <c r="U56" s="355"/>
      <c r="V56" s="343" t="s">
        <v>991</v>
      </c>
      <c r="W56" s="334" t="s">
        <v>74</v>
      </c>
      <c r="X56" s="334" t="s">
        <v>11</v>
      </c>
      <c r="Y56" s="344">
        <v>48.8</v>
      </c>
      <c r="AD56" s="343"/>
      <c r="AG56" s="344"/>
      <c r="AL56" s="343"/>
      <c r="AO56" s="344"/>
      <c r="AP56" s="343"/>
      <c r="AS56" s="344"/>
      <c r="AW56" s="344"/>
      <c r="BA56" s="345"/>
    </row>
    <row r="57" spans="1:53" s="334" customFormat="1">
      <c r="A57" s="334">
        <v>2013</v>
      </c>
      <c r="B57" s="440"/>
      <c r="C57" s="992" t="s">
        <v>990</v>
      </c>
      <c r="D57" s="992"/>
      <c r="E57" s="443">
        <v>36</v>
      </c>
      <c r="F57" s="444"/>
      <c r="G57" s="334">
        <v>16</v>
      </c>
      <c r="J57" s="435">
        <v>17</v>
      </c>
      <c r="K57" s="384">
        <f t="shared" si="6"/>
        <v>94.117647058823522</v>
      </c>
      <c r="L57" s="384">
        <f t="shared" si="7"/>
        <v>0</v>
      </c>
      <c r="M57" s="384">
        <f t="shared" si="8"/>
        <v>0</v>
      </c>
      <c r="N57" s="421">
        <f t="shared" si="5"/>
        <v>94.117647058823522</v>
      </c>
      <c r="O57" s="383">
        <v>48.8</v>
      </c>
      <c r="P57" s="384"/>
      <c r="Q57" s="384"/>
      <c r="R57" s="385">
        <f t="shared" ref="R57:R64" si="9">SUM(O57:Q57)</f>
        <v>48.8</v>
      </c>
      <c r="S57" s="334">
        <v>4</v>
      </c>
      <c r="T57" s="357"/>
      <c r="U57" s="355"/>
      <c r="V57" s="343" t="s">
        <v>991</v>
      </c>
      <c r="W57" s="334" t="s">
        <v>74</v>
      </c>
      <c r="X57" s="334" t="s">
        <v>11</v>
      </c>
      <c r="Y57" s="344">
        <v>48.8</v>
      </c>
      <c r="AD57" s="343"/>
      <c r="AG57" s="344"/>
      <c r="AL57" s="343"/>
      <c r="AO57" s="344"/>
      <c r="AP57" s="343"/>
      <c r="AS57" s="344"/>
      <c r="AW57" s="344"/>
      <c r="BA57" s="345"/>
    </row>
    <row r="58" spans="1:53" s="334" customFormat="1">
      <c r="A58" s="334">
        <v>2013</v>
      </c>
      <c r="B58" s="440">
        <v>41311</v>
      </c>
      <c r="C58" s="992" t="s">
        <v>990</v>
      </c>
      <c r="D58" s="992"/>
      <c r="E58" s="443">
        <v>35</v>
      </c>
      <c r="F58" s="444">
        <v>0</v>
      </c>
      <c r="G58" s="334">
        <v>15</v>
      </c>
      <c r="J58" s="435">
        <v>17</v>
      </c>
      <c r="K58" s="384">
        <f t="shared" si="6"/>
        <v>88.235294117647058</v>
      </c>
      <c r="L58" s="384">
        <f t="shared" si="7"/>
        <v>0</v>
      </c>
      <c r="M58" s="384">
        <f t="shared" si="8"/>
        <v>0</v>
      </c>
      <c r="N58" s="421">
        <f t="shared" si="5"/>
        <v>88.235294117647058</v>
      </c>
      <c r="O58" s="383">
        <v>48.8</v>
      </c>
      <c r="P58" s="384"/>
      <c r="Q58" s="384"/>
      <c r="R58" s="385">
        <f t="shared" si="9"/>
        <v>48.8</v>
      </c>
      <c r="S58" s="334">
        <v>4</v>
      </c>
      <c r="T58" s="357"/>
      <c r="U58" s="355"/>
      <c r="V58" s="343" t="s">
        <v>991</v>
      </c>
      <c r="W58" s="334" t="s">
        <v>74</v>
      </c>
      <c r="X58" s="334" t="s">
        <v>11</v>
      </c>
      <c r="Y58" s="344">
        <v>48.8</v>
      </c>
      <c r="AD58" s="343"/>
      <c r="AG58" s="344"/>
      <c r="AL58" s="343"/>
      <c r="AO58" s="344"/>
      <c r="AP58" s="343"/>
      <c r="AS58" s="344"/>
      <c r="AW58" s="344"/>
      <c r="BA58" s="345"/>
    </row>
    <row r="59" spans="1:53" s="321" customFormat="1">
      <c r="A59" s="321">
        <v>2013</v>
      </c>
      <c r="B59" s="121">
        <v>41346</v>
      </c>
      <c r="C59" s="988" t="s">
        <v>1253</v>
      </c>
      <c r="D59" s="988"/>
      <c r="E59" s="153">
        <v>77</v>
      </c>
      <c r="F59" s="321">
        <v>2</v>
      </c>
      <c r="G59" s="123"/>
      <c r="J59" s="134">
        <v>17</v>
      </c>
      <c r="K59" s="92">
        <f t="shared" si="6"/>
        <v>0</v>
      </c>
      <c r="L59" s="92">
        <f t="shared" si="7"/>
        <v>0</v>
      </c>
      <c r="M59" s="92">
        <f t="shared" si="8"/>
        <v>0</v>
      </c>
      <c r="N59" s="125">
        <f t="shared" si="5"/>
        <v>0</v>
      </c>
      <c r="O59" s="91">
        <v>0</v>
      </c>
      <c r="P59" s="92">
        <v>0</v>
      </c>
      <c r="Q59" s="92">
        <v>0</v>
      </c>
      <c r="R59" s="93">
        <f t="shared" si="9"/>
        <v>0</v>
      </c>
      <c r="S59" s="321">
        <v>6</v>
      </c>
      <c r="T59" s="95"/>
      <c r="U59" s="320">
        <v>41346</v>
      </c>
      <c r="V59" s="322" t="s">
        <v>808</v>
      </c>
      <c r="Y59" s="83"/>
      <c r="AD59" s="82"/>
      <c r="AG59" s="83"/>
      <c r="AL59" s="82"/>
      <c r="AO59" s="83"/>
      <c r="AP59" s="82"/>
      <c r="AS59" s="83"/>
      <c r="AW59" s="83"/>
      <c r="BA59" s="84"/>
    </row>
    <row r="60" spans="1:53" s="334" customFormat="1">
      <c r="A60" s="334">
        <v>2013</v>
      </c>
      <c r="B60" s="335">
        <v>41423</v>
      </c>
      <c r="C60" s="992" t="s">
        <v>1254</v>
      </c>
      <c r="D60" s="992"/>
      <c r="E60" s="443">
        <v>29</v>
      </c>
      <c r="F60" s="334">
        <v>1</v>
      </c>
      <c r="G60" s="419">
        <v>2</v>
      </c>
      <c r="I60" s="334">
        <v>4</v>
      </c>
      <c r="J60" s="435">
        <v>17</v>
      </c>
      <c r="K60" s="384">
        <f t="shared" si="6"/>
        <v>11.76470588235294</v>
      </c>
      <c r="L60" s="384">
        <f t="shared" si="7"/>
        <v>0</v>
      </c>
      <c r="M60" s="384">
        <f t="shared" si="8"/>
        <v>23.52941176470588</v>
      </c>
      <c r="N60" s="421">
        <f t="shared" si="5"/>
        <v>35.294117647058819</v>
      </c>
      <c r="O60" s="383">
        <v>15</v>
      </c>
      <c r="P60" s="384"/>
      <c r="Q60" s="384">
        <v>35</v>
      </c>
      <c r="R60" s="385">
        <f t="shared" si="9"/>
        <v>50</v>
      </c>
      <c r="S60" s="334">
        <v>5</v>
      </c>
      <c r="T60" s="342">
        <v>41406</v>
      </c>
      <c r="U60" s="355">
        <v>41423</v>
      </c>
      <c r="V60" s="343" t="s">
        <v>989</v>
      </c>
      <c r="W60" s="334" t="s">
        <v>116</v>
      </c>
      <c r="X60" s="334" t="s">
        <v>12</v>
      </c>
      <c r="Y60" s="344">
        <v>35</v>
      </c>
      <c r="Z60" s="334" t="s">
        <v>986</v>
      </c>
      <c r="AA60" s="334" t="s">
        <v>90</v>
      </c>
      <c r="AB60" s="334" t="s">
        <v>11</v>
      </c>
      <c r="AC60" s="334">
        <v>15</v>
      </c>
      <c r="AD60" s="343"/>
      <c r="AG60" s="344"/>
      <c r="AL60" s="343"/>
      <c r="AO60" s="344"/>
      <c r="AP60" s="343"/>
      <c r="AS60" s="344"/>
      <c r="AW60" s="344"/>
      <c r="BA60" s="345"/>
    </row>
    <row r="61" spans="1:53" s="334" customFormat="1">
      <c r="A61" s="334">
        <v>2013</v>
      </c>
      <c r="B61" s="440">
        <v>41452</v>
      </c>
      <c r="C61" s="992" t="s">
        <v>1254</v>
      </c>
      <c r="D61" s="992"/>
      <c r="E61" s="443">
        <f>365-E60-E59-E58-E57</f>
        <v>188</v>
      </c>
      <c r="F61" s="441">
        <v>0</v>
      </c>
      <c r="G61" s="419">
        <v>2</v>
      </c>
      <c r="I61" s="334">
        <v>4</v>
      </c>
      <c r="J61" s="435">
        <v>18</v>
      </c>
      <c r="K61" s="384">
        <f t="shared" ref="K61:K67" si="10">G61/J61*100</f>
        <v>11.111111111111111</v>
      </c>
      <c r="L61" s="384">
        <f t="shared" ref="L61:L67" si="11">H61/J61*100</f>
        <v>0</v>
      </c>
      <c r="M61" s="384">
        <f t="shared" ref="M61:M67" si="12">I61/J61*100</f>
        <v>22.222222222222221</v>
      </c>
      <c r="N61" s="421">
        <f t="shared" ref="N61:N67" si="13">SUM(K61:M61)</f>
        <v>33.333333333333329</v>
      </c>
      <c r="O61" s="383">
        <v>15</v>
      </c>
      <c r="P61" s="384"/>
      <c r="Q61" s="384">
        <v>35</v>
      </c>
      <c r="R61" s="385">
        <f t="shared" si="9"/>
        <v>50</v>
      </c>
      <c r="S61" s="334">
        <v>5</v>
      </c>
      <c r="T61" s="342"/>
      <c r="U61" s="355"/>
      <c r="V61" s="343" t="s">
        <v>989</v>
      </c>
      <c r="W61" s="334" t="s">
        <v>116</v>
      </c>
      <c r="X61" s="334" t="s">
        <v>12</v>
      </c>
      <c r="Y61" s="344">
        <v>35</v>
      </c>
      <c r="Z61" s="334" t="s">
        <v>986</v>
      </c>
      <c r="AA61" s="334" t="s">
        <v>90</v>
      </c>
      <c r="AB61" s="334" t="s">
        <v>11</v>
      </c>
      <c r="AC61" s="334">
        <v>15</v>
      </c>
      <c r="AD61" s="343"/>
      <c r="AG61" s="344"/>
      <c r="AL61" s="343"/>
      <c r="AO61" s="344"/>
      <c r="AP61" s="343"/>
      <c r="AS61" s="344"/>
      <c r="AW61" s="344"/>
      <c r="BA61" s="345"/>
    </row>
    <row r="62" spans="1:53" s="519" customFormat="1">
      <c r="A62" s="519">
        <v>2014</v>
      </c>
      <c r="B62" s="335"/>
      <c r="C62" s="992" t="s">
        <v>1254</v>
      </c>
      <c r="D62" s="992"/>
      <c r="E62" s="443">
        <v>217</v>
      </c>
      <c r="G62" s="497">
        <v>2</v>
      </c>
      <c r="I62" s="519">
        <v>4</v>
      </c>
      <c r="J62" s="499">
        <v>18</v>
      </c>
      <c r="K62" s="495">
        <f t="shared" si="10"/>
        <v>11.111111111111111</v>
      </c>
      <c r="L62" s="495">
        <f t="shared" si="11"/>
        <v>0</v>
      </c>
      <c r="M62" s="495">
        <f t="shared" si="12"/>
        <v>22.222222222222221</v>
      </c>
      <c r="N62" s="498">
        <f t="shared" si="13"/>
        <v>33.333333333333329</v>
      </c>
      <c r="O62" s="494">
        <v>15</v>
      </c>
      <c r="P62" s="495"/>
      <c r="Q62" s="495">
        <v>35</v>
      </c>
      <c r="R62" s="496">
        <f t="shared" si="9"/>
        <v>50</v>
      </c>
      <c r="S62" s="519">
        <v>5</v>
      </c>
      <c r="T62" s="487"/>
      <c r="U62" s="516"/>
      <c r="V62" s="488" t="s">
        <v>989</v>
      </c>
      <c r="W62" s="519" t="s">
        <v>116</v>
      </c>
      <c r="X62" s="519" t="s">
        <v>12</v>
      </c>
      <c r="Y62" s="489">
        <v>35</v>
      </c>
      <c r="Z62" s="519" t="s">
        <v>986</v>
      </c>
      <c r="AA62" s="519" t="s">
        <v>90</v>
      </c>
      <c r="AB62" s="519" t="s">
        <v>11</v>
      </c>
      <c r="AC62" s="519">
        <v>15</v>
      </c>
      <c r="AD62" s="488"/>
      <c r="AG62" s="489"/>
      <c r="AL62" s="488"/>
      <c r="AO62" s="489"/>
      <c r="AP62" s="488"/>
      <c r="AS62" s="489"/>
      <c r="AW62" s="489"/>
      <c r="BA62" s="490"/>
    </row>
    <row r="63" spans="1:53" s="518" customFormat="1">
      <c r="A63" s="518">
        <v>2014</v>
      </c>
      <c r="B63" s="121"/>
      <c r="C63" s="988" t="s">
        <v>1294</v>
      </c>
      <c r="D63" s="988"/>
      <c r="E63" s="153">
        <v>93</v>
      </c>
      <c r="F63" s="518">
        <v>2</v>
      </c>
      <c r="G63" s="480"/>
      <c r="J63" s="482">
        <v>17</v>
      </c>
      <c r="K63" s="477">
        <f t="shared" si="10"/>
        <v>0</v>
      </c>
      <c r="L63" s="477">
        <f t="shared" si="11"/>
        <v>0</v>
      </c>
      <c r="M63" s="477">
        <f t="shared" si="12"/>
        <v>0</v>
      </c>
      <c r="N63" s="481">
        <f t="shared" si="13"/>
        <v>0</v>
      </c>
      <c r="O63" s="476">
        <v>0</v>
      </c>
      <c r="P63" s="477">
        <v>0</v>
      </c>
      <c r="Q63" s="477">
        <v>0</v>
      </c>
      <c r="R63" s="478">
        <f t="shared" si="9"/>
        <v>0</v>
      </c>
      <c r="S63" s="518">
        <v>6</v>
      </c>
      <c r="T63" s="479"/>
      <c r="U63" s="515">
        <v>41857</v>
      </c>
      <c r="V63" s="520" t="s">
        <v>808</v>
      </c>
      <c r="Y63" s="473"/>
      <c r="AD63" s="472"/>
      <c r="AG63" s="473"/>
      <c r="AL63" s="472"/>
      <c r="AO63" s="473"/>
      <c r="AP63" s="472"/>
      <c r="AS63" s="473"/>
      <c r="AW63" s="473"/>
      <c r="BA63" s="474"/>
    </row>
    <row r="64" spans="1:53" s="633" customFormat="1">
      <c r="A64" s="633">
        <v>2014</v>
      </c>
      <c r="B64" s="335">
        <v>41950</v>
      </c>
      <c r="C64" s="992" t="s">
        <v>1295</v>
      </c>
      <c r="D64" s="992"/>
      <c r="E64" s="443">
        <v>55</v>
      </c>
      <c r="F64" s="633">
        <v>1</v>
      </c>
      <c r="G64" s="642">
        <v>19</v>
      </c>
      <c r="I64" s="633">
        <v>1</v>
      </c>
      <c r="J64" s="644">
        <v>20</v>
      </c>
      <c r="K64" s="640">
        <f t="shared" si="10"/>
        <v>95</v>
      </c>
      <c r="L64" s="640">
        <f t="shared" si="11"/>
        <v>0</v>
      </c>
      <c r="M64" s="640">
        <f t="shared" si="12"/>
        <v>5</v>
      </c>
      <c r="N64" s="643">
        <f t="shared" si="13"/>
        <v>100</v>
      </c>
      <c r="O64" s="639">
        <v>44.6</v>
      </c>
      <c r="P64" s="640"/>
      <c r="Q64" s="640">
        <v>4.5999999999999996</v>
      </c>
      <c r="R64" s="641">
        <f t="shared" si="9"/>
        <v>49.2</v>
      </c>
      <c r="S64" s="633">
        <v>5</v>
      </c>
      <c r="T64" s="487">
        <v>41917</v>
      </c>
      <c r="U64" s="637">
        <v>41950</v>
      </c>
      <c r="V64" s="634" t="s">
        <v>991</v>
      </c>
      <c r="W64" s="633" t="s">
        <v>74</v>
      </c>
      <c r="X64" s="633" t="s">
        <v>11</v>
      </c>
      <c r="Y64" s="635">
        <v>35</v>
      </c>
      <c r="Z64" s="633" t="s">
        <v>1296</v>
      </c>
      <c r="AA64" s="633" t="s">
        <v>80</v>
      </c>
      <c r="AB64" s="633" t="s">
        <v>11</v>
      </c>
      <c r="AC64" s="633">
        <v>9.6</v>
      </c>
      <c r="AD64" s="634" t="s">
        <v>1297</v>
      </c>
      <c r="AE64" s="633" t="s">
        <v>314</v>
      </c>
      <c r="AF64" s="633" t="s">
        <v>12</v>
      </c>
      <c r="AG64" s="635">
        <v>4.5999999999999996</v>
      </c>
      <c r="AL64" s="634"/>
      <c r="AO64" s="635"/>
      <c r="AP64" s="634"/>
      <c r="AS64" s="635"/>
      <c r="AW64" s="635"/>
      <c r="BA64" s="636"/>
    </row>
    <row r="65" spans="1:53" s="686" customFormat="1">
      <c r="A65" s="686">
        <v>2015</v>
      </c>
      <c r="B65" s="335"/>
      <c r="C65" s="992" t="s">
        <v>1295</v>
      </c>
      <c r="D65" s="992"/>
      <c r="E65" s="443">
        <v>351</v>
      </c>
      <c r="G65" s="642">
        <v>19</v>
      </c>
      <c r="I65" s="686">
        <v>1</v>
      </c>
      <c r="J65" s="644">
        <v>20</v>
      </c>
      <c r="K65" s="640">
        <f t="shared" si="10"/>
        <v>95</v>
      </c>
      <c r="L65" s="640">
        <f t="shared" si="11"/>
        <v>0</v>
      </c>
      <c r="M65" s="640">
        <f t="shared" si="12"/>
        <v>5</v>
      </c>
      <c r="N65" s="643">
        <f t="shared" si="13"/>
        <v>100</v>
      </c>
      <c r="O65" s="639">
        <v>44.6</v>
      </c>
      <c r="P65" s="640"/>
      <c r="Q65" s="640">
        <v>4.5999999999999996</v>
      </c>
      <c r="R65" s="641">
        <f t="shared" ref="R65" si="14">SUM(O65:Q65)</f>
        <v>49.2</v>
      </c>
      <c r="S65" s="686">
        <v>5</v>
      </c>
      <c r="T65" s="487"/>
      <c r="U65" s="681"/>
      <c r="V65" s="634" t="s">
        <v>991</v>
      </c>
      <c r="W65" s="686" t="s">
        <v>74</v>
      </c>
      <c r="X65" s="686" t="s">
        <v>11</v>
      </c>
      <c r="Y65" s="635">
        <v>35</v>
      </c>
      <c r="Z65" s="686" t="s">
        <v>1296</v>
      </c>
      <c r="AA65" s="686" t="s">
        <v>80</v>
      </c>
      <c r="AB65" s="686" t="s">
        <v>11</v>
      </c>
      <c r="AC65" s="686">
        <v>9.6</v>
      </c>
      <c r="AD65" s="634" t="s">
        <v>1297</v>
      </c>
      <c r="AE65" s="686" t="s">
        <v>314</v>
      </c>
      <c r="AF65" s="686" t="s">
        <v>12</v>
      </c>
      <c r="AG65" s="635">
        <v>4.5999999999999996</v>
      </c>
      <c r="AL65" s="634"/>
      <c r="AO65" s="635"/>
      <c r="AP65" s="634"/>
      <c r="AS65" s="635"/>
      <c r="AW65" s="635"/>
      <c r="BA65" s="636"/>
    </row>
    <row r="66" spans="1:53" s="686" customFormat="1">
      <c r="A66" s="686">
        <v>2015</v>
      </c>
      <c r="B66" s="440">
        <v>42356</v>
      </c>
      <c r="C66" s="992" t="s">
        <v>1295</v>
      </c>
      <c r="D66" s="992"/>
      <c r="E66" s="443">
        <v>14</v>
      </c>
      <c r="F66" s="501">
        <v>0</v>
      </c>
      <c r="G66" s="642">
        <v>18</v>
      </c>
      <c r="I66" s="686">
        <v>1</v>
      </c>
      <c r="J66" s="644">
        <v>20</v>
      </c>
      <c r="K66" s="640">
        <f t="shared" si="10"/>
        <v>90</v>
      </c>
      <c r="L66" s="640">
        <f t="shared" si="11"/>
        <v>0</v>
      </c>
      <c r="M66" s="640">
        <f t="shared" si="12"/>
        <v>5</v>
      </c>
      <c r="N66" s="643">
        <f t="shared" si="13"/>
        <v>95</v>
      </c>
      <c r="O66" s="639">
        <v>44.6</v>
      </c>
      <c r="P66" s="640"/>
      <c r="Q66" s="640">
        <v>4.5999999999999996</v>
      </c>
      <c r="R66" s="641">
        <f>SUM(O66:Q66)</f>
        <v>49.2</v>
      </c>
      <c r="S66" s="686">
        <v>5</v>
      </c>
      <c r="T66" s="487"/>
      <c r="U66" s="681"/>
      <c r="V66" s="634" t="s">
        <v>991</v>
      </c>
      <c r="W66" s="686" t="s">
        <v>74</v>
      </c>
      <c r="X66" s="686" t="s">
        <v>11</v>
      </c>
      <c r="Y66" s="635">
        <v>35</v>
      </c>
      <c r="Z66" s="686" t="s">
        <v>1296</v>
      </c>
      <c r="AA66" s="686" t="s">
        <v>80</v>
      </c>
      <c r="AB66" s="686" t="s">
        <v>11</v>
      </c>
      <c r="AC66" s="686">
        <v>9.6</v>
      </c>
      <c r="AD66" s="634" t="s">
        <v>1297</v>
      </c>
      <c r="AE66" s="686" t="s">
        <v>314</v>
      </c>
      <c r="AF66" s="686" t="s">
        <v>12</v>
      </c>
      <c r="AG66" s="635">
        <v>4.5999999999999996</v>
      </c>
      <c r="AL66" s="634"/>
      <c r="AO66" s="635"/>
      <c r="AP66" s="634"/>
      <c r="AS66" s="635"/>
      <c r="AW66" s="635"/>
      <c r="BA66" s="636"/>
    </row>
    <row r="67" spans="1:53" s="785" customFormat="1">
      <c r="A67" s="785">
        <v>2016</v>
      </c>
      <c r="C67" s="992" t="s">
        <v>1295</v>
      </c>
      <c r="D67" s="992"/>
      <c r="E67" s="443">
        <v>77</v>
      </c>
      <c r="F67" s="501"/>
      <c r="G67" s="642">
        <v>18</v>
      </c>
      <c r="I67" s="785">
        <v>1</v>
      </c>
      <c r="J67" s="644">
        <v>20</v>
      </c>
      <c r="K67" s="639">
        <f t="shared" si="10"/>
        <v>90</v>
      </c>
      <c r="L67" s="640">
        <f t="shared" si="11"/>
        <v>0</v>
      </c>
      <c r="M67" s="640">
        <f t="shared" si="12"/>
        <v>5</v>
      </c>
      <c r="N67" s="641">
        <f t="shared" si="13"/>
        <v>95</v>
      </c>
      <c r="O67" s="639">
        <v>44.6</v>
      </c>
      <c r="P67" s="640"/>
      <c r="Q67" s="640">
        <v>4.5999999999999996</v>
      </c>
      <c r="R67" s="641">
        <f t="shared" ref="R67:R71" si="15">SUM(O67:Q67)</f>
        <v>49.2</v>
      </c>
      <c r="S67" s="785">
        <v>5</v>
      </c>
      <c r="T67" s="487"/>
      <c r="U67" s="780"/>
      <c r="V67" s="634" t="s">
        <v>991</v>
      </c>
      <c r="W67" s="785" t="s">
        <v>74</v>
      </c>
      <c r="X67" s="785" t="s">
        <v>11</v>
      </c>
      <c r="Y67" s="635">
        <v>35</v>
      </c>
      <c r="Z67" s="785" t="s">
        <v>1296</v>
      </c>
      <c r="AA67" s="785" t="s">
        <v>80</v>
      </c>
      <c r="AB67" s="785" t="s">
        <v>11</v>
      </c>
      <c r="AC67" s="785">
        <v>9.6</v>
      </c>
      <c r="AD67" s="634" t="s">
        <v>1297</v>
      </c>
      <c r="AE67" s="785" t="s">
        <v>314</v>
      </c>
      <c r="AF67" s="785" t="s">
        <v>12</v>
      </c>
      <c r="AG67" s="635">
        <v>4.5999999999999996</v>
      </c>
    </row>
    <row r="68" spans="1:53" s="785" customFormat="1">
      <c r="A68" s="785">
        <v>2016</v>
      </c>
      <c r="B68" s="440">
        <v>42447</v>
      </c>
      <c r="C68" s="992" t="s">
        <v>1295</v>
      </c>
      <c r="D68" s="992"/>
      <c r="E68" s="443">
        <v>289</v>
      </c>
      <c r="F68" s="501">
        <v>0</v>
      </c>
      <c r="G68" s="642">
        <v>17</v>
      </c>
      <c r="J68" s="644">
        <v>18</v>
      </c>
      <c r="K68" s="639">
        <f t="shared" ref="K68:K69" si="16">G68/J68*100</f>
        <v>94.444444444444443</v>
      </c>
      <c r="L68" s="640">
        <f t="shared" ref="L68:L69" si="17">H68/J68*100</f>
        <v>0</v>
      </c>
      <c r="M68" s="640">
        <f t="shared" ref="M68:M69" si="18">I68/J68*100</f>
        <v>0</v>
      </c>
      <c r="N68" s="641">
        <f t="shared" ref="N68:N69" si="19">SUM(K68:M68)</f>
        <v>94.444444444444443</v>
      </c>
      <c r="O68" s="639">
        <v>44.6</v>
      </c>
      <c r="P68" s="640"/>
      <c r="Q68" s="640">
        <v>4.5999999999999996</v>
      </c>
      <c r="R68" s="641">
        <f t="shared" si="15"/>
        <v>49.2</v>
      </c>
      <c r="S68" s="785">
        <v>5</v>
      </c>
      <c r="T68" s="487"/>
      <c r="U68" s="780"/>
      <c r="V68" s="634" t="s">
        <v>991</v>
      </c>
      <c r="W68" s="785" t="s">
        <v>74</v>
      </c>
      <c r="X68" s="785" t="s">
        <v>11</v>
      </c>
      <c r="Y68" s="635">
        <v>35</v>
      </c>
      <c r="Z68" s="785" t="s">
        <v>1296</v>
      </c>
      <c r="AA68" s="785" t="s">
        <v>80</v>
      </c>
      <c r="AB68" s="785" t="s">
        <v>11</v>
      </c>
      <c r="AC68" s="785">
        <v>9.6</v>
      </c>
      <c r="AD68" s="634" t="s">
        <v>1297</v>
      </c>
      <c r="AE68" s="785" t="s">
        <v>314</v>
      </c>
      <c r="AF68" s="785" t="s">
        <v>12</v>
      </c>
      <c r="AG68" s="635">
        <v>4.5999999999999996</v>
      </c>
    </row>
    <row r="69" spans="1:53" s="888" customFormat="1">
      <c r="A69" s="888">
        <v>2017</v>
      </c>
      <c r="B69" s="440"/>
      <c r="C69" s="992" t="s">
        <v>1295</v>
      </c>
      <c r="D69" s="992"/>
      <c r="E69" s="443">
        <v>26</v>
      </c>
      <c r="F69" s="923">
        <v>2</v>
      </c>
      <c r="G69" s="642">
        <v>17</v>
      </c>
      <c r="J69" s="644">
        <v>18</v>
      </c>
      <c r="K69" s="639">
        <f t="shared" si="16"/>
        <v>94.444444444444443</v>
      </c>
      <c r="L69" s="640">
        <f t="shared" si="17"/>
        <v>0</v>
      </c>
      <c r="M69" s="640">
        <f t="shared" si="18"/>
        <v>0</v>
      </c>
      <c r="N69" s="641">
        <f t="shared" si="19"/>
        <v>94.444444444444443</v>
      </c>
      <c r="O69" s="639">
        <v>44.6</v>
      </c>
      <c r="P69" s="640"/>
      <c r="Q69" s="640">
        <v>4.5999999999999996</v>
      </c>
      <c r="R69" s="641">
        <f t="shared" si="15"/>
        <v>49.2</v>
      </c>
      <c r="S69" s="888">
        <v>5</v>
      </c>
      <c r="T69" s="487"/>
      <c r="U69" s="887"/>
      <c r="V69" s="634" t="s">
        <v>991</v>
      </c>
      <c r="W69" s="888" t="s">
        <v>74</v>
      </c>
      <c r="X69" s="888" t="s">
        <v>11</v>
      </c>
      <c r="Y69" s="635">
        <v>35</v>
      </c>
      <c r="Z69" s="888" t="s">
        <v>1296</v>
      </c>
      <c r="AA69" s="888" t="s">
        <v>80</v>
      </c>
      <c r="AB69" s="888" t="s">
        <v>11</v>
      </c>
      <c r="AC69" s="888">
        <v>9.6</v>
      </c>
      <c r="AD69" s="634" t="s">
        <v>1297</v>
      </c>
      <c r="AE69" s="888" t="s">
        <v>314</v>
      </c>
      <c r="AF69" s="888" t="s">
        <v>12</v>
      </c>
      <c r="AG69" s="635">
        <v>4.5999999999999996</v>
      </c>
    </row>
    <row r="70" spans="1:53" s="889" customFormat="1">
      <c r="A70" s="889">
        <v>2017</v>
      </c>
      <c r="B70" s="133">
        <v>42762</v>
      </c>
      <c r="C70" s="988" t="s">
        <v>1381</v>
      </c>
      <c r="D70" s="988"/>
      <c r="E70" s="153">
        <v>97</v>
      </c>
      <c r="F70" s="889">
        <v>2</v>
      </c>
      <c r="G70" s="596"/>
      <c r="I70" s="889">
        <v>1</v>
      </c>
      <c r="J70" s="598">
        <v>20</v>
      </c>
      <c r="K70" s="592">
        <f t="shared" ref="K70" si="20">G70/J70*100</f>
        <v>0</v>
      </c>
      <c r="L70" s="593">
        <f t="shared" ref="L70" si="21">H70/J70*100</f>
        <v>0</v>
      </c>
      <c r="M70" s="593">
        <f t="shared" ref="M70" si="22">I70/J70*100</f>
        <v>5</v>
      </c>
      <c r="N70" s="594">
        <f t="shared" ref="N70" si="23">SUM(K70:M70)</f>
        <v>5</v>
      </c>
      <c r="O70" s="592">
        <v>0</v>
      </c>
      <c r="P70" s="593">
        <v>0</v>
      </c>
      <c r="Q70" s="593">
        <v>0</v>
      </c>
      <c r="R70" s="594">
        <f t="shared" si="15"/>
        <v>0</v>
      </c>
      <c r="S70" s="889">
        <v>6</v>
      </c>
      <c r="T70" s="595"/>
      <c r="U70" s="886">
        <v>42762</v>
      </c>
      <c r="V70" s="588" t="s">
        <v>977</v>
      </c>
      <c r="W70" s="889" t="s">
        <v>98</v>
      </c>
      <c r="X70" s="889" t="s">
        <v>12</v>
      </c>
      <c r="Y70" s="589">
        <v>5</v>
      </c>
      <c r="AD70" s="588"/>
      <c r="AG70" s="589"/>
    </row>
    <row r="71" spans="1:53" s="888" customFormat="1">
      <c r="A71" s="888">
        <v>2017</v>
      </c>
      <c r="B71" s="361">
        <v>42859</v>
      </c>
      <c r="C71" s="992" t="s">
        <v>1380</v>
      </c>
      <c r="D71" s="992"/>
      <c r="E71" s="443">
        <v>242</v>
      </c>
      <c r="F71" s="888">
        <v>1</v>
      </c>
      <c r="G71" s="642">
        <v>21</v>
      </c>
      <c r="J71" s="644">
        <v>21</v>
      </c>
      <c r="K71" s="639">
        <f t="shared" ref="K71:K73" si="24">G71/J71*100</f>
        <v>100</v>
      </c>
      <c r="L71" s="640">
        <f t="shared" ref="L71:L73" si="25">H71/J71*100</f>
        <v>0</v>
      </c>
      <c r="M71" s="640">
        <f t="shared" ref="M71:M73" si="26">I71/J71*100</f>
        <v>0</v>
      </c>
      <c r="N71" s="641">
        <f t="shared" ref="N71:N73" si="27">SUM(K71:M71)</f>
        <v>100</v>
      </c>
      <c r="O71" s="639">
        <v>50.9</v>
      </c>
      <c r="P71" s="640">
        <v>0</v>
      </c>
      <c r="Q71" s="640">
        <v>0</v>
      </c>
      <c r="R71" s="641">
        <f t="shared" si="15"/>
        <v>50.9</v>
      </c>
      <c r="S71" s="888">
        <v>2</v>
      </c>
      <c r="T71" s="487">
        <v>42820</v>
      </c>
      <c r="U71" s="887">
        <v>42859</v>
      </c>
      <c r="V71" s="634" t="s">
        <v>991</v>
      </c>
      <c r="W71" s="888" t="s">
        <v>74</v>
      </c>
      <c r="X71" s="888" t="s">
        <v>11</v>
      </c>
      <c r="Y71" s="635">
        <v>39.6</v>
      </c>
      <c r="Z71" s="888" t="s">
        <v>1382</v>
      </c>
      <c r="AA71" s="888" t="s">
        <v>1148</v>
      </c>
      <c r="AB71" s="888" t="s">
        <v>11</v>
      </c>
      <c r="AC71" s="888">
        <v>11.3</v>
      </c>
      <c r="AD71" s="634"/>
      <c r="AG71" s="635"/>
    </row>
    <row r="72" spans="1:53" s="932" customFormat="1">
      <c r="A72" s="932">
        <v>2018</v>
      </c>
      <c r="B72" s="361"/>
      <c r="C72" s="992" t="s">
        <v>1380</v>
      </c>
      <c r="D72" s="992"/>
      <c r="E72" s="443">
        <v>354</v>
      </c>
      <c r="G72" s="642">
        <v>21</v>
      </c>
      <c r="J72" s="644">
        <v>21</v>
      </c>
      <c r="K72" s="639">
        <f t="shared" si="24"/>
        <v>100</v>
      </c>
      <c r="L72" s="640">
        <f t="shared" si="25"/>
        <v>0</v>
      </c>
      <c r="M72" s="640">
        <f t="shared" si="26"/>
        <v>0</v>
      </c>
      <c r="N72" s="641">
        <f t="shared" si="27"/>
        <v>100</v>
      </c>
      <c r="O72" s="639">
        <v>50.9</v>
      </c>
      <c r="P72" s="640">
        <v>0</v>
      </c>
      <c r="Q72" s="640">
        <v>0</v>
      </c>
      <c r="R72" s="641">
        <f t="shared" ref="R72:R73" si="28">SUM(O72:Q72)</f>
        <v>50.9</v>
      </c>
      <c r="S72" s="932">
        <v>2</v>
      </c>
      <c r="T72" s="487"/>
      <c r="U72" s="928"/>
      <c r="V72" s="634" t="s">
        <v>991</v>
      </c>
      <c r="W72" s="932" t="s">
        <v>74</v>
      </c>
      <c r="X72" s="932" t="s">
        <v>11</v>
      </c>
      <c r="Y72" s="635">
        <v>39.6</v>
      </c>
      <c r="Z72" s="932" t="s">
        <v>1382</v>
      </c>
      <c r="AA72" s="932" t="s">
        <v>1148</v>
      </c>
      <c r="AB72" s="932" t="s">
        <v>11</v>
      </c>
      <c r="AC72" s="932">
        <v>11.3</v>
      </c>
      <c r="AD72" s="634"/>
      <c r="AG72" s="635"/>
    </row>
    <row r="73" spans="1:53" s="932" customFormat="1">
      <c r="A73" s="932">
        <v>2018</v>
      </c>
      <c r="B73" s="440">
        <v>43455</v>
      </c>
      <c r="C73" s="992" t="s">
        <v>1380</v>
      </c>
      <c r="D73" s="992"/>
      <c r="E73" s="443">
        <v>11</v>
      </c>
      <c r="F73" s="501">
        <v>0</v>
      </c>
      <c r="G73" s="642">
        <v>20</v>
      </c>
      <c r="J73" s="644">
        <v>20</v>
      </c>
      <c r="K73" s="639">
        <f t="shared" si="24"/>
        <v>100</v>
      </c>
      <c r="L73" s="640">
        <f t="shared" si="25"/>
        <v>0</v>
      </c>
      <c r="M73" s="640">
        <f t="shared" si="26"/>
        <v>0</v>
      </c>
      <c r="N73" s="641">
        <f t="shared" si="27"/>
        <v>100</v>
      </c>
      <c r="O73" s="639">
        <v>50.9</v>
      </c>
      <c r="P73" s="640">
        <v>0</v>
      </c>
      <c r="Q73" s="640">
        <v>0</v>
      </c>
      <c r="R73" s="641">
        <f t="shared" si="28"/>
        <v>50.9</v>
      </c>
      <c r="S73" s="932">
        <v>2</v>
      </c>
      <c r="T73" s="487"/>
      <c r="U73" s="928"/>
      <c r="V73" s="634" t="s">
        <v>991</v>
      </c>
      <c r="W73" s="932" t="s">
        <v>74</v>
      </c>
      <c r="X73" s="932" t="s">
        <v>11</v>
      </c>
      <c r="Y73" s="635">
        <v>39.6</v>
      </c>
      <c r="Z73" s="932" t="s">
        <v>1382</v>
      </c>
      <c r="AA73" s="932" t="s">
        <v>1148</v>
      </c>
      <c r="AB73" s="932" t="s">
        <v>11</v>
      </c>
      <c r="AC73" s="932">
        <v>11.3</v>
      </c>
      <c r="AD73" s="634"/>
      <c r="AG73" s="635"/>
    </row>
    <row r="74" spans="1:53" s="890" customFormat="1">
      <c r="E74" s="60"/>
    </row>
    <row r="75" spans="1:53">
      <c r="B75" s="2"/>
      <c r="C75" s="2"/>
      <c r="D75" s="2"/>
      <c r="E75" s="2"/>
      <c r="F75" s="2"/>
      <c r="G75" s="2"/>
      <c r="H75" s="2"/>
      <c r="I75" s="2"/>
      <c r="J75" s="2"/>
      <c r="K75" s="2"/>
      <c r="L75" s="2"/>
      <c r="M75" s="2"/>
      <c r="N75" s="2"/>
    </row>
    <row r="76" spans="1:53" s="2" customFormat="1" ht="18" customHeight="1">
      <c r="B76" s="22" t="s">
        <v>1278</v>
      </c>
    </row>
    <row r="77" spans="1:53" s="2" customFormat="1" ht="9" customHeight="1"/>
    <row r="78" spans="1:53" s="364" customFormat="1" ht="9" customHeight="1">
      <c r="A78" s="362"/>
      <c r="B78" s="363" t="s">
        <v>1229</v>
      </c>
      <c r="C78" s="363"/>
      <c r="D78" s="363"/>
      <c r="E78" s="363"/>
      <c r="F78" s="363"/>
      <c r="G78" s="363" t="s">
        <v>1230</v>
      </c>
      <c r="H78" s="363"/>
      <c r="I78" s="363"/>
      <c r="J78" s="363"/>
      <c r="K78" s="363"/>
      <c r="L78" s="363"/>
      <c r="M78" s="363"/>
      <c r="N78" s="363"/>
      <c r="R78" s="982" t="s">
        <v>1231</v>
      </c>
      <c r="S78" s="982"/>
      <c r="T78" s="982"/>
      <c r="U78" s="982"/>
      <c r="V78" s="982"/>
      <c r="W78" s="982"/>
      <c r="X78" s="365"/>
      <c r="Y78" s="365"/>
      <c r="AA78" s="365"/>
      <c r="AB78" s="365"/>
      <c r="AC78" s="365"/>
      <c r="AD78" s="365"/>
    </row>
    <row r="79" spans="1:53" s="369" customFormat="1" ht="9" customHeight="1">
      <c r="A79" s="366"/>
      <c r="B79" s="367" t="s">
        <v>1233</v>
      </c>
      <c r="C79" s="368"/>
      <c r="D79" s="368"/>
      <c r="E79" s="368"/>
      <c r="F79" s="368"/>
      <c r="G79" s="367" t="s">
        <v>1232</v>
      </c>
      <c r="H79" s="368"/>
      <c r="I79" s="368"/>
      <c r="J79" s="368"/>
      <c r="K79" s="368"/>
      <c r="L79" s="368"/>
      <c r="M79" s="368"/>
      <c r="N79" s="368"/>
      <c r="R79" s="370" t="s">
        <v>1234</v>
      </c>
      <c r="S79" s="371"/>
      <c r="T79" s="372"/>
      <c r="U79" s="372"/>
      <c r="V79" s="372"/>
      <c r="W79" s="370" t="s">
        <v>1235</v>
      </c>
      <c r="X79" s="372"/>
      <c r="Y79" s="372"/>
      <c r="AA79" s="372"/>
      <c r="AB79" s="372"/>
      <c r="AC79" s="372"/>
      <c r="AD79" s="372"/>
    </row>
    <row r="80" spans="1:53" s="351" customFormat="1" ht="12" customHeight="1">
      <c r="A80" s="373" t="s">
        <v>3</v>
      </c>
      <c r="B80" s="374" t="s">
        <v>8</v>
      </c>
      <c r="C80" s="374" t="s">
        <v>9</v>
      </c>
      <c r="D80" s="374" t="s">
        <v>10</v>
      </c>
      <c r="E80" s="375" t="s">
        <v>1209</v>
      </c>
      <c r="F80" s="374"/>
      <c r="G80" s="351" t="s">
        <v>3</v>
      </c>
      <c r="H80" s="983" t="s">
        <v>0</v>
      </c>
      <c r="I80" s="983"/>
      <c r="J80" s="983" t="s">
        <v>1</v>
      </c>
      <c r="K80" s="983"/>
      <c r="L80" s="983" t="s">
        <v>2</v>
      </c>
      <c r="M80" s="983"/>
      <c r="N80" s="984" t="s">
        <v>1209</v>
      </c>
      <c r="O80" s="984"/>
      <c r="P80" s="376"/>
      <c r="Q80" s="376"/>
      <c r="R80" s="377" t="s">
        <v>3</v>
      </c>
      <c r="S80" s="378" t="s">
        <v>136</v>
      </c>
      <c r="T80" s="376" t="s">
        <v>134</v>
      </c>
      <c r="U80" s="374" t="s">
        <v>135</v>
      </c>
      <c r="V80" s="376"/>
      <c r="W80" s="379" t="s">
        <v>26</v>
      </c>
    </row>
    <row r="81" spans="1:25" ht="9" customHeight="1">
      <c r="A81" s="1">
        <v>1990</v>
      </c>
      <c r="B81" s="8">
        <f>(K7*($E7/103))+(K8*($E8/103))</f>
        <v>6.7421790722761603</v>
      </c>
      <c r="C81" s="8">
        <f>(L7*($E7/103))+(L8*($E8/103))</f>
        <v>0</v>
      </c>
      <c r="D81" s="8">
        <f>(M7*($E7/103))+(M8*($E8/103))</f>
        <v>86.515641855447683</v>
      </c>
      <c r="E81" s="63">
        <f>SUM(B81:D81)</f>
        <v>93.257820927723841</v>
      </c>
      <c r="G81" s="1">
        <v>1990</v>
      </c>
      <c r="H81" s="1006">
        <f>(O7/$R7*100*($E7/103))+(O8/$R8*100*($E8/103))</f>
        <v>10.473287879263935</v>
      </c>
      <c r="I81" s="1006"/>
      <c r="J81" s="1006">
        <f>(P7/$R7*100*($E7/103))+(P8/$R8*100*($E8/103))</f>
        <v>0</v>
      </c>
      <c r="K81" s="1006"/>
      <c r="L81" s="1006">
        <f>(Q7/$R7*100*($E7/103))+(Q8/$R8*100*($E8/103))</f>
        <v>89.526712120736065</v>
      </c>
      <c r="M81" s="1006"/>
      <c r="N81" s="1007">
        <f t="shared" ref="N81:N103" si="29">SUM(H81:M81)</f>
        <v>100</v>
      </c>
      <c r="O81" s="1007"/>
      <c r="R81" s="1">
        <v>1990</v>
      </c>
      <c r="S81" s="8">
        <f>(O7*($E7/103))+(O8*($E8/103))</f>
        <v>9.7087378640776691</v>
      </c>
      <c r="T81" s="8">
        <f>(P7*($E7/103))+(P8*($E8/103))</f>
        <v>0</v>
      </c>
      <c r="U81" s="8">
        <f>(Q7*($E7/103))+(Q8*($E8/103))</f>
        <v>52.7</v>
      </c>
      <c r="W81" s="7">
        <f>SUM(S81:U81)</f>
        <v>62.408737864077672</v>
      </c>
      <c r="Y81" s="72" t="s">
        <v>1153</v>
      </c>
    </row>
    <row r="82" spans="1:25" ht="9" customHeight="1">
      <c r="A82" s="1">
        <v>1991</v>
      </c>
      <c r="B82" s="8">
        <f>(K9*($E9/365))+(K10*($E10/365))</f>
        <v>38.462709284627095</v>
      </c>
      <c r="C82" s="8">
        <f>(L9*($E9/365))+(L10*($E10/365))</f>
        <v>0</v>
      </c>
      <c r="D82" s="8">
        <f>(M9*($E9/365))+(M10*($E10/365))</f>
        <v>37.86910197869102</v>
      </c>
      <c r="E82" s="63">
        <f t="shared" ref="E82:E103" si="30">SUM(B82:D82)</f>
        <v>76.331811263318116</v>
      </c>
      <c r="G82" s="1">
        <v>1991</v>
      </c>
      <c r="H82" s="989">
        <f>(O9/$R9*100*($E9/365))+(O10/$R10*100*($E10/365))</f>
        <v>51.560638973858815</v>
      </c>
      <c r="I82" s="989"/>
      <c r="J82" s="989">
        <f>(P9/$R9*100*($E9/365))+(P10/$R10*100*($E10/365))</f>
        <v>0</v>
      </c>
      <c r="K82" s="989"/>
      <c r="L82" s="989">
        <f>(Q9/$R9*100*($E9/365))+(Q10/$R10*100*($E10/365))</f>
        <v>48.439361026141185</v>
      </c>
      <c r="M82" s="989"/>
      <c r="N82" s="990">
        <f t="shared" si="29"/>
        <v>100</v>
      </c>
      <c r="O82" s="990"/>
      <c r="R82" s="1">
        <v>1991</v>
      </c>
      <c r="S82" s="8">
        <f>(O9*($E9/365))+(O10*($E10/365))</f>
        <v>40.872876712328775</v>
      </c>
      <c r="T82" s="8">
        <f>(P9*($E9/365))+(P10*($E10/365))</f>
        <v>0</v>
      </c>
      <c r="U82" s="8">
        <f>(Q9*($E9/365))+(Q10*($E10/365))</f>
        <v>44.903287671232881</v>
      </c>
      <c r="W82" s="7">
        <f t="shared" ref="W82:W104" si="31">SUM(S82:U82)</f>
        <v>85.77616438356165</v>
      </c>
    </row>
    <row r="83" spans="1:25" ht="9" customHeight="1">
      <c r="A83" s="1">
        <v>1992</v>
      </c>
      <c r="B83" s="8">
        <f>(K11*($E11/366))+(K12*($E12/366))</f>
        <v>99.453551912568301</v>
      </c>
      <c r="C83" s="8">
        <f>(L11*($E11/366))+(L12*($E12/366))</f>
        <v>0</v>
      </c>
      <c r="D83" s="8">
        <f>(M11*($E11/366))+(M12*($E12/366))</f>
        <v>0</v>
      </c>
      <c r="E83" s="63">
        <f t="shared" si="30"/>
        <v>99.453551912568301</v>
      </c>
      <c r="G83" s="1">
        <v>1992</v>
      </c>
      <c r="H83" s="989">
        <f>(O11/$R11*100*($E11/366))</f>
        <v>99.453551912568301</v>
      </c>
      <c r="I83" s="989"/>
      <c r="J83" s="989">
        <f>(P11/$R11*100*($E11/366))</f>
        <v>0</v>
      </c>
      <c r="K83" s="989"/>
      <c r="L83" s="989">
        <f>(Q11/$R11*100*($E11/366))</f>
        <v>0</v>
      </c>
      <c r="M83" s="989"/>
      <c r="N83" s="990">
        <f t="shared" si="29"/>
        <v>99.453551912568301</v>
      </c>
      <c r="O83" s="990"/>
      <c r="R83" s="1">
        <v>1992</v>
      </c>
      <c r="S83" s="8">
        <f>(O11*($E11/366))+(O12*($E12/366))</f>
        <v>45.649180327868848</v>
      </c>
      <c r="T83" s="8">
        <f>(P11*($E11/366))+(P12*($E12/366))</f>
        <v>0</v>
      </c>
      <c r="U83" s="8">
        <f>(Q11*($E11/366))+(Q12*($E12/366))</f>
        <v>0</v>
      </c>
      <c r="W83" s="7">
        <f t="shared" si="31"/>
        <v>45.649180327868848</v>
      </c>
    </row>
    <row r="84" spans="1:25" ht="9" customHeight="1">
      <c r="A84" s="1">
        <v>1993</v>
      </c>
      <c r="B84" s="8">
        <f>(K13*($E13/365))+(K14*($E14/365))</f>
        <v>0</v>
      </c>
      <c r="C84" s="8">
        <f>(L13*($E13/365))+(L14*($E14/365))</f>
        <v>0</v>
      </c>
      <c r="D84" s="8">
        <f>(M13*($E13/365))+(M14*($E14/365))</f>
        <v>0</v>
      </c>
      <c r="E84" s="63">
        <f t="shared" si="30"/>
        <v>0</v>
      </c>
      <c r="G84" s="1">
        <v>1993</v>
      </c>
      <c r="H84" s="1001">
        <v>0</v>
      </c>
      <c r="I84" s="1001"/>
      <c r="J84" s="1001">
        <v>0</v>
      </c>
      <c r="K84" s="1001"/>
      <c r="L84" s="1001">
        <v>0</v>
      </c>
      <c r="M84" s="1001"/>
      <c r="N84" s="990">
        <f t="shared" si="29"/>
        <v>0</v>
      </c>
      <c r="O84" s="990"/>
      <c r="R84" s="1">
        <v>1993</v>
      </c>
      <c r="S84" s="8">
        <f>(O13*($E13/365))+(O14*($E14/365))</f>
        <v>0</v>
      </c>
      <c r="T84" s="8">
        <f>(P13*($E13/365))+(P14*($E14/365))</f>
        <v>0</v>
      </c>
      <c r="U84" s="8">
        <f>(Q13*($E13/365))+(Q14*($E14/365))</f>
        <v>0</v>
      </c>
      <c r="W84" s="7">
        <f t="shared" si="31"/>
        <v>0</v>
      </c>
    </row>
    <row r="85" spans="1:25" ht="9" customHeight="1">
      <c r="A85" s="1">
        <v>1994</v>
      </c>
      <c r="B85" s="8">
        <f>(K15*($E15/365))+(K16*($E16/365))</f>
        <v>0</v>
      </c>
      <c r="C85" s="8">
        <f>(L15*($E15/365))+(L16*($E16/365))</f>
        <v>0</v>
      </c>
      <c r="D85" s="8">
        <f>(M15*($E15/365))+(M16*($E16/365))</f>
        <v>0</v>
      </c>
      <c r="E85" s="63">
        <f t="shared" si="30"/>
        <v>0</v>
      </c>
      <c r="G85" s="1">
        <v>1994</v>
      </c>
      <c r="H85" s="1001">
        <v>0</v>
      </c>
      <c r="I85" s="1001"/>
      <c r="J85" s="1001">
        <v>0</v>
      </c>
      <c r="K85" s="1001"/>
      <c r="L85" s="1001">
        <v>0</v>
      </c>
      <c r="M85" s="1001"/>
      <c r="N85" s="990">
        <f t="shared" si="29"/>
        <v>0</v>
      </c>
      <c r="O85" s="990"/>
      <c r="R85" s="1">
        <v>1994</v>
      </c>
      <c r="S85" s="8">
        <f>(O15*($E15/365))+(O16*($E16/365))</f>
        <v>0</v>
      </c>
      <c r="T85" s="8">
        <f>(P15*($E15/365))+(P16*($E16/365))</f>
        <v>0</v>
      </c>
      <c r="U85" s="8">
        <f>(Q15*($E15/365))+(Q16*($E16/365))</f>
        <v>0</v>
      </c>
      <c r="W85" s="7">
        <f t="shared" si="31"/>
        <v>0</v>
      </c>
    </row>
    <row r="86" spans="1:25" ht="9" customHeight="1">
      <c r="A86" s="1">
        <v>1995</v>
      </c>
      <c r="B86" s="8">
        <f>(K17*($E17/365))+(K18*($E18/365))</f>
        <v>0</v>
      </c>
      <c r="C86" s="8">
        <f>(L17*($E17/365))+(L18*($E18/365))</f>
        <v>0</v>
      </c>
      <c r="D86" s="8">
        <f>(M17*($E17/365))+(M18*($E18/365))</f>
        <v>51.902587519025879</v>
      </c>
      <c r="E86" s="63">
        <f t="shared" si="30"/>
        <v>51.902587519025879</v>
      </c>
      <c r="G86" s="1">
        <v>1995</v>
      </c>
      <c r="H86" s="989">
        <f>(O18/$R18*100*($E18/365))</f>
        <v>0</v>
      </c>
      <c r="I86" s="989"/>
      <c r="J86" s="989">
        <f>(P18/$R18*100*($E18/365))</f>
        <v>0</v>
      </c>
      <c r="K86" s="989"/>
      <c r="L86" s="989">
        <f>(Q18/$R18*100*($E18/365))</f>
        <v>93.424657534246577</v>
      </c>
      <c r="M86" s="989"/>
      <c r="N86" s="990">
        <f t="shared" si="29"/>
        <v>93.424657534246577</v>
      </c>
      <c r="O86" s="990"/>
      <c r="R86" s="1">
        <v>1995</v>
      </c>
      <c r="S86" s="8">
        <f>(O17*($E17/365))+(O18*($E18/365))</f>
        <v>0</v>
      </c>
      <c r="T86" s="8">
        <f>(P17*($E17/365))+(P18*($E18/365))</f>
        <v>0</v>
      </c>
      <c r="U86" s="8">
        <f>(Q17*($E17/365))+(Q18*($E18/365))</f>
        <v>48.674246575342472</v>
      </c>
      <c r="W86" s="7">
        <f t="shared" si="31"/>
        <v>48.674246575342472</v>
      </c>
    </row>
    <row r="87" spans="1:25" ht="9" customHeight="1">
      <c r="A87" s="1">
        <v>1996</v>
      </c>
      <c r="B87" s="8">
        <f>(K19*($E19/366))+(K20*($E20/366))</f>
        <v>0</v>
      </c>
      <c r="C87" s="8">
        <f>(L19*($E19/366))+(L20*($E20/366))</f>
        <v>0</v>
      </c>
      <c r="D87" s="8">
        <f>(M19*($E19/366))+(M20*($E20/366))</f>
        <v>55.555555555555557</v>
      </c>
      <c r="E87" s="63">
        <f t="shared" si="30"/>
        <v>55.555555555555557</v>
      </c>
      <c r="G87" s="1">
        <v>1996</v>
      </c>
      <c r="H87" s="989">
        <f>(O19/$R19*100*($E19/366))+(O20/$R20*100*($E20/366))</f>
        <v>0</v>
      </c>
      <c r="I87" s="989"/>
      <c r="J87" s="989">
        <f>(P19/$R19*100*($E19/366))+(P20/$R20*100*($E20/366))</f>
        <v>0</v>
      </c>
      <c r="K87" s="989"/>
      <c r="L87" s="989">
        <f>(Q19/$R19*100*($E19/366))+(Q20/$R20*100*($E20/366))</f>
        <v>100</v>
      </c>
      <c r="M87" s="989"/>
      <c r="N87" s="990">
        <f t="shared" si="29"/>
        <v>100</v>
      </c>
      <c r="O87" s="990"/>
      <c r="R87" s="1">
        <v>1996</v>
      </c>
      <c r="S87" s="8">
        <f>(O19*($E19/366))+(O20*($E20/366))</f>
        <v>0</v>
      </c>
      <c r="T87" s="8">
        <f>(P19*($E19/366))+(P20*($E20/366))</f>
        <v>0</v>
      </c>
      <c r="U87" s="8">
        <f>(Q19*($E19/366))+(Q20*($E20/366))</f>
        <v>52.1</v>
      </c>
      <c r="W87" s="7">
        <f t="shared" si="31"/>
        <v>52.1</v>
      </c>
    </row>
    <row r="88" spans="1:25" ht="9" customHeight="1">
      <c r="A88" s="1">
        <v>1997</v>
      </c>
      <c r="B88" s="8">
        <f>(K21*($E21/365))+(K22*($E22/365))+(K23*($E23/365))</f>
        <v>63.223207091055606</v>
      </c>
      <c r="C88" s="8">
        <f>(L21*($E21/365))+(L22*($E22/365))+(L23*($E23/365))</f>
        <v>0</v>
      </c>
      <c r="D88" s="8">
        <f>(M21*($E21/365))+(M22*($E22/365))+(M23*($E23/365))</f>
        <v>6.3926940639269407</v>
      </c>
      <c r="E88" s="63">
        <f t="shared" si="30"/>
        <v>69.615901154982552</v>
      </c>
      <c r="G88" s="1">
        <v>1997</v>
      </c>
      <c r="H88" s="989">
        <f>(O21/$R21*100*($E21/365))+(O22/$R22*100*($E22/365))+(O23/$R23*100*($E23/365))</f>
        <v>88.493150684931507</v>
      </c>
      <c r="I88" s="989"/>
      <c r="J88" s="989">
        <f>(P21/$R21*100*($E21/365))+(P22/$R22*100*($E22/365))+(P23/$R23*100*($E23/365))</f>
        <v>0</v>
      </c>
      <c r="K88" s="989"/>
      <c r="L88" s="989">
        <f>(Q21/$R21*100*($E21/365))+(Q22/$R22*100*($E22/365))+(Q23/$R23*100*($E23/365))</f>
        <v>11.506849315068493</v>
      </c>
      <c r="M88" s="989"/>
      <c r="N88" s="990">
        <f t="shared" si="29"/>
        <v>100</v>
      </c>
      <c r="O88" s="990"/>
      <c r="R88" s="1">
        <v>1997</v>
      </c>
      <c r="S88" s="8">
        <f>(O21*($E21/365))+(O22*($E22/365))+(O23*($E23/365))</f>
        <v>42.869589041095892</v>
      </c>
      <c r="T88" s="8">
        <f>(P21*($E21/365))+(P22*($E22/365))+(P23*($E23/365))</f>
        <v>0</v>
      </c>
      <c r="U88" s="8">
        <f>(Q21*($E21/365))+(Q22*($E22/365))+(Q23*($E23/365))</f>
        <v>5.9950684931506855</v>
      </c>
      <c r="W88" s="7">
        <f t="shared" si="31"/>
        <v>48.864657534246575</v>
      </c>
    </row>
    <row r="89" spans="1:25" ht="9" customHeight="1">
      <c r="A89" s="1">
        <v>1998</v>
      </c>
      <c r="B89" s="8">
        <f>(K24*($E24/365))+(K25*($E25/365))</f>
        <v>100</v>
      </c>
      <c r="C89" s="8">
        <f>(L24*($E24/365))+(L25*($E25/365))</f>
        <v>0</v>
      </c>
      <c r="D89" s="8">
        <f>(M24*($E24/365))+(M25*($E25/365))</f>
        <v>0</v>
      </c>
      <c r="E89" s="63">
        <f t="shared" si="30"/>
        <v>100</v>
      </c>
      <c r="G89" s="1">
        <v>1998</v>
      </c>
      <c r="H89" s="989">
        <f>(O24/$R24*100*($E24/365))+(O25/$R25*100*($E25/365))</f>
        <v>100</v>
      </c>
      <c r="I89" s="989"/>
      <c r="J89" s="989">
        <f>(P24/$R24*100*($E24/365))+(P25/$R25*100*($E25/365))</f>
        <v>0</v>
      </c>
      <c r="K89" s="989"/>
      <c r="L89" s="989">
        <f>(Q24/$R24*100*($E24/365))+(Q25/$R25*100*($E25/365))</f>
        <v>0</v>
      </c>
      <c r="M89" s="989"/>
      <c r="N89" s="990">
        <f t="shared" si="29"/>
        <v>100</v>
      </c>
      <c r="O89" s="990"/>
      <c r="R89" s="1">
        <v>1998</v>
      </c>
      <c r="S89" s="8">
        <f>(O24*($E24/365))+(O25*($E25/365))</f>
        <v>57</v>
      </c>
      <c r="T89" s="8">
        <f>(P24*($E24/365))+(P25*($E25/365))</f>
        <v>0</v>
      </c>
      <c r="U89" s="8">
        <f>(Q24*($E24/365))+(Q25*($E25/365))</f>
        <v>0</v>
      </c>
      <c r="W89" s="7">
        <f t="shared" si="31"/>
        <v>57</v>
      </c>
    </row>
    <row r="90" spans="1:25" ht="9" customHeight="1">
      <c r="A90" s="1">
        <v>1999</v>
      </c>
      <c r="B90" s="8">
        <f>(K26*($E26/365))+(K27*($E27/365))</f>
        <v>98.493150684931507</v>
      </c>
      <c r="C90" s="8">
        <f>(L26*($E26/365))+(L27*($E27/365))</f>
        <v>0.37671232876712329</v>
      </c>
      <c r="D90" s="8">
        <f>(M26*($E26/365))+(M27*($E27/365))</f>
        <v>0</v>
      </c>
      <c r="E90" s="63">
        <f t="shared" si="30"/>
        <v>98.869863013698634</v>
      </c>
      <c r="G90" s="1">
        <v>1999</v>
      </c>
      <c r="H90" s="989">
        <f>(O26/$R26*100*($E26/365))+(O27/$R27*100*($E27/365))</f>
        <v>100</v>
      </c>
      <c r="I90" s="989"/>
      <c r="J90" s="989">
        <f>(P26/$R26*100*($E26/365))+(P27/$R27*100*($E27/365))</f>
        <v>0</v>
      </c>
      <c r="K90" s="989"/>
      <c r="L90" s="989">
        <f>(Q26/$R26*100*($E26/365))+(Q27/$R27*100*($E27/365))</f>
        <v>0</v>
      </c>
      <c r="M90" s="989"/>
      <c r="N90" s="990">
        <f t="shared" si="29"/>
        <v>100</v>
      </c>
      <c r="O90" s="990"/>
      <c r="R90" s="1">
        <v>1999</v>
      </c>
      <c r="S90" s="8">
        <f>(O26*($E26/365))+(O27*($E27/365))</f>
        <v>57</v>
      </c>
      <c r="T90" s="8">
        <f>(P26*($E26/365))+(P27*($E27/365))</f>
        <v>0</v>
      </c>
      <c r="U90" s="8">
        <f>(Q26*($E26/365))+(Q27*($E27/365))</f>
        <v>0</v>
      </c>
      <c r="W90" s="7">
        <f t="shared" si="31"/>
        <v>57</v>
      </c>
    </row>
    <row r="91" spans="1:25" ht="9" customHeight="1">
      <c r="A91" s="1">
        <v>2000</v>
      </c>
      <c r="B91" s="8">
        <f>(K28*($E28/366))+(K29*($E29/366))</f>
        <v>50</v>
      </c>
      <c r="C91" s="8">
        <f>(L28*($E28/366))+(L29*($E29/366))</f>
        <v>12.5</v>
      </c>
      <c r="D91" s="8">
        <f>(M28*($E28/366))+(M29*($E29/366))</f>
        <v>0</v>
      </c>
      <c r="E91" s="63">
        <f t="shared" si="30"/>
        <v>62.5</v>
      </c>
      <c r="G91" s="1">
        <v>2000</v>
      </c>
      <c r="H91" s="989">
        <f>(O28/$R28*100*($E28/366))+(O29/$R29*100*($E29/366))</f>
        <v>100</v>
      </c>
      <c r="I91" s="989"/>
      <c r="J91" s="989">
        <f>(P28/$R28*100*($E28/366))+(P29/$R29*100*($E29/366))</f>
        <v>0</v>
      </c>
      <c r="K91" s="989"/>
      <c r="L91" s="989">
        <f>(Q28/$R28*100*($E28/366))+(Q29/$R29*100*($E29/366))</f>
        <v>0</v>
      </c>
      <c r="M91" s="989"/>
      <c r="N91" s="990">
        <f t="shared" si="29"/>
        <v>100</v>
      </c>
      <c r="O91" s="990"/>
      <c r="R91" s="1">
        <v>2000</v>
      </c>
      <c r="S91" s="8">
        <f>(O28*($E28/366))+(O29*($E29/366))</f>
        <v>57</v>
      </c>
      <c r="T91" s="8">
        <f>(P28*($E28/366))+(P29*($E29/366))</f>
        <v>0</v>
      </c>
      <c r="U91" s="8">
        <f>(Q28*($E28/366))+(Q29*($E29/366))</f>
        <v>0</v>
      </c>
      <c r="W91" s="7">
        <f t="shared" si="31"/>
        <v>57</v>
      </c>
    </row>
    <row r="92" spans="1:25" ht="9" customHeight="1">
      <c r="A92" s="1">
        <v>2001</v>
      </c>
      <c r="B92" s="8">
        <f>(K30*($E30/365))+(K31*($E31/365))</f>
        <v>66.865431103948424</v>
      </c>
      <c r="C92" s="8">
        <f>(L30*($E30/365))+(L31*($E31/365))</f>
        <v>6.9863013698630141</v>
      </c>
      <c r="D92" s="8">
        <f>(M30*($E30/365))+(M31*($E31/365))</f>
        <v>5.1893634165995159</v>
      </c>
      <c r="E92" s="63">
        <f t="shared" si="30"/>
        <v>79.041095890410958</v>
      </c>
      <c r="G92" s="1">
        <v>2001</v>
      </c>
      <c r="H92" s="989">
        <f>(O30/$R30*100*($E30/365))+(O31/$R31*100*($E31/365))</f>
        <v>88.797564687975651</v>
      </c>
      <c r="I92" s="989"/>
      <c r="J92" s="989">
        <f>(P30/$R30*100*($E30/365))+(P31/$R31*100*($E31/365))</f>
        <v>0</v>
      </c>
      <c r="K92" s="989"/>
      <c r="L92" s="989">
        <f>(Q30/$R30*100*($E30/365))+(Q31/$R31*100*($E31/365))</f>
        <v>11.202435312024352</v>
      </c>
      <c r="M92" s="989"/>
      <c r="N92" s="990">
        <f t="shared" si="29"/>
        <v>100</v>
      </c>
      <c r="O92" s="990"/>
      <c r="R92" s="1">
        <v>2001</v>
      </c>
      <c r="S92" s="8">
        <f>(O30*($E30/365))+(O31*($E31/365))</f>
        <v>57.771917808219186</v>
      </c>
      <c r="T92" s="8">
        <f>(P30*($E30/365))+(P31*($E31/365))</f>
        <v>0</v>
      </c>
      <c r="U92" s="8">
        <f>(Q30*($E30/365))+(Q31*($E31/365))</f>
        <v>8.8219178082191778</v>
      </c>
      <c r="W92" s="7">
        <f t="shared" si="31"/>
        <v>66.593835616438369</v>
      </c>
    </row>
    <row r="93" spans="1:25" ht="9" customHeight="1">
      <c r="A93" s="1">
        <v>2002</v>
      </c>
      <c r="B93" s="8">
        <f>(K32*($E32/365))+(K33*($E33/365))</f>
        <v>88.623869639179873</v>
      </c>
      <c r="C93" s="8">
        <f>(L32*($E32/365))+(L33*($E33/365))</f>
        <v>0</v>
      </c>
      <c r="D93" s="8">
        <f>(M32*($E32/365))+(M33*($E33/365))</f>
        <v>11.376130360820127</v>
      </c>
      <c r="E93" s="63">
        <f t="shared" si="30"/>
        <v>100</v>
      </c>
      <c r="G93" s="1">
        <v>2002</v>
      </c>
      <c r="H93" s="989">
        <f>(O32/$R32*100*($E32/365))+(O33/$R33*100*($E33/365))</f>
        <v>74.603174603174608</v>
      </c>
      <c r="I93" s="989"/>
      <c r="J93" s="989">
        <f>(P32/$R32*100*($E32/365))+(P33/$R33*100*($E33/365))</f>
        <v>0</v>
      </c>
      <c r="K93" s="989"/>
      <c r="L93" s="989">
        <f>(Q32/$R32*100*($E32/365))+(Q33/$R33*100*($E33/365))</f>
        <v>25.396825396825395</v>
      </c>
      <c r="M93" s="989"/>
      <c r="N93" s="990">
        <f t="shared" si="29"/>
        <v>100</v>
      </c>
      <c r="O93" s="990"/>
      <c r="R93" s="1">
        <v>2002</v>
      </c>
      <c r="S93" s="8">
        <f>(O32*($E32/365))+(O33*($E33/365))</f>
        <v>58.75</v>
      </c>
      <c r="T93" s="8">
        <f>(P32*($E32/365))+(P33*($E33/365))</f>
        <v>0</v>
      </c>
      <c r="U93" s="8">
        <f>(Q32*($E32/365))+(Q33*($E33/365))</f>
        <v>20</v>
      </c>
      <c r="W93" s="7">
        <f t="shared" si="31"/>
        <v>78.75</v>
      </c>
    </row>
    <row r="94" spans="1:25" ht="9" customHeight="1">
      <c r="A94" s="1">
        <v>2003</v>
      </c>
      <c r="B94" s="8">
        <f>(K34*($E34/365))+(K35*($E35/365))</f>
        <v>88.888888888888886</v>
      </c>
      <c r="C94" s="8">
        <f>(L34*($E34/365))+(L35*($E35/365))</f>
        <v>0</v>
      </c>
      <c r="D94" s="8">
        <f>(M34*($E34/365))+(M35*($E35/365))</f>
        <v>11.111111111111111</v>
      </c>
      <c r="E94" s="63">
        <f t="shared" si="30"/>
        <v>100</v>
      </c>
      <c r="G94" s="1">
        <v>2003</v>
      </c>
      <c r="H94" s="989">
        <f>(O34/$R34*100*($E34/365))+(O35/$R35*100*($E35/365))</f>
        <v>74.603174603174608</v>
      </c>
      <c r="I94" s="989"/>
      <c r="J94" s="989">
        <f>(P34/$R34*100*($E34/365))+(P35/$R35*100*($E35/365))</f>
        <v>0</v>
      </c>
      <c r="K94" s="989"/>
      <c r="L94" s="989">
        <f>(Q34/$R34*100*($E34/365))+(Q35/$R35*100*($E35/365))</f>
        <v>25.396825396825395</v>
      </c>
      <c r="M94" s="989"/>
      <c r="N94" s="990">
        <f t="shared" si="29"/>
        <v>100</v>
      </c>
      <c r="O94" s="990"/>
      <c r="R94" s="1">
        <v>2003</v>
      </c>
      <c r="S94" s="8">
        <f>(O34*($E34/365))+(O35*($E35/365))</f>
        <v>58.75</v>
      </c>
      <c r="T94" s="8">
        <f>(P34*($E34/365))+(P35*($E35/365))</f>
        <v>0</v>
      </c>
      <c r="U94" s="8">
        <f>(Q34*($E34/365))+(Q35*($E35/365))</f>
        <v>20</v>
      </c>
      <c r="W94" s="7">
        <f t="shared" si="31"/>
        <v>78.75</v>
      </c>
    </row>
    <row r="95" spans="1:25" ht="9" customHeight="1">
      <c r="A95" s="1">
        <v>2004</v>
      </c>
      <c r="B95" s="8">
        <f>(K36*($E36/366))+(K37*($E37/366))</f>
        <v>88.888888888888886</v>
      </c>
      <c r="C95" s="8">
        <f>(L36*($E36/366))+(L37*($E37/366))</f>
        <v>0</v>
      </c>
      <c r="D95" s="8">
        <f>(M36*($E36/366))+(M37*($E37/366))</f>
        <v>11.111111111111111</v>
      </c>
      <c r="E95" s="63">
        <f t="shared" si="30"/>
        <v>100</v>
      </c>
      <c r="G95" s="1">
        <v>2004</v>
      </c>
      <c r="H95" s="989">
        <f>(O36/$R36*100*($E36/366))+(O37/$R37*100*($E37/366))</f>
        <v>74.603174603174608</v>
      </c>
      <c r="I95" s="989"/>
      <c r="J95" s="989">
        <f>(P36/$R36*100*($E36/366))+(P37/$R37*100*($E37/366))</f>
        <v>0</v>
      </c>
      <c r="K95" s="989"/>
      <c r="L95" s="989">
        <f>(Q36/$R36*100*($E36/366))+(Q37/$R37*100*($E37/366))</f>
        <v>25.396825396825395</v>
      </c>
      <c r="M95" s="989"/>
      <c r="N95" s="990">
        <f t="shared" si="29"/>
        <v>100</v>
      </c>
      <c r="O95" s="990"/>
      <c r="R95" s="1">
        <v>2004</v>
      </c>
      <c r="S95" s="8">
        <f>(O36*($E36/366))+(O37*($E37/366))</f>
        <v>58.75</v>
      </c>
      <c r="T95" s="8">
        <f>(P36*($E36/366))+(P37*($E37/366))</f>
        <v>0</v>
      </c>
      <c r="U95" s="8">
        <f>(Q36*($E36/366))+(Q37*($E37/366))</f>
        <v>20</v>
      </c>
      <c r="W95" s="7">
        <f t="shared" si="31"/>
        <v>78.75</v>
      </c>
    </row>
    <row r="96" spans="1:25" ht="9" customHeight="1">
      <c r="A96" s="1">
        <v>2005</v>
      </c>
      <c r="B96" s="8">
        <f>(K38*($E38/365))+(K39*($E39/365))+(K40*($E40/365))</f>
        <v>72.367219418409036</v>
      </c>
      <c r="C96" s="8">
        <f>(L38*($E38/365))+(L39*($E39/365))+(L40*($E40/365))</f>
        <v>0</v>
      </c>
      <c r="D96" s="8">
        <f>(M38*($E38/365))+(M39*($E39/365))+(M40*($E40/365))</f>
        <v>25.532323960586396</v>
      </c>
      <c r="E96" s="63">
        <f t="shared" si="30"/>
        <v>97.899543378995432</v>
      </c>
      <c r="G96" s="1">
        <v>2005</v>
      </c>
      <c r="H96" s="989">
        <f>(O38/$R38*100*($E38/365))+(O39/$R39*100*($E39/365))+(O40/$R40*100*($E40/365))</f>
        <v>65.812659469870127</v>
      </c>
      <c r="I96" s="989"/>
      <c r="J96" s="989">
        <f>(P38/$R38*100*($E38/365))+(P39/$R39*100*($E39/365))+(P40/$R40*100*($E40/365))</f>
        <v>0</v>
      </c>
      <c r="K96" s="989"/>
      <c r="L96" s="989">
        <f>(Q38/$R38*100*($E38/365))+(Q39/$R39*100*($E39/365))+(Q40/$R40*100*($E40/365))</f>
        <v>34.187340530129873</v>
      </c>
      <c r="M96" s="989"/>
      <c r="N96" s="990">
        <f t="shared" si="29"/>
        <v>100</v>
      </c>
      <c r="O96" s="990"/>
      <c r="R96" s="1">
        <v>2005</v>
      </c>
      <c r="S96" s="8">
        <f>(O38*($E38/365))+(O39*($E39/365))+(O40*($E40/365))</f>
        <v>50.099479452054801</v>
      </c>
      <c r="T96" s="8">
        <f>(P38*($E38/365))+(P39*($E39/365))+(P40*($E40/365))</f>
        <v>0</v>
      </c>
      <c r="U96" s="8">
        <f>(Q38*($E38/365))+(Q39*($E39/365))+(Q40*($E40/365))</f>
        <v>25.285589041095889</v>
      </c>
      <c r="W96" s="7">
        <f t="shared" si="31"/>
        <v>75.385068493150698</v>
      </c>
    </row>
    <row r="97" spans="1:23" ht="9" customHeight="1">
      <c r="A97" s="1">
        <v>2006</v>
      </c>
      <c r="B97" s="8">
        <f>(K41*($E41/365))+(K42*($E42/365))</f>
        <v>44.444444444444443</v>
      </c>
      <c r="C97" s="8">
        <f>(L41*($E41/365))+(L42*($E42/365))</f>
        <v>0</v>
      </c>
      <c r="D97" s="8">
        <f>(M41*($E41/365))+(M42*($E42/365))</f>
        <v>50</v>
      </c>
      <c r="E97" s="63">
        <f t="shared" si="30"/>
        <v>94.444444444444443</v>
      </c>
      <c r="G97" s="1">
        <v>2006</v>
      </c>
      <c r="H97" s="989">
        <f>(O41/$R41*100*($E41/365))+(O42/$R42*100*($E42/365))</f>
        <v>51.3528990694345</v>
      </c>
      <c r="I97" s="989"/>
      <c r="J97" s="989">
        <f>(P41/$R41*100*($E41/365))+(P42/$R42*100*($E42/365))</f>
        <v>0</v>
      </c>
      <c r="K97" s="989"/>
      <c r="L97" s="989">
        <f>(Q41/$R41*100*($E41/365))+(Q42/$R42*100*($E42/365))</f>
        <v>48.647100930565493</v>
      </c>
      <c r="M97" s="989"/>
      <c r="N97" s="990">
        <f t="shared" si="29"/>
        <v>100</v>
      </c>
      <c r="O97" s="990"/>
      <c r="R97" s="1">
        <v>2006</v>
      </c>
      <c r="S97" s="8">
        <f>(O41*($E41/365))+(O42*($E42/365))</f>
        <v>35.869999999999997</v>
      </c>
      <c r="T97" s="8">
        <f>(P41*($E41/365))+(P42*($E42/365))</f>
        <v>0</v>
      </c>
      <c r="U97" s="8">
        <f>(Q41*($E41/365))+(Q42*($E42/365))</f>
        <v>33.979999999999997</v>
      </c>
      <c r="W97" s="7">
        <f t="shared" si="31"/>
        <v>69.849999999999994</v>
      </c>
    </row>
    <row r="98" spans="1:23" ht="9" customHeight="1">
      <c r="A98" s="1">
        <v>2007</v>
      </c>
      <c r="B98" s="7">
        <f>(K43*($E43/365))+(K44*($E44/365))</f>
        <v>44.444444444444443</v>
      </c>
      <c r="C98" s="7">
        <f>(L43*($E43/365))+(L44*($E44/365))</f>
        <v>0</v>
      </c>
      <c r="D98" s="7">
        <f>(M43*($E43/365))+(M44*($E44/365))</f>
        <v>50</v>
      </c>
      <c r="E98" s="63">
        <f t="shared" si="30"/>
        <v>94.444444444444443</v>
      </c>
      <c r="G98" s="1">
        <v>2007</v>
      </c>
      <c r="H98" s="989">
        <f>(O43/$R43*100*($E43/365))+(O44/$R44*100*($E44/365))</f>
        <v>51.3528990694345</v>
      </c>
      <c r="I98" s="989"/>
      <c r="J98" s="989">
        <f>(P43/$R43*100*($E43/365))+(P44/$R44*100*($E44/365))</f>
        <v>0</v>
      </c>
      <c r="K98" s="989"/>
      <c r="L98" s="989">
        <f>(Q43/$R43*100*($E43/365))+(Q44/$R44*100*($E44/365))</f>
        <v>48.647100930565493</v>
      </c>
      <c r="M98" s="989"/>
      <c r="N98" s="990">
        <f t="shared" si="29"/>
        <v>100</v>
      </c>
      <c r="O98" s="990"/>
      <c r="R98" s="1">
        <v>2007</v>
      </c>
      <c r="S98" s="7">
        <f>(O43*($E43/365))+(O44*($E44/365))</f>
        <v>35.869999999999997</v>
      </c>
      <c r="T98" s="7">
        <f>(P43*($E43/365))+(P44*($E44/365))</f>
        <v>0</v>
      </c>
      <c r="U98" s="7">
        <f>(Q43*($E43/365))+(Q44*($E44/365))</f>
        <v>33.979999999999997</v>
      </c>
      <c r="W98" s="7">
        <f t="shared" si="31"/>
        <v>69.849999999999994</v>
      </c>
    </row>
    <row r="99" spans="1:23" ht="9" customHeight="1">
      <c r="A99" s="1">
        <v>2008</v>
      </c>
      <c r="B99" s="7">
        <f>(K45*($E45/366))+(K46*($E46/366))</f>
        <v>42.833860607803658</v>
      </c>
      <c r="C99" s="7">
        <f>(L45*($E45/366))+(L46*($E46/366))</f>
        <v>0</v>
      </c>
      <c r="D99" s="7">
        <f>(M45*($E45/366))+(M46*($E46/366))</f>
        <v>51.811906816220876</v>
      </c>
      <c r="E99" s="63">
        <f t="shared" si="30"/>
        <v>94.645767424024541</v>
      </c>
      <c r="G99" s="1">
        <v>2008</v>
      </c>
      <c r="H99" s="989">
        <f>(O45/$R45*100*($E45/366))+(O46/$R46*100*($E46/366))</f>
        <v>51.3528990694345</v>
      </c>
      <c r="I99" s="989"/>
      <c r="J99" s="989">
        <f>(P45/$R45*100*($E45/366))+(P46/$R46*100*($E46/366))</f>
        <v>0</v>
      </c>
      <c r="K99" s="989"/>
      <c r="L99" s="989">
        <f>(Q45/$R45*100*($E45/366))+(Q46/$R46*100*($E46/366))</f>
        <v>48.647100930565493</v>
      </c>
      <c r="M99" s="989"/>
      <c r="N99" s="990">
        <f t="shared" si="29"/>
        <v>100</v>
      </c>
      <c r="O99" s="990"/>
      <c r="R99" s="1">
        <v>2008</v>
      </c>
      <c r="S99" s="7">
        <f>(O45*($E45/366))+(O46*($E46/366))</f>
        <v>35.869999999999997</v>
      </c>
      <c r="T99" s="7">
        <f>(P45*($E45/366))+(P46*($E46/366))</f>
        <v>0</v>
      </c>
      <c r="U99" s="7">
        <f>(Q45*($E45/366))+(Q46*($E46/366))</f>
        <v>33.979999999999997</v>
      </c>
      <c r="W99" s="7">
        <f t="shared" si="31"/>
        <v>69.849999999999994</v>
      </c>
    </row>
    <row r="100" spans="1:23" ht="9" customHeight="1">
      <c r="A100" s="1">
        <v>2009</v>
      </c>
      <c r="B100" s="7">
        <f>(K47*($E47/365))+(K48*($E48/365))</f>
        <v>64.620212901310481</v>
      </c>
      <c r="C100" s="7">
        <f>(L47*($E47/365))+(L48*($E48/365))</f>
        <v>0</v>
      </c>
      <c r="D100" s="7">
        <f>(M47*($E47/365))+(M48*($E48/365))</f>
        <v>29.848594087959622</v>
      </c>
      <c r="E100" s="63">
        <f t="shared" si="30"/>
        <v>94.468806989270107</v>
      </c>
      <c r="G100" s="1">
        <v>2009</v>
      </c>
      <c r="H100" s="989">
        <f>(O47/$R47*100*($E47/365))+(O48/$R48*100*($E48/365))</f>
        <v>72.4110961845834</v>
      </c>
      <c r="I100" s="989"/>
      <c r="J100" s="989">
        <f>(P47/$R47*100*($E47/365))+(P48/$R48*100*($E48/365))</f>
        <v>0</v>
      </c>
      <c r="K100" s="989"/>
      <c r="L100" s="989">
        <f>(Q47/$R47*100*($E47/365))+(Q48/$R48*100*($E48/365))</f>
        <v>27.588903815416593</v>
      </c>
      <c r="M100" s="989"/>
      <c r="N100" s="990">
        <f t="shared" si="29"/>
        <v>100</v>
      </c>
      <c r="O100" s="990"/>
      <c r="R100" s="1">
        <v>2009</v>
      </c>
      <c r="S100" s="7">
        <f>(O47*($E47/365))+(O48*($E48/365))</f>
        <v>41.46709589041096</v>
      </c>
      <c r="T100" s="7">
        <f>(P47*($E47/365))+(P48*($E48/365))</f>
        <v>0</v>
      </c>
      <c r="U100" s="7">
        <f>(Q47*($E47/365))+(Q48*($E48/365))</f>
        <v>19.270849315068492</v>
      </c>
      <c r="W100" s="7">
        <f t="shared" si="31"/>
        <v>60.737945205479448</v>
      </c>
    </row>
    <row r="101" spans="1:23" ht="9" customHeight="1">
      <c r="A101" s="1">
        <v>2010</v>
      </c>
      <c r="B101" s="7">
        <f>(K49*($E49/365))+(K50*($E50/365))+(K51*($E51/365))+(K52*($E52/365))</f>
        <v>90.136986301369859</v>
      </c>
      <c r="C101" s="7">
        <f>(L49*($E49/365))+(L50*($E50/365))+(L51*($E51/365))+(L52*($E52/365))</f>
        <v>0</v>
      </c>
      <c r="D101" s="7">
        <f>(M49*($E49/365))+(M50*($E50/365))+(M51*($E51/365))+(M52*($E52/365))</f>
        <v>0</v>
      </c>
      <c r="E101" s="63">
        <f t="shared" si="30"/>
        <v>90.136986301369859</v>
      </c>
      <c r="G101" s="1">
        <v>2010</v>
      </c>
      <c r="H101" s="989">
        <f>(O49/$R49*100*($E49/365))+(O50/$R50*100*($E50/365))+(O51/$R51*100*($E51/365))+(O52/$R52*100*($E52/365))</f>
        <v>100</v>
      </c>
      <c r="I101" s="989"/>
      <c r="J101" s="989">
        <f>(P49/$R49*100*($E49/365))+(P50/$R50*100*($E50/365))+(P51/$R51*100*($E51/365))+(P52/$R52*100*($E52/365))</f>
        <v>0</v>
      </c>
      <c r="K101" s="989"/>
      <c r="L101" s="989">
        <f>(Q49/$R49*100*($E49/365))+(Q50/$R50*100*($E50/365))+(Q51/$R51*100*($E51/365))+(Q52/$R52*100*($E52/365))</f>
        <v>0</v>
      </c>
      <c r="M101" s="989"/>
      <c r="N101" s="990">
        <f t="shared" si="29"/>
        <v>100</v>
      </c>
      <c r="O101" s="990"/>
      <c r="R101" s="1">
        <v>2010</v>
      </c>
      <c r="S101" s="7">
        <f>(O49*($E49/365))+(O50*($E50/365))+(O51*($E51/365))+(O52*($E52/365))</f>
        <v>48.8</v>
      </c>
      <c r="T101" s="7">
        <f>(P49*($E49/365))+(P50*($E50/365))+(P51*($E51/365))+(P52*($E52/365))</f>
        <v>0</v>
      </c>
      <c r="U101" s="7">
        <f>(Q49*($E49/365))+(Q50*($E50/365))+(Q51*($E51/365))+(Q52*($E52/365))</f>
        <v>0</v>
      </c>
      <c r="W101" s="7">
        <f t="shared" si="31"/>
        <v>48.8</v>
      </c>
    </row>
    <row r="102" spans="1:23" ht="9" customHeight="1">
      <c r="A102" s="1">
        <v>2011</v>
      </c>
      <c r="B102" s="7">
        <f>(K53*($E53/365))+(K54*($E54/365))</f>
        <v>88.235294117647058</v>
      </c>
      <c r="C102" s="7">
        <f>(L53*($E53/365))+(L54*($E54/365))</f>
        <v>0</v>
      </c>
      <c r="D102" s="7">
        <f>(M53*($E53/365))+(M54*($E54/365))</f>
        <v>0</v>
      </c>
      <c r="E102" s="63">
        <f t="shared" si="30"/>
        <v>88.235294117647058</v>
      </c>
      <c r="G102" s="1">
        <v>2011</v>
      </c>
      <c r="H102" s="989">
        <f>(O53/$R53*100*($E53/365))+(O54/$R54*100*($E54/365))</f>
        <v>100</v>
      </c>
      <c r="I102" s="989"/>
      <c r="J102" s="989">
        <f>(P53/$R53*100*($E53/365))+(P54/$R54*100*($E54/365))</f>
        <v>0</v>
      </c>
      <c r="K102" s="989"/>
      <c r="L102" s="989">
        <f>(Q53/$R53*100*($E53/365))+(Q54/$R54*100*($E54/365))</f>
        <v>0</v>
      </c>
      <c r="M102" s="989"/>
      <c r="N102" s="990">
        <f t="shared" si="29"/>
        <v>100</v>
      </c>
      <c r="O102" s="990"/>
      <c r="R102" s="1">
        <v>2011</v>
      </c>
      <c r="S102" s="7">
        <f>(O53*($E53/365))+(O54*($E54/365))</f>
        <v>48.8</v>
      </c>
      <c r="T102" s="7">
        <f>(P53*($E53/365))+(P54*($E54/365))</f>
        <v>0</v>
      </c>
      <c r="U102" s="7">
        <f>(Q53*($E53/365))+(Q54*($E54/365))</f>
        <v>0</v>
      </c>
      <c r="W102" s="7">
        <f t="shared" si="31"/>
        <v>48.8</v>
      </c>
    </row>
    <row r="103" spans="1:23" ht="9" customHeight="1">
      <c r="A103" s="1">
        <v>2012</v>
      </c>
      <c r="B103" s="7">
        <f>(K55*($E55/366))+(K56*($E56/366))</f>
        <v>92.831886853101878</v>
      </c>
      <c r="C103" s="7">
        <f>(L55*($E55/366))+(L56*($E56/366))</f>
        <v>0</v>
      </c>
      <c r="D103" s="7">
        <f>(M55*($E55/366))+(M56*($E56/366))</f>
        <v>0</v>
      </c>
      <c r="E103" s="63">
        <f t="shared" si="30"/>
        <v>92.831886853101878</v>
      </c>
      <c r="G103" s="1">
        <v>2012</v>
      </c>
      <c r="H103" s="989">
        <f>(O55/$R55*100*($E55/366))+(O56/$R56*100*($E56/366))</f>
        <v>100</v>
      </c>
      <c r="I103" s="989"/>
      <c r="J103" s="989">
        <f>(P55/$R55*100*($E55/366))+(P56/$R56*100*($E56/366))</f>
        <v>0</v>
      </c>
      <c r="K103" s="989"/>
      <c r="L103" s="989">
        <f>(Q55/$R55*100*($E55/366))+(Q56/$R56*100*($E56/366))</f>
        <v>0</v>
      </c>
      <c r="M103" s="989"/>
      <c r="N103" s="990">
        <f t="shared" si="29"/>
        <v>100</v>
      </c>
      <c r="O103" s="990"/>
      <c r="R103" s="1">
        <v>2012</v>
      </c>
      <c r="S103" s="7">
        <f>(O55*($E55/366))+(O56*($E56/366))</f>
        <v>48.8</v>
      </c>
      <c r="T103" s="7">
        <f>(P55*($E55/366))+(P56*($E56/366))</f>
        <v>0</v>
      </c>
      <c r="U103" s="7">
        <f>(Q55*($E55/366))+(Q56*($E56/366))</f>
        <v>0</v>
      </c>
      <c r="W103" s="7">
        <f t="shared" si="31"/>
        <v>48.8</v>
      </c>
    </row>
    <row r="104" spans="1:23" ht="9" customHeight="1">
      <c r="A104" s="1">
        <v>2013</v>
      </c>
      <c r="B104" s="7">
        <f>(K57*($E57/365))+(K58*($E58/365))+(K59*($E59/365))+(K60*($E60/365))+(K61*($E61/365))</f>
        <v>24.401468349897034</v>
      </c>
      <c r="C104" s="7">
        <f>(L57*($E57/365))+(L58*($E58/365))+(L59*($E59/365))+(L60*($E60/365))+(L61*($E61/365))</f>
        <v>0</v>
      </c>
      <c r="D104" s="7">
        <f>(M57*($E57/365))+(M58*($E58/365))+(M59*($E59/365))+(M60*($E60/365))+(M61*($E61/365))</f>
        <v>13.315426627271913</v>
      </c>
      <c r="E104" s="292">
        <f t="shared" ref="E104:E109" si="32">SUM(B104:D104)</f>
        <v>37.716894977168948</v>
      </c>
      <c r="G104" s="1">
        <v>2013</v>
      </c>
      <c r="H104" s="989">
        <f>(O57/$R57*100*($E57/365))+(O58/$R58*100*($E58/365))+(O60/$R60*100*($E60/365))+(O61/$R61*100*($E61/365))</f>
        <v>37.287671232876711</v>
      </c>
      <c r="I104" s="989"/>
      <c r="J104" s="989">
        <f>(P57/$R57*100*($E57/365))+(P58/$R58*100*($E58/365))+(P60/$R60*100*($E60/365))+(P61/$R61*100*($E61/365))</f>
        <v>0</v>
      </c>
      <c r="K104" s="989"/>
      <c r="L104" s="989">
        <f>(Q57/$R57*100*($E57/365))+(Q58/$R58*100*($E58/365))+(Q60/$R60*100*($E60/365))+(Q61/$R61*100*($E61/365))</f>
        <v>41.61643835616438</v>
      </c>
      <c r="M104" s="989"/>
      <c r="N104" s="990">
        <f t="shared" ref="N104:N109" si="33">SUM(H104:M104)</f>
        <v>78.904109589041099</v>
      </c>
      <c r="O104" s="990"/>
      <c r="R104" s="1">
        <v>2013</v>
      </c>
      <c r="S104" s="7">
        <f>(O57*($E57/365))+(O58*($E58/365))+(O59*($E59/365))+(O60*($E60/365))+(O61*($E61/365))</f>
        <v>18.410410958904109</v>
      </c>
      <c r="T104" s="7">
        <f>(P57*($E57/365))+(P58*($E58/365))+(P59*($E59/365))+(P60*($E60/365))+(P61*($E61/365))</f>
        <v>0</v>
      </c>
      <c r="U104" s="7">
        <f>(Q57*($E57/365))+(Q58*($E58/365))+(Q59*($E59/365))+(Q60*($E60/365))+(Q61*($E61/365))</f>
        <v>20.80821917808219</v>
      </c>
      <c r="W104" s="7">
        <f t="shared" si="31"/>
        <v>39.218630136986299</v>
      </c>
    </row>
    <row r="105" spans="1:23" ht="9" customHeight="1">
      <c r="A105" s="1">
        <v>2014</v>
      </c>
      <c r="B105" s="7">
        <f>(K62*($E62/365))+(K63*($E63/365))+(K64*($E64/365))</f>
        <v>20.920852359208524</v>
      </c>
      <c r="C105" s="7">
        <f>(L62*($E62/365))+(L63*($E63/365))+(L64*($E64/365))</f>
        <v>0</v>
      </c>
      <c r="D105" s="7">
        <f>(M62*($E62/365))+(M63*($E63/365))+(M64*($E64/365))</f>
        <v>13.964992389649924</v>
      </c>
      <c r="E105" s="632">
        <f t="shared" si="32"/>
        <v>34.885844748858446</v>
      </c>
      <c r="G105" s="1">
        <v>2014</v>
      </c>
      <c r="H105" s="989">
        <f>(O62/$R62*100*($E62/365))+(O64/$R64*100*($E64/365))</f>
        <v>31.495266733489252</v>
      </c>
      <c r="I105" s="989"/>
      <c r="J105" s="989">
        <f>(P62/$R62*100*($E62/365))+(P64/$R64*100*($E64/365))</f>
        <v>0</v>
      </c>
      <c r="K105" s="989"/>
      <c r="L105" s="989">
        <f>(Q62/$R62*100*($E62/365))+(Q64/$R64*100*($E64/365))</f>
        <v>43.025281211716226</v>
      </c>
      <c r="M105" s="989"/>
      <c r="N105" s="990">
        <f t="shared" si="33"/>
        <v>74.520547945205479</v>
      </c>
      <c r="O105" s="990"/>
      <c r="R105" s="1">
        <v>2014</v>
      </c>
      <c r="S105" s="7">
        <f>(O62*($E62/365))+(O63*($E63/365))+(O64*($E64/365))</f>
        <v>15.638356164383563</v>
      </c>
      <c r="T105" s="7">
        <f>(P62*($E62/365))+(P63*($E63/365))+(P64*($E64/365))</f>
        <v>0</v>
      </c>
      <c r="U105" s="7">
        <f>(Q62*($E62/365))+(Q63*($E63/365))+(Q64*($E64/365))</f>
        <v>21.501369863013696</v>
      </c>
      <c r="W105" s="7">
        <f>SUM(S105:U105)</f>
        <v>37.139726027397259</v>
      </c>
    </row>
    <row r="106" spans="1:23" s="689" customFormat="1" ht="9" customHeight="1">
      <c r="A106" s="689">
        <v>2015</v>
      </c>
      <c r="B106" s="688">
        <f>(K65*($E65/365))+(K66*($E66/365))</f>
        <v>94.808219178082197</v>
      </c>
      <c r="C106" s="688">
        <f>(L65*($E65/365))+(L66*($E66/365))</f>
        <v>0</v>
      </c>
      <c r="D106" s="688">
        <f>(M65*($E65/365))+(M66*($E66/365))</f>
        <v>5</v>
      </c>
      <c r="E106" s="684">
        <f t="shared" si="32"/>
        <v>99.808219178082197</v>
      </c>
      <c r="G106" s="689">
        <v>2015</v>
      </c>
      <c r="H106" s="989">
        <f>(O65/$R65*100*($E65/365))+(O66/$R66*100*($E66/365))</f>
        <v>90.650406504065046</v>
      </c>
      <c r="I106" s="989"/>
      <c r="J106" s="989">
        <f>(P65/$R65*100*($E65/365))+(P66/$R66*100*($E66/365))</f>
        <v>0</v>
      </c>
      <c r="K106" s="989"/>
      <c r="L106" s="989">
        <f>(Q65/$R65*100*($E65/365))+(Q66/$R66*100*($E66/365))</f>
        <v>9.3495934959349576</v>
      </c>
      <c r="M106" s="989"/>
      <c r="N106" s="990">
        <f t="shared" si="33"/>
        <v>100</v>
      </c>
      <c r="O106" s="990"/>
      <c r="R106" s="689">
        <v>2015</v>
      </c>
      <c r="S106" s="688">
        <f>(O65*($E65/365))+(O66*($E66/365))</f>
        <v>44.6</v>
      </c>
      <c r="T106" s="688">
        <f>(P65*($E65/365))+(P66*($E66/365))</f>
        <v>0</v>
      </c>
      <c r="U106" s="688">
        <f>(Q65*($E65/365))+(Q66*($E66/365))</f>
        <v>4.5999999999999996</v>
      </c>
      <c r="W106" s="688">
        <f>SUM(S106:U106)</f>
        <v>49.2</v>
      </c>
    </row>
    <row r="107" spans="1:23" s="689" customFormat="1" ht="9" customHeight="1">
      <c r="A107" s="689">
        <v>2016</v>
      </c>
      <c r="B107" s="787">
        <f>(K67*($E67/366))+(K68*($E68/366))</f>
        <v>93.509411050394647</v>
      </c>
      <c r="C107" s="787">
        <f>(L67*($E67/366))+(L68*($E68/366))</f>
        <v>0</v>
      </c>
      <c r="D107" s="787">
        <f>(M67*($E67/366))+(M68*($E68/366))</f>
        <v>1.0519125683060109</v>
      </c>
      <c r="E107" s="784">
        <f t="shared" si="32"/>
        <v>94.561323618700655</v>
      </c>
      <c r="G107" s="689">
        <v>2016</v>
      </c>
      <c r="H107" s="989">
        <f>(O67/$R67*100*($E67/366))+(O68/$R68*100*($E68/366))</f>
        <v>90.650406504065046</v>
      </c>
      <c r="I107" s="989"/>
      <c r="J107" s="989">
        <f>(P67/$R67*100*($E67/366))+(P68/$R68*100*($E68/366))</f>
        <v>0</v>
      </c>
      <c r="K107" s="989"/>
      <c r="L107" s="989">
        <f>(Q67/$R67*100*($E67/366))+(Q68/$R68*100*($E68/366))</f>
        <v>9.3495934959349576</v>
      </c>
      <c r="M107" s="989"/>
      <c r="N107" s="990">
        <f t="shared" si="33"/>
        <v>100</v>
      </c>
      <c r="O107" s="990"/>
      <c r="R107" s="689">
        <v>2016</v>
      </c>
      <c r="S107" s="787">
        <f>(O67*($E67/366))+(O68*($E68/366))</f>
        <v>44.6</v>
      </c>
      <c r="T107" s="787">
        <f>(P67*($E67/366))+(P68*($E68/366))</f>
        <v>0</v>
      </c>
      <c r="U107" s="787">
        <f>(Q67*($E67/366))+(Q68*($E68/366))</f>
        <v>4.5999999999999996</v>
      </c>
      <c r="V107" s="788"/>
      <c r="W107" s="787">
        <f>SUM(S107:U107)</f>
        <v>49.2</v>
      </c>
    </row>
    <row r="108" spans="1:23" s="689" customFormat="1" ht="9" customHeight="1">
      <c r="A108" s="912">
        <v>2017</v>
      </c>
      <c r="B108" s="910">
        <f>(K69*($E69/365))+(K70*($E70/365))+(K71*($E71/365))</f>
        <v>73.028919330289199</v>
      </c>
      <c r="C108" s="910">
        <f t="shared" ref="C108:D108" si="34">(L69*($E69/365))+(L70*($E70/365))+(L71*($E71/365))</f>
        <v>0</v>
      </c>
      <c r="D108" s="910">
        <f t="shared" si="34"/>
        <v>1.3287671232876712</v>
      </c>
      <c r="E108" s="908">
        <f t="shared" si="32"/>
        <v>74.357686453576875</v>
      </c>
      <c r="F108" s="912"/>
      <c r="G108" s="912">
        <v>2017</v>
      </c>
      <c r="H108" s="989">
        <f>(O69/$R69*100*($E69/365))+(O71/$R71*100*($E71/365))</f>
        <v>72.758659093440258</v>
      </c>
      <c r="I108" s="989"/>
      <c r="J108" s="989">
        <f>(P69/$R69*100*($E69/365))+(P71/$R71*100*($E71/365))</f>
        <v>0</v>
      </c>
      <c r="K108" s="989"/>
      <c r="L108" s="989">
        <f>(Q69/$R69*100*($E69/365))+(Q71/$R71*100*($E71/365))</f>
        <v>0.66599844080632575</v>
      </c>
      <c r="M108" s="989"/>
      <c r="N108" s="990">
        <f t="shared" si="33"/>
        <v>73.424657534246577</v>
      </c>
      <c r="O108" s="990"/>
      <c r="P108" s="912"/>
      <c r="Q108" s="912"/>
      <c r="R108" s="912">
        <v>2017</v>
      </c>
      <c r="S108" s="910">
        <f>(O69*($E69/365))+(O70*($E70/365))+(O71*($E71/365))</f>
        <v>36.924383561643843</v>
      </c>
      <c r="T108" s="910">
        <f t="shared" ref="T108:U108" si="35">(P69*($E69/365))+(P70*($E70/365))+(P71*($E71/365))</f>
        <v>0</v>
      </c>
      <c r="U108" s="910">
        <f t="shared" si="35"/>
        <v>0.32767123287671229</v>
      </c>
      <c r="V108" s="912"/>
      <c r="W108" s="910">
        <f>SUM(S108:U108)</f>
        <v>37.252054794520554</v>
      </c>
    </row>
    <row r="109" spans="1:23" s="689" customFormat="1" ht="9" customHeight="1">
      <c r="A109" s="939">
        <v>2018</v>
      </c>
      <c r="B109" s="935">
        <f>(K72*($E72/365))+(K73*($E73/365))</f>
        <v>100</v>
      </c>
      <c r="C109" s="935">
        <f>(L72*($E72/365))+(L73*($E73/365))</f>
        <v>0</v>
      </c>
      <c r="D109" s="935">
        <f>(M72*($E72/365))+(M73*($E73/365))</f>
        <v>0</v>
      </c>
      <c r="E109" s="931">
        <f t="shared" si="32"/>
        <v>100</v>
      </c>
      <c r="G109" s="689">
        <v>2018</v>
      </c>
      <c r="H109" s="989">
        <f>(O72/$R72*100*($E72/365))+(O73/$R73*100*($E73/365))</f>
        <v>100</v>
      </c>
      <c r="I109" s="989"/>
      <c r="J109" s="989">
        <f>(P72/$R72*100*($E72/365))+(P73/$R73*100*($E73/365))</f>
        <v>0</v>
      </c>
      <c r="K109" s="989"/>
      <c r="L109" s="989">
        <f>(Q72/$R72*100*($E72/365))+(Q73/$R73*100*($E73/365))</f>
        <v>0</v>
      </c>
      <c r="M109" s="989"/>
      <c r="N109" s="990">
        <f t="shared" si="33"/>
        <v>100</v>
      </c>
      <c r="O109" s="990"/>
      <c r="R109" s="939">
        <v>2018</v>
      </c>
      <c r="S109" s="935">
        <f>(O72*($E72/365))+(O73*($E73/365))</f>
        <v>50.9</v>
      </c>
      <c r="T109" s="935">
        <f>(P72*($E72/365))+(P73*($E73/365))</f>
        <v>0</v>
      </c>
      <c r="U109" s="935">
        <f>(Q72*($E72/365))+(Q73*($E73/365))</f>
        <v>0</v>
      </c>
      <c r="V109" s="939"/>
      <c r="W109" s="935">
        <f>SUM(S109:U109)</f>
        <v>50.9</v>
      </c>
    </row>
    <row r="110" spans="1:23" s="689" customFormat="1" ht="9" customHeight="1">
      <c r="R110" s="939"/>
    </row>
    <row r="111" spans="1:23" s="689" customFormat="1" ht="9" customHeight="1">
      <c r="B111" s="688"/>
      <c r="C111" s="688"/>
      <c r="D111" s="688"/>
      <c r="E111" s="684"/>
      <c r="H111" s="989"/>
      <c r="I111" s="989"/>
      <c r="J111" s="989"/>
      <c r="K111" s="989"/>
      <c r="L111" s="989"/>
      <c r="M111" s="989"/>
      <c r="N111" s="990"/>
      <c r="O111" s="990"/>
      <c r="R111" s="939"/>
      <c r="S111" s="935"/>
      <c r="T111" s="935"/>
      <c r="U111" s="935"/>
      <c r="V111" s="939"/>
      <c r="W111" s="935"/>
    </row>
  </sheetData>
  <mergeCells count="214">
    <mergeCell ref="H109:I109"/>
    <mergeCell ref="J109:K109"/>
    <mergeCell ref="L109:M109"/>
    <mergeCell ref="N109:O109"/>
    <mergeCell ref="H111:I111"/>
    <mergeCell ref="J111:K111"/>
    <mergeCell ref="L111:M111"/>
    <mergeCell ref="N111:O111"/>
    <mergeCell ref="H107:I107"/>
    <mergeCell ref="J107:K107"/>
    <mergeCell ref="L107:M107"/>
    <mergeCell ref="N107:O107"/>
    <mergeCell ref="H106:I106"/>
    <mergeCell ref="J106:K106"/>
    <mergeCell ref="L106:M106"/>
    <mergeCell ref="N106:O106"/>
    <mergeCell ref="AT4:AW4"/>
    <mergeCell ref="H95:I95"/>
    <mergeCell ref="H96:I96"/>
    <mergeCell ref="H97:I97"/>
    <mergeCell ref="L100:M100"/>
    <mergeCell ref="H99:I99"/>
    <mergeCell ref="L97:M97"/>
    <mergeCell ref="L98:M98"/>
    <mergeCell ref="L99:M99"/>
    <mergeCell ref="J85:K85"/>
    <mergeCell ref="J86:K86"/>
    <mergeCell ref="J89:K89"/>
    <mergeCell ref="J90:K90"/>
    <mergeCell ref="J95:K95"/>
    <mergeCell ref="J96:K96"/>
    <mergeCell ref="H85:I85"/>
    <mergeCell ref="H100:I100"/>
    <mergeCell ref="H98:I98"/>
    <mergeCell ref="H87:I87"/>
    <mergeCell ref="J97:K97"/>
    <mergeCell ref="AX4:BA4"/>
    <mergeCell ref="L85:M85"/>
    <mergeCell ref="L86:M86"/>
    <mergeCell ref="L89:M89"/>
    <mergeCell ref="L90:M90"/>
    <mergeCell ref="AH4:AK4"/>
    <mergeCell ref="AL4:AO4"/>
    <mergeCell ref="AP4:AS4"/>
    <mergeCell ref="L82:M82"/>
    <mergeCell ref="Z4:AC4"/>
    <mergeCell ref="AD4:AG4"/>
    <mergeCell ref="N87:O87"/>
    <mergeCell ref="L88:M88"/>
    <mergeCell ref="N88:O88"/>
    <mergeCell ref="N86:O86"/>
    <mergeCell ref="G3:M3"/>
    <mergeCell ref="O3:Q3"/>
    <mergeCell ref="V4:Y4"/>
    <mergeCell ref="H81:I81"/>
    <mergeCell ref="T4:T5"/>
    <mergeCell ref="U4:U5"/>
    <mergeCell ref="N85:O85"/>
    <mergeCell ref="N81:O81"/>
    <mergeCell ref="N82:O82"/>
    <mergeCell ref="J81:K81"/>
    <mergeCell ref="L81:M81"/>
    <mergeCell ref="H84:I84"/>
    <mergeCell ref="R78:W78"/>
    <mergeCell ref="H80:I80"/>
    <mergeCell ref="J80:K80"/>
    <mergeCell ref="L80:M80"/>
    <mergeCell ref="N80:O80"/>
    <mergeCell ref="H82:I82"/>
    <mergeCell ref="J82:K82"/>
    <mergeCell ref="A4:A5"/>
    <mergeCell ref="B4:B5"/>
    <mergeCell ref="C4:D5"/>
    <mergeCell ref="E4:E5"/>
    <mergeCell ref="F4:F5"/>
    <mergeCell ref="C6:D6"/>
    <mergeCell ref="C8:D8"/>
    <mergeCell ref="C9:D9"/>
    <mergeCell ref="S4:S5"/>
    <mergeCell ref="K4:N4"/>
    <mergeCell ref="O4:R4"/>
    <mergeCell ref="C7:D7"/>
    <mergeCell ref="G4:J4"/>
    <mergeCell ref="C10:D10"/>
    <mergeCell ref="C11:D11"/>
    <mergeCell ref="C12:D12"/>
    <mergeCell ref="C13:D13"/>
    <mergeCell ref="C14:D14"/>
    <mergeCell ref="C15:D15"/>
    <mergeCell ref="C16:D16"/>
    <mergeCell ref="C17:D17"/>
    <mergeCell ref="C18:D18"/>
    <mergeCell ref="C19:D19"/>
    <mergeCell ref="C20:D20"/>
    <mergeCell ref="C21:D21"/>
    <mergeCell ref="C23:D23"/>
    <mergeCell ref="C24:D24"/>
    <mergeCell ref="C25:D25"/>
    <mergeCell ref="C26:D26"/>
    <mergeCell ref="C27:D27"/>
    <mergeCell ref="C28:D28"/>
    <mergeCell ref="C22:D22"/>
    <mergeCell ref="C29:D29"/>
    <mergeCell ref="C30:D30"/>
    <mergeCell ref="C31:D31"/>
    <mergeCell ref="C32:D32"/>
    <mergeCell ref="C33:D33"/>
    <mergeCell ref="C34:D34"/>
    <mergeCell ref="C35:D35"/>
    <mergeCell ref="C36:D36"/>
    <mergeCell ref="C37:D3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J100:K100"/>
    <mergeCell ref="H88:I88"/>
    <mergeCell ref="J88:K88"/>
    <mergeCell ref="N94:O94"/>
    <mergeCell ref="J98:K98"/>
    <mergeCell ref="J99:K99"/>
    <mergeCell ref="L95:M95"/>
    <mergeCell ref="J93:K93"/>
    <mergeCell ref="L93:M93"/>
    <mergeCell ref="N98:O98"/>
    <mergeCell ref="N95:O95"/>
    <mergeCell ref="J94:K94"/>
    <mergeCell ref="L94:M94"/>
    <mergeCell ref="N93:O93"/>
    <mergeCell ref="N103:O103"/>
    <mergeCell ref="C55:D55"/>
    <mergeCell ref="C56:D56"/>
    <mergeCell ref="N102:O102"/>
    <mergeCell ref="H102:I102"/>
    <mergeCell ref="C57:D57"/>
    <mergeCell ref="C58:D58"/>
    <mergeCell ref="C59:D59"/>
    <mergeCell ref="N83:O83"/>
    <mergeCell ref="N84:O84"/>
    <mergeCell ref="C60:D60"/>
    <mergeCell ref="H83:I83"/>
    <mergeCell ref="J83:K83"/>
    <mergeCell ref="L83:M83"/>
    <mergeCell ref="C61:D61"/>
    <mergeCell ref="J84:K84"/>
    <mergeCell ref="L84:M84"/>
    <mergeCell ref="C65:D65"/>
    <mergeCell ref="C66:D66"/>
    <mergeCell ref="C67:D67"/>
    <mergeCell ref="C68:D68"/>
    <mergeCell ref="C69:D69"/>
    <mergeCell ref="C70:D70"/>
    <mergeCell ref="C71:D71"/>
    <mergeCell ref="C62:D62"/>
    <mergeCell ref="C63:D63"/>
    <mergeCell ref="C64:D64"/>
    <mergeCell ref="N104:O104"/>
    <mergeCell ref="H104:I104"/>
    <mergeCell ref="H105:I105"/>
    <mergeCell ref="J104:K104"/>
    <mergeCell ref="L104:M104"/>
    <mergeCell ref="H103:I103"/>
    <mergeCell ref="J103:K103"/>
    <mergeCell ref="L103:M103"/>
    <mergeCell ref="H101:I101"/>
    <mergeCell ref="J101:K101"/>
    <mergeCell ref="L101:M101"/>
    <mergeCell ref="H93:I93"/>
    <mergeCell ref="J87:K87"/>
    <mergeCell ref="L87:M87"/>
    <mergeCell ref="N96:O96"/>
    <mergeCell ref="N101:O101"/>
    <mergeCell ref="N97:O97"/>
    <mergeCell ref="H94:I94"/>
    <mergeCell ref="H86:I86"/>
    <mergeCell ref="L102:M102"/>
    <mergeCell ref="J102:K102"/>
    <mergeCell ref="C72:D72"/>
    <mergeCell ref="C73:D73"/>
    <mergeCell ref="H108:I108"/>
    <mergeCell ref="J108:K108"/>
    <mergeCell ref="L108:M108"/>
    <mergeCell ref="N108:O108"/>
    <mergeCell ref="J105:K105"/>
    <mergeCell ref="L105:M105"/>
    <mergeCell ref="N105:O105"/>
    <mergeCell ref="L96:M96"/>
    <mergeCell ref="N89:O89"/>
    <mergeCell ref="N90:O90"/>
    <mergeCell ref="H91:I91"/>
    <mergeCell ref="J91:K91"/>
    <mergeCell ref="L91:M91"/>
    <mergeCell ref="H92:I92"/>
    <mergeCell ref="J92:K92"/>
    <mergeCell ref="L92:M92"/>
    <mergeCell ref="H89:I89"/>
    <mergeCell ref="H90:I90"/>
    <mergeCell ref="N99:O99"/>
    <mergeCell ref="N100:O100"/>
    <mergeCell ref="N91:O91"/>
    <mergeCell ref="N92:O92"/>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84:N85"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A197"/>
  <sheetViews>
    <sheetView zoomScale="150" zoomScaleNormal="120" workbookViewId="0">
      <pane xSplit="1" ySplit="5" topLeftCell="B109" activePane="bottomRight" state="frozen"/>
      <selection pane="topRight" activeCell="B1" sqref="B1"/>
      <selection pane="bottomLeft" activeCell="A6" sqref="A6"/>
      <selection pane="bottomRight" activeCell="W194" sqref="W194"/>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50</v>
      </c>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78" t="s">
        <v>230</v>
      </c>
      <c r="D6" s="978"/>
      <c r="E6" s="257">
        <v>0</v>
      </c>
      <c r="G6" s="265">
        <v>21</v>
      </c>
      <c r="J6" s="272">
        <v>21</v>
      </c>
      <c r="K6" s="248">
        <f>G6/J6*100</f>
        <v>100</v>
      </c>
      <c r="L6" s="248">
        <f>H6/J6*100</f>
        <v>0</v>
      </c>
      <c r="M6" s="248">
        <f>I6/J6*100</f>
        <v>0</v>
      </c>
      <c r="N6" s="267">
        <f>SUM(K6:M6)</f>
        <v>100</v>
      </c>
      <c r="O6" s="247">
        <v>78.5</v>
      </c>
      <c r="P6" s="248"/>
      <c r="Q6" s="248"/>
      <c r="R6" s="249">
        <f>SUM(O6:Q6)</f>
        <v>78.5</v>
      </c>
      <c r="S6" s="254">
        <v>1</v>
      </c>
      <c r="T6" s="251"/>
      <c r="U6" s="252"/>
      <c r="V6" s="256" t="s">
        <v>101</v>
      </c>
      <c r="W6" s="257" t="s">
        <v>74</v>
      </c>
      <c r="X6" s="257" t="s">
        <v>11</v>
      </c>
      <c r="Y6" s="258">
        <v>78.5</v>
      </c>
      <c r="AD6" s="256"/>
      <c r="AG6" s="258"/>
      <c r="AL6" s="256"/>
      <c r="AO6" s="258"/>
      <c r="AP6" s="256"/>
      <c r="AS6" s="258"/>
      <c r="AW6" s="258"/>
      <c r="BA6" s="259"/>
    </row>
    <row r="7" spans="1:53" s="257" customFormat="1">
      <c r="A7" s="263">
        <v>1959</v>
      </c>
      <c r="B7" s="252"/>
      <c r="C7" s="978" t="s">
        <v>230</v>
      </c>
      <c r="D7" s="978"/>
      <c r="E7" s="257">
        <v>365</v>
      </c>
      <c r="G7" s="265">
        <v>21</v>
      </c>
      <c r="J7" s="272">
        <v>21</v>
      </c>
      <c r="K7" s="248">
        <f>G7/J7*100</f>
        <v>100</v>
      </c>
      <c r="L7" s="248">
        <f>H7/J7*100</f>
        <v>0</v>
      </c>
      <c r="M7" s="248">
        <f>I7/J7*100</f>
        <v>0</v>
      </c>
      <c r="N7" s="267">
        <f>SUM(K7:M7)</f>
        <v>100</v>
      </c>
      <c r="O7" s="247">
        <v>78.5</v>
      </c>
      <c r="P7" s="248"/>
      <c r="Q7" s="248"/>
      <c r="R7" s="249">
        <f>SUM(O7:Q7)</f>
        <v>78.5</v>
      </c>
      <c r="S7" s="254">
        <v>1</v>
      </c>
      <c r="T7" s="251"/>
      <c r="U7" s="252"/>
      <c r="V7" s="256" t="s">
        <v>101</v>
      </c>
      <c r="W7" s="257" t="s">
        <v>74</v>
      </c>
      <c r="X7" s="257" t="s">
        <v>11</v>
      </c>
      <c r="Y7" s="258">
        <v>78.5</v>
      </c>
      <c r="AD7" s="256"/>
      <c r="AG7" s="258"/>
      <c r="AL7" s="256"/>
      <c r="AO7" s="258"/>
      <c r="AP7" s="256"/>
      <c r="AS7" s="258"/>
      <c r="AW7" s="258"/>
      <c r="BA7" s="259"/>
    </row>
    <row r="8" spans="1:53" s="73" customFormat="1">
      <c r="A8" s="102">
        <v>1960</v>
      </c>
      <c r="B8" s="85"/>
      <c r="C8" s="966" t="s">
        <v>230</v>
      </c>
      <c r="D8" s="966"/>
      <c r="E8" s="73">
        <v>0</v>
      </c>
      <c r="G8" s="123">
        <v>21</v>
      </c>
      <c r="J8" s="134">
        <v>21</v>
      </c>
      <c r="K8" s="92">
        <f>G8/J8*100</f>
        <v>100</v>
      </c>
      <c r="L8" s="92">
        <f>H8/J8*100</f>
        <v>0</v>
      </c>
      <c r="M8" s="92">
        <f>I8/J8*100</f>
        <v>0</v>
      </c>
      <c r="N8" s="125">
        <f>SUM(K8:M8)</f>
        <v>100</v>
      </c>
      <c r="O8" s="91">
        <v>78.5</v>
      </c>
      <c r="P8" s="92"/>
      <c r="Q8" s="92"/>
      <c r="R8" s="93">
        <f>SUM(O8:Q8)</f>
        <v>78.5</v>
      </c>
      <c r="S8" s="97">
        <v>1</v>
      </c>
      <c r="T8" s="95"/>
      <c r="U8" s="85"/>
      <c r="V8" s="82" t="s">
        <v>101</v>
      </c>
      <c r="W8" s="73" t="s">
        <v>74</v>
      </c>
      <c r="X8" s="73" t="s">
        <v>11</v>
      </c>
      <c r="Y8" s="83">
        <v>78.5</v>
      </c>
      <c r="AD8" s="82"/>
      <c r="AG8" s="83"/>
      <c r="AL8" s="82"/>
      <c r="AO8" s="83"/>
      <c r="AP8" s="82"/>
      <c r="AS8" s="83"/>
      <c r="AW8" s="83"/>
      <c r="BA8" s="84"/>
    </row>
    <row r="9" spans="1:53" s="73" customFormat="1">
      <c r="A9" s="102">
        <v>1960</v>
      </c>
      <c r="B9" s="85"/>
      <c r="C9" s="966" t="s">
        <v>230</v>
      </c>
      <c r="D9" s="966"/>
      <c r="E9" s="73">
        <v>366</v>
      </c>
      <c r="G9" s="123">
        <v>21</v>
      </c>
      <c r="J9" s="134">
        <v>21</v>
      </c>
      <c r="K9" s="92">
        <f t="shared" ref="K9:K14" si="0">G9/J9*100</f>
        <v>100</v>
      </c>
      <c r="L9" s="92">
        <f t="shared" ref="L9:L14" si="1">H9/J9*100</f>
        <v>0</v>
      </c>
      <c r="M9" s="92">
        <f t="shared" ref="M9:M14" si="2">I9/J9*100</f>
        <v>0</v>
      </c>
      <c r="N9" s="125">
        <f t="shared" ref="N9:N72" si="3">SUM(K9:M9)</f>
        <v>100</v>
      </c>
      <c r="O9" s="91">
        <v>78.5</v>
      </c>
      <c r="P9" s="92"/>
      <c r="Q9" s="92"/>
      <c r="R9" s="93">
        <f t="shared" ref="R9:R72" si="4">SUM(O9:Q9)</f>
        <v>78.5</v>
      </c>
      <c r="S9" s="97">
        <v>1</v>
      </c>
      <c r="T9" s="95"/>
      <c r="U9" s="85"/>
      <c r="V9" s="82" t="s">
        <v>101</v>
      </c>
      <c r="W9" s="73" t="s">
        <v>74</v>
      </c>
      <c r="X9" s="73" t="s">
        <v>11</v>
      </c>
      <c r="Y9" s="83">
        <v>78.5</v>
      </c>
      <c r="AD9" s="82"/>
      <c r="AG9" s="83"/>
      <c r="AL9" s="82"/>
      <c r="AO9" s="83"/>
      <c r="AP9" s="82"/>
      <c r="AS9" s="83"/>
      <c r="AW9" s="83"/>
      <c r="BA9" s="84"/>
    </row>
    <row r="10" spans="1:53" s="73" customFormat="1">
      <c r="A10" s="102">
        <v>1961</v>
      </c>
      <c r="B10" s="85"/>
      <c r="C10" s="966" t="s">
        <v>230</v>
      </c>
      <c r="D10" s="966"/>
      <c r="E10" s="73">
        <v>0</v>
      </c>
      <c r="G10" s="123">
        <v>21</v>
      </c>
      <c r="J10" s="134">
        <v>21</v>
      </c>
      <c r="K10" s="92">
        <f t="shared" si="0"/>
        <v>100</v>
      </c>
      <c r="L10" s="92">
        <f t="shared" si="1"/>
        <v>0</v>
      </c>
      <c r="M10" s="92">
        <f t="shared" si="2"/>
        <v>0</v>
      </c>
      <c r="N10" s="125">
        <f t="shared" si="3"/>
        <v>100</v>
      </c>
      <c r="O10" s="91">
        <v>78.5</v>
      </c>
      <c r="P10" s="92"/>
      <c r="Q10" s="92"/>
      <c r="R10" s="93">
        <f t="shared" si="4"/>
        <v>78.5</v>
      </c>
      <c r="S10" s="97">
        <v>1</v>
      </c>
      <c r="T10" s="95"/>
      <c r="U10" s="85"/>
      <c r="V10" s="82" t="s">
        <v>101</v>
      </c>
      <c r="W10" s="73" t="s">
        <v>74</v>
      </c>
      <c r="X10" s="73" t="s">
        <v>11</v>
      </c>
      <c r="Y10" s="83">
        <v>78.5</v>
      </c>
      <c r="AD10" s="82"/>
      <c r="AG10" s="83"/>
      <c r="AL10" s="82"/>
      <c r="AO10" s="83"/>
      <c r="AP10" s="82"/>
      <c r="AS10" s="83"/>
      <c r="AW10" s="83"/>
      <c r="BA10" s="84"/>
    </row>
    <row r="11" spans="1:53" s="73" customFormat="1">
      <c r="A11" s="102">
        <v>1961</v>
      </c>
      <c r="B11" s="85"/>
      <c r="C11" s="966" t="s">
        <v>230</v>
      </c>
      <c r="D11" s="966"/>
      <c r="E11" s="73">
        <f>365-E10</f>
        <v>365</v>
      </c>
      <c r="G11" s="123">
        <v>21</v>
      </c>
      <c r="J11" s="134">
        <v>21</v>
      </c>
      <c r="K11" s="92">
        <f t="shared" si="0"/>
        <v>100</v>
      </c>
      <c r="L11" s="92">
        <f t="shared" si="1"/>
        <v>0</v>
      </c>
      <c r="M11" s="92">
        <f t="shared" si="2"/>
        <v>0</v>
      </c>
      <c r="N11" s="125">
        <f t="shared" si="3"/>
        <v>100</v>
      </c>
      <c r="O11" s="91">
        <v>78.5</v>
      </c>
      <c r="P11" s="92"/>
      <c r="Q11" s="92"/>
      <c r="R11" s="93">
        <f t="shared" si="4"/>
        <v>78.5</v>
      </c>
      <c r="S11" s="97">
        <v>1</v>
      </c>
      <c r="T11" s="95"/>
      <c r="U11" s="85"/>
      <c r="V11" s="82" t="s">
        <v>101</v>
      </c>
      <c r="W11" s="73" t="s">
        <v>74</v>
      </c>
      <c r="X11" s="73" t="s">
        <v>11</v>
      </c>
      <c r="Y11" s="83">
        <v>78.5</v>
      </c>
      <c r="AD11" s="82"/>
      <c r="AG11" s="83"/>
      <c r="AL11" s="82"/>
      <c r="AO11" s="83"/>
      <c r="AP11" s="82"/>
      <c r="AS11" s="83"/>
      <c r="AW11" s="83"/>
      <c r="BA11" s="84"/>
    </row>
    <row r="12" spans="1:53" s="73" customFormat="1">
      <c r="A12" s="102">
        <v>1962</v>
      </c>
      <c r="B12" s="85"/>
      <c r="C12" s="966" t="s">
        <v>230</v>
      </c>
      <c r="D12" s="966"/>
      <c r="E12" s="73">
        <v>220</v>
      </c>
      <c r="G12" s="123">
        <v>21</v>
      </c>
      <c r="J12" s="134">
        <v>21</v>
      </c>
      <c r="K12" s="92">
        <f t="shared" si="0"/>
        <v>100</v>
      </c>
      <c r="L12" s="92">
        <f t="shared" si="1"/>
        <v>0</v>
      </c>
      <c r="M12" s="92">
        <f t="shared" si="2"/>
        <v>0</v>
      </c>
      <c r="N12" s="125">
        <f t="shared" si="3"/>
        <v>100</v>
      </c>
      <c r="O12" s="91">
        <v>78.5</v>
      </c>
      <c r="P12" s="92"/>
      <c r="Q12" s="92"/>
      <c r="R12" s="93">
        <f t="shared" si="4"/>
        <v>78.5</v>
      </c>
      <c r="S12" s="97">
        <v>1</v>
      </c>
      <c r="T12" s="95"/>
      <c r="U12" s="85"/>
      <c r="V12" s="82" t="s">
        <v>101</v>
      </c>
      <c r="W12" s="73" t="s">
        <v>74</v>
      </c>
      <c r="X12" s="73" t="s">
        <v>11</v>
      </c>
      <c r="Y12" s="83">
        <v>78.5</v>
      </c>
      <c r="AD12" s="82"/>
      <c r="AG12" s="83"/>
      <c r="AL12" s="82"/>
      <c r="AO12" s="83"/>
      <c r="AP12" s="82"/>
      <c r="AS12" s="83"/>
      <c r="AW12" s="83"/>
      <c r="BA12" s="84"/>
    </row>
    <row r="13" spans="1:53" s="334" customFormat="1">
      <c r="A13" s="386">
        <v>1962</v>
      </c>
      <c r="B13" s="355">
        <v>22867</v>
      </c>
      <c r="C13" s="965" t="s">
        <v>229</v>
      </c>
      <c r="D13" s="965"/>
      <c r="E13" s="334">
        <f>365-E12</f>
        <v>145</v>
      </c>
      <c r="F13" s="334">
        <v>1</v>
      </c>
      <c r="G13" s="419">
        <v>20</v>
      </c>
      <c r="J13" s="435">
        <v>20</v>
      </c>
      <c r="K13" s="384">
        <f t="shared" si="0"/>
        <v>100</v>
      </c>
      <c r="L13" s="384">
        <f t="shared" si="1"/>
        <v>0</v>
      </c>
      <c r="M13" s="384">
        <f t="shared" si="2"/>
        <v>0</v>
      </c>
      <c r="N13" s="421">
        <f t="shared" si="3"/>
        <v>100</v>
      </c>
      <c r="O13" s="383">
        <v>43.8</v>
      </c>
      <c r="P13" s="384"/>
      <c r="Q13" s="384"/>
      <c r="R13" s="385">
        <f t="shared" si="4"/>
        <v>43.8</v>
      </c>
      <c r="S13" s="388">
        <v>4</v>
      </c>
      <c r="T13" s="342">
        <v>22815</v>
      </c>
      <c r="U13" s="355">
        <v>22867</v>
      </c>
      <c r="V13" s="343" t="s">
        <v>101</v>
      </c>
      <c r="W13" s="334" t="s">
        <v>74</v>
      </c>
      <c r="X13" s="334" t="s">
        <v>11</v>
      </c>
      <c r="Y13" s="344">
        <v>43.8</v>
      </c>
      <c r="AD13" s="343"/>
      <c r="AG13" s="344"/>
      <c r="AL13" s="343"/>
      <c r="AO13" s="344"/>
      <c r="AP13" s="343"/>
      <c r="AS13" s="344"/>
      <c r="AW13" s="344"/>
      <c r="BA13" s="345"/>
    </row>
    <row r="14" spans="1:53" s="334" customFormat="1">
      <c r="A14" s="386">
        <v>1962.6</v>
      </c>
      <c r="B14" s="355"/>
      <c r="C14" s="965" t="s">
        <v>229</v>
      </c>
      <c r="D14" s="965"/>
      <c r="E14" s="334">
        <v>111</v>
      </c>
      <c r="G14" s="419">
        <v>20</v>
      </c>
      <c r="J14" s="435">
        <v>20</v>
      </c>
      <c r="K14" s="384">
        <f t="shared" si="0"/>
        <v>100</v>
      </c>
      <c r="L14" s="384">
        <f t="shared" si="1"/>
        <v>0</v>
      </c>
      <c r="M14" s="384">
        <f t="shared" si="2"/>
        <v>0</v>
      </c>
      <c r="N14" s="421">
        <f t="shared" si="3"/>
        <v>100</v>
      </c>
      <c r="O14" s="383">
        <v>43.8</v>
      </c>
      <c r="P14" s="384"/>
      <c r="Q14" s="384"/>
      <c r="R14" s="385">
        <f t="shared" si="4"/>
        <v>43.8</v>
      </c>
      <c r="S14" s="388">
        <v>4</v>
      </c>
      <c r="T14" s="342"/>
      <c r="U14" s="355"/>
      <c r="V14" s="343" t="s">
        <v>101</v>
      </c>
      <c r="W14" s="334" t="s">
        <v>74</v>
      </c>
      <c r="X14" s="334" t="s">
        <v>11</v>
      </c>
      <c r="Y14" s="344">
        <v>43.8</v>
      </c>
      <c r="AD14" s="343"/>
      <c r="AG14" s="344"/>
      <c r="AL14" s="343"/>
      <c r="AO14" s="344"/>
      <c r="AP14" s="343"/>
      <c r="AS14" s="344"/>
      <c r="AW14" s="344"/>
      <c r="BA14" s="345"/>
    </row>
    <row r="15" spans="1:53" s="73" customFormat="1">
      <c r="A15" s="102">
        <v>1963.05714285714</v>
      </c>
      <c r="B15" s="85">
        <v>23123</v>
      </c>
      <c r="C15" s="966" t="s">
        <v>231</v>
      </c>
      <c r="D15" s="966"/>
      <c r="E15" s="73">
        <v>254</v>
      </c>
      <c r="F15" s="73">
        <v>5</v>
      </c>
      <c r="G15" s="123"/>
      <c r="H15" s="73">
        <v>24</v>
      </c>
      <c r="J15" s="134">
        <v>24</v>
      </c>
      <c r="K15" s="92">
        <f>G15/J15*100</f>
        <v>0</v>
      </c>
      <c r="L15" s="92">
        <f>H15/J15*100</f>
        <v>100</v>
      </c>
      <c r="M15" s="92">
        <f>I15/J15*100</f>
        <v>0</v>
      </c>
      <c r="N15" s="125">
        <f t="shared" si="3"/>
        <v>100</v>
      </c>
      <c r="O15" s="91"/>
      <c r="P15" s="92">
        <v>48.7</v>
      </c>
      <c r="Q15" s="92"/>
      <c r="R15" s="93">
        <f t="shared" si="4"/>
        <v>48.7</v>
      </c>
      <c r="S15" s="97">
        <v>4</v>
      </c>
      <c r="T15" s="95">
        <v>23109</v>
      </c>
      <c r="U15" s="85">
        <v>23123</v>
      </c>
      <c r="V15" s="82" t="s">
        <v>72</v>
      </c>
      <c r="W15" s="73" t="s">
        <v>22</v>
      </c>
      <c r="X15" s="73" t="s">
        <v>18</v>
      </c>
      <c r="Y15" s="83">
        <v>48.7</v>
      </c>
      <c r="AD15" s="82"/>
      <c r="AG15" s="83"/>
      <c r="AL15" s="82"/>
      <c r="AO15" s="83"/>
      <c r="AP15" s="82"/>
      <c r="AS15" s="83"/>
      <c r="AW15" s="83"/>
      <c r="BA15" s="84"/>
    </row>
    <row r="16" spans="1:53" s="73" customFormat="1">
      <c r="A16" s="102">
        <v>1963.5142857142901</v>
      </c>
      <c r="B16" s="85"/>
      <c r="C16" s="966" t="s">
        <v>231</v>
      </c>
      <c r="D16" s="966"/>
      <c r="E16" s="73">
        <v>0</v>
      </c>
      <c r="G16" s="123"/>
      <c r="H16" s="73">
        <v>24</v>
      </c>
      <c r="J16" s="134">
        <v>24</v>
      </c>
      <c r="K16" s="92">
        <f t="shared" ref="K16:K21" si="5">G16/J16*100</f>
        <v>0</v>
      </c>
      <c r="L16" s="92">
        <f t="shared" ref="L16:L21" si="6">H16/J16*100</f>
        <v>100</v>
      </c>
      <c r="M16" s="92">
        <f t="shared" ref="M16:M21" si="7">I16/J16*100</f>
        <v>0</v>
      </c>
      <c r="N16" s="125">
        <f t="shared" si="3"/>
        <v>100</v>
      </c>
      <c r="O16" s="91"/>
      <c r="P16" s="92">
        <v>48.7</v>
      </c>
      <c r="Q16" s="92"/>
      <c r="R16" s="93">
        <f t="shared" si="4"/>
        <v>48.7</v>
      </c>
      <c r="S16" s="97">
        <v>4</v>
      </c>
      <c r="T16" s="95"/>
      <c r="U16" s="85"/>
      <c r="V16" s="82" t="s">
        <v>72</v>
      </c>
      <c r="W16" s="73" t="s">
        <v>22</v>
      </c>
      <c r="X16" s="73" t="s">
        <v>18</v>
      </c>
      <c r="Y16" s="83">
        <v>48.7</v>
      </c>
      <c r="AD16" s="82"/>
      <c r="AG16" s="83"/>
      <c r="AL16" s="82"/>
      <c r="AO16" s="83"/>
      <c r="AP16" s="82"/>
      <c r="AS16" s="83"/>
      <c r="AW16" s="83"/>
      <c r="BA16" s="84"/>
    </row>
    <row r="17" spans="1:53" s="73" customFormat="1">
      <c r="A17" s="102">
        <v>1963.9714285714299</v>
      </c>
      <c r="B17" s="85"/>
      <c r="C17" s="966" t="s">
        <v>231</v>
      </c>
      <c r="D17" s="966"/>
      <c r="E17" s="73">
        <v>366</v>
      </c>
      <c r="G17" s="123"/>
      <c r="H17" s="73">
        <v>24</v>
      </c>
      <c r="J17" s="134">
        <v>24</v>
      </c>
      <c r="K17" s="92">
        <f t="shared" si="5"/>
        <v>0</v>
      </c>
      <c r="L17" s="92">
        <f t="shared" si="6"/>
        <v>100</v>
      </c>
      <c r="M17" s="92">
        <f t="shared" si="7"/>
        <v>0</v>
      </c>
      <c r="N17" s="125">
        <f t="shared" si="3"/>
        <v>100</v>
      </c>
      <c r="O17" s="91"/>
      <c r="P17" s="92">
        <v>48.7</v>
      </c>
      <c r="Q17" s="92"/>
      <c r="R17" s="93">
        <f t="shared" si="4"/>
        <v>48.7</v>
      </c>
      <c r="S17" s="97">
        <v>4</v>
      </c>
      <c r="T17" s="95"/>
      <c r="U17" s="85"/>
      <c r="V17" s="82" t="s">
        <v>72</v>
      </c>
      <c r="W17" s="73" t="s">
        <v>22</v>
      </c>
      <c r="X17" s="73" t="s">
        <v>18</v>
      </c>
      <c r="Y17" s="83">
        <v>48.7</v>
      </c>
      <c r="AD17" s="82"/>
      <c r="AG17" s="83"/>
      <c r="AL17" s="82"/>
      <c r="AO17" s="83"/>
      <c r="AP17" s="82"/>
      <c r="AS17" s="83"/>
      <c r="AW17" s="83"/>
      <c r="BA17" s="84"/>
    </row>
    <row r="18" spans="1:53" s="73" customFormat="1">
      <c r="A18" s="102">
        <v>1965</v>
      </c>
      <c r="B18" s="85"/>
      <c r="C18" s="966" t="s">
        <v>231</v>
      </c>
      <c r="D18" s="966"/>
      <c r="E18" s="73">
        <v>351</v>
      </c>
      <c r="G18" s="123"/>
      <c r="H18" s="73">
        <v>24</v>
      </c>
      <c r="J18" s="134">
        <v>24</v>
      </c>
      <c r="K18" s="92">
        <f t="shared" si="5"/>
        <v>0</v>
      </c>
      <c r="L18" s="92">
        <f t="shared" si="6"/>
        <v>100</v>
      </c>
      <c r="M18" s="92">
        <f t="shared" si="7"/>
        <v>0</v>
      </c>
      <c r="N18" s="125">
        <f t="shared" si="3"/>
        <v>100</v>
      </c>
      <c r="O18" s="91"/>
      <c r="P18" s="92">
        <v>48.7</v>
      </c>
      <c r="Q18" s="92"/>
      <c r="R18" s="93">
        <f t="shared" si="4"/>
        <v>48.7</v>
      </c>
      <c r="S18" s="97">
        <v>4</v>
      </c>
      <c r="T18" s="95"/>
      <c r="U18" s="85"/>
      <c r="V18" s="82" t="s">
        <v>72</v>
      </c>
      <c r="W18" s="73" t="s">
        <v>22</v>
      </c>
      <c r="X18" s="73" t="s">
        <v>18</v>
      </c>
      <c r="Y18" s="83">
        <v>48.7</v>
      </c>
      <c r="AD18" s="82"/>
      <c r="AG18" s="83"/>
      <c r="AL18" s="82"/>
      <c r="AO18" s="83"/>
      <c r="AP18" s="82"/>
      <c r="AS18" s="83"/>
      <c r="AW18" s="83"/>
      <c r="BA18" s="84"/>
    </row>
    <row r="19" spans="1:53" s="334" customFormat="1">
      <c r="A19" s="386">
        <v>1964.88571428572</v>
      </c>
      <c r="B19" s="355">
        <v>24094</v>
      </c>
      <c r="C19" s="965" t="s">
        <v>232</v>
      </c>
      <c r="D19" s="965"/>
      <c r="E19" s="334">
        <v>14</v>
      </c>
      <c r="F19" s="334">
        <v>1</v>
      </c>
      <c r="G19" s="419"/>
      <c r="H19" s="334">
        <v>23</v>
      </c>
      <c r="J19" s="435">
        <v>23</v>
      </c>
      <c r="K19" s="384">
        <f t="shared" si="5"/>
        <v>0</v>
      </c>
      <c r="L19" s="384">
        <f t="shared" si="6"/>
        <v>100</v>
      </c>
      <c r="M19" s="384">
        <f t="shared" si="7"/>
        <v>0</v>
      </c>
      <c r="N19" s="421">
        <f t="shared" si="3"/>
        <v>100</v>
      </c>
      <c r="O19" s="383"/>
      <c r="P19" s="384">
        <v>49.4</v>
      </c>
      <c r="Q19" s="384"/>
      <c r="R19" s="385">
        <f t="shared" si="4"/>
        <v>49.4</v>
      </c>
      <c r="S19" s="388">
        <v>4</v>
      </c>
      <c r="T19" s="342">
        <v>24054</v>
      </c>
      <c r="U19" s="355">
        <v>24094</v>
      </c>
      <c r="V19" s="343" t="s">
        <v>72</v>
      </c>
      <c r="W19" s="334" t="s">
        <v>22</v>
      </c>
      <c r="X19" s="334" t="s">
        <v>18</v>
      </c>
      <c r="Y19" s="344">
        <v>49.4</v>
      </c>
      <c r="AD19" s="343"/>
      <c r="AG19" s="344"/>
      <c r="AL19" s="343"/>
      <c r="AO19" s="344"/>
      <c r="AP19" s="343"/>
      <c r="AS19" s="344"/>
      <c r="AW19" s="344"/>
      <c r="BA19" s="345"/>
    </row>
    <row r="20" spans="1:53" s="334" customFormat="1">
      <c r="A20" s="386">
        <v>1966</v>
      </c>
      <c r="B20" s="355"/>
      <c r="C20" s="965" t="s">
        <v>232</v>
      </c>
      <c r="D20" s="965"/>
      <c r="E20" s="334">
        <v>0</v>
      </c>
      <c r="G20" s="419"/>
      <c r="H20" s="334">
        <v>23</v>
      </c>
      <c r="J20" s="435">
        <v>23</v>
      </c>
      <c r="K20" s="384">
        <f t="shared" si="5"/>
        <v>0</v>
      </c>
      <c r="L20" s="384">
        <f t="shared" si="6"/>
        <v>100</v>
      </c>
      <c r="M20" s="384">
        <f t="shared" si="7"/>
        <v>0</v>
      </c>
      <c r="N20" s="421">
        <f t="shared" si="3"/>
        <v>100</v>
      </c>
      <c r="O20" s="383"/>
      <c r="P20" s="384">
        <v>49.4</v>
      </c>
      <c r="Q20" s="384"/>
      <c r="R20" s="385">
        <f t="shared" si="4"/>
        <v>49.4</v>
      </c>
      <c r="S20" s="388">
        <v>4</v>
      </c>
      <c r="T20" s="342"/>
      <c r="U20" s="355"/>
      <c r="V20" s="343" t="s">
        <v>72</v>
      </c>
      <c r="W20" s="334" t="s">
        <v>22</v>
      </c>
      <c r="X20" s="334" t="s">
        <v>18</v>
      </c>
      <c r="Y20" s="344">
        <v>49.4</v>
      </c>
      <c r="AD20" s="343"/>
      <c r="AG20" s="344"/>
      <c r="AL20" s="343"/>
      <c r="AO20" s="344"/>
      <c r="AP20" s="343"/>
      <c r="AS20" s="344"/>
      <c r="AW20" s="344"/>
      <c r="BA20" s="345"/>
    </row>
    <row r="21" spans="1:53" s="334" customFormat="1">
      <c r="A21" s="386">
        <v>1965.8</v>
      </c>
      <c r="B21" s="355"/>
      <c r="C21" s="965" t="s">
        <v>232</v>
      </c>
      <c r="D21" s="965"/>
      <c r="E21" s="334">
        <v>365</v>
      </c>
      <c r="G21" s="419"/>
      <c r="H21" s="334">
        <v>23</v>
      </c>
      <c r="J21" s="435">
        <v>23</v>
      </c>
      <c r="K21" s="384">
        <f t="shared" si="5"/>
        <v>0</v>
      </c>
      <c r="L21" s="384">
        <f t="shared" si="6"/>
        <v>100</v>
      </c>
      <c r="M21" s="384">
        <f t="shared" si="7"/>
        <v>0</v>
      </c>
      <c r="N21" s="421">
        <f t="shared" si="3"/>
        <v>100</v>
      </c>
      <c r="O21" s="383"/>
      <c r="P21" s="384">
        <v>49.4</v>
      </c>
      <c r="Q21" s="384"/>
      <c r="R21" s="385">
        <f t="shared" si="4"/>
        <v>49.4</v>
      </c>
      <c r="S21" s="388">
        <v>4</v>
      </c>
      <c r="T21" s="342"/>
      <c r="U21" s="355"/>
      <c r="V21" s="343" t="s">
        <v>72</v>
      </c>
      <c r="W21" s="334" t="s">
        <v>22</v>
      </c>
      <c r="X21" s="334" t="s">
        <v>18</v>
      </c>
      <c r="Y21" s="344">
        <v>49.4</v>
      </c>
      <c r="AD21" s="343"/>
      <c r="AG21" s="344"/>
      <c r="AL21" s="343"/>
      <c r="AO21" s="344"/>
      <c r="AP21" s="343"/>
      <c r="AS21" s="344"/>
      <c r="AW21" s="344"/>
      <c r="BA21" s="345"/>
    </row>
    <row r="22" spans="1:53" s="334" customFormat="1">
      <c r="A22" s="386">
        <v>1967</v>
      </c>
      <c r="B22" s="355"/>
      <c r="C22" s="965" t="s">
        <v>232</v>
      </c>
      <c r="D22" s="965"/>
      <c r="E22" s="334">
        <v>0</v>
      </c>
      <c r="G22" s="419"/>
      <c r="H22" s="334">
        <v>23</v>
      </c>
      <c r="J22" s="435">
        <v>23</v>
      </c>
      <c r="K22" s="384">
        <f>G22/J22*100</f>
        <v>0</v>
      </c>
      <c r="L22" s="384">
        <f>H22/J22*100</f>
        <v>100</v>
      </c>
      <c r="M22" s="384">
        <f>I22/J22*100</f>
        <v>0</v>
      </c>
      <c r="N22" s="421">
        <f t="shared" si="3"/>
        <v>100</v>
      </c>
      <c r="O22" s="383"/>
      <c r="P22" s="384">
        <v>49.4</v>
      </c>
      <c r="Q22" s="384"/>
      <c r="R22" s="385">
        <f t="shared" si="4"/>
        <v>49.4</v>
      </c>
      <c r="S22" s="388">
        <v>4</v>
      </c>
      <c r="T22" s="342"/>
      <c r="U22" s="355"/>
      <c r="V22" s="343" t="s">
        <v>72</v>
      </c>
      <c r="W22" s="334" t="s">
        <v>22</v>
      </c>
      <c r="X22" s="334" t="s">
        <v>18</v>
      </c>
      <c r="Y22" s="344">
        <v>49.4</v>
      </c>
      <c r="AD22" s="343"/>
      <c r="AG22" s="344"/>
      <c r="AL22" s="343"/>
      <c r="AO22" s="344"/>
      <c r="AP22" s="343"/>
      <c r="AS22" s="344"/>
      <c r="AW22" s="344"/>
      <c r="BA22" s="345"/>
    </row>
    <row r="23" spans="1:53" s="334" customFormat="1">
      <c r="A23" s="386">
        <v>1966.7142857142901</v>
      </c>
      <c r="B23" s="355"/>
      <c r="C23" s="965" t="s">
        <v>232</v>
      </c>
      <c r="D23" s="965"/>
      <c r="E23" s="334">
        <f>365-E22</f>
        <v>365</v>
      </c>
      <c r="G23" s="419"/>
      <c r="H23" s="334">
        <v>23</v>
      </c>
      <c r="J23" s="435">
        <v>23</v>
      </c>
      <c r="K23" s="384">
        <f t="shared" ref="K23:K29" si="8">G23/J23*100</f>
        <v>0</v>
      </c>
      <c r="L23" s="384">
        <f t="shared" ref="L23:L29" si="9">H23/J23*100</f>
        <v>100</v>
      </c>
      <c r="M23" s="384">
        <f t="shared" ref="M23:M29" si="10">I23/J23*100</f>
        <v>0</v>
      </c>
      <c r="N23" s="421">
        <f t="shared" si="3"/>
        <v>100</v>
      </c>
      <c r="O23" s="383"/>
      <c r="P23" s="384">
        <v>49.4</v>
      </c>
      <c r="Q23" s="384"/>
      <c r="R23" s="385">
        <f t="shared" si="4"/>
        <v>49.4</v>
      </c>
      <c r="S23" s="388">
        <v>4</v>
      </c>
      <c r="T23" s="342"/>
      <c r="U23" s="355"/>
      <c r="V23" s="343" t="s">
        <v>72</v>
      </c>
      <c r="W23" s="334" t="s">
        <v>22</v>
      </c>
      <c r="X23" s="334" t="s">
        <v>18</v>
      </c>
      <c r="Y23" s="344">
        <v>49.4</v>
      </c>
      <c r="AD23" s="343"/>
      <c r="AG23" s="344"/>
      <c r="AL23" s="343"/>
      <c r="AO23" s="344"/>
      <c r="AP23" s="343"/>
      <c r="AS23" s="344"/>
      <c r="AW23" s="344"/>
      <c r="BA23" s="345"/>
    </row>
    <row r="24" spans="1:53" s="334" customFormat="1">
      <c r="A24" s="386">
        <v>1968</v>
      </c>
      <c r="B24" s="355"/>
      <c r="C24" s="965" t="s">
        <v>232</v>
      </c>
      <c r="D24" s="965"/>
      <c r="E24" s="334">
        <v>111</v>
      </c>
      <c r="G24" s="419"/>
      <c r="H24" s="334">
        <v>23</v>
      </c>
      <c r="J24" s="435">
        <v>23</v>
      </c>
      <c r="K24" s="384">
        <f t="shared" si="8"/>
        <v>0</v>
      </c>
      <c r="L24" s="384">
        <f t="shared" si="9"/>
        <v>100</v>
      </c>
      <c r="M24" s="384">
        <f t="shared" si="10"/>
        <v>0</v>
      </c>
      <c r="N24" s="421">
        <f t="shared" si="3"/>
        <v>100</v>
      </c>
      <c r="O24" s="383"/>
      <c r="P24" s="384">
        <v>49.4</v>
      </c>
      <c r="Q24" s="384"/>
      <c r="R24" s="385">
        <f t="shared" si="4"/>
        <v>49.4</v>
      </c>
      <c r="S24" s="388">
        <v>4</v>
      </c>
      <c r="T24" s="342"/>
      <c r="U24" s="355"/>
      <c r="V24" s="343" t="s">
        <v>72</v>
      </c>
      <c r="W24" s="334" t="s">
        <v>22</v>
      </c>
      <c r="X24" s="334" t="s">
        <v>18</v>
      </c>
      <c r="Y24" s="344">
        <v>49.4</v>
      </c>
      <c r="AD24" s="343"/>
      <c r="AG24" s="344"/>
      <c r="AL24" s="343"/>
      <c r="AO24" s="344"/>
      <c r="AP24" s="343"/>
      <c r="AS24" s="344"/>
      <c r="AW24" s="344"/>
      <c r="BA24" s="345"/>
    </row>
    <row r="25" spans="1:53" s="73" customFormat="1">
      <c r="A25" s="102">
        <v>1967.62857142857</v>
      </c>
      <c r="B25" s="85">
        <v>24949</v>
      </c>
      <c r="C25" s="966" t="s">
        <v>233</v>
      </c>
      <c r="D25" s="966"/>
      <c r="E25" s="73">
        <v>77</v>
      </c>
      <c r="F25" s="73">
        <v>2</v>
      </c>
      <c r="G25" s="123"/>
      <c r="H25" s="73">
        <v>25</v>
      </c>
      <c r="J25" s="134">
        <v>25</v>
      </c>
      <c r="K25" s="92">
        <f>G25/J25*100</f>
        <v>0</v>
      </c>
      <c r="L25" s="92">
        <f>H25/J25*100</f>
        <v>100</v>
      </c>
      <c r="M25" s="92">
        <f>I25/J25*100</f>
        <v>0</v>
      </c>
      <c r="N25" s="125">
        <f t="shared" si="3"/>
        <v>100</v>
      </c>
      <c r="O25" s="91"/>
      <c r="P25" s="92">
        <v>49.4</v>
      </c>
      <c r="Q25" s="92"/>
      <c r="R25" s="93">
        <f t="shared" si="4"/>
        <v>49.4</v>
      </c>
      <c r="S25" s="97">
        <v>4</v>
      </c>
      <c r="T25" s="95"/>
      <c r="U25" s="85">
        <v>24949</v>
      </c>
      <c r="V25" s="82" t="s">
        <v>72</v>
      </c>
      <c r="W25" s="73" t="s">
        <v>22</v>
      </c>
      <c r="X25" s="73" t="s">
        <v>18</v>
      </c>
      <c r="Y25" s="83">
        <v>49.4</v>
      </c>
      <c r="AD25" s="82"/>
      <c r="AG25" s="83"/>
      <c r="AL25" s="82"/>
      <c r="AO25" s="83"/>
      <c r="AP25" s="82"/>
      <c r="AS25" s="83"/>
      <c r="AW25" s="83"/>
      <c r="BA25" s="84"/>
    </row>
    <row r="26" spans="1:53" s="334" customFormat="1">
      <c r="A26" s="386">
        <v>1967.62857142857</v>
      </c>
      <c r="B26" s="355">
        <v>25026</v>
      </c>
      <c r="C26" s="965" t="s">
        <v>234</v>
      </c>
      <c r="D26" s="965"/>
      <c r="E26" s="334">
        <v>178</v>
      </c>
      <c r="F26" s="334">
        <v>1</v>
      </c>
      <c r="G26" s="419"/>
      <c r="H26" s="334">
        <v>28</v>
      </c>
      <c r="J26" s="435">
        <v>28</v>
      </c>
      <c r="K26" s="384">
        <f t="shared" si="8"/>
        <v>0</v>
      </c>
      <c r="L26" s="384">
        <f t="shared" si="9"/>
        <v>100</v>
      </c>
      <c r="M26" s="384">
        <f t="shared" si="10"/>
        <v>0</v>
      </c>
      <c r="N26" s="421">
        <f t="shared" si="3"/>
        <v>100</v>
      </c>
      <c r="O26" s="383"/>
      <c r="P26" s="384">
        <v>58.7</v>
      </c>
      <c r="Q26" s="384"/>
      <c r="R26" s="385">
        <f t="shared" si="4"/>
        <v>58.7</v>
      </c>
      <c r="S26" s="388">
        <v>1</v>
      </c>
      <c r="T26" s="342">
        <v>25014</v>
      </c>
      <c r="U26" s="355">
        <v>25026</v>
      </c>
      <c r="V26" s="343" t="s">
        <v>72</v>
      </c>
      <c r="W26" s="334" t="s">
        <v>22</v>
      </c>
      <c r="X26" s="334" t="s">
        <v>18</v>
      </c>
      <c r="Y26" s="344">
        <v>58.7</v>
      </c>
      <c r="AD26" s="343"/>
      <c r="AG26" s="344"/>
      <c r="AL26" s="343"/>
      <c r="AO26" s="344"/>
      <c r="AP26" s="343"/>
      <c r="AS26" s="344"/>
      <c r="AW26" s="344"/>
      <c r="BA26" s="345"/>
    </row>
    <row r="27" spans="1:53" s="334" customFormat="1">
      <c r="A27" s="386">
        <v>1969</v>
      </c>
      <c r="B27" s="355"/>
      <c r="C27" s="965" t="s">
        <v>234</v>
      </c>
      <c r="D27" s="965"/>
      <c r="E27" s="334">
        <v>0</v>
      </c>
      <c r="G27" s="419"/>
      <c r="H27" s="334">
        <v>28</v>
      </c>
      <c r="J27" s="435">
        <v>28</v>
      </c>
      <c r="K27" s="384">
        <f t="shared" si="8"/>
        <v>0</v>
      </c>
      <c r="L27" s="384">
        <f t="shared" si="9"/>
        <v>100</v>
      </c>
      <c r="M27" s="384">
        <f t="shared" si="10"/>
        <v>0</v>
      </c>
      <c r="N27" s="421">
        <f t="shared" si="3"/>
        <v>100</v>
      </c>
      <c r="O27" s="383"/>
      <c r="P27" s="384">
        <v>58.7</v>
      </c>
      <c r="Q27" s="384"/>
      <c r="R27" s="385">
        <f t="shared" si="4"/>
        <v>58.7</v>
      </c>
      <c r="S27" s="388">
        <v>1</v>
      </c>
      <c r="T27" s="342"/>
      <c r="U27" s="355"/>
      <c r="V27" s="343" t="s">
        <v>72</v>
      </c>
      <c r="W27" s="334" t="s">
        <v>22</v>
      </c>
      <c r="X27" s="334" t="s">
        <v>18</v>
      </c>
      <c r="Y27" s="344">
        <v>58.7</v>
      </c>
      <c r="AD27" s="343"/>
      <c r="AG27" s="344"/>
      <c r="AL27" s="343"/>
      <c r="AO27" s="344"/>
      <c r="AP27" s="343"/>
      <c r="AS27" s="344"/>
      <c r="AW27" s="344"/>
      <c r="BA27" s="345"/>
    </row>
    <row r="28" spans="1:53" s="334" customFormat="1">
      <c r="A28" s="386">
        <v>1968.5428571428599</v>
      </c>
      <c r="B28" s="355"/>
      <c r="C28" s="965" t="s">
        <v>234</v>
      </c>
      <c r="D28" s="965"/>
      <c r="E28" s="334">
        <f>365-E27</f>
        <v>365</v>
      </c>
      <c r="G28" s="419"/>
      <c r="H28" s="334">
        <v>28</v>
      </c>
      <c r="J28" s="435">
        <v>28</v>
      </c>
      <c r="K28" s="384">
        <f t="shared" si="8"/>
        <v>0</v>
      </c>
      <c r="L28" s="384">
        <f t="shared" si="9"/>
        <v>100</v>
      </c>
      <c r="M28" s="384">
        <f t="shared" si="10"/>
        <v>0</v>
      </c>
      <c r="N28" s="421">
        <f t="shared" si="3"/>
        <v>100</v>
      </c>
      <c r="O28" s="383"/>
      <c r="P28" s="384">
        <v>58.7</v>
      </c>
      <c r="Q28" s="384"/>
      <c r="R28" s="385">
        <f t="shared" si="4"/>
        <v>58.7</v>
      </c>
      <c r="S28" s="388">
        <v>1</v>
      </c>
      <c r="T28" s="342"/>
      <c r="U28" s="355"/>
      <c r="V28" s="343" t="s">
        <v>72</v>
      </c>
      <c r="W28" s="334" t="s">
        <v>22</v>
      </c>
      <c r="X28" s="334" t="s">
        <v>18</v>
      </c>
      <c r="Y28" s="344">
        <v>58.7</v>
      </c>
      <c r="AD28" s="343"/>
      <c r="AG28" s="344"/>
      <c r="AL28" s="343"/>
      <c r="AO28" s="344"/>
      <c r="AP28" s="343"/>
      <c r="AS28" s="344"/>
      <c r="AW28" s="344"/>
      <c r="BA28" s="345"/>
    </row>
    <row r="29" spans="1:53" s="334" customFormat="1">
      <c r="A29" s="386">
        <v>1970</v>
      </c>
      <c r="B29" s="355"/>
      <c r="C29" s="965" t="s">
        <v>234</v>
      </c>
      <c r="D29" s="965"/>
      <c r="E29" s="334">
        <v>0</v>
      </c>
      <c r="G29" s="419"/>
      <c r="H29" s="334">
        <v>28</v>
      </c>
      <c r="J29" s="435">
        <v>28</v>
      </c>
      <c r="K29" s="384">
        <f t="shared" si="8"/>
        <v>0</v>
      </c>
      <c r="L29" s="384">
        <f t="shared" si="9"/>
        <v>100</v>
      </c>
      <c r="M29" s="384">
        <f t="shared" si="10"/>
        <v>0</v>
      </c>
      <c r="N29" s="421">
        <f t="shared" si="3"/>
        <v>100</v>
      </c>
      <c r="O29" s="383"/>
      <c r="P29" s="384">
        <v>58.7</v>
      </c>
      <c r="Q29" s="384"/>
      <c r="R29" s="385">
        <f t="shared" si="4"/>
        <v>58.7</v>
      </c>
      <c r="S29" s="388">
        <v>1</v>
      </c>
      <c r="T29" s="342"/>
      <c r="U29" s="355"/>
      <c r="V29" s="343" t="s">
        <v>72</v>
      </c>
      <c r="W29" s="334" t="s">
        <v>22</v>
      </c>
      <c r="X29" s="334" t="s">
        <v>18</v>
      </c>
      <c r="Y29" s="344">
        <v>58.7</v>
      </c>
      <c r="AD29" s="343"/>
      <c r="AG29" s="344"/>
      <c r="AL29" s="343"/>
      <c r="AO29" s="344"/>
      <c r="AP29" s="343"/>
      <c r="AS29" s="344"/>
      <c r="AW29" s="344"/>
      <c r="BA29" s="345"/>
    </row>
    <row r="30" spans="1:53" s="334" customFormat="1">
      <c r="A30" s="386">
        <v>1970</v>
      </c>
      <c r="B30" s="355"/>
      <c r="C30" s="965" t="s">
        <v>234</v>
      </c>
      <c r="D30" s="965"/>
      <c r="E30" s="334">
        <v>365</v>
      </c>
      <c r="G30" s="419"/>
      <c r="H30" s="334">
        <v>28</v>
      </c>
      <c r="J30" s="435">
        <v>28</v>
      </c>
      <c r="K30" s="384">
        <f>G30/J30*100</f>
        <v>0</v>
      </c>
      <c r="L30" s="384">
        <f>H30/J30*100</f>
        <v>100</v>
      </c>
      <c r="M30" s="384">
        <f>I30/J30*100</f>
        <v>0</v>
      </c>
      <c r="N30" s="421">
        <f t="shared" si="3"/>
        <v>100</v>
      </c>
      <c r="O30" s="383"/>
      <c r="P30" s="384">
        <v>58.7</v>
      </c>
      <c r="Q30" s="384"/>
      <c r="R30" s="385">
        <f t="shared" si="4"/>
        <v>58.7</v>
      </c>
      <c r="S30" s="388">
        <v>1</v>
      </c>
      <c r="T30" s="342"/>
      <c r="U30" s="355"/>
      <c r="V30" s="343" t="s">
        <v>72</v>
      </c>
      <c r="W30" s="334" t="s">
        <v>22</v>
      </c>
      <c r="X30" s="334" t="s">
        <v>18</v>
      </c>
      <c r="Y30" s="344">
        <v>58.7</v>
      </c>
      <c r="AD30" s="343"/>
      <c r="AG30" s="344"/>
      <c r="AL30" s="343"/>
      <c r="AO30" s="344"/>
      <c r="AP30" s="343"/>
      <c r="AS30" s="344"/>
      <c r="AW30" s="344"/>
      <c r="BA30" s="345"/>
    </row>
    <row r="31" spans="1:53" s="334" customFormat="1">
      <c r="A31" s="386">
        <v>1971</v>
      </c>
      <c r="B31" s="355"/>
      <c r="C31" s="965" t="s">
        <v>234</v>
      </c>
      <c r="D31" s="965"/>
      <c r="E31" s="334">
        <f>365-E30</f>
        <v>0</v>
      </c>
      <c r="G31" s="419"/>
      <c r="H31" s="334">
        <v>28</v>
      </c>
      <c r="J31" s="435">
        <v>28</v>
      </c>
      <c r="K31" s="384">
        <f t="shared" ref="K31:K36" si="11">G31/J31*100</f>
        <v>0</v>
      </c>
      <c r="L31" s="384">
        <f t="shared" ref="L31:L36" si="12">H31/J31*100</f>
        <v>100</v>
      </c>
      <c r="M31" s="384">
        <f t="shared" ref="M31:M36" si="13">I31/J31*100</f>
        <v>0</v>
      </c>
      <c r="N31" s="421">
        <f t="shared" si="3"/>
        <v>100</v>
      </c>
      <c r="O31" s="383"/>
      <c r="P31" s="384">
        <v>58.7</v>
      </c>
      <c r="Q31" s="384"/>
      <c r="R31" s="385">
        <f t="shared" si="4"/>
        <v>58.7</v>
      </c>
      <c r="S31" s="388">
        <v>1</v>
      </c>
      <c r="T31" s="342"/>
      <c r="U31" s="355"/>
      <c r="V31" s="343" t="s">
        <v>72</v>
      </c>
      <c r="W31" s="334" t="s">
        <v>22</v>
      </c>
      <c r="X31" s="334" t="s">
        <v>18</v>
      </c>
      <c r="Y31" s="344">
        <v>58.7</v>
      </c>
      <c r="AD31" s="343"/>
      <c r="AG31" s="344"/>
      <c r="AL31" s="343"/>
      <c r="AO31" s="344"/>
      <c r="AP31" s="343"/>
      <c r="AS31" s="344"/>
      <c r="AW31" s="344"/>
      <c r="BA31" s="345"/>
    </row>
    <row r="32" spans="1:53" s="334" customFormat="1">
      <c r="A32" s="386">
        <v>1971</v>
      </c>
      <c r="B32" s="355"/>
      <c r="C32" s="965" t="s">
        <v>234</v>
      </c>
      <c r="D32" s="965"/>
      <c r="E32" s="334">
        <v>365</v>
      </c>
      <c r="G32" s="419"/>
      <c r="H32" s="334">
        <v>28</v>
      </c>
      <c r="J32" s="435">
        <v>28</v>
      </c>
      <c r="K32" s="384">
        <f t="shared" si="11"/>
        <v>0</v>
      </c>
      <c r="L32" s="384">
        <f t="shared" si="12"/>
        <v>100</v>
      </c>
      <c r="M32" s="384">
        <f t="shared" si="13"/>
        <v>0</v>
      </c>
      <c r="N32" s="421">
        <f t="shared" si="3"/>
        <v>100</v>
      </c>
      <c r="O32" s="383"/>
      <c r="P32" s="384">
        <v>58.7</v>
      </c>
      <c r="Q32" s="384"/>
      <c r="R32" s="385">
        <f t="shared" si="4"/>
        <v>58.7</v>
      </c>
      <c r="S32" s="388">
        <v>1</v>
      </c>
      <c r="T32" s="342"/>
      <c r="U32" s="355"/>
      <c r="V32" s="343" t="s">
        <v>72</v>
      </c>
      <c r="W32" s="334" t="s">
        <v>22</v>
      </c>
      <c r="X32" s="334" t="s">
        <v>18</v>
      </c>
      <c r="Y32" s="344">
        <v>58.7</v>
      </c>
      <c r="AD32" s="343"/>
      <c r="AG32" s="344"/>
      <c r="AL32" s="343"/>
      <c r="AO32" s="344"/>
      <c r="AP32" s="343"/>
      <c r="AS32" s="344"/>
      <c r="AW32" s="344"/>
      <c r="BA32" s="345"/>
    </row>
    <row r="33" spans="1:53" s="334" customFormat="1">
      <c r="A33" s="386">
        <v>1972</v>
      </c>
      <c r="B33" s="355"/>
      <c r="C33" s="965" t="s">
        <v>234</v>
      </c>
      <c r="D33" s="965"/>
      <c r="E33" s="334">
        <v>331</v>
      </c>
      <c r="G33" s="419"/>
      <c r="H33" s="334">
        <v>28</v>
      </c>
      <c r="J33" s="435">
        <v>28</v>
      </c>
      <c r="K33" s="384">
        <f t="shared" si="11"/>
        <v>0</v>
      </c>
      <c r="L33" s="384">
        <f t="shared" si="12"/>
        <v>100</v>
      </c>
      <c r="M33" s="384">
        <f t="shared" si="13"/>
        <v>0</v>
      </c>
      <c r="N33" s="421">
        <f t="shared" si="3"/>
        <v>100</v>
      </c>
      <c r="O33" s="383"/>
      <c r="P33" s="384">
        <v>58.7</v>
      </c>
      <c r="Q33" s="384"/>
      <c r="R33" s="385">
        <f t="shared" si="4"/>
        <v>58.7</v>
      </c>
      <c r="S33" s="388">
        <v>1</v>
      </c>
      <c r="T33" s="342"/>
      <c r="U33" s="355"/>
      <c r="V33" s="343" t="s">
        <v>72</v>
      </c>
      <c r="W33" s="334" t="s">
        <v>22</v>
      </c>
      <c r="X33" s="334" t="s">
        <v>18</v>
      </c>
      <c r="Y33" s="344">
        <v>58.7</v>
      </c>
      <c r="AD33" s="343"/>
      <c r="AG33" s="344"/>
      <c r="AL33" s="343"/>
      <c r="AO33" s="344"/>
      <c r="AP33" s="343"/>
      <c r="AS33" s="344"/>
      <c r="AW33" s="344"/>
      <c r="BA33" s="345"/>
    </row>
    <row r="34" spans="1:53" s="73" customFormat="1">
      <c r="A34" s="102">
        <v>1972</v>
      </c>
      <c r="B34" s="85">
        <v>26630</v>
      </c>
      <c r="C34" s="966" t="s">
        <v>235</v>
      </c>
      <c r="D34" s="966"/>
      <c r="E34" s="73">
        <v>35</v>
      </c>
      <c r="F34" s="73">
        <v>1</v>
      </c>
      <c r="G34" s="123"/>
      <c r="H34" s="73">
        <v>27</v>
      </c>
      <c r="J34" s="134">
        <v>27</v>
      </c>
      <c r="K34" s="92">
        <f t="shared" si="11"/>
        <v>0</v>
      </c>
      <c r="L34" s="92">
        <f t="shared" si="12"/>
        <v>100</v>
      </c>
      <c r="M34" s="92">
        <f t="shared" si="13"/>
        <v>0</v>
      </c>
      <c r="N34" s="125">
        <f t="shared" si="3"/>
        <v>100</v>
      </c>
      <c r="O34" s="91"/>
      <c r="P34" s="92">
        <v>41.3</v>
      </c>
      <c r="Q34" s="92"/>
      <c r="R34" s="93">
        <f t="shared" si="4"/>
        <v>41.3</v>
      </c>
      <c r="S34" s="97">
        <v>4</v>
      </c>
      <c r="T34" s="95">
        <v>26602</v>
      </c>
      <c r="U34" s="85">
        <v>26630</v>
      </c>
      <c r="V34" s="82" t="s">
        <v>72</v>
      </c>
      <c r="W34" s="73" t="s">
        <v>22</v>
      </c>
      <c r="X34" s="73" t="s">
        <v>18</v>
      </c>
      <c r="Y34" s="83">
        <v>41.3</v>
      </c>
      <c r="AD34" s="82"/>
      <c r="AG34" s="83"/>
      <c r="AL34" s="82"/>
      <c r="AO34" s="83"/>
      <c r="AP34" s="82"/>
      <c r="AS34" s="83"/>
      <c r="AW34" s="83"/>
      <c r="BA34" s="84"/>
    </row>
    <row r="35" spans="1:53" s="73" customFormat="1">
      <c r="A35" s="102">
        <v>1973</v>
      </c>
      <c r="B35" s="85"/>
      <c r="C35" s="966" t="s">
        <v>235</v>
      </c>
      <c r="D35" s="966"/>
      <c r="E35" s="73">
        <v>0</v>
      </c>
      <c r="G35" s="123"/>
      <c r="H35" s="73">
        <v>27</v>
      </c>
      <c r="J35" s="134">
        <v>27</v>
      </c>
      <c r="K35" s="92">
        <f t="shared" si="11"/>
        <v>0</v>
      </c>
      <c r="L35" s="92">
        <f t="shared" si="12"/>
        <v>100</v>
      </c>
      <c r="M35" s="92">
        <f t="shared" si="13"/>
        <v>0</v>
      </c>
      <c r="N35" s="125">
        <f t="shared" si="3"/>
        <v>100</v>
      </c>
      <c r="O35" s="91"/>
      <c r="P35" s="92">
        <v>41.3</v>
      </c>
      <c r="Q35" s="92"/>
      <c r="R35" s="93">
        <f t="shared" si="4"/>
        <v>41.3</v>
      </c>
      <c r="S35" s="97">
        <v>4</v>
      </c>
      <c r="T35" s="95"/>
      <c r="U35" s="85"/>
      <c r="V35" s="82" t="s">
        <v>72</v>
      </c>
      <c r="W35" s="73" t="s">
        <v>22</v>
      </c>
      <c r="X35" s="73" t="s">
        <v>18</v>
      </c>
      <c r="Y35" s="83">
        <v>41.3</v>
      </c>
      <c r="AD35" s="82"/>
      <c r="AG35" s="83"/>
      <c r="AL35" s="82"/>
      <c r="AO35" s="83"/>
      <c r="AP35" s="82"/>
      <c r="AS35" s="83"/>
      <c r="AW35" s="83"/>
      <c r="BA35" s="84"/>
    </row>
    <row r="36" spans="1:53" s="73" customFormat="1">
      <c r="A36" s="102">
        <v>1973</v>
      </c>
      <c r="B36" s="85"/>
      <c r="C36" s="966" t="s">
        <v>235</v>
      </c>
      <c r="D36" s="966"/>
      <c r="E36" s="73">
        <v>365</v>
      </c>
      <c r="G36" s="123"/>
      <c r="H36" s="73">
        <v>27</v>
      </c>
      <c r="J36" s="134">
        <v>27</v>
      </c>
      <c r="K36" s="92">
        <f t="shared" si="11"/>
        <v>0</v>
      </c>
      <c r="L36" s="92">
        <f t="shared" si="12"/>
        <v>100</v>
      </c>
      <c r="M36" s="92">
        <f t="shared" si="13"/>
        <v>0</v>
      </c>
      <c r="N36" s="125">
        <f t="shared" si="3"/>
        <v>100</v>
      </c>
      <c r="O36" s="91"/>
      <c r="P36" s="92">
        <v>41.3</v>
      </c>
      <c r="Q36" s="92"/>
      <c r="R36" s="93">
        <f t="shared" si="4"/>
        <v>41.3</v>
      </c>
      <c r="S36" s="97">
        <v>4</v>
      </c>
      <c r="T36" s="95"/>
      <c r="U36" s="85"/>
      <c r="V36" s="82" t="s">
        <v>72</v>
      </c>
      <c r="W36" s="73" t="s">
        <v>22</v>
      </c>
      <c r="X36" s="73" t="s">
        <v>18</v>
      </c>
      <c r="Y36" s="83">
        <v>41.3</v>
      </c>
      <c r="AD36" s="82"/>
      <c r="AG36" s="83"/>
      <c r="AL36" s="82"/>
      <c r="AO36" s="83"/>
      <c r="AP36" s="82"/>
      <c r="AS36" s="83"/>
      <c r="AW36" s="83"/>
      <c r="BA36" s="84"/>
    </row>
    <row r="37" spans="1:53" s="73" customFormat="1">
      <c r="A37" s="102">
        <v>1974</v>
      </c>
      <c r="B37" s="85"/>
      <c r="C37" s="966" t="s">
        <v>235</v>
      </c>
      <c r="D37" s="966"/>
      <c r="E37" s="73">
        <v>219</v>
      </c>
      <c r="G37" s="123"/>
      <c r="H37" s="73">
        <v>27</v>
      </c>
      <c r="J37" s="134">
        <v>27</v>
      </c>
      <c r="K37" s="92">
        <f>G37/J37*100</f>
        <v>0</v>
      </c>
      <c r="L37" s="92">
        <f>H37/J37*100</f>
        <v>100</v>
      </c>
      <c r="M37" s="92">
        <f>I37/J37*100</f>
        <v>0</v>
      </c>
      <c r="N37" s="125">
        <f t="shared" si="3"/>
        <v>100</v>
      </c>
      <c r="O37" s="91"/>
      <c r="P37" s="92">
        <v>41.3</v>
      </c>
      <c r="Q37" s="92"/>
      <c r="R37" s="93">
        <f t="shared" si="4"/>
        <v>41.3</v>
      </c>
      <c r="S37" s="97">
        <v>4</v>
      </c>
      <c r="T37" s="95"/>
      <c r="U37" s="85"/>
      <c r="V37" s="82" t="s">
        <v>72</v>
      </c>
      <c r="W37" s="73" t="s">
        <v>22</v>
      </c>
      <c r="X37" s="73" t="s">
        <v>18</v>
      </c>
      <c r="Y37" s="83">
        <v>41.3</v>
      </c>
      <c r="AD37" s="82"/>
      <c r="AG37" s="83"/>
      <c r="AL37" s="82"/>
      <c r="AO37" s="83"/>
      <c r="AP37" s="82"/>
      <c r="AS37" s="83"/>
      <c r="AW37" s="83"/>
      <c r="BA37" s="84"/>
    </row>
    <row r="38" spans="1:53" s="334" customFormat="1">
      <c r="A38" s="386">
        <v>1974</v>
      </c>
      <c r="B38" s="355">
        <v>27249</v>
      </c>
      <c r="C38" s="965" t="s">
        <v>236</v>
      </c>
      <c r="D38" s="965"/>
      <c r="E38" s="334">
        <v>146</v>
      </c>
      <c r="F38" s="334">
        <v>5</v>
      </c>
      <c r="G38" s="419"/>
      <c r="H38" s="334">
        <v>28</v>
      </c>
      <c r="J38" s="435">
        <v>28</v>
      </c>
      <c r="K38" s="384">
        <f t="shared" ref="K38:K43" si="14">G38/J38*100</f>
        <v>0</v>
      </c>
      <c r="L38" s="384">
        <f t="shared" ref="L38:L43" si="15">H38/J38*100</f>
        <v>100</v>
      </c>
      <c r="M38" s="384">
        <f t="shared" ref="M38:M43" si="16">I38/J38*100</f>
        <v>0</v>
      </c>
      <c r="N38" s="421">
        <f t="shared" si="3"/>
        <v>100</v>
      </c>
      <c r="O38" s="383"/>
      <c r="P38" s="384">
        <v>53.4</v>
      </c>
      <c r="Q38" s="384"/>
      <c r="R38" s="385">
        <f t="shared" si="4"/>
        <v>53.4</v>
      </c>
      <c r="S38" s="388">
        <v>1</v>
      </c>
      <c r="T38" s="342">
        <v>27218</v>
      </c>
      <c r="U38" s="355">
        <v>27249</v>
      </c>
      <c r="V38" s="343" t="s">
        <v>72</v>
      </c>
      <c r="W38" s="334" t="s">
        <v>22</v>
      </c>
      <c r="X38" s="334" t="s">
        <v>18</v>
      </c>
      <c r="Y38" s="344">
        <v>53.4</v>
      </c>
      <c r="AD38" s="343"/>
      <c r="AG38" s="344"/>
      <c r="AL38" s="343"/>
      <c r="AO38" s="344"/>
      <c r="AP38" s="343"/>
      <c r="AS38" s="344"/>
      <c r="AW38" s="344"/>
      <c r="BA38" s="345"/>
    </row>
    <row r="39" spans="1:53" s="334" customFormat="1">
      <c r="A39" s="386">
        <v>1975</v>
      </c>
      <c r="B39" s="355"/>
      <c r="C39" s="965" t="s">
        <v>236</v>
      </c>
      <c r="D39" s="965"/>
      <c r="E39" s="334">
        <v>0</v>
      </c>
      <c r="G39" s="419"/>
      <c r="H39" s="334">
        <v>28</v>
      </c>
      <c r="J39" s="435">
        <v>28</v>
      </c>
      <c r="K39" s="384">
        <f t="shared" si="14"/>
        <v>0</v>
      </c>
      <c r="L39" s="384">
        <f t="shared" si="15"/>
        <v>100</v>
      </c>
      <c r="M39" s="384">
        <f t="shared" si="16"/>
        <v>0</v>
      </c>
      <c r="N39" s="421">
        <f t="shared" si="3"/>
        <v>100</v>
      </c>
      <c r="O39" s="383"/>
      <c r="P39" s="384">
        <v>53.4</v>
      </c>
      <c r="Q39" s="384"/>
      <c r="R39" s="385">
        <f t="shared" si="4"/>
        <v>53.4</v>
      </c>
      <c r="S39" s="388">
        <v>1</v>
      </c>
      <c r="T39" s="342"/>
      <c r="U39" s="355"/>
      <c r="V39" s="343" t="s">
        <v>72</v>
      </c>
      <c r="W39" s="334" t="s">
        <v>22</v>
      </c>
      <c r="X39" s="334" t="s">
        <v>18</v>
      </c>
      <c r="Y39" s="344">
        <v>53.4</v>
      </c>
      <c r="AD39" s="343"/>
      <c r="AG39" s="344"/>
      <c r="AL39" s="343"/>
      <c r="AO39" s="344"/>
      <c r="AP39" s="343"/>
      <c r="AS39" s="344"/>
      <c r="AW39" s="344"/>
      <c r="BA39" s="345"/>
    </row>
    <row r="40" spans="1:53" s="334" customFormat="1">
      <c r="A40" s="386">
        <v>1975</v>
      </c>
      <c r="B40" s="355"/>
      <c r="C40" s="965" t="s">
        <v>236</v>
      </c>
      <c r="D40" s="965"/>
      <c r="E40" s="334">
        <f>365-E39</f>
        <v>365</v>
      </c>
      <c r="G40" s="419"/>
      <c r="H40" s="334">
        <v>28</v>
      </c>
      <c r="J40" s="435">
        <v>28</v>
      </c>
      <c r="K40" s="384">
        <f t="shared" si="14"/>
        <v>0</v>
      </c>
      <c r="L40" s="384">
        <f t="shared" si="15"/>
        <v>100</v>
      </c>
      <c r="M40" s="384">
        <f t="shared" si="16"/>
        <v>0</v>
      </c>
      <c r="N40" s="421">
        <f t="shared" si="3"/>
        <v>100</v>
      </c>
      <c r="O40" s="383"/>
      <c r="P40" s="384">
        <v>53.4</v>
      </c>
      <c r="Q40" s="384"/>
      <c r="R40" s="385">
        <f t="shared" si="4"/>
        <v>53.4</v>
      </c>
      <c r="S40" s="388">
        <v>1</v>
      </c>
      <c r="T40" s="342"/>
      <c r="U40" s="355"/>
      <c r="V40" s="343" t="s">
        <v>72</v>
      </c>
      <c r="W40" s="334" t="s">
        <v>22</v>
      </c>
      <c r="X40" s="334" t="s">
        <v>18</v>
      </c>
      <c r="Y40" s="344">
        <v>53.4</v>
      </c>
      <c r="AD40" s="343"/>
      <c r="AG40" s="344"/>
      <c r="AL40" s="343"/>
      <c r="AO40" s="344"/>
      <c r="AP40" s="343"/>
      <c r="AS40" s="344"/>
      <c r="AW40" s="344"/>
      <c r="BA40" s="345"/>
    </row>
    <row r="41" spans="1:53" s="334" customFormat="1">
      <c r="A41" s="386">
        <v>1976</v>
      </c>
      <c r="B41" s="355"/>
      <c r="C41" s="965" t="s">
        <v>236</v>
      </c>
      <c r="D41" s="965"/>
      <c r="E41" s="334">
        <v>0</v>
      </c>
      <c r="G41" s="419"/>
      <c r="H41" s="334">
        <v>28</v>
      </c>
      <c r="J41" s="435">
        <v>28</v>
      </c>
      <c r="K41" s="384">
        <f t="shared" si="14"/>
        <v>0</v>
      </c>
      <c r="L41" s="384">
        <f t="shared" si="15"/>
        <v>100</v>
      </c>
      <c r="M41" s="384">
        <f t="shared" si="16"/>
        <v>0</v>
      </c>
      <c r="N41" s="421">
        <f t="shared" si="3"/>
        <v>100</v>
      </c>
      <c r="O41" s="383"/>
      <c r="P41" s="384">
        <v>53.4</v>
      </c>
      <c r="Q41" s="384"/>
      <c r="R41" s="385">
        <f t="shared" si="4"/>
        <v>53.4</v>
      </c>
      <c r="S41" s="388">
        <v>1</v>
      </c>
      <c r="T41" s="342"/>
      <c r="U41" s="355"/>
      <c r="V41" s="343" t="s">
        <v>72</v>
      </c>
      <c r="W41" s="334" t="s">
        <v>22</v>
      </c>
      <c r="X41" s="334" t="s">
        <v>18</v>
      </c>
      <c r="Y41" s="344">
        <v>53.4</v>
      </c>
      <c r="AD41" s="343"/>
      <c r="AG41" s="344"/>
      <c r="AL41" s="343"/>
      <c r="AO41" s="344"/>
      <c r="AP41" s="343"/>
      <c r="AS41" s="344"/>
      <c r="AW41" s="344"/>
      <c r="BA41" s="345"/>
    </row>
    <row r="42" spans="1:53" s="334" customFormat="1">
      <c r="A42" s="386">
        <v>1976</v>
      </c>
      <c r="B42" s="355"/>
      <c r="C42" s="965" t="s">
        <v>236</v>
      </c>
      <c r="D42" s="965"/>
      <c r="E42" s="334">
        <v>366</v>
      </c>
      <c r="G42" s="419"/>
      <c r="H42" s="334">
        <v>28</v>
      </c>
      <c r="J42" s="435">
        <v>28</v>
      </c>
      <c r="K42" s="384">
        <f t="shared" si="14"/>
        <v>0</v>
      </c>
      <c r="L42" s="384">
        <f t="shared" si="15"/>
        <v>100</v>
      </c>
      <c r="M42" s="384">
        <f t="shared" si="16"/>
        <v>0</v>
      </c>
      <c r="N42" s="421">
        <f t="shared" si="3"/>
        <v>100</v>
      </c>
      <c r="O42" s="383"/>
      <c r="P42" s="384">
        <v>53.4</v>
      </c>
      <c r="Q42" s="384"/>
      <c r="R42" s="385">
        <f t="shared" si="4"/>
        <v>53.4</v>
      </c>
      <c r="S42" s="388">
        <v>1</v>
      </c>
      <c r="T42" s="342"/>
      <c r="U42" s="355"/>
      <c r="V42" s="343" t="s">
        <v>72</v>
      </c>
      <c r="W42" s="334" t="s">
        <v>22</v>
      </c>
      <c r="X42" s="334" t="s">
        <v>18</v>
      </c>
      <c r="Y42" s="344">
        <v>53.4</v>
      </c>
      <c r="AD42" s="343"/>
      <c r="AG42" s="344"/>
      <c r="AL42" s="343"/>
      <c r="AO42" s="344"/>
      <c r="AP42" s="343"/>
      <c r="AS42" s="344"/>
      <c r="AW42" s="344"/>
      <c r="BA42" s="345"/>
    </row>
    <row r="43" spans="1:53" s="334" customFormat="1">
      <c r="A43" s="386">
        <v>1977</v>
      </c>
      <c r="B43" s="355"/>
      <c r="C43" s="965" t="s">
        <v>236</v>
      </c>
      <c r="D43" s="965"/>
      <c r="E43" s="334">
        <v>0</v>
      </c>
      <c r="G43" s="419"/>
      <c r="H43" s="334">
        <v>28</v>
      </c>
      <c r="J43" s="435">
        <v>28</v>
      </c>
      <c r="K43" s="384">
        <f t="shared" si="14"/>
        <v>0</v>
      </c>
      <c r="L43" s="384">
        <f t="shared" si="15"/>
        <v>100</v>
      </c>
      <c r="M43" s="384">
        <f t="shared" si="16"/>
        <v>0</v>
      </c>
      <c r="N43" s="421">
        <f t="shared" si="3"/>
        <v>100</v>
      </c>
      <c r="O43" s="383"/>
      <c r="P43" s="384">
        <v>53.4</v>
      </c>
      <c r="Q43" s="384"/>
      <c r="R43" s="385">
        <f t="shared" si="4"/>
        <v>53.4</v>
      </c>
      <c r="S43" s="388">
        <v>1</v>
      </c>
      <c r="T43" s="342"/>
      <c r="U43" s="355"/>
      <c r="V43" s="343" t="s">
        <v>72</v>
      </c>
      <c r="W43" s="334" t="s">
        <v>22</v>
      </c>
      <c r="X43" s="334" t="s">
        <v>18</v>
      </c>
      <c r="Y43" s="344">
        <v>53.4</v>
      </c>
      <c r="AD43" s="343"/>
      <c r="AG43" s="344"/>
      <c r="AL43" s="343"/>
      <c r="AO43" s="344"/>
      <c r="AP43" s="343"/>
      <c r="AS43" s="344"/>
      <c r="AW43" s="344"/>
      <c r="BA43" s="345"/>
    </row>
    <row r="44" spans="1:53" s="334" customFormat="1">
      <c r="A44" s="386">
        <v>1977</v>
      </c>
      <c r="B44" s="355"/>
      <c r="C44" s="965" t="s">
        <v>236</v>
      </c>
      <c r="D44" s="965"/>
      <c r="E44" s="334">
        <v>365</v>
      </c>
      <c r="G44" s="419"/>
      <c r="H44" s="334">
        <v>28</v>
      </c>
      <c r="J44" s="435">
        <v>28</v>
      </c>
      <c r="K44" s="384">
        <f>G44/J44*100</f>
        <v>0</v>
      </c>
      <c r="L44" s="384">
        <f>H44/J44*100</f>
        <v>100</v>
      </c>
      <c r="M44" s="384">
        <f>I44/J44*100</f>
        <v>0</v>
      </c>
      <c r="N44" s="421">
        <f t="shared" si="3"/>
        <v>100</v>
      </c>
      <c r="O44" s="383"/>
      <c r="P44" s="384">
        <v>53.4</v>
      </c>
      <c r="Q44" s="384"/>
      <c r="R44" s="385">
        <f t="shared" si="4"/>
        <v>53.4</v>
      </c>
      <c r="S44" s="388">
        <v>1</v>
      </c>
      <c r="T44" s="342"/>
      <c r="U44" s="355"/>
      <c r="V44" s="343" t="s">
        <v>72</v>
      </c>
      <c r="W44" s="334" t="s">
        <v>22</v>
      </c>
      <c r="X44" s="334" t="s">
        <v>18</v>
      </c>
      <c r="Y44" s="344">
        <v>53.4</v>
      </c>
      <c r="AD44" s="343"/>
      <c r="AG44" s="344"/>
      <c r="AL44" s="343"/>
      <c r="AO44" s="344"/>
      <c r="AP44" s="343"/>
      <c r="AS44" s="344"/>
      <c r="AW44" s="344"/>
      <c r="BA44" s="345"/>
    </row>
    <row r="45" spans="1:53" s="334" customFormat="1">
      <c r="A45" s="386">
        <v>1978</v>
      </c>
      <c r="B45" s="355"/>
      <c r="C45" s="965" t="s">
        <v>236</v>
      </c>
      <c r="D45" s="965"/>
      <c r="E45" s="334">
        <v>0</v>
      </c>
      <c r="G45" s="419"/>
      <c r="H45" s="334">
        <v>28</v>
      </c>
      <c r="J45" s="435">
        <v>28</v>
      </c>
      <c r="K45" s="384">
        <f t="shared" ref="K45:K50" si="17">G45/J45*100</f>
        <v>0</v>
      </c>
      <c r="L45" s="384">
        <f t="shared" ref="L45:L50" si="18">H45/J45*100</f>
        <v>100</v>
      </c>
      <c r="M45" s="384">
        <f t="shared" ref="M45:M50" si="19">I45/J45*100</f>
        <v>0</v>
      </c>
      <c r="N45" s="421">
        <f t="shared" si="3"/>
        <v>100</v>
      </c>
      <c r="O45" s="383"/>
      <c r="P45" s="384">
        <v>53.4</v>
      </c>
      <c r="Q45" s="384"/>
      <c r="R45" s="385">
        <f t="shared" si="4"/>
        <v>53.4</v>
      </c>
      <c r="S45" s="388">
        <v>1</v>
      </c>
      <c r="T45" s="342"/>
      <c r="U45" s="355"/>
      <c r="V45" s="343" t="s">
        <v>72</v>
      </c>
      <c r="W45" s="334" t="s">
        <v>22</v>
      </c>
      <c r="X45" s="334" t="s">
        <v>18</v>
      </c>
      <c r="Y45" s="344">
        <v>53.4</v>
      </c>
      <c r="AD45" s="343"/>
      <c r="AG45" s="344"/>
      <c r="AL45" s="343"/>
      <c r="AO45" s="344"/>
      <c r="AP45" s="343"/>
      <c r="AS45" s="344"/>
      <c r="AW45" s="344"/>
      <c r="BA45" s="345"/>
    </row>
    <row r="46" spans="1:53" s="334" customFormat="1">
      <c r="A46" s="386">
        <v>1978</v>
      </c>
      <c r="B46" s="355"/>
      <c r="C46" s="965" t="s">
        <v>236</v>
      </c>
      <c r="D46" s="965"/>
      <c r="E46" s="334">
        <v>365</v>
      </c>
      <c r="G46" s="419"/>
      <c r="H46" s="334">
        <v>28</v>
      </c>
      <c r="J46" s="435">
        <v>28</v>
      </c>
      <c r="K46" s="384">
        <f t="shared" si="17"/>
        <v>0</v>
      </c>
      <c r="L46" s="384">
        <f t="shared" si="18"/>
        <v>100</v>
      </c>
      <c r="M46" s="384">
        <f t="shared" si="19"/>
        <v>0</v>
      </c>
      <c r="N46" s="421">
        <f t="shared" si="3"/>
        <v>100</v>
      </c>
      <c r="O46" s="383"/>
      <c r="P46" s="384">
        <v>53.4</v>
      </c>
      <c r="Q46" s="384"/>
      <c r="R46" s="385">
        <f t="shared" si="4"/>
        <v>53.4</v>
      </c>
      <c r="S46" s="388">
        <v>1</v>
      </c>
      <c r="T46" s="342"/>
      <c r="U46" s="355"/>
      <c r="V46" s="343" t="s">
        <v>72</v>
      </c>
      <c r="W46" s="334" t="s">
        <v>22</v>
      </c>
      <c r="X46" s="334" t="s">
        <v>18</v>
      </c>
      <c r="Y46" s="344">
        <v>53.4</v>
      </c>
      <c r="AD46" s="343"/>
      <c r="AG46" s="344"/>
      <c r="AL46" s="343"/>
      <c r="AO46" s="344"/>
      <c r="AP46" s="343"/>
      <c r="AS46" s="344"/>
      <c r="AW46" s="344"/>
      <c r="BA46" s="345"/>
    </row>
    <row r="47" spans="1:53" s="334" customFormat="1">
      <c r="A47" s="386">
        <v>1979</v>
      </c>
      <c r="B47" s="355"/>
      <c r="C47" s="965" t="s">
        <v>236</v>
      </c>
      <c r="D47" s="965"/>
      <c r="E47" s="334">
        <v>154</v>
      </c>
      <c r="G47" s="419"/>
      <c r="H47" s="334">
        <v>28</v>
      </c>
      <c r="J47" s="435">
        <v>28</v>
      </c>
      <c r="K47" s="384">
        <f t="shared" si="17"/>
        <v>0</v>
      </c>
      <c r="L47" s="384">
        <f t="shared" si="18"/>
        <v>100</v>
      </c>
      <c r="M47" s="384">
        <f t="shared" si="19"/>
        <v>0</v>
      </c>
      <c r="N47" s="421">
        <f t="shared" si="3"/>
        <v>100</v>
      </c>
      <c r="O47" s="383"/>
      <c r="P47" s="384">
        <v>53.4</v>
      </c>
      <c r="Q47" s="384"/>
      <c r="R47" s="385">
        <f t="shared" si="4"/>
        <v>53.4</v>
      </c>
      <c r="S47" s="388">
        <v>1</v>
      </c>
      <c r="T47" s="342"/>
      <c r="U47" s="355"/>
      <c r="V47" s="343" t="s">
        <v>72</v>
      </c>
      <c r="W47" s="334" t="s">
        <v>22</v>
      </c>
      <c r="X47" s="334" t="s">
        <v>18</v>
      </c>
      <c r="Y47" s="344">
        <v>53.4</v>
      </c>
      <c r="AD47" s="343"/>
      <c r="AG47" s="344"/>
      <c r="AL47" s="343"/>
      <c r="AO47" s="344"/>
      <c r="AP47" s="343"/>
      <c r="AS47" s="344"/>
      <c r="AW47" s="344"/>
      <c r="BA47" s="345"/>
    </row>
    <row r="48" spans="1:53" s="73" customFormat="1">
      <c r="A48" s="102">
        <v>1979</v>
      </c>
      <c r="B48" s="85">
        <v>29010</v>
      </c>
      <c r="C48" s="966" t="s">
        <v>237</v>
      </c>
      <c r="D48" s="966"/>
      <c r="E48" s="73">
        <v>211</v>
      </c>
      <c r="F48" s="73">
        <v>1</v>
      </c>
      <c r="G48" s="123">
        <v>11</v>
      </c>
      <c r="J48" s="134">
        <v>11</v>
      </c>
      <c r="K48" s="92">
        <f t="shared" si="17"/>
        <v>100</v>
      </c>
      <c r="L48" s="92">
        <f t="shared" si="18"/>
        <v>0</v>
      </c>
      <c r="M48" s="92">
        <f t="shared" si="19"/>
        <v>0</v>
      </c>
      <c r="N48" s="125">
        <f t="shared" si="3"/>
        <v>100</v>
      </c>
      <c r="O48" s="91">
        <v>48.2</v>
      </c>
      <c r="P48" s="92"/>
      <c r="Q48" s="92"/>
      <c r="R48" s="93">
        <f t="shared" si="4"/>
        <v>48.2</v>
      </c>
      <c r="S48" s="97">
        <v>4</v>
      </c>
      <c r="T48" s="95">
        <v>28997</v>
      </c>
      <c r="U48" s="85">
        <v>29010</v>
      </c>
      <c r="V48" s="82" t="s">
        <v>101</v>
      </c>
      <c r="W48" s="73" t="s">
        <v>74</v>
      </c>
      <c r="X48" s="73" t="s">
        <v>11</v>
      </c>
      <c r="Y48" s="83">
        <v>48.2</v>
      </c>
      <c r="AD48" s="82"/>
      <c r="AG48" s="83"/>
      <c r="AL48" s="82"/>
      <c r="AO48" s="83"/>
      <c r="AP48" s="82"/>
      <c r="AS48" s="83"/>
      <c r="AW48" s="83"/>
      <c r="BA48" s="84"/>
    </row>
    <row r="49" spans="1:53" s="73" customFormat="1">
      <c r="A49" s="102">
        <v>1980</v>
      </c>
      <c r="B49" s="85"/>
      <c r="C49" s="966" t="s">
        <v>237</v>
      </c>
      <c r="D49" s="966"/>
      <c r="E49" s="73">
        <v>62</v>
      </c>
      <c r="G49" s="123">
        <v>11</v>
      </c>
      <c r="J49" s="134">
        <v>11</v>
      </c>
      <c r="K49" s="92">
        <f t="shared" si="17"/>
        <v>100</v>
      </c>
      <c r="L49" s="92">
        <f t="shared" si="18"/>
        <v>0</v>
      </c>
      <c r="M49" s="92">
        <f t="shared" si="19"/>
        <v>0</v>
      </c>
      <c r="N49" s="125">
        <f t="shared" si="3"/>
        <v>100</v>
      </c>
      <c r="O49" s="91">
        <v>48.2</v>
      </c>
      <c r="P49" s="92"/>
      <c r="Q49" s="92"/>
      <c r="R49" s="93">
        <f t="shared" si="4"/>
        <v>48.2</v>
      </c>
      <c r="S49" s="97">
        <v>4</v>
      </c>
      <c r="T49" s="95"/>
      <c r="U49" s="85"/>
      <c r="V49" s="82" t="s">
        <v>101</v>
      </c>
      <c r="W49" s="73" t="s">
        <v>74</v>
      </c>
      <c r="X49" s="73" t="s">
        <v>11</v>
      </c>
      <c r="Y49" s="83">
        <v>48.2</v>
      </c>
      <c r="AD49" s="82"/>
      <c r="AG49" s="83"/>
      <c r="AL49" s="82"/>
      <c r="AO49" s="83"/>
      <c r="AP49" s="82"/>
      <c r="AS49" s="83"/>
      <c r="AW49" s="83"/>
      <c r="BA49" s="84"/>
    </row>
    <row r="50" spans="1:53" s="334" customFormat="1">
      <c r="A50" s="386">
        <v>1980</v>
      </c>
      <c r="B50" s="355">
        <v>29283</v>
      </c>
      <c r="C50" s="965" t="s">
        <v>238</v>
      </c>
      <c r="D50" s="965"/>
      <c r="E50" s="334">
        <v>304</v>
      </c>
      <c r="F50" s="334">
        <v>5</v>
      </c>
      <c r="G50" s="419"/>
      <c r="H50" s="334">
        <v>27</v>
      </c>
      <c r="J50" s="435">
        <v>27</v>
      </c>
      <c r="K50" s="384">
        <f t="shared" si="17"/>
        <v>0</v>
      </c>
      <c r="L50" s="384">
        <f t="shared" si="18"/>
        <v>100</v>
      </c>
      <c r="M50" s="384">
        <f t="shared" si="19"/>
        <v>0</v>
      </c>
      <c r="N50" s="421">
        <f t="shared" si="3"/>
        <v>100</v>
      </c>
      <c r="O50" s="383"/>
      <c r="P50" s="384">
        <v>52.1</v>
      </c>
      <c r="Q50" s="384"/>
      <c r="R50" s="385">
        <f t="shared" si="4"/>
        <v>52.1</v>
      </c>
      <c r="S50" s="388">
        <v>1</v>
      </c>
      <c r="T50" s="342">
        <v>29269</v>
      </c>
      <c r="U50" s="355">
        <v>29283</v>
      </c>
      <c r="V50" s="343" t="s">
        <v>72</v>
      </c>
      <c r="W50" s="334" t="s">
        <v>22</v>
      </c>
      <c r="X50" s="334" t="s">
        <v>18</v>
      </c>
      <c r="Y50" s="344">
        <v>52.1</v>
      </c>
      <c r="AD50" s="343"/>
      <c r="AG50" s="344"/>
      <c r="AL50" s="343"/>
      <c r="AO50" s="344"/>
      <c r="AP50" s="343"/>
      <c r="AS50" s="344"/>
      <c r="AW50" s="344"/>
      <c r="BA50" s="345"/>
    </row>
    <row r="51" spans="1:53" s="334" customFormat="1">
      <c r="A51" s="386">
        <v>1981</v>
      </c>
      <c r="B51" s="355"/>
      <c r="C51" s="965" t="s">
        <v>238</v>
      </c>
      <c r="D51" s="965"/>
      <c r="E51" s="334">
        <v>0</v>
      </c>
      <c r="G51" s="419"/>
      <c r="H51" s="334">
        <v>27</v>
      </c>
      <c r="J51" s="435">
        <v>27</v>
      </c>
      <c r="K51" s="384">
        <f>G51/J51*100</f>
        <v>0</v>
      </c>
      <c r="L51" s="384">
        <f>H51/J51*100</f>
        <v>100</v>
      </c>
      <c r="M51" s="384">
        <f>I51/J51*100</f>
        <v>0</v>
      </c>
      <c r="N51" s="421">
        <f t="shared" si="3"/>
        <v>100</v>
      </c>
      <c r="O51" s="383"/>
      <c r="P51" s="384">
        <v>52.1</v>
      </c>
      <c r="Q51" s="384"/>
      <c r="R51" s="385">
        <f t="shared" si="4"/>
        <v>52.1</v>
      </c>
      <c r="S51" s="388">
        <v>1</v>
      </c>
      <c r="T51" s="342"/>
      <c r="U51" s="355"/>
      <c r="V51" s="343" t="s">
        <v>72</v>
      </c>
      <c r="W51" s="334" t="s">
        <v>22</v>
      </c>
      <c r="X51" s="334" t="s">
        <v>18</v>
      </c>
      <c r="Y51" s="344">
        <v>52.1</v>
      </c>
      <c r="AD51" s="343"/>
      <c r="AG51" s="344"/>
      <c r="AL51" s="343"/>
      <c r="AO51" s="344"/>
      <c r="AP51" s="343"/>
      <c r="AS51" s="344"/>
      <c r="AW51" s="344"/>
      <c r="BA51" s="345"/>
    </row>
    <row r="52" spans="1:53" s="334" customFormat="1">
      <c r="A52" s="386">
        <v>1981</v>
      </c>
      <c r="B52" s="355"/>
      <c r="C52" s="965" t="s">
        <v>238</v>
      </c>
      <c r="D52" s="965"/>
      <c r="E52" s="334">
        <f>365-E51</f>
        <v>365</v>
      </c>
      <c r="G52" s="419"/>
      <c r="H52" s="334">
        <v>27</v>
      </c>
      <c r="J52" s="435">
        <v>27</v>
      </c>
      <c r="K52" s="384">
        <f t="shared" ref="K52:K57" si="20">G52/J52*100</f>
        <v>0</v>
      </c>
      <c r="L52" s="384">
        <f t="shared" ref="L52:L57" si="21">H52/J52*100</f>
        <v>100</v>
      </c>
      <c r="M52" s="384">
        <f t="shared" ref="M52:M57" si="22">I52/J52*100</f>
        <v>0</v>
      </c>
      <c r="N52" s="421">
        <f t="shared" si="3"/>
        <v>100</v>
      </c>
      <c r="O52" s="383"/>
      <c r="P52" s="384">
        <v>52.1</v>
      </c>
      <c r="Q52" s="384"/>
      <c r="R52" s="385">
        <f t="shared" si="4"/>
        <v>52.1</v>
      </c>
      <c r="S52" s="388">
        <v>1</v>
      </c>
      <c r="T52" s="342"/>
      <c r="U52" s="355"/>
      <c r="V52" s="343" t="s">
        <v>72</v>
      </c>
      <c r="W52" s="334" t="s">
        <v>22</v>
      </c>
      <c r="X52" s="334" t="s">
        <v>18</v>
      </c>
      <c r="Y52" s="344">
        <v>52.1</v>
      </c>
      <c r="AD52" s="343"/>
      <c r="AG52" s="344"/>
      <c r="AL52" s="343"/>
      <c r="AO52" s="344"/>
      <c r="AP52" s="343"/>
      <c r="AS52" s="344"/>
      <c r="AW52" s="344"/>
      <c r="BA52" s="345"/>
    </row>
    <row r="53" spans="1:53" s="334" customFormat="1">
      <c r="A53" s="386">
        <v>1982</v>
      </c>
      <c r="B53" s="355"/>
      <c r="C53" s="965" t="s">
        <v>238</v>
      </c>
      <c r="D53" s="965"/>
      <c r="E53" s="334">
        <v>0</v>
      </c>
      <c r="G53" s="419"/>
      <c r="H53" s="334">
        <v>27</v>
      </c>
      <c r="J53" s="435">
        <v>27</v>
      </c>
      <c r="K53" s="384">
        <f t="shared" si="20"/>
        <v>0</v>
      </c>
      <c r="L53" s="384">
        <f t="shared" si="21"/>
        <v>100</v>
      </c>
      <c r="M53" s="384">
        <f t="shared" si="22"/>
        <v>0</v>
      </c>
      <c r="N53" s="421">
        <f t="shared" si="3"/>
        <v>100</v>
      </c>
      <c r="O53" s="383"/>
      <c r="P53" s="384">
        <v>52.1</v>
      </c>
      <c r="Q53" s="384"/>
      <c r="R53" s="385">
        <f t="shared" si="4"/>
        <v>52.1</v>
      </c>
      <c r="S53" s="388">
        <v>1</v>
      </c>
      <c r="T53" s="342"/>
      <c r="U53" s="355"/>
      <c r="V53" s="343" t="s">
        <v>72</v>
      </c>
      <c r="W53" s="334" t="s">
        <v>22</v>
      </c>
      <c r="X53" s="334" t="s">
        <v>18</v>
      </c>
      <c r="Y53" s="344">
        <v>52.1</v>
      </c>
      <c r="AD53" s="343"/>
      <c r="AG53" s="344"/>
      <c r="AL53" s="343"/>
      <c r="AO53" s="344"/>
      <c r="AP53" s="343"/>
      <c r="AS53" s="344"/>
      <c r="AW53" s="344"/>
      <c r="BA53" s="345"/>
    </row>
    <row r="54" spans="1:53" s="334" customFormat="1">
      <c r="A54" s="386">
        <v>1982</v>
      </c>
      <c r="B54" s="355"/>
      <c r="C54" s="965" t="s">
        <v>238</v>
      </c>
      <c r="D54" s="965"/>
      <c r="E54" s="334">
        <f>365-E53</f>
        <v>365</v>
      </c>
      <c r="G54" s="419"/>
      <c r="H54" s="334">
        <v>27</v>
      </c>
      <c r="J54" s="435">
        <v>27</v>
      </c>
      <c r="K54" s="384">
        <f t="shared" si="20"/>
        <v>0</v>
      </c>
      <c r="L54" s="384">
        <f t="shared" si="21"/>
        <v>100</v>
      </c>
      <c r="M54" s="384">
        <f t="shared" si="22"/>
        <v>0</v>
      </c>
      <c r="N54" s="421">
        <f t="shared" si="3"/>
        <v>100</v>
      </c>
      <c r="O54" s="383"/>
      <c r="P54" s="384">
        <v>52.1</v>
      </c>
      <c r="Q54" s="384"/>
      <c r="R54" s="385">
        <f t="shared" si="4"/>
        <v>52.1</v>
      </c>
      <c r="S54" s="388">
        <v>1</v>
      </c>
      <c r="T54" s="342"/>
      <c r="U54" s="355"/>
      <c r="V54" s="343" t="s">
        <v>72</v>
      </c>
      <c r="W54" s="334" t="s">
        <v>22</v>
      </c>
      <c r="X54" s="334" t="s">
        <v>18</v>
      </c>
      <c r="Y54" s="344">
        <v>52.1</v>
      </c>
      <c r="AD54" s="343"/>
      <c r="AG54" s="344"/>
      <c r="AL54" s="343"/>
      <c r="AO54" s="344"/>
      <c r="AP54" s="343"/>
      <c r="AS54" s="344"/>
      <c r="AW54" s="344"/>
      <c r="BA54" s="345"/>
    </row>
    <row r="55" spans="1:53" s="334" customFormat="1">
      <c r="A55" s="386">
        <v>1983</v>
      </c>
      <c r="B55" s="355"/>
      <c r="C55" s="965" t="s">
        <v>238</v>
      </c>
      <c r="D55" s="965"/>
      <c r="E55" s="334">
        <v>180</v>
      </c>
      <c r="G55" s="419"/>
      <c r="H55" s="334">
        <v>27</v>
      </c>
      <c r="J55" s="435">
        <v>27</v>
      </c>
      <c r="K55" s="384">
        <f t="shared" si="20"/>
        <v>0</v>
      </c>
      <c r="L55" s="384">
        <f t="shared" si="21"/>
        <v>100</v>
      </c>
      <c r="M55" s="384">
        <f t="shared" si="22"/>
        <v>0</v>
      </c>
      <c r="N55" s="421">
        <f t="shared" si="3"/>
        <v>100</v>
      </c>
      <c r="O55" s="383"/>
      <c r="P55" s="384">
        <v>52.1</v>
      </c>
      <c r="Q55" s="384"/>
      <c r="R55" s="385">
        <f t="shared" si="4"/>
        <v>52.1</v>
      </c>
      <c r="S55" s="388">
        <v>1</v>
      </c>
      <c r="T55" s="342"/>
      <c r="U55" s="355"/>
      <c r="V55" s="343" t="s">
        <v>72</v>
      </c>
      <c r="W55" s="334" t="s">
        <v>22</v>
      </c>
      <c r="X55" s="334" t="s">
        <v>18</v>
      </c>
      <c r="Y55" s="344">
        <v>52.1</v>
      </c>
      <c r="AD55" s="343"/>
      <c r="AG55" s="344"/>
      <c r="AL55" s="343"/>
      <c r="AO55" s="344"/>
      <c r="AP55" s="343"/>
      <c r="AS55" s="344"/>
      <c r="AW55" s="344"/>
      <c r="BA55" s="345"/>
    </row>
    <row r="56" spans="1:53" s="73" customFormat="1">
      <c r="A56" s="102">
        <v>1983</v>
      </c>
      <c r="B56" s="85">
        <v>30497</v>
      </c>
      <c r="C56" s="966" t="s">
        <v>239</v>
      </c>
      <c r="D56" s="966"/>
      <c r="E56" s="73">
        <f>365-E55</f>
        <v>185</v>
      </c>
      <c r="F56" s="73">
        <v>2</v>
      </c>
      <c r="G56" s="123"/>
      <c r="H56" s="73">
        <v>25</v>
      </c>
      <c r="J56" s="134">
        <v>25</v>
      </c>
      <c r="K56" s="92">
        <f t="shared" si="20"/>
        <v>0</v>
      </c>
      <c r="L56" s="92">
        <f t="shared" si="21"/>
        <v>100</v>
      </c>
      <c r="M56" s="92">
        <f t="shared" si="22"/>
        <v>0</v>
      </c>
      <c r="N56" s="125">
        <f t="shared" si="3"/>
        <v>100</v>
      </c>
      <c r="O56" s="91"/>
      <c r="P56" s="92">
        <v>52.1</v>
      </c>
      <c r="Q56" s="92"/>
      <c r="R56" s="93">
        <f t="shared" si="4"/>
        <v>52.1</v>
      </c>
      <c r="S56" s="97">
        <v>1</v>
      </c>
      <c r="T56" s="95"/>
      <c r="U56" s="85">
        <v>30497</v>
      </c>
      <c r="V56" s="82" t="s">
        <v>72</v>
      </c>
      <c r="W56" s="73" t="s">
        <v>22</v>
      </c>
      <c r="X56" s="73" t="s">
        <v>18</v>
      </c>
      <c r="Y56" s="83">
        <v>52.1</v>
      </c>
      <c r="AD56" s="82"/>
      <c r="AG56" s="83"/>
      <c r="AL56" s="82"/>
      <c r="AO56" s="83"/>
      <c r="AP56" s="82"/>
      <c r="AS56" s="83"/>
      <c r="AW56" s="83"/>
      <c r="BA56" s="84"/>
    </row>
    <row r="57" spans="1:53" s="73" customFormat="1">
      <c r="A57" s="102">
        <v>1984</v>
      </c>
      <c r="B57" s="85"/>
      <c r="C57" s="966" t="s">
        <v>239</v>
      </c>
      <c r="D57" s="966"/>
      <c r="E57" s="73">
        <v>260</v>
      </c>
      <c r="G57" s="123"/>
      <c r="H57" s="73">
        <v>25</v>
      </c>
      <c r="J57" s="134">
        <v>25</v>
      </c>
      <c r="K57" s="92">
        <f t="shared" si="20"/>
        <v>0</v>
      </c>
      <c r="L57" s="92">
        <f t="shared" si="21"/>
        <v>100</v>
      </c>
      <c r="M57" s="92">
        <f t="shared" si="22"/>
        <v>0</v>
      </c>
      <c r="N57" s="125">
        <f t="shared" si="3"/>
        <v>100</v>
      </c>
      <c r="O57" s="91"/>
      <c r="P57" s="92">
        <v>52.1</v>
      </c>
      <c r="Q57" s="92"/>
      <c r="R57" s="93">
        <f t="shared" si="4"/>
        <v>52.1</v>
      </c>
      <c r="S57" s="97">
        <v>1</v>
      </c>
      <c r="T57" s="95"/>
      <c r="U57" s="85"/>
      <c r="V57" s="82" t="s">
        <v>72</v>
      </c>
      <c r="W57" s="73" t="s">
        <v>22</v>
      </c>
      <c r="X57" s="73" t="s">
        <v>18</v>
      </c>
      <c r="Y57" s="83">
        <v>52.1</v>
      </c>
      <c r="AD57" s="82"/>
      <c r="AG57" s="83"/>
      <c r="AL57" s="82"/>
      <c r="AO57" s="83"/>
      <c r="AP57" s="82"/>
      <c r="AS57" s="83"/>
      <c r="AW57" s="83"/>
      <c r="BA57" s="84"/>
    </row>
    <row r="58" spans="1:53" s="334" customFormat="1">
      <c r="A58" s="386">
        <v>1984</v>
      </c>
      <c r="B58" s="355">
        <v>30942</v>
      </c>
      <c r="C58" s="965" t="s">
        <v>240</v>
      </c>
      <c r="D58" s="965"/>
      <c r="E58" s="334">
        <v>106</v>
      </c>
      <c r="F58" s="334">
        <v>1</v>
      </c>
      <c r="G58" s="419">
        <v>30</v>
      </c>
      <c r="J58" s="435">
        <v>30</v>
      </c>
      <c r="K58" s="384">
        <f>G58/J58*100</f>
        <v>100</v>
      </c>
      <c r="L58" s="384">
        <f>H58/J58*100</f>
        <v>0</v>
      </c>
      <c r="M58" s="384">
        <f>I58/J58*100</f>
        <v>0</v>
      </c>
      <c r="N58" s="421">
        <f t="shared" si="3"/>
        <v>100</v>
      </c>
      <c r="O58" s="383">
        <v>74.8</v>
      </c>
      <c r="P58" s="384"/>
      <c r="Q58" s="384"/>
      <c r="R58" s="385">
        <f t="shared" si="4"/>
        <v>74.8</v>
      </c>
      <c r="S58" s="388">
        <v>1</v>
      </c>
      <c r="T58" s="342">
        <v>30929</v>
      </c>
      <c r="U58" s="355">
        <v>30942</v>
      </c>
      <c r="V58" s="343" t="s">
        <v>101</v>
      </c>
      <c r="W58" s="334" t="s">
        <v>74</v>
      </c>
      <c r="X58" s="334" t="s">
        <v>11</v>
      </c>
      <c r="Y58" s="344">
        <v>74.8</v>
      </c>
      <c r="AD58" s="343"/>
      <c r="AG58" s="344"/>
      <c r="AL58" s="343"/>
      <c r="AO58" s="344"/>
      <c r="AP58" s="343"/>
      <c r="AS58" s="344"/>
      <c r="AW58" s="344"/>
      <c r="BA58" s="345"/>
    </row>
    <row r="59" spans="1:53" s="334" customFormat="1">
      <c r="A59" s="386">
        <v>1985</v>
      </c>
      <c r="B59" s="355"/>
      <c r="C59" s="965" t="s">
        <v>240</v>
      </c>
      <c r="D59" s="965"/>
      <c r="E59" s="334">
        <v>0</v>
      </c>
      <c r="G59" s="419">
        <v>30</v>
      </c>
      <c r="J59" s="435">
        <v>30</v>
      </c>
      <c r="K59" s="384">
        <f t="shared" ref="K59:K64" si="23">G59/J59*100</f>
        <v>100</v>
      </c>
      <c r="L59" s="384">
        <f t="shared" ref="L59:L64" si="24">H59/J59*100</f>
        <v>0</v>
      </c>
      <c r="M59" s="384">
        <f t="shared" ref="M59:M64" si="25">I59/J59*100</f>
        <v>0</v>
      </c>
      <c r="N59" s="421">
        <f t="shared" si="3"/>
        <v>100</v>
      </c>
      <c r="O59" s="383">
        <v>74.8</v>
      </c>
      <c r="P59" s="384"/>
      <c r="Q59" s="384"/>
      <c r="R59" s="385">
        <f t="shared" si="4"/>
        <v>74.8</v>
      </c>
      <c r="S59" s="388">
        <v>1</v>
      </c>
      <c r="T59" s="342"/>
      <c r="U59" s="355"/>
      <c r="V59" s="343" t="s">
        <v>101</v>
      </c>
      <c r="W59" s="334" t="s">
        <v>74</v>
      </c>
      <c r="X59" s="334" t="s">
        <v>11</v>
      </c>
      <c r="Y59" s="344">
        <v>74.8</v>
      </c>
      <c r="AD59" s="343"/>
      <c r="AG59" s="344"/>
      <c r="AL59" s="343"/>
      <c r="AO59" s="344"/>
      <c r="AP59" s="343"/>
      <c r="AS59" s="344"/>
      <c r="AW59" s="344"/>
      <c r="BA59" s="345"/>
    </row>
    <row r="60" spans="1:53" s="334" customFormat="1">
      <c r="A60" s="386">
        <v>1985</v>
      </c>
      <c r="B60" s="355"/>
      <c r="C60" s="965" t="s">
        <v>240</v>
      </c>
      <c r="D60" s="965"/>
      <c r="E60" s="334">
        <v>365</v>
      </c>
      <c r="G60" s="419">
        <v>30</v>
      </c>
      <c r="J60" s="435">
        <v>30</v>
      </c>
      <c r="K60" s="384">
        <f t="shared" si="23"/>
        <v>100</v>
      </c>
      <c r="L60" s="384">
        <f t="shared" si="24"/>
        <v>0</v>
      </c>
      <c r="M60" s="384">
        <f t="shared" si="25"/>
        <v>0</v>
      </c>
      <c r="N60" s="421">
        <f t="shared" si="3"/>
        <v>100</v>
      </c>
      <c r="O60" s="383">
        <v>74.8</v>
      </c>
      <c r="P60" s="384"/>
      <c r="Q60" s="384"/>
      <c r="R60" s="385">
        <f t="shared" si="4"/>
        <v>74.8</v>
      </c>
      <c r="S60" s="388">
        <v>1</v>
      </c>
      <c r="T60" s="342"/>
      <c r="U60" s="355"/>
      <c r="V60" s="343" t="s">
        <v>101</v>
      </c>
      <c r="W60" s="334" t="s">
        <v>74</v>
      </c>
      <c r="X60" s="334" t="s">
        <v>11</v>
      </c>
      <c r="Y60" s="344">
        <v>74.8</v>
      </c>
      <c r="AD60" s="343"/>
      <c r="AG60" s="344"/>
      <c r="AL60" s="343"/>
      <c r="AO60" s="344"/>
      <c r="AP60" s="343"/>
      <c r="AS60" s="344"/>
      <c r="AW60" s="344"/>
      <c r="BA60" s="345"/>
    </row>
    <row r="61" spans="1:53" s="334" customFormat="1">
      <c r="A61" s="386">
        <v>1986</v>
      </c>
      <c r="B61" s="355"/>
      <c r="C61" s="965" t="s">
        <v>240</v>
      </c>
      <c r="D61" s="965"/>
      <c r="E61" s="334">
        <f>365-E60</f>
        <v>0</v>
      </c>
      <c r="G61" s="419">
        <v>30</v>
      </c>
      <c r="J61" s="435">
        <v>30</v>
      </c>
      <c r="K61" s="384">
        <f t="shared" si="23"/>
        <v>100</v>
      </c>
      <c r="L61" s="384">
        <f t="shared" si="24"/>
        <v>0</v>
      </c>
      <c r="M61" s="384">
        <f t="shared" si="25"/>
        <v>0</v>
      </c>
      <c r="N61" s="421">
        <f t="shared" si="3"/>
        <v>100</v>
      </c>
      <c r="O61" s="383">
        <v>74.8</v>
      </c>
      <c r="P61" s="384"/>
      <c r="Q61" s="384"/>
      <c r="R61" s="385">
        <f t="shared" si="4"/>
        <v>74.8</v>
      </c>
      <c r="S61" s="388">
        <v>1</v>
      </c>
      <c r="T61" s="342"/>
      <c r="U61" s="355"/>
      <c r="V61" s="343" t="s">
        <v>101</v>
      </c>
      <c r="W61" s="334" t="s">
        <v>74</v>
      </c>
      <c r="X61" s="334" t="s">
        <v>11</v>
      </c>
      <c r="Y61" s="344">
        <v>74.8</v>
      </c>
      <c r="AD61" s="343"/>
      <c r="AG61" s="344"/>
      <c r="AL61" s="343"/>
      <c r="AO61" s="344"/>
      <c r="AP61" s="343"/>
      <c r="AS61" s="344"/>
      <c r="AW61" s="344"/>
      <c r="BA61" s="345"/>
    </row>
    <row r="62" spans="1:53" s="334" customFormat="1">
      <c r="A62" s="386">
        <v>1986</v>
      </c>
      <c r="B62" s="355"/>
      <c r="C62" s="965" t="s">
        <v>240</v>
      </c>
      <c r="D62" s="965"/>
      <c r="E62" s="334">
        <v>365</v>
      </c>
      <c r="G62" s="419">
        <v>30</v>
      </c>
      <c r="J62" s="435">
        <v>30</v>
      </c>
      <c r="K62" s="384">
        <f t="shared" si="23"/>
        <v>100</v>
      </c>
      <c r="L62" s="384">
        <f t="shared" si="24"/>
        <v>0</v>
      </c>
      <c r="M62" s="384">
        <f t="shared" si="25"/>
        <v>0</v>
      </c>
      <c r="N62" s="421">
        <f t="shared" si="3"/>
        <v>100</v>
      </c>
      <c r="O62" s="383">
        <v>74.8</v>
      </c>
      <c r="P62" s="384"/>
      <c r="Q62" s="384"/>
      <c r="R62" s="385">
        <f t="shared" si="4"/>
        <v>74.8</v>
      </c>
      <c r="S62" s="388">
        <v>1</v>
      </c>
      <c r="T62" s="342"/>
      <c r="U62" s="355"/>
      <c r="V62" s="343" t="s">
        <v>101</v>
      </c>
      <c r="W62" s="334" t="s">
        <v>74</v>
      </c>
      <c r="X62" s="334" t="s">
        <v>11</v>
      </c>
      <c r="Y62" s="344">
        <v>74.8</v>
      </c>
      <c r="AD62" s="343"/>
      <c r="AG62" s="344"/>
      <c r="AL62" s="343"/>
      <c r="AO62" s="344"/>
      <c r="AP62" s="343"/>
      <c r="AS62" s="344"/>
      <c r="AW62" s="344"/>
      <c r="BA62" s="345"/>
    </row>
    <row r="63" spans="1:53" s="334" customFormat="1">
      <c r="A63" s="386">
        <v>1987</v>
      </c>
      <c r="B63" s="355"/>
      <c r="C63" s="965" t="s">
        <v>240</v>
      </c>
      <c r="D63" s="965"/>
      <c r="E63" s="334">
        <f>365-E62</f>
        <v>0</v>
      </c>
      <c r="G63" s="419">
        <v>30</v>
      </c>
      <c r="J63" s="435">
        <v>30</v>
      </c>
      <c r="K63" s="384">
        <f t="shared" si="23"/>
        <v>100</v>
      </c>
      <c r="L63" s="384">
        <f t="shared" si="24"/>
        <v>0</v>
      </c>
      <c r="M63" s="384">
        <f t="shared" si="25"/>
        <v>0</v>
      </c>
      <c r="N63" s="421">
        <f t="shared" si="3"/>
        <v>100</v>
      </c>
      <c r="O63" s="383">
        <v>74.8</v>
      </c>
      <c r="P63" s="384"/>
      <c r="Q63" s="384"/>
      <c r="R63" s="385">
        <f t="shared" si="4"/>
        <v>74.8</v>
      </c>
      <c r="S63" s="388">
        <v>1</v>
      </c>
      <c r="T63" s="342"/>
      <c r="U63" s="355"/>
      <c r="V63" s="343" t="s">
        <v>101</v>
      </c>
      <c r="W63" s="334" t="s">
        <v>74</v>
      </c>
      <c r="X63" s="334" t="s">
        <v>11</v>
      </c>
      <c r="Y63" s="344">
        <v>74.8</v>
      </c>
      <c r="AD63" s="343"/>
      <c r="AG63" s="344"/>
      <c r="AL63" s="343"/>
      <c r="AO63" s="344"/>
      <c r="AP63" s="343"/>
      <c r="AS63" s="344"/>
      <c r="AW63" s="344"/>
      <c r="BA63" s="345"/>
    </row>
    <row r="64" spans="1:53" s="334" customFormat="1">
      <c r="A64" s="386">
        <v>1987</v>
      </c>
      <c r="B64" s="355"/>
      <c r="C64" s="965" t="s">
        <v>240</v>
      </c>
      <c r="D64" s="965"/>
      <c r="E64" s="334">
        <v>365</v>
      </c>
      <c r="G64" s="419">
        <v>30</v>
      </c>
      <c r="J64" s="435">
        <v>30</v>
      </c>
      <c r="K64" s="384">
        <f t="shared" si="23"/>
        <v>100</v>
      </c>
      <c r="L64" s="384">
        <f t="shared" si="24"/>
        <v>0</v>
      </c>
      <c r="M64" s="384">
        <f t="shared" si="25"/>
        <v>0</v>
      </c>
      <c r="N64" s="421">
        <f t="shared" si="3"/>
        <v>100</v>
      </c>
      <c r="O64" s="383">
        <v>74.8</v>
      </c>
      <c r="P64" s="384"/>
      <c r="Q64" s="384"/>
      <c r="R64" s="385">
        <f t="shared" si="4"/>
        <v>74.8</v>
      </c>
      <c r="S64" s="388">
        <v>1</v>
      </c>
      <c r="T64" s="342"/>
      <c r="U64" s="355"/>
      <c r="V64" s="343" t="s">
        <v>101</v>
      </c>
      <c r="W64" s="334" t="s">
        <v>74</v>
      </c>
      <c r="X64" s="334" t="s">
        <v>11</v>
      </c>
      <c r="Y64" s="344">
        <v>74.8</v>
      </c>
      <c r="AD64" s="343"/>
      <c r="AG64" s="344"/>
      <c r="AL64" s="343"/>
      <c r="AO64" s="344"/>
      <c r="AP64" s="343"/>
      <c r="AS64" s="344"/>
      <c r="AW64" s="344"/>
      <c r="BA64" s="345"/>
    </row>
    <row r="65" spans="1:53" s="334" customFormat="1">
      <c r="A65" s="386">
        <v>1988</v>
      </c>
      <c r="B65" s="355"/>
      <c r="C65" s="965" t="s">
        <v>240</v>
      </c>
      <c r="D65" s="965"/>
      <c r="E65" s="334">
        <v>341</v>
      </c>
      <c r="G65" s="419">
        <v>30</v>
      </c>
      <c r="J65" s="435">
        <v>30</v>
      </c>
      <c r="K65" s="384">
        <f>G65/J65*100</f>
        <v>100</v>
      </c>
      <c r="L65" s="384">
        <f>H65/J65*100</f>
        <v>0</v>
      </c>
      <c r="M65" s="384">
        <f>I65/J65*100</f>
        <v>0</v>
      </c>
      <c r="N65" s="421">
        <f t="shared" si="3"/>
        <v>100</v>
      </c>
      <c r="O65" s="383">
        <v>74.8</v>
      </c>
      <c r="P65" s="384"/>
      <c r="Q65" s="384"/>
      <c r="R65" s="385">
        <f t="shared" si="4"/>
        <v>74.8</v>
      </c>
      <c r="S65" s="388">
        <v>1</v>
      </c>
      <c r="T65" s="342"/>
      <c r="U65" s="355"/>
      <c r="V65" s="343" t="s">
        <v>101</v>
      </c>
      <c r="W65" s="334" t="s">
        <v>74</v>
      </c>
      <c r="X65" s="334" t="s">
        <v>11</v>
      </c>
      <c r="Y65" s="344">
        <v>74.8</v>
      </c>
      <c r="AD65" s="343"/>
      <c r="AG65" s="344"/>
      <c r="AL65" s="343"/>
      <c r="AO65" s="344"/>
      <c r="AP65" s="343"/>
      <c r="AS65" s="344"/>
      <c r="AW65" s="344"/>
      <c r="BA65" s="345"/>
    </row>
    <row r="66" spans="1:53" s="73" customFormat="1">
      <c r="A66" s="102">
        <v>1988</v>
      </c>
      <c r="B66" s="85">
        <v>32484</v>
      </c>
      <c r="C66" s="966" t="s">
        <v>241</v>
      </c>
      <c r="D66" s="966"/>
      <c r="E66" s="73">
        <v>25</v>
      </c>
      <c r="F66" s="73">
        <v>1</v>
      </c>
      <c r="G66" s="123">
        <v>22</v>
      </c>
      <c r="J66" s="134">
        <v>22</v>
      </c>
      <c r="K66" s="92">
        <f>G66/J66*100</f>
        <v>100</v>
      </c>
      <c r="L66" s="92">
        <f>H66/J66*100</f>
        <v>0</v>
      </c>
      <c r="M66" s="92">
        <f>I66/J66*100</f>
        <v>0</v>
      </c>
      <c r="N66" s="125">
        <f t="shared" si="3"/>
        <v>100</v>
      </c>
      <c r="O66" s="91">
        <v>57.3</v>
      </c>
      <c r="P66" s="92"/>
      <c r="Q66" s="92"/>
      <c r="R66" s="93">
        <f t="shared" si="4"/>
        <v>57.3</v>
      </c>
      <c r="S66" s="97">
        <v>1</v>
      </c>
      <c r="T66" s="95">
        <v>32468</v>
      </c>
      <c r="U66" s="85">
        <v>32484</v>
      </c>
      <c r="V66" s="82" t="s">
        <v>101</v>
      </c>
      <c r="W66" s="73" t="s">
        <v>74</v>
      </c>
      <c r="X66" s="73" t="s">
        <v>11</v>
      </c>
      <c r="Y66" s="83">
        <v>57.3</v>
      </c>
      <c r="AD66" s="82"/>
      <c r="AG66" s="83"/>
      <c r="AL66" s="82"/>
      <c r="AO66" s="83"/>
      <c r="AP66" s="82"/>
      <c r="AS66" s="83"/>
      <c r="AW66" s="83"/>
      <c r="BA66" s="84"/>
    </row>
    <row r="67" spans="1:53" s="73" customFormat="1">
      <c r="A67" s="73">
        <v>1989</v>
      </c>
      <c r="B67" s="85"/>
      <c r="C67" s="966" t="s">
        <v>241</v>
      </c>
      <c r="D67" s="966"/>
      <c r="E67" s="73">
        <v>0</v>
      </c>
      <c r="G67" s="123">
        <v>22</v>
      </c>
      <c r="J67" s="134">
        <v>22</v>
      </c>
      <c r="K67" s="92">
        <f>G67/J67*100</f>
        <v>100</v>
      </c>
      <c r="L67" s="92">
        <f>H67/J67*100</f>
        <v>0</v>
      </c>
      <c r="M67" s="92">
        <f>I67/J67*100</f>
        <v>0</v>
      </c>
      <c r="N67" s="125">
        <f t="shared" si="3"/>
        <v>100</v>
      </c>
      <c r="O67" s="91">
        <v>57.3</v>
      </c>
      <c r="P67" s="92"/>
      <c r="Q67" s="92"/>
      <c r="R67" s="93">
        <f t="shared" si="4"/>
        <v>57.3</v>
      </c>
      <c r="S67" s="97">
        <v>1</v>
      </c>
      <c r="T67" s="95"/>
      <c r="U67" s="85"/>
      <c r="V67" s="82" t="s">
        <v>101</v>
      </c>
      <c r="W67" s="73" t="s">
        <v>74</v>
      </c>
      <c r="X67" s="73" t="s">
        <v>11</v>
      </c>
      <c r="Y67" s="83">
        <v>57.3</v>
      </c>
      <c r="AD67" s="82"/>
      <c r="AG67" s="83"/>
      <c r="AL67" s="82"/>
      <c r="AO67" s="83"/>
      <c r="AP67" s="82"/>
      <c r="AS67" s="83"/>
      <c r="AW67" s="83"/>
      <c r="BA67" s="84"/>
    </row>
    <row r="68" spans="1:53" s="136" customFormat="1">
      <c r="A68" s="136">
        <v>1989</v>
      </c>
      <c r="B68" s="137"/>
      <c r="C68" s="1000" t="s">
        <v>241</v>
      </c>
      <c r="D68" s="1000"/>
      <c r="E68" s="136">
        <f>365-E67</f>
        <v>365</v>
      </c>
      <c r="G68" s="138">
        <v>22</v>
      </c>
      <c r="J68" s="139">
        <v>22</v>
      </c>
      <c r="K68" s="140">
        <f>G68/J68*100</f>
        <v>100</v>
      </c>
      <c r="L68" s="140">
        <f>H68/J68*100</f>
        <v>0</v>
      </c>
      <c r="M68" s="140">
        <f>I68/J68*100</f>
        <v>0</v>
      </c>
      <c r="N68" s="141">
        <f t="shared" si="3"/>
        <v>100</v>
      </c>
      <c r="O68" s="142">
        <v>57.3</v>
      </c>
      <c r="P68" s="140"/>
      <c r="Q68" s="140"/>
      <c r="R68" s="143">
        <f t="shared" si="4"/>
        <v>57.3</v>
      </c>
      <c r="S68" s="144">
        <v>1</v>
      </c>
      <c r="T68" s="145"/>
      <c r="U68" s="137"/>
      <c r="V68" s="146" t="s">
        <v>101</v>
      </c>
      <c r="W68" s="136" t="s">
        <v>74</v>
      </c>
      <c r="X68" s="136" t="s">
        <v>11</v>
      </c>
      <c r="Y68" s="147">
        <v>57.3</v>
      </c>
      <c r="AD68" s="146"/>
      <c r="AG68" s="147"/>
      <c r="AL68" s="146"/>
      <c r="AO68" s="147"/>
      <c r="AP68" s="146"/>
      <c r="AS68" s="147"/>
      <c r="AW68" s="147"/>
      <c r="BA68" s="148"/>
    </row>
    <row r="69" spans="1:53" s="73" customFormat="1">
      <c r="A69" s="73">
        <v>1990</v>
      </c>
      <c r="B69" s="85"/>
      <c r="C69" s="966" t="s">
        <v>241</v>
      </c>
      <c r="D69" s="966"/>
      <c r="E69" s="73">
        <v>0</v>
      </c>
      <c r="G69" s="123">
        <v>22</v>
      </c>
      <c r="J69" s="134">
        <v>22</v>
      </c>
      <c r="K69" s="92">
        <v>100</v>
      </c>
      <c r="L69" s="92">
        <v>0</v>
      </c>
      <c r="M69" s="92">
        <v>0</v>
      </c>
      <c r="N69" s="125">
        <f t="shared" si="3"/>
        <v>100</v>
      </c>
      <c r="O69" s="91">
        <v>57.3</v>
      </c>
      <c r="P69" s="92"/>
      <c r="Q69" s="92"/>
      <c r="R69" s="93">
        <f t="shared" si="4"/>
        <v>57.3</v>
      </c>
      <c r="S69" s="97">
        <v>1</v>
      </c>
      <c r="T69" s="95"/>
      <c r="U69" s="85"/>
      <c r="V69" s="82" t="s">
        <v>101</v>
      </c>
      <c r="W69" s="73" t="s">
        <v>74</v>
      </c>
      <c r="X69" s="73" t="s">
        <v>11</v>
      </c>
      <c r="Y69" s="83">
        <v>57.3</v>
      </c>
      <c r="AD69" s="82"/>
      <c r="AG69" s="83"/>
      <c r="AL69" s="82"/>
      <c r="AO69" s="83"/>
      <c r="AP69" s="82"/>
      <c r="AS69" s="83"/>
      <c r="AW69" s="83"/>
      <c r="BA69" s="84"/>
    </row>
    <row r="70" spans="1:53" s="73" customFormat="1">
      <c r="A70" s="73">
        <v>1990</v>
      </c>
      <c r="B70" s="85"/>
      <c r="C70" s="966" t="s">
        <v>241</v>
      </c>
      <c r="D70" s="966"/>
      <c r="E70" s="73">
        <f>365-E69</f>
        <v>365</v>
      </c>
      <c r="G70" s="123">
        <v>22</v>
      </c>
      <c r="J70" s="134">
        <v>22</v>
      </c>
      <c r="K70" s="92">
        <v>100</v>
      </c>
      <c r="L70" s="92">
        <v>0</v>
      </c>
      <c r="M70" s="92">
        <v>0</v>
      </c>
      <c r="N70" s="125">
        <f t="shared" si="3"/>
        <v>100</v>
      </c>
      <c r="O70" s="91">
        <v>57.3</v>
      </c>
      <c r="P70" s="92"/>
      <c r="Q70" s="92"/>
      <c r="R70" s="93">
        <f t="shared" si="4"/>
        <v>57.3</v>
      </c>
      <c r="S70" s="97">
        <v>1</v>
      </c>
      <c r="T70" s="95"/>
      <c r="U70" s="85"/>
      <c r="V70" s="82" t="s">
        <v>101</v>
      </c>
      <c r="W70" s="73" t="s">
        <v>74</v>
      </c>
      <c r="X70" s="73" t="s">
        <v>11</v>
      </c>
      <c r="Y70" s="83">
        <v>57.3</v>
      </c>
      <c r="AD70" s="82"/>
      <c r="AG70" s="83"/>
      <c r="AL70" s="82"/>
      <c r="AO70" s="83"/>
      <c r="AP70" s="82"/>
      <c r="AS70" s="83"/>
      <c r="AW70" s="83"/>
      <c r="BA70" s="84"/>
    </row>
    <row r="71" spans="1:53" s="73" customFormat="1">
      <c r="A71" s="73">
        <v>1991</v>
      </c>
      <c r="B71" s="85"/>
      <c r="C71" s="966" t="s">
        <v>241</v>
      </c>
      <c r="D71" s="966"/>
      <c r="E71" s="73">
        <v>0</v>
      </c>
      <c r="G71" s="123">
        <v>22</v>
      </c>
      <c r="J71" s="134">
        <v>22</v>
      </c>
      <c r="K71" s="92">
        <f>G71/J71*100</f>
        <v>100</v>
      </c>
      <c r="L71" s="92">
        <f>H71/J71*100</f>
        <v>0</v>
      </c>
      <c r="M71" s="92">
        <f>I71/J71*100</f>
        <v>0</v>
      </c>
      <c r="N71" s="125">
        <f t="shared" si="3"/>
        <v>100</v>
      </c>
      <c r="O71" s="91">
        <v>57.3</v>
      </c>
      <c r="P71" s="92"/>
      <c r="Q71" s="92"/>
      <c r="R71" s="93">
        <f t="shared" si="4"/>
        <v>57.3</v>
      </c>
      <c r="S71" s="97">
        <v>1</v>
      </c>
      <c r="T71" s="95"/>
      <c r="U71" s="85"/>
      <c r="V71" s="82" t="s">
        <v>101</v>
      </c>
      <c r="W71" s="73" t="s">
        <v>74</v>
      </c>
      <c r="X71" s="73" t="s">
        <v>11</v>
      </c>
      <c r="Y71" s="83">
        <v>57.3</v>
      </c>
      <c r="AD71" s="82"/>
      <c r="AG71" s="83"/>
      <c r="AL71" s="82"/>
      <c r="AO71" s="83"/>
      <c r="AP71" s="82"/>
      <c r="AS71" s="83"/>
      <c r="AW71" s="83"/>
      <c r="BA71" s="84"/>
    </row>
    <row r="72" spans="1:53" s="73" customFormat="1">
      <c r="A72" s="73">
        <v>1991</v>
      </c>
      <c r="B72" s="85"/>
      <c r="C72" s="966" t="s">
        <v>241</v>
      </c>
      <c r="D72" s="966"/>
      <c r="E72" s="73">
        <f>365-E71</f>
        <v>365</v>
      </c>
      <c r="G72" s="123">
        <v>22</v>
      </c>
      <c r="J72" s="134">
        <v>22</v>
      </c>
      <c r="K72" s="92">
        <f>G72/J72*100</f>
        <v>100</v>
      </c>
      <c r="L72" s="92">
        <f>H72/J72*100</f>
        <v>0</v>
      </c>
      <c r="M72" s="92">
        <f>I72/J72*100</f>
        <v>0</v>
      </c>
      <c r="N72" s="125">
        <f t="shared" si="3"/>
        <v>100</v>
      </c>
      <c r="O72" s="91">
        <v>57.3</v>
      </c>
      <c r="P72" s="92"/>
      <c r="Q72" s="92"/>
      <c r="R72" s="93">
        <f t="shared" si="4"/>
        <v>57.3</v>
      </c>
      <c r="S72" s="97">
        <v>1</v>
      </c>
      <c r="T72" s="95"/>
      <c r="U72" s="85"/>
      <c r="V72" s="82" t="s">
        <v>101</v>
      </c>
      <c r="W72" s="73" t="s">
        <v>74</v>
      </c>
      <c r="X72" s="73" t="s">
        <v>11</v>
      </c>
      <c r="Y72" s="83">
        <v>57.3</v>
      </c>
      <c r="AD72" s="82"/>
      <c r="AG72" s="83"/>
      <c r="AL72" s="82"/>
      <c r="AO72" s="83"/>
      <c r="AP72" s="82"/>
      <c r="AS72" s="83"/>
      <c r="AW72" s="83"/>
      <c r="BA72" s="84"/>
    </row>
    <row r="73" spans="1:53" s="73" customFormat="1">
      <c r="A73" s="73">
        <v>1992</v>
      </c>
      <c r="B73" s="85"/>
      <c r="C73" s="966" t="s">
        <v>241</v>
      </c>
      <c r="D73" s="966"/>
      <c r="E73" s="73">
        <v>0</v>
      </c>
      <c r="G73" s="123">
        <v>22</v>
      </c>
      <c r="J73" s="134">
        <v>22</v>
      </c>
      <c r="K73" s="92">
        <f>G73/J73*100</f>
        <v>100</v>
      </c>
      <c r="L73" s="92">
        <f>H73/J73*100</f>
        <v>0</v>
      </c>
      <c r="M73" s="92">
        <f>I73/J73*100</f>
        <v>0</v>
      </c>
      <c r="N73" s="125">
        <f t="shared" ref="N73:N117" si="26">SUM(K73:M73)</f>
        <v>100</v>
      </c>
      <c r="O73" s="91">
        <v>57.3</v>
      </c>
      <c r="P73" s="92"/>
      <c r="Q73" s="92"/>
      <c r="R73" s="93">
        <f t="shared" ref="R73:R117" si="27">SUM(O73:Q73)</f>
        <v>57.3</v>
      </c>
      <c r="S73" s="97">
        <v>1</v>
      </c>
      <c r="T73" s="95"/>
      <c r="U73" s="85"/>
      <c r="V73" s="82" t="s">
        <v>101</v>
      </c>
      <c r="W73" s="73" t="s">
        <v>74</v>
      </c>
      <c r="X73" s="73" t="s">
        <v>11</v>
      </c>
      <c r="Y73" s="83">
        <v>57.3</v>
      </c>
      <c r="AD73" s="82"/>
      <c r="AG73" s="83"/>
      <c r="AL73" s="82"/>
      <c r="AO73" s="83"/>
      <c r="AP73" s="82"/>
      <c r="AS73" s="83"/>
      <c r="AW73" s="83"/>
      <c r="BA73" s="84"/>
    </row>
    <row r="74" spans="1:53" s="73" customFormat="1">
      <c r="A74" s="73">
        <v>1992</v>
      </c>
      <c r="B74" s="85"/>
      <c r="C74" s="966" t="s">
        <v>241</v>
      </c>
      <c r="D74" s="966"/>
      <c r="E74" s="73">
        <v>366</v>
      </c>
      <c r="G74" s="123">
        <v>22</v>
      </c>
      <c r="J74" s="134">
        <v>22</v>
      </c>
      <c r="K74" s="92">
        <f>G74/J74*100</f>
        <v>100</v>
      </c>
      <c r="L74" s="92">
        <f>H74/J74*100</f>
        <v>0</v>
      </c>
      <c r="M74" s="92">
        <f>I74/J74*100</f>
        <v>0</v>
      </c>
      <c r="N74" s="125">
        <f t="shared" si="26"/>
        <v>100</v>
      </c>
      <c r="O74" s="91">
        <v>57.3</v>
      </c>
      <c r="P74" s="92"/>
      <c r="Q74" s="92"/>
      <c r="R74" s="93">
        <f t="shared" si="27"/>
        <v>57.3</v>
      </c>
      <c r="S74" s="97">
        <v>1</v>
      </c>
      <c r="T74" s="95"/>
      <c r="U74" s="85"/>
      <c r="V74" s="82" t="s">
        <v>101</v>
      </c>
      <c r="W74" s="73" t="s">
        <v>74</v>
      </c>
      <c r="X74" s="73" t="s">
        <v>11</v>
      </c>
      <c r="Y74" s="83">
        <v>57.3</v>
      </c>
      <c r="AD74" s="82"/>
      <c r="AG74" s="83"/>
      <c r="AL74" s="82"/>
      <c r="AO74" s="83"/>
      <c r="AP74" s="82"/>
      <c r="AS74" s="83"/>
      <c r="AW74" s="83"/>
      <c r="BA74" s="84"/>
    </row>
    <row r="75" spans="1:53" s="73" customFormat="1">
      <c r="A75" s="73">
        <v>1993</v>
      </c>
      <c r="B75" s="85"/>
      <c r="C75" s="966" t="s">
        <v>241</v>
      </c>
      <c r="D75" s="966"/>
      <c r="E75" s="73">
        <v>175</v>
      </c>
      <c r="G75" s="123">
        <v>22</v>
      </c>
      <c r="J75" s="134">
        <v>22</v>
      </c>
      <c r="K75" s="92">
        <f>G75/J75*100</f>
        <v>100</v>
      </c>
      <c r="L75" s="92">
        <f>H75/J75*100</f>
        <v>0</v>
      </c>
      <c r="M75" s="92">
        <f>I75/J75*100</f>
        <v>0</v>
      </c>
      <c r="N75" s="125">
        <f t="shared" si="26"/>
        <v>100</v>
      </c>
      <c r="O75" s="91">
        <v>57.3</v>
      </c>
      <c r="P75" s="92"/>
      <c r="Q75" s="92"/>
      <c r="R75" s="93">
        <f>SUM(O75:Q75)</f>
        <v>57.3</v>
      </c>
      <c r="S75" s="97">
        <v>1</v>
      </c>
      <c r="T75" s="95"/>
      <c r="U75" s="85"/>
      <c r="V75" s="82" t="s">
        <v>101</v>
      </c>
      <c r="W75" s="73" t="s">
        <v>74</v>
      </c>
      <c r="X75" s="73" t="s">
        <v>11</v>
      </c>
      <c r="Y75" s="83">
        <v>57.3</v>
      </c>
      <c r="AD75" s="82"/>
      <c r="AG75" s="83"/>
      <c r="AL75" s="82"/>
      <c r="AO75" s="83"/>
      <c r="AP75" s="82"/>
      <c r="AS75" s="83"/>
      <c r="AW75" s="83"/>
      <c r="BA75" s="84"/>
    </row>
    <row r="76" spans="1:53" s="334" customFormat="1">
      <c r="A76" s="334">
        <v>1993</v>
      </c>
      <c r="B76" s="355">
        <v>34145</v>
      </c>
      <c r="C76" s="965" t="s">
        <v>242</v>
      </c>
      <c r="D76" s="965"/>
      <c r="E76" s="334">
        <v>132</v>
      </c>
      <c r="F76" s="334">
        <v>2</v>
      </c>
      <c r="G76" s="419">
        <v>25</v>
      </c>
      <c r="J76" s="435">
        <v>25</v>
      </c>
      <c r="K76" s="384">
        <f t="shared" ref="K76:K99" si="28">G76/J76*100</f>
        <v>100</v>
      </c>
      <c r="L76" s="384">
        <f t="shared" ref="L76:L99" si="29">H76/J76*100</f>
        <v>0</v>
      </c>
      <c r="M76" s="384">
        <f t="shared" ref="M76:M99" si="30">I76/J76*100</f>
        <v>0</v>
      </c>
      <c r="N76" s="421">
        <f t="shared" si="26"/>
        <v>100</v>
      </c>
      <c r="O76" s="383">
        <v>57.3</v>
      </c>
      <c r="P76" s="384"/>
      <c r="Q76" s="384"/>
      <c r="R76" s="385">
        <f t="shared" si="27"/>
        <v>57.3</v>
      </c>
      <c r="S76" s="388">
        <v>1</v>
      </c>
      <c r="T76" s="342"/>
      <c r="U76" s="355"/>
      <c r="V76" s="343" t="s">
        <v>101</v>
      </c>
      <c r="W76" s="334" t="s">
        <v>74</v>
      </c>
      <c r="X76" s="334" t="s">
        <v>11</v>
      </c>
      <c r="Y76" s="344">
        <v>57.3</v>
      </c>
      <c r="AD76" s="343"/>
      <c r="AG76" s="344"/>
      <c r="AL76" s="343"/>
      <c r="AO76" s="344"/>
      <c r="AP76" s="343"/>
      <c r="AS76" s="344"/>
      <c r="AW76" s="344"/>
      <c r="BA76" s="345"/>
    </row>
    <row r="77" spans="1:53" s="73" customFormat="1">
      <c r="A77" s="73">
        <v>1993</v>
      </c>
      <c r="B77" s="85">
        <v>34277</v>
      </c>
      <c r="C77" s="988" t="s">
        <v>243</v>
      </c>
      <c r="D77" s="988"/>
      <c r="E77" s="73">
        <v>58</v>
      </c>
      <c r="F77" s="73">
        <v>1</v>
      </c>
      <c r="G77" s="123"/>
      <c r="H77" s="73">
        <v>23</v>
      </c>
      <c r="J77" s="134">
        <v>23</v>
      </c>
      <c r="K77" s="92">
        <f t="shared" si="28"/>
        <v>0</v>
      </c>
      <c r="L77" s="92">
        <f t="shared" si="29"/>
        <v>100</v>
      </c>
      <c r="M77" s="92">
        <f t="shared" si="30"/>
        <v>0</v>
      </c>
      <c r="N77" s="125">
        <f t="shared" si="26"/>
        <v>100</v>
      </c>
      <c r="O77" s="91"/>
      <c r="P77" s="92">
        <v>60</v>
      </c>
      <c r="Q77" s="92"/>
      <c r="R77" s="93">
        <f t="shared" si="27"/>
        <v>60</v>
      </c>
      <c r="S77" s="97">
        <v>1</v>
      </c>
      <c r="T77" s="95">
        <v>34267</v>
      </c>
      <c r="U77" s="85">
        <v>34277</v>
      </c>
      <c r="V77" s="82" t="s">
        <v>72</v>
      </c>
      <c r="W77" s="73" t="s">
        <v>22</v>
      </c>
      <c r="X77" s="73" t="s">
        <v>18</v>
      </c>
      <c r="Y77" s="83">
        <v>60</v>
      </c>
      <c r="AD77" s="82"/>
      <c r="AG77" s="83"/>
      <c r="AL77" s="82"/>
      <c r="AO77" s="83"/>
      <c r="AP77" s="82"/>
      <c r="AS77" s="83"/>
      <c r="AW77" s="83"/>
      <c r="BA77" s="84"/>
    </row>
    <row r="78" spans="1:53" s="73" customFormat="1">
      <c r="A78" s="73">
        <v>1994</v>
      </c>
      <c r="B78" s="85"/>
      <c r="C78" s="988" t="s">
        <v>243</v>
      </c>
      <c r="D78" s="988"/>
      <c r="E78" s="73">
        <v>0</v>
      </c>
      <c r="G78" s="123"/>
      <c r="H78" s="73">
        <v>23</v>
      </c>
      <c r="J78" s="134">
        <v>23</v>
      </c>
      <c r="K78" s="92">
        <f t="shared" si="28"/>
        <v>0</v>
      </c>
      <c r="L78" s="92">
        <f t="shared" si="29"/>
        <v>100</v>
      </c>
      <c r="M78" s="92">
        <f t="shared" si="30"/>
        <v>0</v>
      </c>
      <c r="N78" s="125">
        <f t="shared" si="26"/>
        <v>100</v>
      </c>
      <c r="O78" s="91"/>
      <c r="P78" s="92">
        <v>60</v>
      </c>
      <c r="Q78" s="92"/>
      <c r="R78" s="93">
        <f t="shared" si="27"/>
        <v>60</v>
      </c>
      <c r="S78" s="97">
        <v>1</v>
      </c>
      <c r="T78" s="95"/>
      <c r="U78" s="85"/>
      <c r="V78" s="82" t="s">
        <v>72</v>
      </c>
      <c r="W78" s="73" t="s">
        <v>22</v>
      </c>
      <c r="X78" s="73" t="s">
        <v>18</v>
      </c>
      <c r="Y78" s="83">
        <v>60</v>
      </c>
      <c r="AD78" s="82"/>
      <c r="AG78" s="83"/>
      <c r="AL78" s="82"/>
      <c r="AO78" s="83"/>
      <c r="AP78" s="82"/>
      <c r="AS78" s="83"/>
      <c r="AW78" s="83"/>
      <c r="BA78" s="84"/>
    </row>
    <row r="79" spans="1:53" s="73" customFormat="1">
      <c r="A79" s="73">
        <v>1994</v>
      </c>
      <c r="B79" s="85"/>
      <c r="C79" s="988" t="s">
        <v>243</v>
      </c>
      <c r="D79" s="988"/>
      <c r="E79" s="73">
        <f>365-E78</f>
        <v>365</v>
      </c>
      <c r="G79" s="123"/>
      <c r="H79" s="73">
        <v>23</v>
      </c>
      <c r="J79" s="134">
        <v>23</v>
      </c>
      <c r="K79" s="92">
        <f t="shared" si="28"/>
        <v>0</v>
      </c>
      <c r="L79" s="92">
        <f t="shared" si="29"/>
        <v>100</v>
      </c>
      <c r="M79" s="92">
        <f t="shared" si="30"/>
        <v>0</v>
      </c>
      <c r="N79" s="125">
        <f t="shared" si="26"/>
        <v>100</v>
      </c>
      <c r="O79" s="91"/>
      <c r="P79" s="92">
        <v>60</v>
      </c>
      <c r="Q79" s="92"/>
      <c r="R79" s="93">
        <f t="shared" si="27"/>
        <v>60</v>
      </c>
      <c r="S79" s="97">
        <v>1</v>
      </c>
      <c r="T79" s="95"/>
      <c r="U79" s="85"/>
      <c r="V79" s="82" t="s">
        <v>72</v>
      </c>
      <c r="W79" s="73" t="s">
        <v>22</v>
      </c>
      <c r="X79" s="73" t="s">
        <v>18</v>
      </c>
      <c r="Y79" s="83">
        <v>60</v>
      </c>
      <c r="AD79" s="82"/>
      <c r="AG79" s="83"/>
      <c r="AL79" s="82"/>
      <c r="AO79" s="83"/>
      <c r="AP79" s="82"/>
      <c r="AS79" s="83"/>
      <c r="AW79" s="83"/>
      <c r="BA79" s="84"/>
    </row>
    <row r="80" spans="1:53" s="73" customFormat="1">
      <c r="A80" s="73">
        <v>1995</v>
      </c>
      <c r="B80" s="85"/>
      <c r="C80" s="988" t="s">
        <v>243</v>
      </c>
      <c r="D80" s="988"/>
      <c r="E80" s="73">
        <v>0</v>
      </c>
      <c r="G80" s="123"/>
      <c r="H80" s="73">
        <v>23</v>
      </c>
      <c r="J80" s="134">
        <v>23</v>
      </c>
      <c r="K80" s="92">
        <f t="shared" si="28"/>
        <v>0</v>
      </c>
      <c r="L80" s="92">
        <f t="shared" si="29"/>
        <v>100</v>
      </c>
      <c r="M80" s="92">
        <f t="shared" si="30"/>
        <v>0</v>
      </c>
      <c r="N80" s="125">
        <f t="shared" si="26"/>
        <v>100</v>
      </c>
      <c r="O80" s="91"/>
      <c r="P80" s="92">
        <v>60</v>
      </c>
      <c r="Q80" s="92"/>
      <c r="R80" s="93">
        <f t="shared" si="27"/>
        <v>60</v>
      </c>
      <c r="S80" s="97">
        <v>1</v>
      </c>
      <c r="T80" s="95"/>
      <c r="U80" s="85"/>
      <c r="V80" s="82" t="s">
        <v>72</v>
      </c>
      <c r="W80" s="73" t="s">
        <v>22</v>
      </c>
      <c r="X80" s="73" t="s">
        <v>18</v>
      </c>
      <c r="Y80" s="83">
        <v>60</v>
      </c>
      <c r="AD80" s="82"/>
      <c r="AG80" s="83"/>
      <c r="AL80" s="82"/>
      <c r="AO80" s="83"/>
      <c r="AP80" s="82"/>
      <c r="AS80" s="83"/>
      <c r="AW80" s="83"/>
      <c r="BA80" s="84"/>
    </row>
    <row r="81" spans="1:53" s="73" customFormat="1">
      <c r="A81" s="73">
        <v>1995</v>
      </c>
      <c r="B81" s="85"/>
      <c r="C81" s="988" t="s">
        <v>243</v>
      </c>
      <c r="D81" s="988"/>
      <c r="E81" s="73">
        <f>365-E80</f>
        <v>365</v>
      </c>
      <c r="G81" s="123"/>
      <c r="H81" s="73">
        <v>23</v>
      </c>
      <c r="J81" s="134">
        <v>23</v>
      </c>
      <c r="K81" s="92">
        <f t="shared" si="28"/>
        <v>0</v>
      </c>
      <c r="L81" s="92">
        <f t="shared" si="29"/>
        <v>100</v>
      </c>
      <c r="M81" s="92">
        <f t="shared" si="30"/>
        <v>0</v>
      </c>
      <c r="N81" s="125">
        <f t="shared" si="26"/>
        <v>100</v>
      </c>
      <c r="O81" s="91"/>
      <c r="P81" s="92">
        <v>60</v>
      </c>
      <c r="Q81" s="92"/>
      <c r="R81" s="93">
        <f t="shared" si="27"/>
        <v>60</v>
      </c>
      <c r="S81" s="97">
        <v>1</v>
      </c>
      <c r="T81" s="95"/>
      <c r="U81" s="85"/>
      <c r="V81" s="82" t="s">
        <v>72</v>
      </c>
      <c r="W81" s="73" t="s">
        <v>22</v>
      </c>
      <c r="X81" s="73" t="s">
        <v>18</v>
      </c>
      <c r="Y81" s="83">
        <v>60</v>
      </c>
      <c r="AD81" s="82"/>
      <c r="AG81" s="83"/>
      <c r="AL81" s="82"/>
      <c r="AO81" s="83"/>
      <c r="AP81" s="82"/>
      <c r="AS81" s="83"/>
      <c r="AW81" s="83"/>
      <c r="BA81" s="84"/>
    </row>
    <row r="82" spans="1:53" s="73" customFormat="1">
      <c r="A82" s="73">
        <v>1996</v>
      </c>
      <c r="B82" s="85"/>
      <c r="C82" s="988" t="s">
        <v>243</v>
      </c>
      <c r="D82" s="988"/>
      <c r="E82" s="73">
        <v>0</v>
      </c>
      <c r="G82" s="123"/>
      <c r="H82" s="73">
        <v>23</v>
      </c>
      <c r="J82" s="134">
        <v>23</v>
      </c>
      <c r="K82" s="92">
        <f t="shared" si="28"/>
        <v>0</v>
      </c>
      <c r="L82" s="92">
        <f t="shared" si="29"/>
        <v>100</v>
      </c>
      <c r="M82" s="92">
        <f t="shared" si="30"/>
        <v>0</v>
      </c>
      <c r="N82" s="125">
        <f t="shared" si="26"/>
        <v>100</v>
      </c>
      <c r="O82" s="91"/>
      <c r="P82" s="92">
        <v>60</v>
      </c>
      <c r="Q82" s="92"/>
      <c r="R82" s="93">
        <f t="shared" si="27"/>
        <v>60</v>
      </c>
      <c r="S82" s="97">
        <v>1</v>
      </c>
      <c r="T82" s="95"/>
      <c r="U82" s="85"/>
      <c r="V82" s="82" t="s">
        <v>72</v>
      </c>
      <c r="W82" s="73" t="s">
        <v>22</v>
      </c>
      <c r="X82" s="73" t="s">
        <v>18</v>
      </c>
      <c r="Y82" s="83">
        <v>60</v>
      </c>
      <c r="AD82" s="82"/>
      <c r="AG82" s="83"/>
      <c r="AL82" s="82"/>
      <c r="AO82" s="83"/>
      <c r="AP82" s="82"/>
      <c r="AS82" s="83"/>
      <c r="AW82" s="83"/>
      <c r="BA82" s="84"/>
    </row>
    <row r="83" spans="1:53" s="73" customFormat="1">
      <c r="A83" s="73">
        <v>1996</v>
      </c>
      <c r="B83" s="85"/>
      <c r="C83" s="988" t="s">
        <v>243</v>
      </c>
      <c r="D83" s="988"/>
      <c r="E83" s="73">
        <v>366</v>
      </c>
      <c r="G83" s="123"/>
      <c r="H83" s="73">
        <v>25</v>
      </c>
      <c r="J83" s="134">
        <v>25</v>
      </c>
      <c r="K83" s="92">
        <f t="shared" si="28"/>
        <v>0</v>
      </c>
      <c r="L83" s="92">
        <f t="shared" si="29"/>
        <v>100</v>
      </c>
      <c r="M83" s="92">
        <f t="shared" si="30"/>
        <v>0</v>
      </c>
      <c r="N83" s="125">
        <f t="shared" si="26"/>
        <v>100</v>
      </c>
      <c r="O83" s="91"/>
      <c r="P83" s="92">
        <v>60</v>
      </c>
      <c r="Q83" s="92"/>
      <c r="R83" s="93">
        <f t="shared" si="27"/>
        <v>60</v>
      </c>
      <c r="S83" s="97">
        <v>1</v>
      </c>
      <c r="T83" s="95"/>
      <c r="U83" s="85"/>
      <c r="V83" s="82" t="s">
        <v>72</v>
      </c>
      <c r="W83" s="73" t="s">
        <v>22</v>
      </c>
      <c r="X83" s="73" t="s">
        <v>18</v>
      </c>
      <c r="Y83" s="83">
        <v>60</v>
      </c>
      <c r="AD83" s="82"/>
      <c r="AG83" s="83"/>
      <c r="AL83" s="82"/>
      <c r="AO83" s="83"/>
      <c r="AP83" s="82"/>
      <c r="AS83" s="83"/>
      <c r="AW83" s="83"/>
      <c r="BA83" s="84"/>
    </row>
    <row r="84" spans="1:53" s="73" customFormat="1">
      <c r="A84" s="73">
        <v>1997</v>
      </c>
      <c r="B84" s="85"/>
      <c r="C84" s="988" t="s">
        <v>243</v>
      </c>
      <c r="D84" s="988"/>
      <c r="E84" s="73">
        <v>161</v>
      </c>
      <c r="G84" s="123"/>
      <c r="H84" s="73">
        <v>25</v>
      </c>
      <c r="J84" s="134">
        <v>25</v>
      </c>
      <c r="K84" s="92">
        <f t="shared" si="28"/>
        <v>0</v>
      </c>
      <c r="L84" s="92">
        <f t="shared" si="29"/>
        <v>100</v>
      </c>
      <c r="M84" s="92">
        <f t="shared" si="30"/>
        <v>0</v>
      </c>
      <c r="N84" s="125">
        <f t="shared" si="26"/>
        <v>100</v>
      </c>
      <c r="O84" s="91"/>
      <c r="P84" s="92">
        <v>60</v>
      </c>
      <c r="Q84" s="92"/>
      <c r="R84" s="93">
        <f t="shared" si="27"/>
        <v>60</v>
      </c>
      <c r="S84" s="97">
        <v>1</v>
      </c>
      <c r="T84" s="95"/>
      <c r="U84" s="85"/>
      <c r="V84" s="82" t="s">
        <v>72</v>
      </c>
      <c r="W84" s="73" t="s">
        <v>22</v>
      </c>
      <c r="X84" s="73" t="s">
        <v>18</v>
      </c>
      <c r="Y84" s="83">
        <v>60</v>
      </c>
      <c r="AD84" s="82"/>
      <c r="AG84" s="83"/>
      <c r="AL84" s="82"/>
      <c r="AO84" s="83"/>
      <c r="AP84" s="82"/>
      <c r="AS84" s="83"/>
      <c r="AW84" s="83"/>
      <c r="BA84" s="84"/>
    </row>
    <row r="85" spans="1:53" s="334" customFormat="1">
      <c r="A85" s="334">
        <v>1997</v>
      </c>
      <c r="B85" s="355">
        <v>35592</v>
      </c>
      <c r="C85" s="992" t="s">
        <v>244</v>
      </c>
      <c r="D85" s="992"/>
      <c r="E85" s="334">
        <v>204</v>
      </c>
      <c r="F85" s="334">
        <v>1</v>
      </c>
      <c r="G85" s="419"/>
      <c r="H85" s="334">
        <v>28</v>
      </c>
      <c r="J85" s="435">
        <v>28</v>
      </c>
      <c r="K85" s="384">
        <f t="shared" si="28"/>
        <v>0</v>
      </c>
      <c r="L85" s="384">
        <f t="shared" si="29"/>
        <v>100</v>
      </c>
      <c r="M85" s="384">
        <f t="shared" si="30"/>
        <v>0</v>
      </c>
      <c r="N85" s="421">
        <f t="shared" si="26"/>
        <v>100</v>
      </c>
      <c r="O85" s="383"/>
      <c r="P85" s="384">
        <v>51.5</v>
      </c>
      <c r="Q85" s="384"/>
      <c r="R85" s="385">
        <f t="shared" si="27"/>
        <v>51.5</v>
      </c>
      <c r="S85" s="388">
        <v>1</v>
      </c>
      <c r="T85" s="342">
        <v>35583</v>
      </c>
      <c r="U85" s="355">
        <v>35592</v>
      </c>
      <c r="V85" s="343" t="s">
        <v>72</v>
      </c>
      <c r="W85" s="334" t="s">
        <v>22</v>
      </c>
      <c r="X85" s="334" t="s">
        <v>18</v>
      </c>
      <c r="Y85" s="344">
        <v>51.5</v>
      </c>
      <c r="AD85" s="343"/>
      <c r="AG85" s="344"/>
      <c r="AL85" s="343"/>
      <c r="AO85" s="344"/>
      <c r="AP85" s="343"/>
      <c r="AS85" s="344"/>
      <c r="AW85" s="344"/>
      <c r="BA85" s="345"/>
    </row>
    <row r="86" spans="1:53" s="334" customFormat="1">
      <c r="A86" s="334">
        <v>1998</v>
      </c>
      <c r="B86" s="355"/>
      <c r="C86" s="992" t="s">
        <v>244</v>
      </c>
      <c r="D86" s="992"/>
      <c r="E86" s="334">
        <v>0</v>
      </c>
      <c r="G86" s="419"/>
      <c r="H86" s="334">
        <v>28</v>
      </c>
      <c r="J86" s="435">
        <v>28</v>
      </c>
      <c r="K86" s="384">
        <f t="shared" si="28"/>
        <v>0</v>
      </c>
      <c r="L86" s="384">
        <f t="shared" si="29"/>
        <v>100</v>
      </c>
      <c r="M86" s="384">
        <f t="shared" si="30"/>
        <v>0</v>
      </c>
      <c r="N86" s="421">
        <f t="shared" si="26"/>
        <v>100</v>
      </c>
      <c r="O86" s="383"/>
      <c r="P86" s="384">
        <v>51.5</v>
      </c>
      <c r="Q86" s="384"/>
      <c r="R86" s="385">
        <f t="shared" si="27"/>
        <v>51.5</v>
      </c>
      <c r="S86" s="388">
        <v>1</v>
      </c>
      <c r="T86" s="342"/>
      <c r="U86" s="355"/>
      <c r="V86" s="343" t="s">
        <v>72</v>
      </c>
      <c r="W86" s="334" t="s">
        <v>22</v>
      </c>
      <c r="X86" s="334" t="s">
        <v>18</v>
      </c>
      <c r="Y86" s="344">
        <v>51.5</v>
      </c>
      <c r="AD86" s="343"/>
      <c r="AG86" s="344"/>
      <c r="AL86" s="343"/>
      <c r="AO86" s="344"/>
      <c r="AP86" s="343"/>
      <c r="AS86" s="344"/>
      <c r="AW86" s="344"/>
      <c r="BA86" s="345"/>
    </row>
    <row r="87" spans="1:53" s="334" customFormat="1">
      <c r="A87" s="334">
        <v>1998</v>
      </c>
      <c r="B87" s="355"/>
      <c r="C87" s="992" t="s">
        <v>244</v>
      </c>
      <c r="D87" s="992"/>
      <c r="E87" s="334">
        <f>365-E86</f>
        <v>365</v>
      </c>
      <c r="G87" s="419"/>
      <c r="H87" s="334">
        <v>28</v>
      </c>
      <c r="J87" s="435">
        <v>28</v>
      </c>
      <c r="K87" s="384">
        <f t="shared" si="28"/>
        <v>0</v>
      </c>
      <c r="L87" s="384">
        <f t="shared" si="29"/>
        <v>100</v>
      </c>
      <c r="M87" s="384">
        <f t="shared" si="30"/>
        <v>0</v>
      </c>
      <c r="N87" s="421">
        <f t="shared" si="26"/>
        <v>100</v>
      </c>
      <c r="O87" s="383"/>
      <c r="P87" s="384">
        <v>51.5</v>
      </c>
      <c r="Q87" s="384"/>
      <c r="R87" s="385">
        <f t="shared" si="27"/>
        <v>51.5</v>
      </c>
      <c r="S87" s="388">
        <v>1</v>
      </c>
      <c r="T87" s="342"/>
      <c r="U87" s="355"/>
      <c r="V87" s="343" t="s">
        <v>72</v>
      </c>
      <c r="W87" s="334" t="s">
        <v>22</v>
      </c>
      <c r="X87" s="334" t="s">
        <v>18</v>
      </c>
      <c r="Y87" s="344">
        <v>51.5</v>
      </c>
      <c r="AD87" s="343"/>
      <c r="AG87" s="344"/>
      <c r="AL87" s="343"/>
      <c r="AO87" s="344"/>
      <c r="AP87" s="343"/>
      <c r="AS87" s="344"/>
      <c r="AW87" s="344"/>
      <c r="BA87" s="345"/>
    </row>
    <row r="88" spans="1:53" s="334" customFormat="1">
      <c r="A88" s="334">
        <v>1999</v>
      </c>
      <c r="B88" s="355"/>
      <c r="C88" s="992" t="s">
        <v>244</v>
      </c>
      <c r="D88" s="992"/>
      <c r="E88" s="334">
        <v>0</v>
      </c>
      <c r="G88" s="419"/>
      <c r="H88" s="334">
        <v>28</v>
      </c>
      <c r="J88" s="435">
        <v>28</v>
      </c>
      <c r="K88" s="384">
        <f t="shared" si="28"/>
        <v>0</v>
      </c>
      <c r="L88" s="384">
        <f t="shared" si="29"/>
        <v>100</v>
      </c>
      <c r="M88" s="384">
        <f t="shared" si="30"/>
        <v>0</v>
      </c>
      <c r="N88" s="421">
        <f t="shared" si="26"/>
        <v>100</v>
      </c>
      <c r="O88" s="383"/>
      <c r="P88" s="384">
        <v>51.5</v>
      </c>
      <c r="Q88" s="384"/>
      <c r="R88" s="385">
        <f t="shared" si="27"/>
        <v>51.5</v>
      </c>
      <c r="S88" s="388">
        <v>1</v>
      </c>
      <c r="T88" s="342"/>
      <c r="U88" s="355"/>
      <c r="V88" s="343" t="s">
        <v>72</v>
      </c>
      <c r="W88" s="334" t="s">
        <v>22</v>
      </c>
      <c r="X88" s="334" t="s">
        <v>18</v>
      </c>
      <c r="Y88" s="344">
        <v>51.5</v>
      </c>
      <c r="AD88" s="343"/>
      <c r="AG88" s="344"/>
      <c r="AL88" s="343"/>
      <c r="AO88" s="344"/>
      <c r="AP88" s="343"/>
      <c r="AS88" s="344"/>
      <c r="AW88" s="344"/>
      <c r="BA88" s="345"/>
    </row>
    <row r="89" spans="1:53" s="334" customFormat="1">
      <c r="A89" s="334">
        <v>1999</v>
      </c>
      <c r="B89" s="355"/>
      <c r="C89" s="992" t="s">
        <v>244</v>
      </c>
      <c r="D89" s="992"/>
      <c r="E89" s="334">
        <f>365-E88</f>
        <v>365</v>
      </c>
      <c r="G89" s="419"/>
      <c r="H89" s="334">
        <v>28</v>
      </c>
      <c r="J89" s="435">
        <v>28</v>
      </c>
      <c r="K89" s="384">
        <f t="shared" si="28"/>
        <v>0</v>
      </c>
      <c r="L89" s="384">
        <f t="shared" si="29"/>
        <v>100</v>
      </c>
      <c r="M89" s="384">
        <f t="shared" si="30"/>
        <v>0</v>
      </c>
      <c r="N89" s="421">
        <f t="shared" si="26"/>
        <v>100</v>
      </c>
      <c r="O89" s="383"/>
      <c r="P89" s="384">
        <v>51.5</v>
      </c>
      <c r="Q89" s="384"/>
      <c r="R89" s="385">
        <f t="shared" si="27"/>
        <v>51.5</v>
      </c>
      <c r="S89" s="388">
        <v>1</v>
      </c>
      <c r="T89" s="342"/>
      <c r="U89" s="355"/>
      <c r="V89" s="343" t="s">
        <v>72</v>
      </c>
      <c r="W89" s="334" t="s">
        <v>22</v>
      </c>
      <c r="X89" s="334" t="s">
        <v>18</v>
      </c>
      <c r="Y89" s="344">
        <v>51.5</v>
      </c>
      <c r="AD89" s="343"/>
      <c r="AG89" s="344"/>
      <c r="AL89" s="343"/>
      <c r="AO89" s="344"/>
      <c r="AP89" s="343"/>
      <c r="AS89" s="344"/>
      <c r="AW89" s="344"/>
      <c r="BA89" s="345"/>
    </row>
    <row r="90" spans="1:53" s="334" customFormat="1">
      <c r="A90" s="334">
        <v>2000</v>
      </c>
      <c r="B90" s="355"/>
      <c r="C90" s="992" t="s">
        <v>244</v>
      </c>
      <c r="D90" s="992"/>
      <c r="E90" s="334">
        <v>331</v>
      </c>
      <c r="G90" s="419"/>
      <c r="H90" s="334">
        <v>28</v>
      </c>
      <c r="J90" s="435">
        <v>28</v>
      </c>
      <c r="K90" s="384">
        <f t="shared" si="28"/>
        <v>0</v>
      </c>
      <c r="L90" s="384">
        <f t="shared" si="29"/>
        <v>100</v>
      </c>
      <c r="M90" s="384">
        <f t="shared" si="30"/>
        <v>0</v>
      </c>
      <c r="N90" s="421">
        <f t="shared" si="26"/>
        <v>100</v>
      </c>
      <c r="O90" s="383"/>
      <c r="P90" s="384">
        <v>51.5</v>
      </c>
      <c r="Q90" s="384"/>
      <c r="R90" s="385">
        <f t="shared" si="27"/>
        <v>51.5</v>
      </c>
      <c r="S90" s="388">
        <v>1</v>
      </c>
      <c r="T90" s="342"/>
      <c r="U90" s="355"/>
      <c r="V90" s="343" t="s">
        <v>72</v>
      </c>
      <c r="W90" s="334" t="s">
        <v>22</v>
      </c>
      <c r="X90" s="334" t="s">
        <v>18</v>
      </c>
      <c r="Y90" s="344">
        <v>51.5</v>
      </c>
      <c r="AD90" s="343"/>
      <c r="AG90" s="344"/>
      <c r="AL90" s="343"/>
      <c r="AO90" s="344"/>
      <c r="AP90" s="343"/>
      <c r="AS90" s="344"/>
      <c r="AW90" s="344"/>
      <c r="BA90" s="345"/>
    </row>
    <row r="91" spans="1:53" s="73" customFormat="1">
      <c r="A91" s="73">
        <v>2000</v>
      </c>
      <c r="B91" s="85">
        <v>36857</v>
      </c>
      <c r="C91" s="988" t="s">
        <v>245</v>
      </c>
      <c r="D91" s="988"/>
      <c r="E91" s="73">
        <v>35</v>
      </c>
      <c r="F91" s="73">
        <v>1</v>
      </c>
      <c r="G91" s="123"/>
      <c r="H91" s="73">
        <v>28</v>
      </c>
      <c r="J91" s="134">
        <v>28</v>
      </c>
      <c r="K91" s="92">
        <f t="shared" si="28"/>
        <v>0</v>
      </c>
      <c r="L91" s="92">
        <f t="shared" si="29"/>
        <v>100</v>
      </c>
      <c r="M91" s="92">
        <f t="shared" si="30"/>
        <v>0</v>
      </c>
      <c r="N91" s="125">
        <f t="shared" si="26"/>
        <v>100</v>
      </c>
      <c r="O91" s="91"/>
      <c r="P91" s="92">
        <v>57.1</v>
      </c>
      <c r="Q91" s="92"/>
      <c r="R91" s="93">
        <f t="shared" si="27"/>
        <v>57.1</v>
      </c>
      <c r="S91" s="97">
        <v>1</v>
      </c>
      <c r="T91" s="95">
        <v>36857</v>
      </c>
      <c r="U91" s="85">
        <v>36857</v>
      </c>
      <c r="V91" s="82" t="s">
        <v>72</v>
      </c>
      <c r="W91" s="73" t="s">
        <v>22</v>
      </c>
      <c r="X91" s="73" t="s">
        <v>18</v>
      </c>
      <c r="Y91" s="83">
        <v>57.1</v>
      </c>
      <c r="AD91" s="82"/>
      <c r="AG91" s="83"/>
      <c r="AL91" s="82"/>
      <c r="AO91" s="83"/>
      <c r="AP91" s="82"/>
      <c r="AS91" s="83"/>
      <c r="AW91" s="83"/>
      <c r="BA91" s="84"/>
    </row>
    <row r="92" spans="1:53" s="73" customFormat="1">
      <c r="A92" s="73">
        <v>2001</v>
      </c>
      <c r="B92" s="85"/>
      <c r="C92" s="988" t="s">
        <v>245</v>
      </c>
      <c r="D92" s="988"/>
      <c r="E92" s="73">
        <v>0</v>
      </c>
      <c r="G92" s="123"/>
      <c r="H92" s="73">
        <v>28</v>
      </c>
      <c r="J92" s="134">
        <v>28</v>
      </c>
      <c r="K92" s="92">
        <f t="shared" si="28"/>
        <v>0</v>
      </c>
      <c r="L92" s="92">
        <f t="shared" si="29"/>
        <v>100</v>
      </c>
      <c r="M92" s="92">
        <f t="shared" si="30"/>
        <v>0</v>
      </c>
      <c r="N92" s="125">
        <f t="shared" si="26"/>
        <v>100</v>
      </c>
      <c r="O92" s="91"/>
      <c r="P92" s="92">
        <v>57.1</v>
      </c>
      <c r="Q92" s="92"/>
      <c r="R92" s="93">
        <f t="shared" si="27"/>
        <v>57.1</v>
      </c>
      <c r="S92" s="97">
        <v>1</v>
      </c>
      <c r="T92" s="95"/>
      <c r="U92" s="85"/>
      <c r="V92" s="82" t="s">
        <v>72</v>
      </c>
      <c r="W92" s="73" t="s">
        <v>22</v>
      </c>
      <c r="X92" s="73" t="s">
        <v>18</v>
      </c>
      <c r="Y92" s="83">
        <v>57.1</v>
      </c>
      <c r="AD92" s="82"/>
      <c r="AG92" s="83"/>
      <c r="AL92" s="82"/>
      <c r="AO92" s="83"/>
      <c r="AP92" s="82"/>
      <c r="AS92" s="83"/>
      <c r="AW92" s="83"/>
      <c r="BA92" s="84"/>
    </row>
    <row r="93" spans="1:53" s="73" customFormat="1">
      <c r="A93" s="73">
        <v>2001</v>
      </c>
      <c r="B93" s="85"/>
      <c r="C93" s="988" t="s">
        <v>245</v>
      </c>
      <c r="D93" s="988"/>
      <c r="E93" s="73">
        <f>365-E92</f>
        <v>365</v>
      </c>
      <c r="G93" s="123"/>
      <c r="H93" s="73">
        <v>28</v>
      </c>
      <c r="J93" s="134">
        <v>28</v>
      </c>
      <c r="K93" s="92">
        <f t="shared" si="28"/>
        <v>0</v>
      </c>
      <c r="L93" s="92">
        <f t="shared" si="29"/>
        <v>100</v>
      </c>
      <c r="M93" s="92">
        <f t="shared" si="30"/>
        <v>0</v>
      </c>
      <c r="N93" s="125">
        <f t="shared" si="26"/>
        <v>100</v>
      </c>
      <c r="O93" s="91"/>
      <c r="P93" s="92">
        <v>57.1</v>
      </c>
      <c r="Q93" s="92"/>
      <c r="R93" s="93">
        <f t="shared" si="27"/>
        <v>57.1</v>
      </c>
      <c r="S93" s="97">
        <v>1</v>
      </c>
      <c r="T93" s="95"/>
      <c r="U93" s="85"/>
      <c r="V93" s="82" t="s">
        <v>72</v>
      </c>
      <c r="W93" s="73" t="s">
        <v>22</v>
      </c>
      <c r="X93" s="73" t="s">
        <v>18</v>
      </c>
      <c r="Y93" s="83">
        <v>57.1</v>
      </c>
      <c r="AD93" s="82"/>
      <c r="AG93" s="83"/>
      <c r="AL93" s="82"/>
      <c r="AO93" s="83"/>
      <c r="AP93" s="82"/>
      <c r="AS93" s="83"/>
      <c r="AW93" s="83"/>
      <c r="BA93" s="84"/>
    </row>
    <row r="94" spans="1:53" s="73" customFormat="1">
      <c r="A94" s="73">
        <v>2002</v>
      </c>
      <c r="B94" s="85"/>
      <c r="C94" s="988" t="s">
        <v>245</v>
      </c>
      <c r="D94" s="988"/>
      <c r="E94" s="73">
        <v>0</v>
      </c>
      <c r="G94" s="123"/>
      <c r="H94" s="73">
        <v>28</v>
      </c>
      <c r="J94" s="134">
        <v>28</v>
      </c>
      <c r="K94" s="92">
        <f t="shared" si="28"/>
        <v>0</v>
      </c>
      <c r="L94" s="92">
        <f t="shared" si="29"/>
        <v>100</v>
      </c>
      <c r="M94" s="92">
        <f t="shared" si="30"/>
        <v>0</v>
      </c>
      <c r="N94" s="125">
        <f t="shared" si="26"/>
        <v>100</v>
      </c>
      <c r="O94" s="91"/>
      <c r="P94" s="92">
        <v>57.1</v>
      </c>
      <c r="Q94" s="92"/>
      <c r="R94" s="93">
        <f t="shared" si="27"/>
        <v>57.1</v>
      </c>
      <c r="S94" s="97">
        <v>1</v>
      </c>
      <c r="T94" s="95"/>
      <c r="U94" s="85"/>
      <c r="V94" s="82" t="s">
        <v>72</v>
      </c>
      <c r="W94" s="73" t="s">
        <v>22</v>
      </c>
      <c r="X94" s="73" t="s">
        <v>18</v>
      </c>
      <c r="Y94" s="83">
        <v>57.1</v>
      </c>
      <c r="AD94" s="82"/>
      <c r="AG94" s="83"/>
      <c r="AL94" s="82"/>
      <c r="AO94" s="83"/>
      <c r="AP94" s="82"/>
      <c r="AS94" s="83"/>
      <c r="AW94" s="83"/>
      <c r="BA94" s="84"/>
    </row>
    <row r="95" spans="1:53" s="73" customFormat="1">
      <c r="A95" s="73">
        <v>2002</v>
      </c>
      <c r="B95" s="85"/>
      <c r="C95" s="988" t="s">
        <v>245</v>
      </c>
      <c r="D95" s="988"/>
      <c r="E95" s="73">
        <f>365-E94</f>
        <v>365</v>
      </c>
      <c r="G95" s="123"/>
      <c r="H95" s="73">
        <v>28</v>
      </c>
      <c r="J95" s="134">
        <v>28</v>
      </c>
      <c r="K95" s="92">
        <f t="shared" si="28"/>
        <v>0</v>
      </c>
      <c r="L95" s="92">
        <f t="shared" si="29"/>
        <v>100</v>
      </c>
      <c r="M95" s="92">
        <f t="shared" si="30"/>
        <v>0</v>
      </c>
      <c r="N95" s="125">
        <f t="shared" si="26"/>
        <v>100</v>
      </c>
      <c r="O95" s="91"/>
      <c r="P95" s="92">
        <v>57.1</v>
      </c>
      <c r="Q95" s="92"/>
      <c r="R95" s="93">
        <f t="shared" si="27"/>
        <v>57.1</v>
      </c>
      <c r="S95" s="97">
        <v>1</v>
      </c>
      <c r="T95" s="95"/>
      <c r="U95" s="85"/>
      <c r="V95" s="82" t="s">
        <v>72</v>
      </c>
      <c r="W95" s="73" t="s">
        <v>22</v>
      </c>
      <c r="X95" s="73" t="s">
        <v>18</v>
      </c>
      <c r="Y95" s="83">
        <v>57.1</v>
      </c>
      <c r="AD95" s="82"/>
      <c r="AG95" s="83"/>
      <c r="AL95" s="82"/>
      <c r="AO95" s="83"/>
      <c r="AP95" s="82"/>
      <c r="AS95" s="83"/>
      <c r="AW95" s="83"/>
      <c r="BA95" s="84"/>
    </row>
    <row r="96" spans="1:53" s="73" customFormat="1">
      <c r="A96" s="73">
        <v>2003</v>
      </c>
      <c r="B96" s="85"/>
      <c r="C96" s="988" t="s">
        <v>245</v>
      </c>
      <c r="D96" s="988"/>
      <c r="E96" s="73">
        <v>345</v>
      </c>
      <c r="G96" s="123"/>
      <c r="H96" s="73">
        <v>28</v>
      </c>
      <c r="J96" s="134">
        <v>28</v>
      </c>
      <c r="K96" s="92">
        <f t="shared" si="28"/>
        <v>0</v>
      </c>
      <c r="L96" s="92">
        <f t="shared" si="29"/>
        <v>100</v>
      </c>
      <c r="M96" s="92">
        <f t="shared" si="30"/>
        <v>0</v>
      </c>
      <c r="N96" s="125">
        <f t="shared" si="26"/>
        <v>100</v>
      </c>
      <c r="O96" s="91"/>
      <c r="P96" s="92">
        <v>57.1</v>
      </c>
      <c r="Q96" s="92"/>
      <c r="R96" s="93">
        <f t="shared" si="27"/>
        <v>57.1</v>
      </c>
      <c r="S96" s="97">
        <v>1</v>
      </c>
      <c r="T96" s="95"/>
      <c r="U96" s="85"/>
      <c r="V96" s="82" t="s">
        <v>72</v>
      </c>
      <c r="W96" s="73" t="s">
        <v>22</v>
      </c>
      <c r="X96" s="73" t="s">
        <v>18</v>
      </c>
      <c r="Y96" s="83">
        <v>57.1</v>
      </c>
      <c r="AD96" s="82"/>
      <c r="AG96" s="83"/>
      <c r="AL96" s="82"/>
      <c r="AO96" s="83"/>
      <c r="AP96" s="82"/>
      <c r="AS96" s="83"/>
      <c r="AW96" s="83"/>
      <c r="BA96" s="84"/>
    </row>
    <row r="97" spans="1:53" s="334" customFormat="1">
      <c r="A97" s="334">
        <v>2003</v>
      </c>
      <c r="B97" s="355">
        <v>37967</v>
      </c>
      <c r="C97" s="992" t="s">
        <v>246</v>
      </c>
      <c r="D97" s="992"/>
      <c r="E97" s="334">
        <f>365-E96</f>
        <v>20</v>
      </c>
      <c r="F97" s="334">
        <v>2</v>
      </c>
      <c r="G97" s="419"/>
      <c r="H97" s="334">
        <v>28</v>
      </c>
      <c r="J97" s="435">
        <v>28</v>
      </c>
      <c r="K97" s="384">
        <f t="shared" si="28"/>
        <v>0</v>
      </c>
      <c r="L97" s="384">
        <f t="shared" si="29"/>
        <v>100</v>
      </c>
      <c r="M97" s="384">
        <f t="shared" si="30"/>
        <v>0</v>
      </c>
      <c r="N97" s="421">
        <f t="shared" si="26"/>
        <v>100</v>
      </c>
      <c r="O97" s="383"/>
      <c r="P97" s="384">
        <v>57.1</v>
      </c>
      <c r="Q97" s="384"/>
      <c r="R97" s="385">
        <f t="shared" si="27"/>
        <v>57.1</v>
      </c>
      <c r="S97" s="388">
        <v>1</v>
      </c>
      <c r="T97" s="342"/>
      <c r="U97" s="355">
        <v>37967</v>
      </c>
      <c r="V97" s="343" t="s">
        <v>72</v>
      </c>
      <c r="W97" s="334" t="s">
        <v>22</v>
      </c>
      <c r="X97" s="334" t="s">
        <v>18</v>
      </c>
      <c r="Y97" s="344">
        <v>57.1</v>
      </c>
      <c r="AD97" s="343"/>
      <c r="AG97" s="344"/>
      <c r="AL97" s="343"/>
      <c r="AO97" s="344"/>
      <c r="AP97" s="343"/>
      <c r="AS97" s="344"/>
      <c r="AW97" s="344"/>
      <c r="BA97" s="345"/>
    </row>
    <row r="98" spans="1:53" s="334" customFormat="1">
      <c r="A98" s="334">
        <v>2004</v>
      </c>
      <c r="B98" s="355"/>
      <c r="C98" s="992" t="s">
        <v>246</v>
      </c>
      <c r="D98" s="992"/>
      <c r="E98" s="334">
        <v>201</v>
      </c>
      <c r="G98" s="419"/>
      <c r="H98" s="334">
        <v>28</v>
      </c>
      <c r="J98" s="435">
        <v>28</v>
      </c>
      <c r="K98" s="384">
        <f t="shared" si="28"/>
        <v>0</v>
      </c>
      <c r="L98" s="384">
        <f t="shared" si="29"/>
        <v>100</v>
      </c>
      <c r="M98" s="384">
        <f t="shared" si="30"/>
        <v>0</v>
      </c>
      <c r="N98" s="421">
        <f t="shared" si="26"/>
        <v>100</v>
      </c>
      <c r="O98" s="383"/>
      <c r="P98" s="384">
        <v>57.1</v>
      </c>
      <c r="Q98" s="384"/>
      <c r="R98" s="385">
        <f t="shared" si="27"/>
        <v>57.1</v>
      </c>
      <c r="S98" s="388">
        <v>1</v>
      </c>
      <c r="T98" s="342"/>
      <c r="U98" s="355"/>
      <c r="V98" s="343" t="s">
        <v>72</v>
      </c>
      <c r="W98" s="334" t="s">
        <v>22</v>
      </c>
      <c r="X98" s="334" t="s">
        <v>18</v>
      </c>
      <c r="Y98" s="344">
        <v>57.1</v>
      </c>
      <c r="AD98" s="343"/>
      <c r="AG98" s="344"/>
      <c r="AL98" s="343"/>
      <c r="AO98" s="344"/>
      <c r="AP98" s="343"/>
      <c r="AS98" s="344"/>
      <c r="AW98" s="344"/>
      <c r="BA98" s="345"/>
    </row>
    <row r="99" spans="1:53" s="73" customFormat="1">
      <c r="A99" s="73">
        <v>2004</v>
      </c>
      <c r="B99" s="85">
        <v>38188</v>
      </c>
      <c r="C99" s="988" t="s">
        <v>247</v>
      </c>
      <c r="D99" s="988"/>
      <c r="E99" s="73">
        <v>165</v>
      </c>
      <c r="F99" s="73">
        <v>1</v>
      </c>
      <c r="G99" s="123"/>
      <c r="H99" s="73">
        <v>39</v>
      </c>
      <c r="J99" s="134">
        <v>39</v>
      </c>
      <c r="K99" s="92">
        <f t="shared" si="28"/>
        <v>0</v>
      </c>
      <c r="L99" s="92">
        <f t="shared" si="29"/>
        <v>100</v>
      </c>
      <c r="M99" s="92">
        <f t="shared" si="30"/>
        <v>0</v>
      </c>
      <c r="N99" s="125">
        <f t="shared" si="26"/>
        <v>100</v>
      </c>
      <c r="O99" s="91"/>
      <c r="P99" s="92">
        <v>43.8</v>
      </c>
      <c r="Q99" s="92"/>
      <c r="R99" s="93">
        <f t="shared" si="27"/>
        <v>43.8</v>
      </c>
      <c r="S99" s="97">
        <v>4</v>
      </c>
      <c r="T99" s="95">
        <v>38166</v>
      </c>
      <c r="U99" s="85">
        <v>38188</v>
      </c>
      <c r="V99" s="82" t="s">
        <v>72</v>
      </c>
      <c r="W99" s="73" t="s">
        <v>22</v>
      </c>
      <c r="X99" s="73" t="s">
        <v>18</v>
      </c>
      <c r="Y99" s="83">
        <v>43.8</v>
      </c>
      <c r="AD99" s="82"/>
      <c r="AG99" s="83"/>
      <c r="AL99" s="82"/>
      <c r="AO99" s="83"/>
      <c r="AP99" s="82"/>
      <c r="AS99" s="83"/>
      <c r="AW99" s="83"/>
      <c r="BA99" s="84"/>
    </row>
    <row r="100" spans="1:53" s="73" customFormat="1">
      <c r="A100" s="73">
        <v>2005</v>
      </c>
      <c r="B100" s="85"/>
      <c r="C100" s="988" t="s">
        <v>247</v>
      </c>
      <c r="D100" s="988"/>
      <c r="E100" s="73">
        <v>0</v>
      </c>
      <c r="G100" s="123"/>
      <c r="H100" s="73">
        <v>39</v>
      </c>
      <c r="J100" s="134">
        <v>39</v>
      </c>
      <c r="K100" s="92">
        <f>G100/J100*100</f>
        <v>0</v>
      </c>
      <c r="L100" s="92">
        <f>H100/J100*100</f>
        <v>100</v>
      </c>
      <c r="M100" s="92">
        <f>I100/J100*100</f>
        <v>0</v>
      </c>
      <c r="N100" s="125">
        <f t="shared" si="26"/>
        <v>100</v>
      </c>
      <c r="O100" s="91"/>
      <c r="P100" s="92">
        <v>43.8</v>
      </c>
      <c r="Q100" s="92"/>
      <c r="R100" s="93">
        <f t="shared" si="27"/>
        <v>43.8</v>
      </c>
      <c r="S100" s="97">
        <v>4</v>
      </c>
      <c r="T100" s="95"/>
      <c r="U100" s="85"/>
      <c r="V100" s="82" t="s">
        <v>72</v>
      </c>
      <c r="W100" s="73" t="s">
        <v>22</v>
      </c>
      <c r="X100" s="73" t="s">
        <v>18</v>
      </c>
      <c r="Y100" s="83">
        <v>43.8</v>
      </c>
      <c r="AD100" s="82"/>
      <c r="AG100" s="83"/>
      <c r="AL100" s="82"/>
      <c r="AO100" s="83"/>
      <c r="AP100" s="82"/>
      <c r="AS100" s="83"/>
      <c r="AW100" s="83"/>
      <c r="BA100" s="84"/>
    </row>
    <row r="101" spans="1:53" s="73" customFormat="1">
      <c r="A101" s="73">
        <v>2005</v>
      </c>
      <c r="B101" s="85"/>
      <c r="C101" s="988" t="s">
        <v>247</v>
      </c>
      <c r="D101" s="988"/>
      <c r="E101" s="73">
        <f>365-E100</f>
        <v>365</v>
      </c>
      <c r="G101" s="123"/>
      <c r="H101" s="73">
        <v>39</v>
      </c>
      <c r="J101" s="134">
        <v>39</v>
      </c>
      <c r="K101" s="92">
        <f>G101/J101*100</f>
        <v>0</v>
      </c>
      <c r="L101" s="92">
        <f>H101/J101*100</f>
        <v>100</v>
      </c>
      <c r="M101" s="92">
        <f>I101/J101*100</f>
        <v>0</v>
      </c>
      <c r="N101" s="125">
        <f>SUM(K101:M101)</f>
        <v>100</v>
      </c>
      <c r="O101" s="91"/>
      <c r="P101" s="92">
        <v>43.8</v>
      </c>
      <c r="Q101" s="92"/>
      <c r="R101" s="93">
        <f t="shared" si="27"/>
        <v>43.8</v>
      </c>
      <c r="S101" s="97">
        <v>4</v>
      </c>
      <c r="T101" s="95"/>
      <c r="U101" s="85"/>
      <c r="V101" s="82" t="s">
        <v>72</v>
      </c>
      <c r="W101" s="73" t="s">
        <v>22</v>
      </c>
      <c r="X101" s="73" t="s">
        <v>18</v>
      </c>
      <c r="Y101" s="83">
        <v>43.8</v>
      </c>
      <c r="AD101" s="82"/>
      <c r="AG101" s="83"/>
      <c r="AL101" s="82"/>
      <c r="AO101" s="83"/>
      <c r="AP101" s="82"/>
      <c r="AS101" s="83"/>
      <c r="AW101" s="83"/>
      <c r="BA101" s="84"/>
    </row>
    <row r="102" spans="1:53" s="73" customFormat="1">
      <c r="A102" s="73">
        <v>2006</v>
      </c>
      <c r="B102" s="85"/>
      <c r="C102" s="988" t="s">
        <v>247</v>
      </c>
      <c r="D102" s="988"/>
      <c r="E102" s="73">
        <v>36</v>
      </c>
      <c r="G102" s="123"/>
      <c r="H102" s="73">
        <v>39</v>
      </c>
      <c r="J102" s="134">
        <v>39</v>
      </c>
      <c r="K102" s="92">
        <f>G102/J102*100</f>
        <v>0</v>
      </c>
      <c r="L102" s="92">
        <f>H102/J102*100</f>
        <v>100</v>
      </c>
      <c r="M102" s="92">
        <f>I102/J102*100</f>
        <v>0</v>
      </c>
      <c r="N102" s="125">
        <f t="shared" si="26"/>
        <v>100</v>
      </c>
      <c r="O102" s="91"/>
      <c r="P102" s="92">
        <v>43.8</v>
      </c>
      <c r="Q102" s="92"/>
      <c r="R102" s="93">
        <f t="shared" si="27"/>
        <v>43.8</v>
      </c>
      <c r="S102" s="97">
        <v>4</v>
      </c>
      <c r="T102" s="95"/>
      <c r="U102" s="85"/>
      <c r="V102" s="82" t="s">
        <v>72</v>
      </c>
      <c r="W102" s="73" t="s">
        <v>22</v>
      </c>
      <c r="X102" s="73" t="s">
        <v>18</v>
      </c>
      <c r="Y102" s="83">
        <v>43.8</v>
      </c>
      <c r="AD102" s="82"/>
      <c r="AG102" s="83"/>
      <c r="AL102" s="82"/>
      <c r="AO102" s="83"/>
      <c r="AP102" s="82"/>
      <c r="AS102" s="83"/>
      <c r="AW102" s="83"/>
      <c r="BA102" s="84"/>
    </row>
    <row r="103" spans="1:53" s="334" customFormat="1">
      <c r="A103" s="334">
        <v>2006</v>
      </c>
      <c r="B103" s="355">
        <v>38754</v>
      </c>
      <c r="C103" s="992" t="s">
        <v>248</v>
      </c>
      <c r="D103" s="992"/>
      <c r="E103" s="334">
        <f>365-E102</f>
        <v>329</v>
      </c>
      <c r="F103" s="334">
        <v>5</v>
      </c>
      <c r="G103" s="419">
        <v>27</v>
      </c>
      <c r="J103" s="435">
        <v>27</v>
      </c>
      <c r="K103" s="384">
        <f t="shared" ref="K103:K108" si="31">G103/J103*100</f>
        <v>100</v>
      </c>
      <c r="L103" s="384">
        <f t="shared" ref="L103:L111" si="32">H103/J103*100</f>
        <v>0</v>
      </c>
      <c r="M103" s="384">
        <f t="shared" ref="M103:M111" si="33">I103/J103*100</f>
        <v>0</v>
      </c>
      <c r="N103" s="421">
        <f t="shared" si="26"/>
        <v>100</v>
      </c>
      <c r="O103" s="383">
        <v>40.299999999999997</v>
      </c>
      <c r="P103" s="384"/>
      <c r="Q103" s="384"/>
      <c r="R103" s="385">
        <f t="shared" si="27"/>
        <v>40.299999999999997</v>
      </c>
      <c r="S103" s="388">
        <v>4</v>
      </c>
      <c r="T103" s="342">
        <v>38740</v>
      </c>
      <c r="U103" s="355">
        <v>38754</v>
      </c>
      <c r="V103" s="343" t="s">
        <v>101</v>
      </c>
      <c r="W103" s="334" t="s">
        <v>74</v>
      </c>
      <c r="X103" s="334" t="s">
        <v>11</v>
      </c>
      <c r="Y103" s="344">
        <v>40.299999999999997</v>
      </c>
      <c r="AD103" s="343"/>
      <c r="AG103" s="344"/>
      <c r="AL103" s="343"/>
      <c r="AO103" s="344"/>
      <c r="AP103" s="343"/>
      <c r="AS103" s="344"/>
      <c r="AW103" s="344"/>
      <c r="BA103" s="345"/>
    </row>
    <row r="104" spans="1:53" s="334" customFormat="1">
      <c r="A104" s="334">
        <v>2007</v>
      </c>
      <c r="B104" s="355"/>
      <c r="C104" s="992" t="s">
        <v>248</v>
      </c>
      <c r="D104" s="992"/>
      <c r="E104" s="334">
        <v>0</v>
      </c>
      <c r="G104" s="419">
        <v>27</v>
      </c>
      <c r="J104" s="435">
        <v>27</v>
      </c>
      <c r="K104" s="384">
        <f t="shared" si="31"/>
        <v>100</v>
      </c>
      <c r="L104" s="384">
        <f t="shared" si="32"/>
        <v>0</v>
      </c>
      <c r="M104" s="384">
        <f t="shared" si="33"/>
        <v>0</v>
      </c>
      <c r="N104" s="421">
        <f t="shared" si="26"/>
        <v>100</v>
      </c>
      <c r="O104" s="383">
        <v>40.299999999999997</v>
      </c>
      <c r="P104" s="384"/>
      <c r="Q104" s="384"/>
      <c r="R104" s="385">
        <f t="shared" si="27"/>
        <v>40.299999999999997</v>
      </c>
      <c r="S104" s="388">
        <v>4</v>
      </c>
      <c r="T104" s="342"/>
      <c r="U104" s="355"/>
      <c r="V104" s="343" t="s">
        <v>101</v>
      </c>
      <c r="W104" s="334" t="s">
        <v>74</v>
      </c>
      <c r="X104" s="334" t="s">
        <v>11</v>
      </c>
      <c r="Y104" s="344">
        <v>40.299999999999997</v>
      </c>
      <c r="AD104" s="343"/>
      <c r="AG104" s="344"/>
      <c r="AL104" s="343"/>
      <c r="AO104" s="344"/>
      <c r="AP104" s="343"/>
      <c r="AS104" s="344"/>
      <c r="AW104" s="344"/>
      <c r="BA104" s="345"/>
    </row>
    <row r="105" spans="1:53" s="334" customFormat="1">
      <c r="A105" s="334">
        <v>2007</v>
      </c>
      <c r="B105" s="355"/>
      <c r="C105" s="992" t="s">
        <v>248</v>
      </c>
      <c r="D105" s="992"/>
      <c r="E105" s="334">
        <f>365-E104</f>
        <v>365</v>
      </c>
      <c r="G105" s="419">
        <v>27</v>
      </c>
      <c r="J105" s="435">
        <v>27</v>
      </c>
      <c r="K105" s="384">
        <f t="shared" si="31"/>
        <v>100</v>
      </c>
      <c r="L105" s="384">
        <f t="shared" si="32"/>
        <v>0</v>
      </c>
      <c r="M105" s="384">
        <f t="shared" si="33"/>
        <v>0</v>
      </c>
      <c r="N105" s="421">
        <f t="shared" si="26"/>
        <v>100</v>
      </c>
      <c r="O105" s="383">
        <v>40.299999999999997</v>
      </c>
      <c r="P105" s="384"/>
      <c r="Q105" s="384"/>
      <c r="R105" s="385">
        <f t="shared" si="27"/>
        <v>40.299999999999997</v>
      </c>
      <c r="S105" s="388">
        <v>4</v>
      </c>
      <c r="T105" s="342"/>
      <c r="U105" s="355"/>
      <c r="V105" s="343" t="s">
        <v>101</v>
      </c>
      <c r="W105" s="334" t="s">
        <v>74</v>
      </c>
      <c r="X105" s="334" t="s">
        <v>11</v>
      </c>
      <c r="Y105" s="344">
        <v>40.299999999999997</v>
      </c>
      <c r="AD105" s="343"/>
      <c r="AG105" s="344"/>
      <c r="AL105" s="343"/>
      <c r="AO105" s="344"/>
      <c r="AP105" s="343"/>
      <c r="AS105" s="344"/>
      <c r="AW105" s="344"/>
      <c r="BA105" s="345"/>
    </row>
    <row r="106" spans="1:53" s="334" customFormat="1">
      <c r="A106" s="334">
        <v>2008</v>
      </c>
      <c r="B106" s="355"/>
      <c r="C106" s="992" t="s">
        <v>248</v>
      </c>
      <c r="D106" s="992"/>
      <c r="E106" s="334">
        <v>303</v>
      </c>
      <c r="G106" s="419">
        <v>27</v>
      </c>
      <c r="J106" s="435">
        <v>27</v>
      </c>
      <c r="K106" s="384">
        <f t="shared" si="31"/>
        <v>100</v>
      </c>
      <c r="L106" s="384">
        <f t="shared" si="32"/>
        <v>0</v>
      </c>
      <c r="M106" s="384">
        <f t="shared" si="33"/>
        <v>0</v>
      </c>
      <c r="N106" s="421">
        <f t="shared" si="26"/>
        <v>100</v>
      </c>
      <c r="O106" s="383">
        <v>40.299999999999997</v>
      </c>
      <c r="P106" s="384"/>
      <c r="Q106" s="384"/>
      <c r="R106" s="385">
        <f t="shared" si="27"/>
        <v>40.299999999999997</v>
      </c>
      <c r="S106" s="388">
        <v>4</v>
      </c>
      <c r="T106" s="342"/>
      <c r="U106" s="355"/>
      <c r="V106" s="343" t="s">
        <v>101</v>
      </c>
      <c r="W106" s="334" t="s">
        <v>74</v>
      </c>
      <c r="X106" s="334" t="s">
        <v>11</v>
      </c>
      <c r="Y106" s="344">
        <v>40.299999999999997</v>
      </c>
      <c r="AD106" s="343"/>
      <c r="AG106" s="344"/>
      <c r="AL106" s="343"/>
      <c r="AO106" s="344"/>
      <c r="AP106" s="343"/>
      <c r="AS106" s="344"/>
      <c r="AW106" s="344"/>
      <c r="BA106" s="345"/>
    </row>
    <row r="107" spans="1:53" s="73" customFormat="1">
      <c r="A107" s="73">
        <v>2008</v>
      </c>
      <c r="B107" s="85">
        <v>39751</v>
      </c>
      <c r="C107" s="988" t="s">
        <v>249</v>
      </c>
      <c r="D107" s="988"/>
      <c r="E107" s="73">
        <v>63</v>
      </c>
      <c r="F107" s="73">
        <v>1</v>
      </c>
      <c r="G107" s="123">
        <v>27</v>
      </c>
      <c r="J107" s="134">
        <v>27</v>
      </c>
      <c r="K107" s="92">
        <f t="shared" si="31"/>
        <v>100</v>
      </c>
      <c r="L107" s="92">
        <f t="shared" si="32"/>
        <v>0</v>
      </c>
      <c r="M107" s="92">
        <f t="shared" si="33"/>
        <v>0</v>
      </c>
      <c r="N107" s="125">
        <f t="shared" si="26"/>
        <v>100</v>
      </c>
      <c r="O107" s="91">
        <v>46.4</v>
      </c>
      <c r="P107" s="92"/>
      <c r="Q107" s="92"/>
      <c r="R107" s="93">
        <f t="shared" si="27"/>
        <v>46.4</v>
      </c>
      <c r="S107" s="97">
        <v>4</v>
      </c>
      <c r="T107" s="95">
        <v>39735</v>
      </c>
      <c r="U107" s="85">
        <v>39751</v>
      </c>
      <c r="V107" s="82" t="s">
        <v>101</v>
      </c>
      <c r="W107" s="73" t="s">
        <v>74</v>
      </c>
      <c r="X107" s="73" t="s">
        <v>11</v>
      </c>
      <c r="Y107" s="83">
        <v>46.4</v>
      </c>
      <c r="AD107" s="82"/>
      <c r="AG107" s="83"/>
      <c r="AL107" s="82"/>
      <c r="AO107" s="83"/>
      <c r="AP107" s="82"/>
      <c r="AS107" s="83"/>
      <c r="AW107" s="83"/>
      <c r="BA107" s="84"/>
    </row>
    <row r="108" spans="1:53" s="73" customFormat="1">
      <c r="A108" s="73">
        <v>2009</v>
      </c>
      <c r="B108" s="85"/>
      <c r="C108" s="988" t="s">
        <v>249</v>
      </c>
      <c r="D108" s="988"/>
      <c r="E108" s="73">
        <v>0</v>
      </c>
      <c r="G108" s="123">
        <v>27</v>
      </c>
      <c r="J108" s="134">
        <v>27</v>
      </c>
      <c r="K108" s="92">
        <f t="shared" si="31"/>
        <v>100</v>
      </c>
      <c r="L108" s="92">
        <f t="shared" si="32"/>
        <v>0</v>
      </c>
      <c r="M108" s="92">
        <f t="shared" si="33"/>
        <v>0</v>
      </c>
      <c r="N108" s="125">
        <f t="shared" si="26"/>
        <v>100</v>
      </c>
      <c r="O108" s="91">
        <v>46.4</v>
      </c>
      <c r="P108" s="92"/>
      <c r="Q108" s="92"/>
      <c r="R108" s="93">
        <f t="shared" si="27"/>
        <v>46.4</v>
      </c>
      <c r="S108" s="97">
        <v>4</v>
      </c>
      <c r="T108" s="95"/>
      <c r="U108" s="85"/>
      <c r="V108" s="82" t="s">
        <v>101</v>
      </c>
      <c r="W108" s="73" t="s">
        <v>74</v>
      </c>
      <c r="X108" s="73" t="s">
        <v>11</v>
      </c>
      <c r="Y108" s="83">
        <v>46.4</v>
      </c>
      <c r="AD108" s="82"/>
      <c r="AG108" s="83"/>
      <c r="AL108" s="82"/>
      <c r="AO108" s="83"/>
      <c r="AP108" s="82"/>
      <c r="AS108" s="83"/>
      <c r="AW108" s="83"/>
      <c r="BA108" s="84"/>
    </row>
    <row r="109" spans="1:53" s="73" customFormat="1">
      <c r="A109" s="73">
        <v>2009</v>
      </c>
      <c r="B109" s="85"/>
      <c r="C109" s="988" t="s">
        <v>249</v>
      </c>
      <c r="D109" s="988"/>
      <c r="E109" s="73">
        <v>365</v>
      </c>
      <c r="G109" s="123">
        <v>27</v>
      </c>
      <c r="J109" s="134">
        <v>27</v>
      </c>
      <c r="K109" s="92">
        <f t="shared" ref="K109:K117" si="34">G109/J109*100</f>
        <v>100</v>
      </c>
      <c r="L109" s="92">
        <f t="shared" si="32"/>
        <v>0</v>
      </c>
      <c r="M109" s="92">
        <f t="shared" si="33"/>
        <v>0</v>
      </c>
      <c r="N109" s="125">
        <f t="shared" si="26"/>
        <v>100</v>
      </c>
      <c r="O109" s="91">
        <v>46.4</v>
      </c>
      <c r="P109" s="92"/>
      <c r="Q109" s="92"/>
      <c r="R109" s="93">
        <f t="shared" si="27"/>
        <v>46.4</v>
      </c>
      <c r="S109" s="97">
        <v>4</v>
      </c>
      <c r="T109" s="95"/>
      <c r="U109" s="85"/>
      <c r="V109" s="82" t="s">
        <v>101</v>
      </c>
      <c r="W109" s="73" t="s">
        <v>74</v>
      </c>
      <c r="X109" s="73" t="s">
        <v>11</v>
      </c>
      <c r="Y109" s="83">
        <v>46.4</v>
      </c>
      <c r="AD109" s="82"/>
      <c r="AG109" s="83"/>
      <c r="AL109" s="82"/>
      <c r="AO109" s="83"/>
      <c r="AP109" s="82"/>
      <c r="AS109" s="83"/>
      <c r="AW109" s="83"/>
      <c r="BA109" s="84"/>
    </row>
    <row r="110" spans="1:53" s="73" customFormat="1">
      <c r="A110" s="73">
        <v>2010</v>
      </c>
      <c r="B110" s="85"/>
      <c r="C110" s="988" t="s">
        <v>249</v>
      </c>
      <c r="D110" s="988"/>
      <c r="E110" s="73">
        <v>0</v>
      </c>
      <c r="G110" s="123">
        <v>27</v>
      </c>
      <c r="J110" s="134">
        <v>27</v>
      </c>
      <c r="K110" s="92">
        <f t="shared" si="34"/>
        <v>100</v>
      </c>
      <c r="L110" s="92">
        <f t="shared" si="32"/>
        <v>0</v>
      </c>
      <c r="M110" s="92">
        <f t="shared" si="33"/>
        <v>0</v>
      </c>
      <c r="N110" s="125">
        <f t="shared" si="26"/>
        <v>100</v>
      </c>
      <c r="O110" s="91">
        <v>46.4</v>
      </c>
      <c r="P110" s="92"/>
      <c r="Q110" s="92"/>
      <c r="R110" s="93">
        <f t="shared" si="27"/>
        <v>46.4</v>
      </c>
      <c r="S110" s="97">
        <v>4</v>
      </c>
      <c r="T110" s="95"/>
      <c r="U110" s="85"/>
      <c r="V110" s="82" t="s">
        <v>101</v>
      </c>
      <c r="W110" s="73" t="s">
        <v>74</v>
      </c>
      <c r="X110" s="73" t="s">
        <v>11</v>
      </c>
      <c r="Y110" s="83">
        <v>46.4</v>
      </c>
      <c r="AD110" s="82"/>
      <c r="AG110" s="83"/>
      <c r="AL110" s="82"/>
      <c r="AO110" s="83"/>
      <c r="AP110" s="82"/>
      <c r="AS110" s="83"/>
      <c r="AW110" s="83"/>
      <c r="BA110" s="84"/>
    </row>
    <row r="111" spans="1:53" s="73" customFormat="1">
      <c r="A111" s="73">
        <v>2010</v>
      </c>
      <c r="B111" s="85"/>
      <c r="C111" s="988" t="s">
        <v>249</v>
      </c>
      <c r="D111" s="988"/>
      <c r="E111" s="73">
        <v>365</v>
      </c>
      <c r="G111" s="123">
        <v>27</v>
      </c>
      <c r="J111" s="134">
        <v>27</v>
      </c>
      <c r="K111" s="92">
        <f t="shared" si="34"/>
        <v>100</v>
      </c>
      <c r="L111" s="92">
        <f t="shared" si="32"/>
        <v>0</v>
      </c>
      <c r="M111" s="92">
        <f t="shared" si="33"/>
        <v>0</v>
      </c>
      <c r="N111" s="125">
        <f t="shared" si="26"/>
        <v>100</v>
      </c>
      <c r="O111" s="91">
        <v>46.4</v>
      </c>
      <c r="P111" s="92"/>
      <c r="Q111" s="92"/>
      <c r="R111" s="93">
        <f t="shared" si="27"/>
        <v>46.4</v>
      </c>
      <c r="S111" s="97">
        <v>4</v>
      </c>
      <c r="T111" s="95"/>
      <c r="U111" s="85"/>
      <c r="V111" s="82" t="s">
        <v>101</v>
      </c>
      <c r="W111" s="73" t="s">
        <v>74</v>
      </c>
      <c r="X111" s="73" t="s">
        <v>11</v>
      </c>
      <c r="Y111" s="83">
        <v>46.4</v>
      </c>
      <c r="AD111" s="82"/>
      <c r="AG111" s="83"/>
      <c r="AL111" s="82"/>
      <c r="AO111" s="83"/>
      <c r="AP111" s="82"/>
      <c r="AS111" s="83"/>
      <c r="AW111" s="83"/>
      <c r="BA111" s="84"/>
    </row>
    <row r="112" spans="1:53" s="73" customFormat="1">
      <c r="A112" s="73">
        <v>2011</v>
      </c>
      <c r="B112" s="85"/>
      <c r="C112" s="988" t="s">
        <v>249</v>
      </c>
      <c r="D112" s="988"/>
      <c r="E112" s="73">
        <v>137</v>
      </c>
      <c r="G112" s="123">
        <v>27</v>
      </c>
      <c r="J112" s="134">
        <v>27</v>
      </c>
      <c r="K112" s="92">
        <f t="shared" si="34"/>
        <v>100</v>
      </c>
      <c r="L112" s="92">
        <f t="shared" ref="L112:L117" si="35">H112/J112*100</f>
        <v>0</v>
      </c>
      <c r="M112" s="92">
        <f t="shared" ref="M112:M117" si="36">I112/J112*100</f>
        <v>0</v>
      </c>
      <c r="N112" s="125">
        <f t="shared" si="26"/>
        <v>100</v>
      </c>
      <c r="O112" s="91">
        <v>46.4</v>
      </c>
      <c r="P112" s="92"/>
      <c r="Q112" s="92"/>
      <c r="R112" s="93">
        <f t="shared" si="27"/>
        <v>46.4</v>
      </c>
      <c r="S112" s="97">
        <v>4</v>
      </c>
      <c r="T112" s="95"/>
      <c r="U112" s="85"/>
      <c r="V112" s="82" t="s">
        <v>101</v>
      </c>
      <c r="W112" s="73" t="s">
        <v>74</v>
      </c>
      <c r="X112" s="73" t="s">
        <v>11</v>
      </c>
      <c r="Y112" s="83">
        <v>46.4</v>
      </c>
      <c r="AD112" s="82"/>
      <c r="AG112" s="83"/>
      <c r="AL112" s="82"/>
      <c r="AO112" s="83"/>
      <c r="AP112" s="82"/>
      <c r="AS112" s="83"/>
      <c r="AW112" s="83"/>
      <c r="BA112" s="84"/>
    </row>
    <row r="113" spans="1:53" s="334" customFormat="1">
      <c r="A113" s="334">
        <v>2011</v>
      </c>
      <c r="B113" s="355">
        <v>40681</v>
      </c>
      <c r="C113" s="992" t="s">
        <v>250</v>
      </c>
      <c r="D113" s="992"/>
      <c r="E113" s="334">
        <v>228</v>
      </c>
      <c r="F113" s="334">
        <v>1</v>
      </c>
      <c r="G113" s="419">
        <v>27</v>
      </c>
      <c r="J113" s="435">
        <v>27</v>
      </c>
      <c r="K113" s="384">
        <f t="shared" si="34"/>
        <v>100</v>
      </c>
      <c r="L113" s="384">
        <f t="shared" si="35"/>
        <v>0</v>
      </c>
      <c r="M113" s="384">
        <f t="shared" si="36"/>
        <v>0</v>
      </c>
      <c r="N113" s="421">
        <f t="shared" si="26"/>
        <v>100</v>
      </c>
      <c r="O113" s="383">
        <v>53.9</v>
      </c>
      <c r="P113" s="384"/>
      <c r="Q113" s="384"/>
      <c r="R113" s="385">
        <f t="shared" si="27"/>
        <v>53.9</v>
      </c>
      <c r="S113" s="388">
        <v>1</v>
      </c>
      <c r="T113" s="342">
        <v>40665</v>
      </c>
      <c r="U113" s="355">
        <v>40681</v>
      </c>
      <c r="V113" s="343" t="s">
        <v>101</v>
      </c>
      <c r="W113" s="334" t="s">
        <v>74</v>
      </c>
      <c r="X113" s="334" t="s">
        <v>11</v>
      </c>
      <c r="Y113" s="344">
        <v>53.9</v>
      </c>
      <c r="AD113" s="343"/>
      <c r="AG113" s="344"/>
      <c r="AL113" s="343"/>
      <c r="AO113" s="344"/>
      <c r="AP113" s="343"/>
      <c r="AS113" s="344"/>
      <c r="AW113" s="344"/>
      <c r="BA113" s="345"/>
    </row>
    <row r="114" spans="1:53" s="334" customFormat="1">
      <c r="A114" s="334">
        <v>2012</v>
      </c>
      <c r="B114" s="355"/>
      <c r="C114" s="992" t="s">
        <v>250</v>
      </c>
      <c r="D114" s="992"/>
      <c r="E114" s="334">
        <v>0</v>
      </c>
      <c r="G114" s="419">
        <v>27</v>
      </c>
      <c r="J114" s="435">
        <v>27</v>
      </c>
      <c r="K114" s="384">
        <f t="shared" si="34"/>
        <v>100</v>
      </c>
      <c r="L114" s="384">
        <f t="shared" si="35"/>
        <v>0</v>
      </c>
      <c r="M114" s="384">
        <f t="shared" si="36"/>
        <v>0</v>
      </c>
      <c r="N114" s="421">
        <f t="shared" si="26"/>
        <v>100</v>
      </c>
      <c r="O114" s="383">
        <v>53.9</v>
      </c>
      <c r="P114" s="384"/>
      <c r="Q114" s="384"/>
      <c r="R114" s="385">
        <f t="shared" si="27"/>
        <v>53.9</v>
      </c>
      <c r="S114" s="388">
        <v>1</v>
      </c>
      <c r="T114" s="342"/>
      <c r="U114" s="355"/>
      <c r="V114" s="343" t="s">
        <v>101</v>
      </c>
      <c r="W114" s="334" t="s">
        <v>74</v>
      </c>
      <c r="X114" s="334" t="s">
        <v>11</v>
      </c>
      <c r="Y114" s="344">
        <v>53.9</v>
      </c>
      <c r="AD114" s="343"/>
      <c r="AG114" s="344"/>
      <c r="AL114" s="343"/>
      <c r="AO114" s="344"/>
      <c r="AP114" s="343"/>
      <c r="AS114" s="344"/>
      <c r="AW114" s="344"/>
      <c r="BA114" s="345"/>
    </row>
    <row r="115" spans="1:53" s="334" customFormat="1">
      <c r="A115" s="334">
        <v>2012</v>
      </c>
      <c r="B115" s="355"/>
      <c r="C115" s="992" t="s">
        <v>250</v>
      </c>
      <c r="D115" s="992"/>
      <c r="E115" s="334">
        <v>366</v>
      </c>
      <c r="G115" s="419">
        <v>27</v>
      </c>
      <c r="J115" s="435">
        <v>27</v>
      </c>
      <c r="K115" s="384">
        <f t="shared" si="34"/>
        <v>100</v>
      </c>
      <c r="L115" s="384">
        <f t="shared" si="35"/>
        <v>0</v>
      </c>
      <c r="M115" s="384">
        <f t="shared" si="36"/>
        <v>0</v>
      </c>
      <c r="N115" s="421">
        <f t="shared" si="26"/>
        <v>100</v>
      </c>
      <c r="O115" s="383">
        <v>53.9</v>
      </c>
      <c r="P115" s="384"/>
      <c r="Q115" s="384"/>
      <c r="R115" s="385">
        <f t="shared" si="27"/>
        <v>53.9</v>
      </c>
      <c r="S115" s="388">
        <v>1</v>
      </c>
      <c r="T115" s="342"/>
      <c r="U115" s="355"/>
      <c r="V115" s="343" t="s">
        <v>101</v>
      </c>
      <c r="W115" s="334" t="s">
        <v>74</v>
      </c>
      <c r="X115" s="334" t="s">
        <v>11</v>
      </c>
      <c r="Y115" s="344">
        <v>53.9</v>
      </c>
      <c r="AD115" s="343"/>
      <c r="AG115" s="344"/>
      <c r="AL115" s="343"/>
      <c r="AO115" s="344"/>
      <c r="AP115" s="343"/>
      <c r="AS115" s="344"/>
      <c r="AW115" s="344"/>
      <c r="BA115" s="345"/>
    </row>
    <row r="116" spans="1:53" s="334" customFormat="1">
      <c r="A116" s="334">
        <v>2013</v>
      </c>
      <c r="B116" s="445"/>
      <c r="C116" s="992" t="s">
        <v>250</v>
      </c>
      <c r="D116" s="992"/>
      <c r="E116" s="334">
        <v>195</v>
      </c>
      <c r="F116" s="441"/>
      <c r="G116" s="419">
        <v>27</v>
      </c>
      <c r="J116" s="435">
        <v>27</v>
      </c>
      <c r="K116" s="384">
        <f t="shared" si="34"/>
        <v>100</v>
      </c>
      <c r="L116" s="384">
        <f t="shared" si="35"/>
        <v>0</v>
      </c>
      <c r="M116" s="384">
        <f t="shared" si="36"/>
        <v>0</v>
      </c>
      <c r="N116" s="421">
        <f t="shared" si="26"/>
        <v>100</v>
      </c>
      <c r="O116" s="383">
        <v>53.9</v>
      </c>
      <c r="P116" s="384"/>
      <c r="Q116" s="384"/>
      <c r="R116" s="385">
        <f t="shared" si="27"/>
        <v>53.9</v>
      </c>
      <c r="S116" s="388">
        <v>1</v>
      </c>
      <c r="T116" s="342"/>
      <c r="U116" s="355"/>
      <c r="V116" s="343" t="s">
        <v>101</v>
      </c>
      <c r="W116" s="334" t="s">
        <v>74</v>
      </c>
      <c r="X116" s="334" t="s">
        <v>11</v>
      </c>
      <c r="Y116" s="344">
        <v>53.9</v>
      </c>
      <c r="AD116" s="343"/>
      <c r="AG116" s="344"/>
      <c r="AL116" s="343"/>
      <c r="AO116" s="344"/>
      <c r="AP116" s="343"/>
      <c r="AS116" s="344"/>
      <c r="AW116" s="344"/>
      <c r="BA116" s="345"/>
    </row>
    <row r="117" spans="1:53" s="334" customFormat="1">
      <c r="A117" s="334">
        <v>2013</v>
      </c>
      <c r="B117" s="445">
        <v>41470</v>
      </c>
      <c r="C117" s="992" t="s">
        <v>250</v>
      </c>
      <c r="D117" s="992"/>
      <c r="E117" s="334">
        <f>365-E116</f>
        <v>170</v>
      </c>
      <c r="F117" s="441">
        <v>0</v>
      </c>
      <c r="G117" s="419">
        <v>27</v>
      </c>
      <c r="J117" s="435">
        <v>27</v>
      </c>
      <c r="K117" s="384">
        <f t="shared" si="34"/>
        <v>100</v>
      </c>
      <c r="L117" s="384">
        <f t="shared" si="35"/>
        <v>0</v>
      </c>
      <c r="M117" s="384">
        <f t="shared" si="36"/>
        <v>0</v>
      </c>
      <c r="N117" s="421">
        <f t="shared" si="26"/>
        <v>100</v>
      </c>
      <c r="O117" s="383">
        <v>53.9</v>
      </c>
      <c r="P117" s="384"/>
      <c r="Q117" s="384"/>
      <c r="R117" s="385">
        <f t="shared" si="27"/>
        <v>53.9</v>
      </c>
      <c r="S117" s="388">
        <v>1</v>
      </c>
      <c r="T117" s="342"/>
      <c r="U117" s="355"/>
      <c r="V117" s="343" t="s">
        <v>101</v>
      </c>
      <c r="W117" s="334" t="s">
        <v>74</v>
      </c>
      <c r="X117" s="334" t="s">
        <v>11</v>
      </c>
      <c r="Y117" s="344">
        <v>53.9</v>
      </c>
      <c r="AD117" s="343"/>
      <c r="AG117" s="344"/>
      <c r="AL117" s="343"/>
      <c r="AO117" s="344"/>
      <c r="AP117" s="343"/>
      <c r="AS117" s="344"/>
      <c r="AW117" s="344"/>
      <c r="BA117" s="345"/>
    </row>
    <row r="118" spans="1:53" s="519" customFormat="1">
      <c r="A118" s="519">
        <v>2014</v>
      </c>
      <c r="B118" s="502"/>
      <c r="C118" s="992" t="s">
        <v>250</v>
      </c>
      <c r="D118" s="992"/>
      <c r="E118" s="519">
        <v>0</v>
      </c>
      <c r="F118" s="501"/>
      <c r="G118" s="497">
        <v>27</v>
      </c>
      <c r="J118" s="499">
        <v>27</v>
      </c>
      <c r="K118" s="495">
        <f>G118/J118*100</f>
        <v>100</v>
      </c>
      <c r="L118" s="495">
        <f>H118/J118*100</f>
        <v>0</v>
      </c>
      <c r="M118" s="495">
        <f>I118/J118*100</f>
        <v>0</v>
      </c>
      <c r="N118" s="498">
        <f>SUM(K118:M118)</f>
        <v>100</v>
      </c>
      <c r="O118" s="494">
        <v>53.9</v>
      </c>
      <c r="P118" s="495"/>
      <c r="Q118" s="495"/>
      <c r="R118" s="496">
        <f>SUM(O118:Q118)</f>
        <v>53.9</v>
      </c>
      <c r="S118" s="388">
        <v>1</v>
      </c>
      <c r="T118" s="487"/>
      <c r="U118" s="516"/>
      <c r="V118" s="488" t="s">
        <v>101</v>
      </c>
      <c r="W118" s="519" t="s">
        <v>74</v>
      </c>
      <c r="X118" s="519" t="s">
        <v>11</v>
      </c>
      <c r="Y118" s="489">
        <v>53.9</v>
      </c>
      <c r="AD118" s="488"/>
      <c r="AG118" s="489"/>
      <c r="AL118" s="488"/>
      <c r="AO118" s="489"/>
      <c r="AP118" s="488"/>
      <c r="AS118" s="489"/>
      <c r="AW118" s="489"/>
      <c r="BA118" s="490"/>
    </row>
    <row r="119" spans="1:53" s="519" customFormat="1">
      <c r="A119" s="519">
        <v>2014</v>
      </c>
      <c r="B119" s="502"/>
      <c r="C119" s="992" t="s">
        <v>250</v>
      </c>
      <c r="D119" s="992"/>
      <c r="E119" s="519">
        <v>365</v>
      </c>
      <c r="F119" s="501"/>
      <c r="G119" s="497">
        <v>27</v>
      </c>
      <c r="J119" s="499">
        <v>27</v>
      </c>
      <c r="K119" s="495">
        <f>G119/J119*100</f>
        <v>100</v>
      </c>
      <c r="L119" s="495">
        <f>H119/J119*100</f>
        <v>0</v>
      </c>
      <c r="M119" s="495">
        <f>I119/J119*100</f>
        <v>0</v>
      </c>
      <c r="N119" s="498">
        <f>SUM(K119:M119)</f>
        <v>100</v>
      </c>
      <c r="O119" s="494">
        <v>53.9</v>
      </c>
      <c r="P119" s="495"/>
      <c r="Q119" s="495"/>
      <c r="R119" s="496">
        <f>SUM(O119:Q119)</f>
        <v>53.9</v>
      </c>
      <c r="S119" s="388">
        <v>1</v>
      </c>
      <c r="T119" s="487"/>
      <c r="U119" s="516"/>
      <c r="V119" s="488" t="s">
        <v>101</v>
      </c>
      <c r="W119" s="519" t="s">
        <v>74</v>
      </c>
      <c r="X119" s="519" t="s">
        <v>11</v>
      </c>
      <c r="Y119" s="489">
        <v>53.9</v>
      </c>
      <c r="AD119" s="488"/>
      <c r="AG119" s="489"/>
      <c r="AL119" s="488"/>
      <c r="AO119" s="489"/>
      <c r="AP119" s="488"/>
      <c r="AS119" s="489"/>
      <c r="AW119" s="489"/>
      <c r="BA119" s="490"/>
    </row>
    <row r="120" spans="1:53" s="694" customFormat="1">
      <c r="A120" s="694">
        <v>2015</v>
      </c>
      <c r="B120" s="502"/>
      <c r="C120" s="992" t="s">
        <v>250</v>
      </c>
      <c r="D120" s="992"/>
      <c r="E120" s="694">
        <v>307</v>
      </c>
      <c r="F120" s="501"/>
      <c r="G120" s="642">
        <v>27</v>
      </c>
      <c r="J120" s="644">
        <v>27</v>
      </c>
      <c r="K120" s="640">
        <f>G120/J120*100</f>
        <v>100</v>
      </c>
      <c r="L120" s="640">
        <f>H120/J120*100</f>
        <v>0</v>
      </c>
      <c r="M120" s="640">
        <f>I120/J120*100</f>
        <v>0</v>
      </c>
      <c r="N120" s="643">
        <f>SUM(K120:M120)</f>
        <v>100</v>
      </c>
      <c r="O120" s="639">
        <v>53.9</v>
      </c>
      <c r="P120" s="640"/>
      <c r="Q120" s="640"/>
      <c r="R120" s="641">
        <f>SUM(O120:Q120)</f>
        <v>53.9</v>
      </c>
      <c r="S120" s="388">
        <v>1</v>
      </c>
      <c r="T120" s="487"/>
      <c r="U120" s="690"/>
      <c r="V120" s="634" t="s">
        <v>101</v>
      </c>
      <c r="W120" s="694" t="s">
        <v>74</v>
      </c>
      <c r="X120" s="694" t="s">
        <v>11</v>
      </c>
      <c r="Y120" s="635">
        <v>53.9</v>
      </c>
      <c r="AD120" s="634"/>
      <c r="AG120" s="635"/>
      <c r="AL120" s="634"/>
      <c r="AO120" s="635"/>
      <c r="AP120" s="634"/>
      <c r="AS120" s="635"/>
      <c r="AW120" s="635"/>
      <c r="BA120" s="636"/>
    </row>
    <row r="121" spans="1:53" s="693" customFormat="1">
      <c r="A121" s="693">
        <v>2015</v>
      </c>
      <c r="B121" s="691">
        <v>42312</v>
      </c>
      <c r="C121" s="988" t="s">
        <v>1328</v>
      </c>
      <c r="D121" s="988"/>
      <c r="E121" s="693">
        <v>58</v>
      </c>
      <c r="F121" s="693">
        <v>1</v>
      </c>
      <c r="G121" s="596"/>
      <c r="H121" s="693">
        <v>31</v>
      </c>
      <c r="J121" s="598">
        <v>31</v>
      </c>
      <c r="K121" s="593">
        <f>G121/J121*100</f>
        <v>0</v>
      </c>
      <c r="L121" s="593">
        <f>H121/J121*100</f>
        <v>100</v>
      </c>
      <c r="M121" s="593">
        <f>I121/J121*100</f>
        <v>0</v>
      </c>
      <c r="N121" s="597">
        <f>SUM(K121:M121)</f>
        <v>100</v>
      </c>
      <c r="O121" s="592"/>
      <c r="P121" s="593">
        <v>54.4</v>
      </c>
      <c r="Q121" s="593"/>
      <c r="R121" s="594">
        <f>SUM(O121:Q121)</f>
        <v>54.4</v>
      </c>
      <c r="S121" s="97">
        <v>1</v>
      </c>
      <c r="T121" s="595">
        <v>42292</v>
      </c>
      <c r="U121" s="691">
        <v>42312</v>
      </c>
      <c r="V121" s="588" t="s">
        <v>72</v>
      </c>
      <c r="W121" s="693" t="s">
        <v>22</v>
      </c>
      <c r="X121" s="693" t="s">
        <v>18</v>
      </c>
      <c r="Y121" s="593">
        <v>54.4</v>
      </c>
      <c r="AD121" s="588"/>
      <c r="AG121" s="589"/>
      <c r="AL121" s="588"/>
      <c r="AO121" s="589"/>
      <c r="AP121" s="588"/>
      <c r="AS121" s="589"/>
      <c r="AW121" s="589"/>
      <c r="BA121" s="590"/>
    </row>
    <row r="122" spans="1:53" s="782" customFormat="1">
      <c r="A122" s="782">
        <v>2016</v>
      </c>
      <c r="B122" s="781"/>
      <c r="C122" s="988" t="s">
        <v>1328</v>
      </c>
      <c r="D122" s="988"/>
      <c r="E122" s="782">
        <v>0</v>
      </c>
      <c r="G122" s="596"/>
      <c r="H122" s="782">
        <v>31</v>
      </c>
      <c r="J122" s="598">
        <v>31</v>
      </c>
      <c r="K122" s="593">
        <f t="shared" ref="K122:K127" si="37">G122/J122*100</f>
        <v>0</v>
      </c>
      <c r="L122" s="593">
        <f t="shared" ref="L122:L127" si="38">H122/J122*100</f>
        <v>100</v>
      </c>
      <c r="M122" s="593">
        <f t="shared" ref="M122:M127" si="39">I122/J122*100</f>
        <v>0</v>
      </c>
      <c r="N122" s="597">
        <f t="shared" ref="N122:N127" si="40">SUM(K122:M122)</f>
        <v>100</v>
      </c>
      <c r="O122" s="592"/>
      <c r="P122" s="593">
        <v>54.4</v>
      </c>
      <c r="Q122" s="593"/>
      <c r="R122" s="594">
        <f t="shared" ref="R122:R125" si="41">SUM(O122:Q122)</f>
        <v>54.4</v>
      </c>
      <c r="S122" s="97">
        <v>1</v>
      </c>
      <c r="T122" s="595"/>
      <c r="U122" s="781"/>
      <c r="V122" s="588" t="s">
        <v>72</v>
      </c>
      <c r="W122" s="782" t="s">
        <v>22</v>
      </c>
      <c r="X122" s="782" t="s">
        <v>18</v>
      </c>
      <c r="Y122" s="593">
        <v>54.4</v>
      </c>
    </row>
    <row r="123" spans="1:53" s="782" customFormat="1">
      <c r="A123" s="782">
        <v>2016</v>
      </c>
      <c r="B123" s="781"/>
      <c r="C123" s="988" t="s">
        <v>1328</v>
      </c>
      <c r="D123" s="988"/>
      <c r="E123" s="782">
        <v>366</v>
      </c>
      <c r="G123" s="596"/>
      <c r="H123" s="782">
        <v>31</v>
      </c>
      <c r="J123" s="598">
        <v>31</v>
      </c>
      <c r="K123" s="593">
        <f t="shared" si="37"/>
        <v>0</v>
      </c>
      <c r="L123" s="593">
        <f t="shared" si="38"/>
        <v>100</v>
      </c>
      <c r="M123" s="593">
        <f t="shared" si="39"/>
        <v>0</v>
      </c>
      <c r="N123" s="597">
        <f t="shared" si="40"/>
        <v>100</v>
      </c>
      <c r="O123" s="592"/>
      <c r="P123" s="593">
        <v>54.4</v>
      </c>
      <c r="Q123" s="593"/>
      <c r="R123" s="594">
        <f t="shared" si="41"/>
        <v>54.4</v>
      </c>
      <c r="S123" s="97">
        <v>1</v>
      </c>
      <c r="T123" s="595"/>
      <c r="U123" s="781"/>
      <c r="V123" s="588" t="s">
        <v>72</v>
      </c>
      <c r="W123" s="782" t="s">
        <v>22</v>
      </c>
      <c r="X123" s="782" t="s">
        <v>18</v>
      </c>
      <c r="Y123" s="593">
        <v>54.4</v>
      </c>
    </row>
    <row r="124" spans="1:53" s="896" customFormat="1">
      <c r="A124" s="896">
        <v>2017</v>
      </c>
      <c r="B124" s="894"/>
      <c r="C124" s="988" t="s">
        <v>1328</v>
      </c>
      <c r="D124" s="988"/>
      <c r="E124" s="896">
        <v>239</v>
      </c>
      <c r="G124" s="596"/>
      <c r="H124" s="896">
        <v>31</v>
      </c>
      <c r="J124" s="598">
        <v>31</v>
      </c>
      <c r="K124" s="593">
        <f t="shared" si="37"/>
        <v>0</v>
      </c>
      <c r="L124" s="593">
        <f t="shared" si="38"/>
        <v>100</v>
      </c>
      <c r="M124" s="593">
        <f t="shared" si="39"/>
        <v>0</v>
      </c>
      <c r="N124" s="597">
        <f t="shared" si="40"/>
        <v>100</v>
      </c>
      <c r="O124" s="592"/>
      <c r="P124" s="593">
        <v>54.4</v>
      </c>
      <c r="Q124" s="593"/>
      <c r="R124" s="594">
        <f t="shared" si="41"/>
        <v>54.4</v>
      </c>
      <c r="S124" s="97">
        <v>1</v>
      </c>
      <c r="T124" s="595"/>
      <c r="U124" s="894"/>
      <c r="V124" s="588" t="s">
        <v>72</v>
      </c>
      <c r="W124" s="896" t="s">
        <v>22</v>
      </c>
      <c r="X124" s="896" t="s">
        <v>18</v>
      </c>
      <c r="Y124" s="593">
        <v>54.4</v>
      </c>
    </row>
    <row r="125" spans="1:53" s="896" customFormat="1">
      <c r="A125" s="896">
        <v>2017</v>
      </c>
      <c r="B125" s="216">
        <v>42975</v>
      </c>
      <c r="C125" s="988" t="s">
        <v>1328</v>
      </c>
      <c r="D125" s="988"/>
      <c r="E125" s="896">
        <v>126</v>
      </c>
      <c r="F125" s="217">
        <v>0</v>
      </c>
      <c r="G125" s="596"/>
      <c r="H125" s="896">
        <v>30</v>
      </c>
      <c r="J125" s="598">
        <v>30</v>
      </c>
      <c r="K125" s="593">
        <f t="shared" si="37"/>
        <v>0</v>
      </c>
      <c r="L125" s="593">
        <f t="shared" si="38"/>
        <v>100</v>
      </c>
      <c r="M125" s="593">
        <f t="shared" si="39"/>
        <v>0</v>
      </c>
      <c r="N125" s="597">
        <f t="shared" si="40"/>
        <v>100</v>
      </c>
      <c r="O125" s="592"/>
      <c r="P125" s="593">
        <v>54.4</v>
      </c>
      <c r="Q125" s="593"/>
      <c r="R125" s="594">
        <f t="shared" si="41"/>
        <v>54.4</v>
      </c>
      <c r="S125" s="97">
        <v>1</v>
      </c>
      <c r="T125" s="595"/>
      <c r="U125" s="894"/>
      <c r="V125" s="588" t="s">
        <v>72</v>
      </c>
      <c r="W125" s="896" t="s">
        <v>22</v>
      </c>
      <c r="X125" s="896" t="s">
        <v>18</v>
      </c>
      <c r="Y125" s="593">
        <v>54.4</v>
      </c>
    </row>
    <row r="126" spans="1:53" s="933" customFormat="1">
      <c r="A126" s="933">
        <v>2018</v>
      </c>
      <c r="B126" s="216"/>
      <c r="C126" s="988" t="s">
        <v>1328</v>
      </c>
      <c r="D126" s="988"/>
      <c r="E126" s="933">
        <v>198</v>
      </c>
      <c r="F126" s="217"/>
      <c r="G126" s="596"/>
      <c r="H126" s="933">
        <v>31</v>
      </c>
      <c r="J126" s="598">
        <v>31</v>
      </c>
      <c r="K126" s="593">
        <f t="shared" si="37"/>
        <v>0</v>
      </c>
      <c r="L126" s="593">
        <f t="shared" si="38"/>
        <v>100</v>
      </c>
      <c r="M126" s="593">
        <f t="shared" si="39"/>
        <v>0</v>
      </c>
      <c r="N126" s="597">
        <f t="shared" si="40"/>
        <v>100</v>
      </c>
      <c r="O126" s="592"/>
      <c r="P126" s="593">
        <v>54.4</v>
      </c>
      <c r="Q126" s="593"/>
      <c r="R126" s="594">
        <f t="shared" ref="R126:R127" si="42">SUM(O126:Q126)</f>
        <v>54.4</v>
      </c>
      <c r="S126" s="97">
        <v>1</v>
      </c>
      <c r="T126" s="595"/>
      <c r="U126" s="929"/>
      <c r="V126" s="588" t="s">
        <v>72</v>
      </c>
      <c r="W126" s="933" t="s">
        <v>22</v>
      </c>
      <c r="X126" s="933" t="s">
        <v>18</v>
      </c>
      <c r="Y126" s="593">
        <v>54.4</v>
      </c>
    </row>
    <row r="127" spans="1:53" s="933" customFormat="1">
      <c r="A127" s="933">
        <v>2018</v>
      </c>
      <c r="B127" s="216">
        <v>43299</v>
      </c>
      <c r="C127" s="988" t="s">
        <v>1328</v>
      </c>
      <c r="D127" s="988"/>
      <c r="E127" s="933">
        <v>167</v>
      </c>
      <c r="F127" s="217">
        <v>0</v>
      </c>
      <c r="G127" s="596"/>
      <c r="H127" s="933">
        <v>35</v>
      </c>
      <c r="J127" s="598">
        <v>35</v>
      </c>
      <c r="K127" s="593">
        <f t="shared" si="37"/>
        <v>0</v>
      </c>
      <c r="L127" s="593">
        <f t="shared" si="38"/>
        <v>100</v>
      </c>
      <c r="M127" s="593">
        <f t="shared" si="39"/>
        <v>0</v>
      </c>
      <c r="N127" s="597">
        <f t="shared" si="40"/>
        <v>100</v>
      </c>
      <c r="O127" s="592"/>
      <c r="P127" s="593">
        <v>54.4</v>
      </c>
      <c r="Q127" s="593"/>
      <c r="R127" s="594">
        <f t="shared" si="42"/>
        <v>54.4</v>
      </c>
      <c r="S127" s="97">
        <v>1</v>
      </c>
      <c r="T127" s="595"/>
      <c r="U127" s="929"/>
      <c r="V127" s="588" t="s">
        <v>72</v>
      </c>
      <c r="W127" s="933" t="s">
        <v>22</v>
      </c>
      <c r="X127" s="933" t="s">
        <v>18</v>
      </c>
      <c r="Y127" s="593">
        <v>54.4</v>
      </c>
    </row>
    <row r="128" spans="1:53">
      <c r="R128" s="2"/>
    </row>
    <row r="130" spans="1:30" s="2" customFormat="1" ht="18" customHeight="1">
      <c r="B130" s="22" t="s">
        <v>1278</v>
      </c>
    </row>
    <row r="131" spans="1:30" s="2" customFormat="1" ht="9" customHeight="1"/>
    <row r="132" spans="1:30" s="364" customFormat="1" ht="9" customHeight="1">
      <c r="A132" s="362"/>
      <c r="B132" s="363" t="s">
        <v>1229</v>
      </c>
      <c r="C132" s="363"/>
      <c r="D132" s="363"/>
      <c r="E132" s="363"/>
      <c r="F132" s="363"/>
      <c r="G132" s="363" t="s">
        <v>1230</v>
      </c>
      <c r="H132" s="363"/>
      <c r="I132" s="363"/>
      <c r="J132" s="363"/>
      <c r="K132" s="363"/>
      <c r="L132" s="363"/>
      <c r="M132" s="363"/>
      <c r="N132" s="363"/>
      <c r="R132" s="982" t="s">
        <v>1231</v>
      </c>
      <c r="S132" s="982"/>
      <c r="T132" s="982"/>
      <c r="U132" s="982"/>
      <c r="V132" s="982"/>
      <c r="W132" s="982"/>
      <c r="X132" s="365"/>
      <c r="Y132" s="365"/>
      <c r="AA132" s="365"/>
      <c r="AB132" s="365"/>
      <c r="AC132" s="365"/>
      <c r="AD132" s="365"/>
    </row>
    <row r="133" spans="1:30" s="369" customFormat="1" ht="9" customHeight="1">
      <c r="A133" s="366"/>
      <c r="B133" s="367" t="s">
        <v>1233</v>
      </c>
      <c r="C133" s="368"/>
      <c r="D133" s="368"/>
      <c r="E133" s="368"/>
      <c r="F133" s="368"/>
      <c r="G133" s="367" t="s">
        <v>1232</v>
      </c>
      <c r="H133" s="368"/>
      <c r="I133" s="368"/>
      <c r="J133" s="368"/>
      <c r="K133" s="368"/>
      <c r="L133" s="368"/>
      <c r="M133" s="368"/>
      <c r="N133" s="368"/>
      <c r="R133" s="370" t="s">
        <v>1234</v>
      </c>
      <c r="S133" s="371"/>
      <c r="T133" s="372"/>
      <c r="U133" s="372"/>
      <c r="V133" s="372"/>
      <c r="W133" s="370" t="s">
        <v>1235</v>
      </c>
      <c r="X133" s="372"/>
      <c r="Y133" s="372"/>
      <c r="AA133" s="372"/>
      <c r="AB133" s="372"/>
      <c r="AC133" s="372"/>
      <c r="AD133" s="372"/>
    </row>
    <row r="134" spans="1:30" s="351" customFormat="1" ht="12" customHeight="1">
      <c r="A134" s="373" t="s">
        <v>3</v>
      </c>
      <c r="B134" s="374" t="s">
        <v>8</v>
      </c>
      <c r="C134" s="374" t="s">
        <v>9</v>
      </c>
      <c r="D134" s="374" t="s">
        <v>10</v>
      </c>
      <c r="E134" s="375" t="s">
        <v>1209</v>
      </c>
      <c r="F134" s="374"/>
      <c r="G134" s="351" t="s">
        <v>3</v>
      </c>
      <c r="H134" s="983" t="s">
        <v>0</v>
      </c>
      <c r="I134" s="983"/>
      <c r="J134" s="983" t="s">
        <v>1</v>
      </c>
      <c r="K134" s="983"/>
      <c r="L134" s="983" t="s">
        <v>2</v>
      </c>
      <c r="M134" s="983"/>
      <c r="N134" s="984" t="s">
        <v>1209</v>
      </c>
      <c r="O134" s="984"/>
      <c r="P134" s="376"/>
      <c r="Q134" s="376"/>
      <c r="R134" s="377" t="s">
        <v>3</v>
      </c>
      <c r="S134" s="378" t="s">
        <v>136</v>
      </c>
      <c r="T134" s="376" t="s">
        <v>134</v>
      </c>
      <c r="U134" s="374" t="s">
        <v>135</v>
      </c>
      <c r="V134" s="376"/>
      <c r="W134" s="379" t="s">
        <v>26</v>
      </c>
    </row>
    <row r="135" spans="1:30" s="273" customFormat="1">
      <c r="A135" s="263">
        <v>1959</v>
      </c>
      <c r="B135" s="274">
        <f>(K6*($E6/365))+(K7*($E7/365))</f>
        <v>100</v>
      </c>
      <c r="C135" s="274">
        <f>(L6*($E6/365))+(L7*($E7/365))</f>
        <v>0</v>
      </c>
      <c r="D135" s="274">
        <f>(M6*($E6/365))+(M7*($E7/365))</f>
        <v>0</v>
      </c>
      <c r="E135" s="261">
        <f>B135+C135+D135</f>
        <v>100</v>
      </c>
      <c r="G135" s="263">
        <v>1959</v>
      </c>
      <c r="H135" s="1009">
        <f>(O6/$R6*100*($E6/365))+(O7/$R7*100*($E7/365))</f>
        <v>100</v>
      </c>
      <c r="I135" s="1009"/>
      <c r="J135" s="1009">
        <f>(P6/$R6*100*($E6/365))+(P7/$R7*100*($E7/365))</f>
        <v>0</v>
      </c>
      <c r="K135" s="1009"/>
      <c r="L135" s="1009">
        <f>(Q6/$R6*100*($E6/365))+(Q7/$R7*100*($E7/365))</f>
        <v>0</v>
      </c>
      <c r="M135" s="1009"/>
      <c r="N135" s="1010">
        <f>H135+J135+K135</f>
        <v>100</v>
      </c>
      <c r="O135" s="1010"/>
      <c r="R135" s="263">
        <v>1959</v>
      </c>
      <c r="S135" s="274">
        <f>(O6*($E6/365))+(O7*($E7/365))</f>
        <v>78.5</v>
      </c>
      <c r="T135" s="274">
        <f>(P6*($E6/365))+(P7*($E7/365))</f>
        <v>0</v>
      </c>
      <c r="U135" s="274">
        <f>(Q6*($E6/365))+(Q7*($E7/365))</f>
        <v>0</v>
      </c>
      <c r="V135" s="275"/>
      <c r="W135" s="274">
        <f>S135+T135+U135</f>
        <v>78.5</v>
      </c>
      <c r="X135" s="262"/>
    </row>
    <row r="136" spans="1:30">
      <c r="A136" s="20">
        <v>1960</v>
      </c>
      <c r="B136" s="7">
        <f>(K8*($E8/366))+(K9*($E9/366))</f>
        <v>100</v>
      </c>
      <c r="C136" s="7">
        <f>(L8*($E8/366))+(L9*($E9/366))</f>
        <v>0</v>
      </c>
      <c r="D136" s="7">
        <f>(M8*($E8/366))+(M9*($E9/366))</f>
        <v>0</v>
      </c>
      <c r="E136" s="239">
        <f t="shared" ref="E136:E166" si="43">SUM(B136:D136)</f>
        <v>100</v>
      </c>
      <c r="G136" s="20">
        <v>1960</v>
      </c>
      <c r="H136" s="958">
        <f>(O8/$R8*100*($E8/366))+(O9/$R9*100*($E9/366))</f>
        <v>100</v>
      </c>
      <c r="I136" s="958"/>
      <c r="J136" s="958">
        <f>(P8/$R8*100*($E8/366))+(P9/$R9*100*($E9/366))</f>
        <v>0</v>
      </c>
      <c r="K136" s="958"/>
      <c r="L136" s="958">
        <f>(Q8/$R8*100*($E8/366))+(Q9/$R9*100*($E9/366))</f>
        <v>0</v>
      </c>
      <c r="M136" s="958"/>
      <c r="N136" s="990">
        <f>SUM(H136:M136)</f>
        <v>100</v>
      </c>
      <c r="O136" s="990"/>
      <c r="R136" s="20">
        <v>1960</v>
      </c>
      <c r="S136" s="7">
        <f>(O8*($E8/366))+(O9*($E9/366))</f>
        <v>78.5</v>
      </c>
      <c r="T136" s="7">
        <f>(P8*($E8/366))+(P9*($E9/366))</f>
        <v>0</v>
      </c>
      <c r="U136" s="7">
        <f>(Q8*($E8/366))+(Q9*($E9/366))</f>
        <v>0</v>
      </c>
      <c r="V136" s="12"/>
      <c r="W136" s="7">
        <f>R8*(E8/366) + R9*(E9/366)</f>
        <v>78.5</v>
      </c>
      <c r="X136" s="5"/>
    </row>
    <row r="137" spans="1:30">
      <c r="A137" s="20">
        <v>1961</v>
      </c>
      <c r="B137" s="7">
        <f>(K10*($E10/365))+(K11*($E11/365))</f>
        <v>100</v>
      </c>
      <c r="C137" s="7">
        <f>(L10*($E10/365))+(L11*($E11/365))</f>
        <v>0</v>
      </c>
      <c r="D137" s="7">
        <f>(M10*($E10/365))+(M11*($E11/365))</f>
        <v>0</v>
      </c>
      <c r="E137" s="33">
        <f t="shared" si="43"/>
        <v>100</v>
      </c>
      <c r="G137" s="20">
        <v>1961</v>
      </c>
      <c r="H137" s="958">
        <f>(O10/$R10*100*($E10/365))+(O11/$R11*100*($E11/365))</f>
        <v>100</v>
      </c>
      <c r="I137" s="958"/>
      <c r="J137" s="958">
        <f>(P10/$R10*100*($E10/365))+(P11/$R11*100*($E11/365))</f>
        <v>0</v>
      </c>
      <c r="K137" s="958"/>
      <c r="L137" s="958">
        <f>(Q10/$R10*100*($E10/365))+(Q11/$R11*100*($E11/365))</f>
        <v>0</v>
      </c>
      <c r="M137" s="958"/>
      <c r="N137" s="990">
        <f>SUM(H137:M137)</f>
        <v>100</v>
      </c>
      <c r="O137" s="990"/>
      <c r="R137" s="20">
        <v>1961</v>
      </c>
      <c r="S137" s="7">
        <f>(O10*($E10/365))+(O11*($E11/365))</f>
        <v>78.5</v>
      </c>
      <c r="T137" s="7">
        <f>(P10*($E10/365))+(P11*($E11/365))</f>
        <v>0</v>
      </c>
      <c r="U137" s="7">
        <f>(Q10*($E10/365))+(Q11*($E11/365))</f>
        <v>0</v>
      </c>
      <c r="V137" s="12"/>
      <c r="W137" s="7">
        <f>R10*(E10/365) + R11*(E11/365)</f>
        <v>78.5</v>
      </c>
      <c r="X137" s="5"/>
    </row>
    <row r="138" spans="1:30">
      <c r="A138" s="20">
        <v>1962</v>
      </c>
      <c r="B138" s="7">
        <f>(K12*($E12/365))+(K13*($E13/365))</f>
        <v>100</v>
      </c>
      <c r="C138" s="7">
        <f>(L12*($E12/365))+(L13*($E13/365))</f>
        <v>0</v>
      </c>
      <c r="D138" s="7">
        <f>(M12*($E12/365))+(M13*($E13/365))</f>
        <v>0</v>
      </c>
      <c r="E138" s="33">
        <f t="shared" si="43"/>
        <v>100</v>
      </c>
      <c r="G138" s="20">
        <v>1962</v>
      </c>
      <c r="H138" s="958">
        <f>(O12/$R12*100*($E12/365))+(O13/$R13*100*($E13/365))</f>
        <v>100</v>
      </c>
      <c r="I138" s="958"/>
      <c r="J138" s="958">
        <f>(P12/$R12*100*($E12/365))+(P13/$R13*100*($E13/365))</f>
        <v>0</v>
      </c>
      <c r="K138" s="958"/>
      <c r="L138" s="958">
        <f>(Q12/$R12*100*($E12/365))+(Q13/$R13*100*($E13/365))</f>
        <v>0</v>
      </c>
      <c r="M138" s="958"/>
      <c r="N138" s="990">
        <f t="shared" ref="N138:N188" si="44">SUM(H138:M138)</f>
        <v>100</v>
      </c>
      <c r="O138" s="990"/>
      <c r="R138" s="20">
        <v>1962</v>
      </c>
      <c r="S138" s="7">
        <f>(O12*($E12/365))+(O13*($E13/365))</f>
        <v>64.715068493150682</v>
      </c>
      <c r="T138" s="7">
        <f>(P12*($E12/365))+(P13*($E13/365))</f>
        <v>0</v>
      </c>
      <c r="U138" s="7">
        <f>(Q12*($E12/365))+(Q13*($E13/365))</f>
        <v>0</v>
      </c>
      <c r="V138" s="12"/>
      <c r="W138" s="7">
        <f>R12*(E12/365) + R13*(E13/365)</f>
        <v>64.715068493150682</v>
      </c>
      <c r="X138" s="5"/>
    </row>
    <row r="139" spans="1:30">
      <c r="A139" s="20">
        <v>1963</v>
      </c>
      <c r="B139" s="7">
        <f>(K14*($E14/365))+(K15*($E15/365))</f>
        <v>30.410958904109592</v>
      </c>
      <c r="C139" s="7">
        <f>(L14*($E14/365))+(L15*($E15/365))</f>
        <v>69.589041095890408</v>
      </c>
      <c r="D139" s="7">
        <f>(M14*($E14/365))+(M15*($E15/365))</f>
        <v>0</v>
      </c>
      <c r="E139" s="33">
        <f t="shared" si="43"/>
        <v>100</v>
      </c>
      <c r="G139" s="20">
        <v>1963</v>
      </c>
      <c r="H139" s="958">
        <f>(O14/$R14*100*($E14/365))+(O15/$R15*100*($E15/365))</f>
        <v>30.410958904109592</v>
      </c>
      <c r="I139" s="958"/>
      <c r="J139" s="958">
        <f>(P14/$R14*100*($E14/365))+(P15/$R15*100*($E15/365))</f>
        <v>69.589041095890408</v>
      </c>
      <c r="K139" s="958"/>
      <c r="L139" s="958">
        <f>(Q14/$R14*100*($E14/365))+(Q15/$R15*100*($E15/365))</f>
        <v>0</v>
      </c>
      <c r="M139" s="958"/>
      <c r="N139" s="990">
        <f t="shared" si="44"/>
        <v>100</v>
      </c>
      <c r="O139" s="990"/>
      <c r="R139" s="20">
        <v>1963</v>
      </c>
      <c r="S139" s="7">
        <f>(O14*($E14/365))+(O15*($E15/365))</f>
        <v>13.32</v>
      </c>
      <c r="T139" s="7">
        <f>(P14*($E14/365))+(P15*($E15/365))</f>
        <v>33.889863013698637</v>
      </c>
      <c r="U139" s="7">
        <f>(Q14*($E14/365))+(Q15*($E15/365))</f>
        <v>0</v>
      </c>
      <c r="V139" s="12"/>
      <c r="W139" s="7">
        <f>R14*(E14/365) + R15*(E15/365)</f>
        <v>47.209863013698637</v>
      </c>
      <c r="X139" s="5"/>
    </row>
    <row r="140" spans="1:30">
      <c r="A140" s="20">
        <v>1964</v>
      </c>
      <c r="B140" s="7">
        <f>(K16*($E16/366))+(K17*($E17/366))</f>
        <v>0</v>
      </c>
      <c r="C140" s="7">
        <f>(L16*($E16/366))+(L17*($E17/366))</f>
        <v>100</v>
      </c>
      <c r="D140" s="7">
        <f>(M16*($E16/366))+(M17*($E17/366))</f>
        <v>0</v>
      </c>
      <c r="E140" s="33">
        <f t="shared" si="43"/>
        <v>100</v>
      </c>
      <c r="G140" s="20">
        <v>1964</v>
      </c>
      <c r="H140" s="958">
        <f>(O16/$R16*100*($E16/366))+(O17/$R17*100*($E17/366))</f>
        <v>0</v>
      </c>
      <c r="I140" s="958"/>
      <c r="J140" s="958">
        <f>(P16/$R16*100*($E16/366))+(P17/$R17*100*($E17/366))</f>
        <v>100</v>
      </c>
      <c r="K140" s="958"/>
      <c r="L140" s="958">
        <f>(Q16/$R16*100*($E16/366))+(Q17/$R17*100*($E17/366))</f>
        <v>0</v>
      </c>
      <c r="M140" s="958"/>
      <c r="N140" s="990">
        <f t="shared" si="44"/>
        <v>100</v>
      </c>
      <c r="O140" s="990"/>
      <c r="R140" s="20">
        <v>1964</v>
      </c>
      <c r="S140" s="7">
        <f>(O16*($E16/366))+(O17*($E17/366))</f>
        <v>0</v>
      </c>
      <c r="T140" s="7">
        <f>(P16*($E16/366))+(P17*($E17/366))</f>
        <v>48.7</v>
      </c>
      <c r="U140" s="7">
        <f>(Q16*($E16/366))+(Q17*($E17/366))</f>
        <v>0</v>
      </c>
      <c r="V140" s="12"/>
      <c r="W140" s="7">
        <f>R16*(E16/366) + R17*(E17/366)</f>
        <v>48.7</v>
      </c>
      <c r="X140" s="5"/>
    </row>
    <row r="141" spans="1:30">
      <c r="A141" s="20">
        <v>1965</v>
      </c>
      <c r="B141" s="7">
        <f>(K18*($E18/365))+(K19*($E19/365))</f>
        <v>0</v>
      </c>
      <c r="C141" s="7">
        <f>(L18*($E18/365))+(L19*($E19/365))</f>
        <v>100.00000000000001</v>
      </c>
      <c r="D141" s="7">
        <f>(M18*($E18/365))+(M19*($E19/365))</f>
        <v>0</v>
      </c>
      <c r="E141" s="33">
        <f t="shared" si="43"/>
        <v>100.00000000000001</v>
      </c>
      <c r="G141" s="20">
        <v>1965</v>
      </c>
      <c r="H141" s="958">
        <f>(O18/$R18*100*($E18/365))+(O19/$R19*100*($E19/365))</f>
        <v>0</v>
      </c>
      <c r="I141" s="958"/>
      <c r="J141" s="958">
        <f>(P18/$R18*100*($E18/365))+(P19/$R19*100*($E19/365))</f>
        <v>100.00000000000001</v>
      </c>
      <c r="K141" s="958"/>
      <c r="L141" s="958">
        <f>(Q18/$R18*100*($E18/365))+(Q19/$R19*100*($E19/365))</f>
        <v>0</v>
      </c>
      <c r="M141" s="958"/>
      <c r="N141" s="990">
        <f t="shared" si="44"/>
        <v>100.00000000000001</v>
      </c>
      <c r="O141" s="990"/>
      <c r="R141" s="20">
        <v>1965</v>
      </c>
      <c r="S141" s="7">
        <f>(O18*($E18/365))+(O19*($E19/365))</f>
        <v>0</v>
      </c>
      <c r="T141" s="7">
        <f>(P18*($E18/365))+(P19*($E19/365))</f>
        <v>48.726849315068499</v>
      </c>
      <c r="U141" s="7">
        <f>(Q18*($E18/365))+(Q19*($E19/365))</f>
        <v>0</v>
      </c>
      <c r="V141" s="12"/>
      <c r="W141" s="7">
        <f>R18*(E18/365) + R19*(E19/365)</f>
        <v>48.726849315068499</v>
      </c>
      <c r="X141" s="5"/>
    </row>
    <row r="142" spans="1:30" ht="9" customHeight="1">
      <c r="A142" s="20">
        <v>1966</v>
      </c>
      <c r="B142" s="7">
        <f>(K20*($E20/365))+(K21*($E21/365))</f>
        <v>0</v>
      </c>
      <c r="C142" s="7">
        <f>(L20*($E20/365))+(L21*($E21/365))</f>
        <v>100</v>
      </c>
      <c r="D142" s="7">
        <f>(M20*($E20/365))+(M21*($E21/365))</f>
        <v>0</v>
      </c>
      <c r="E142" s="33">
        <f t="shared" si="43"/>
        <v>100</v>
      </c>
      <c r="G142" s="20">
        <v>1966</v>
      </c>
      <c r="H142" s="958">
        <f>(O20/$R20*100*($E20/365))+(O21/$R21*100*($E21/365))</f>
        <v>0</v>
      </c>
      <c r="I142" s="958"/>
      <c r="J142" s="958">
        <f>(P20/$R20*100*($E20/365))+(P21/$R21*100*($E21/365))</f>
        <v>100</v>
      </c>
      <c r="K142" s="958"/>
      <c r="L142" s="958">
        <f>(Q20/$R20*100*($E20/365))+(Q21/$R21*100*($E21/365))</f>
        <v>0</v>
      </c>
      <c r="M142" s="958"/>
      <c r="N142" s="990">
        <f t="shared" si="44"/>
        <v>100</v>
      </c>
      <c r="O142" s="990"/>
      <c r="R142" s="20">
        <v>1966</v>
      </c>
      <c r="S142" s="7">
        <f>(O20*($E20/365))+(O21*($E21/365))</f>
        <v>0</v>
      </c>
      <c r="T142" s="7">
        <f>(P20*($E20/365))+(P21*($E21/365))</f>
        <v>49.4</v>
      </c>
      <c r="U142" s="7">
        <f>(Q20*($E20/365))+(Q21*($E21/365))</f>
        <v>0</v>
      </c>
      <c r="V142" s="12"/>
      <c r="W142" s="7">
        <f>R20*(E20/365) + R21*(E21/365)</f>
        <v>49.4</v>
      </c>
      <c r="X142" s="5"/>
    </row>
    <row r="143" spans="1:30" ht="9" customHeight="1">
      <c r="A143" s="20">
        <v>1967</v>
      </c>
      <c r="B143" s="7">
        <f>(K22*($E22/365))+(K23*($E23/365))</f>
        <v>0</v>
      </c>
      <c r="C143" s="7">
        <f>(L22*($E22/365))+(L23*($E23/365))</f>
        <v>100</v>
      </c>
      <c r="D143" s="7">
        <f>(M22*($E22/365))+(M23*($E23/365))</f>
        <v>0</v>
      </c>
      <c r="E143" s="33">
        <f t="shared" si="43"/>
        <v>100</v>
      </c>
      <c r="G143" s="20">
        <v>1967</v>
      </c>
      <c r="H143" s="958">
        <f>(O22/$R22*100*($E22/365))+(O23/$R23*100*($E23/365))</f>
        <v>0</v>
      </c>
      <c r="I143" s="958"/>
      <c r="J143" s="958">
        <f>(P22/$R22*100*($E22/365))+(P23/$R23*100*($E23/365))</f>
        <v>100</v>
      </c>
      <c r="K143" s="958"/>
      <c r="L143" s="958">
        <f>(Q22/$R22*100*($E22/365))+(Q23/$R23*100*($E23/365))</f>
        <v>0</v>
      </c>
      <c r="M143" s="958"/>
      <c r="N143" s="990">
        <f t="shared" si="44"/>
        <v>100</v>
      </c>
      <c r="O143" s="990"/>
      <c r="R143" s="20">
        <v>1967</v>
      </c>
      <c r="S143" s="7">
        <f>(O22*($E22/365))+(O23*($E23/365))</f>
        <v>0</v>
      </c>
      <c r="T143" s="7">
        <f>(P22*($E22/365))+(P23*($E23/365))</f>
        <v>49.4</v>
      </c>
      <c r="U143" s="7">
        <f>(Q22*($E22/365))+(Q23*($E23/365))</f>
        <v>0</v>
      </c>
      <c r="V143" s="12"/>
      <c r="W143" s="7">
        <f>R22*(E22/365) + R23*(E23/365)</f>
        <v>49.4</v>
      </c>
      <c r="X143" s="5"/>
    </row>
    <row r="144" spans="1:30" ht="9" customHeight="1">
      <c r="A144" s="20">
        <v>1968</v>
      </c>
      <c r="B144" s="7">
        <f>(K24*($E24/366))+(K25*($E25/366))+(K26*($E26/366))</f>
        <v>0</v>
      </c>
      <c r="C144" s="7">
        <f>(L24*($E24/366))+(L25*($E25/366))+(L26*($E26/366))</f>
        <v>100</v>
      </c>
      <c r="D144" s="7">
        <f>(M24*($E24/366))+(M25*($E25/366))+(M26*($E26/366))</f>
        <v>0</v>
      </c>
      <c r="E144" s="33">
        <f t="shared" si="43"/>
        <v>100</v>
      </c>
      <c r="G144" s="20">
        <v>1968</v>
      </c>
      <c r="H144" s="958">
        <f>(O24/$R24*100*($E24/366))+(O25/$R25*100*($E25/366))+(O26/$R26*100*($E26/366))</f>
        <v>0</v>
      </c>
      <c r="I144" s="958"/>
      <c r="J144" s="958">
        <f>(P24/$R24*100*($E24/366))+(P25/$R25*100*($E25/366))+(P26/$R26*100*($E26/366))</f>
        <v>100</v>
      </c>
      <c r="K144" s="958"/>
      <c r="L144" s="958">
        <f>(Q24/$R24*100*($E24/366))+(Q25/$R25*100*($E25/366))+(Q26/$R26*100*($E26/366))</f>
        <v>0</v>
      </c>
      <c r="M144" s="958"/>
      <c r="N144" s="990">
        <f t="shared" si="44"/>
        <v>100</v>
      </c>
      <c r="O144" s="990"/>
      <c r="R144" s="20">
        <v>1968</v>
      </c>
      <c r="S144" s="7">
        <f>(O24*($E24/366))+(O25*($E25/366))+(O26*($E26/366))</f>
        <v>0</v>
      </c>
      <c r="T144" s="7">
        <f>(P24*($E24/366))+(P25*($E25/366))+(P26*($E26/366))</f>
        <v>53.922950819672131</v>
      </c>
      <c r="U144" s="7">
        <f>(Q24*($E24/366))+(Q25*($E25/366))+(Q26*($E26/366))</f>
        <v>0</v>
      </c>
      <c r="V144" s="12"/>
      <c r="W144" s="7">
        <f>R24*(E24/366) + R25*(E25/366) + R26*(E26/366)</f>
        <v>53.922950819672131</v>
      </c>
      <c r="X144" s="5"/>
    </row>
    <row r="145" spans="1:24" ht="9" customHeight="1">
      <c r="A145" s="20">
        <v>1969</v>
      </c>
      <c r="B145" s="7">
        <f>(K27*($E27/365))+(K28*($E28/365))</f>
        <v>0</v>
      </c>
      <c r="C145" s="7">
        <f>(L27*($E27/365))+(L28*($E28/365))</f>
        <v>100</v>
      </c>
      <c r="D145" s="7">
        <f>(M27*($E27/365))+(M28*($E28/365))</f>
        <v>0</v>
      </c>
      <c r="E145" s="33">
        <f t="shared" si="43"/>
        <v>100</v>
      </c>
      <c r="G145" s="20">
        <v>1969</v>
      </c>
      <c r="H145" s="958">
        <f>(O27/$R27*100*($E27/365))+(O28/$R28*100*($E28/365))</f>
        <v>0</v>
      </c>
      <c r="I145" s="958"/>
      <c r="J145" s="958">
        <f>(P27/$R27*100*($E27/365))+(P28/$R28*100*($E28/365))</f>
        <v>100</v>
      </c>
      <c r="K145" s="958"/>
      <c r="L145" s="958">
        <f>(Q27/$R27*100*($E27/365))+(Q28/$R28*100*($E28/365))</f>
        <v>0</v>
      </c>
      <c r="M145" s="958"/>
      <c r="N145" s="990">
        <f t="shared" si="44"/>
        <v>100</v>
      </c>
      <c r="O145" s="990"/>
      <c r="R145" s="20">
        <v>1969</v>
      </c>
      <c r="S145" s="7">
        <f>(O27*($E27/365))+(O28*($E28/365))</f>
        <v>0</v>
      </c>
      <c r="T145" s="7">
        <f>(P27*($E27/365))+(P28*($E28/365))</f>
        <v>58.7</v>
      </c>
      <c r="U145" s="7">
        <f>(Q27*($E27/365))+(Q28*($E28/365))</f>
        <v>0</v>
      </c>
      <c r="V145" s="12"/>
      <c r="W145" s="7">
        <f>R27*(E27/365) + R28*(E28/365)</f>
        <v>58.7</v>
      </c>
      <c r="X145" s="5"/>
    </row>
    <row r="146" spans="1:24" ht="9" customHeight="1">
      <c r="A146" s="20">
        <v>1970</v>
      </c>
      <c r="B146" s="7">
        <f>(K29*($E29/365))+(K30*($E30/365))</f>
        <v>0</v>
      </c>
      <c r="C146" s="7">
        <f>(L29*($E29/365))+(L30*($E30/365))</f>
        <v>100</v>
      </c>
      <c r="D146" s="7">
        <f>(M29*($E29/365))+(M30*($E30/365))</f>
        <v>0</v>
      </c>
      <c r="E146" s="33">
        <f t="shared" si="43"/>
        <v>100</v>
      </c>
      <c r="G146" s="20">
        <v>1970</v>
      </c>
      <c r="H146" s="958">
        <f>(O29/$R29*100*($E29/365))+(O30/$R30*100*($E30/365))</f>
        <v>0</v>
      </c>
      <c r="I146" s="958"/>
      <c r="J146" s="958">
        <f>(P29/$R29*100*($E29/365))+(P30/$R30*100*($E30/365))</f>
        <v>100</v>
      </c>
      <c r="K146" s="958"/>
      <c r="L146" s="958">
        <f>(Q29/$R29*100*($E29/365))+(Q30/$R30*100*($E30/365))</f>
        <v>0</v>
      </c>
      <c r="M146" s="958"/>
      <c r="N146" s="990">
        <f t="shared" si="44"/>
        <v>100</v>
      </c>
      <c r="O146" s="990"/>
      <c r="R146" s="20">
        <v>1970</v>
      </c>
      <c r="S146" s="7">
        <f>(O29*($E29/365))+(O30*($E30/365))</f>
        <v>0</v>
      </c>
      <c r="T146" s="7">
        <f>(P29*($E29/365))+(P30*($E30/365))</f>
        <v>58.7</v>
      </c>
      <c r="U146" s="7">
        <f>(Q29*($E29/365))+(Q30*($E30/365))</f>
        <v>0</v>
      </c>
      <c r="V146" s="12"/>
      <c r="W146" s="7">
        <f>R29*(E29/365) + R30*(E30/365)</f>
        <v>58.7</v>
      </c>
      <c r="X146" s="5"/>
    </row>
    <row r="147" spans="1:24" ht="9" customHeight="1">
      <c r="A147" s="20">
        <v>1971</v>
      </c>
      <c r="B147" s="7">
        <f>(K31*($E31/365))+(K32*($E32/365))</f>
        <v>0</v>
      </c>
      <c r="C147" s="7">
        <f>(L31*($E31/365))+(L32*($E32/365))</f>
        <v>100</v>
      </c>
      <c r="D147" s="7">
        <f>(M31*($E31/365))+(M32*($E32/365))</f>
        <v>0</v>
      </c>
      <c r="E147" s="33">
        <f t="shared" si="43"/>
        <v>100</v>
      </c>
      <c r="G147" s="20">
        <v>1971</v>
      </c>
      <c r="H147" s="958">
        <f>(O31/$R31*100*($E31/365))+(O32/$R32*100*($E32/365))</f>
        <v>0</v>
      </c>
      <c r="I147" s="958"/>
      <c r="J147" s="958">
        <f>(P31/$R31*100*($E31/365))+(P32/$R32*100*($E32/365))</f>
        <v>100</v>
      </c>
      <c r="K147" s="958"/>
      <c r="L147" s="958">
        <f>(Q31/$R31*100*($E31/365))+(Q32/$R32*100*($E32/365))</f>
        <v>0</v>
      </c>
      <c r="M147" s="958"/>
      <c r="N147" s="990">
        <f t="shared" si="44"/>
        <v>100</v>
      </c>
      <c r="O147" s="990"/>
      <c r="R147" s="20">
        <v>1971</v>
      </c>
      <c r="S147" s="7">
        <f>(O31*($E31/365))+(O32*($E32/365))</f>
        <v>0</v>
      </c>
      <c r="T147" s="7">
        <f>(P31*($E31/365))+(P32*($E32/365))</f>
        <v>58.7</v>
      </c>
      <c r="U147" s="7">
        <f>(Q31*($E31/365))+(Q32*($E32/365))</f>
        <v>0</v>
      </c>
      <c r="V147" s="12"/>
      <c r="W147" s="7">
        <f>R31*(E31/365) + R32*(E32/365)</f>
        <v>58.7</v>
      </c>
      <c r="X147" s="5"/>
    </row>
    <row r="148" spans="1:24" ht="9" customHeight="1">
      <c r="A148" s="20">
        <v>1972</v>
      </c>
      <c r="B148" s="7">
        <f>(K33*($E33/366))+(K34*($E34/366))</f>
        <v>0</v>
      </c>
      <c r="C148" s="7">
        <f>(L33*($E33/366))+(L34*($E34/366))</f>
        <v>100</v>
      </c>
      <c r="D148" s="7">
        <f>(M33*($E33/366))+(M34*($E34/366))</f>
        <v>0</v>
      </c>
      <c r="E148" s="33">
        <f t="shared" si="43"/>
        <v>100</v>
      </c>
      <c r="G148" s="20">
        <v>1972</v>
      </c>
      <c r="H148" s="958">
        <f>(O33/$R33*100*($E33/366))+(O34/$R34*100*($E34/366))</f>
        <v>0</v>
      </c>
      <c r="I148" s="958"/>
      <c r="J148" s="958">
        <f>(P33/$R33*100*($E33/366))+(P34/$R34*100*($E34/366))</f>
        <v>100</v>
      </c>
      <c r="K148" s="958"/>
      <c r="L148" s="958">
        <f>(Q33/$R33*100*($E33/366))+(Q34/$R34*100*($E34/366))</f>
        <v>0</v>
      </c>
      <c r="M148" s="958"/>
      <c r="N148" s="990">
        <f t="shared" si="44"/>
        <v>100</v>
      </c>
      <c r="O148" s="990"/>
      <c r="R148" s="20">
        <v>1972</v>
      </c>
      <c r="S148" s="7">
        <f>(O33*($E33/366))+(O34*($E34/366))</f>
        <v>0</v>
      </c>
      <c r="T148" s="7">
        <f>(P33*($E33/366))+(P34*($E34/366))</f>
        <v>57.036065573770493</v>
      </c>
      <c r="U148" s="7">
        <f>(Q33*($E33/366))+(Q34*($E34/366))</f>
        <v>0</v>
      </c>
      <c r="V148" s="12"/>
      <c r="W148" s="7">
        <f>R33*(E33/366) + R34*(E34/366)</f>
        <v>57.036065573770493</v>
      </c>
      <c r="X148" s="5"/>
    </row>
    <row r="149" spans="1:24" ht="9" customHeight="1">
      <c r="A149" s="20">
        <v>1973</v>
      </c>
      <c r="B149" s="7">
        <f>(K35*($E35/365))+(K36*($E36/365))</f>
        <v>0</v>
      </c>
      <c r="C149" s="7">
        <f>(L35*($E35/365))+(L36*($E36/365))</f>
        <v>100</v>
      </c>
      <c r="D149" s="7">
        <f>(M35*($E35/365))+(M36*($E36/365))</f>
        <v>0</v>
      </c>
      <c r="E149" s="33">
        <f t="shared" si="43"/>
        <v>100</v>
      </c>
      <c r="G149" s="20">
        <v>1973</v>
      </c>
      <c r="H149" s="958">
        <f>(O35/$R35*100*($E35/365))+(O36/$R36*100*($E36/365))</f>
        <v>0</v>
      </c>
      <c r="I149" s="958"/>
      <c r="J149" s="958">
        <f>(P35/$R35*100*($E35/365))+(P36/$R36*100*($E36/365))</f>
        <v>100</v>
      </c>
      <c r="K149" s="958"/>
      <c r="L149" s="958">
        <f>(Q35/$R35*100*($E35/365))+(Q36/$R36*100*($E36/365))</f>
        <v>0</v>
      </c>
      <c r="M149" s="958"/>
      <c r="N149" s="990">
        <f t="shared" si="44"/>
        <v>100</v>
      </c>
      <c r="O149" s="990"/>
      <c r="R149" s="20">
        <v>1973</v>
      </c>
      <c r="S149" s="7">
        <f>(O35*($E35/365))+(O36*($E36/365))</f>
        <v>0</v>
      </c>
      <c r="T149" s="7">
        <f>(P35*($E35/365))+(P36*($E36/365))</f>
        <v>41.3</v>
      </c>
      <c r="U149" s="7">
        <f>(Q35*($E35/365))+(Q36*($E36/365))</f>
        <v>0</v>
      </c>
      <c r="V149" s="12"/>
      <c r="W149" s="7">
        <f>R35*(E35/365) + R36*(E36/365)</f>
        <v>41.3</v>
      </c>
      <c r="X149" s="5"/>
    </row>
    <row r="150" spans="1:24" ht="9" customHeight="1">
      <c r="A150" s="20">
        <v>1974</v>
      </c>
      <c r="B150" s="7">
        <f>(K37*($E37/365))+(K38*($E38/365))</f>
        <v>0</v>
      </c>
      <c r="C150" s="7">
        <f>(L37*($E37/365))+(L38*($E38/365))</f>
        <v>100</v>
      </c>
      <c r="D150" s="7">
        <f>(M37*($E37/365))+(M38*($E38/365))</f>
        <v>0</v>
      </c>
      <c r="E150" s="33">
        <f t="shared" si="43"/>
        <v>100</v>
      </c>
      <c r="G150" s="20">
        <v>1974</v>
      </c>
      <c r="H150" s="958">
        <f>(O37/$R37*100*($E37/365))+(O38/$R38*100*($E38/365))</f>
        <v>0</v>
      </c>
      <c r="I150" s="958"/>
      <c r="J150" s="958">
        <f>(P37/$R37*100*($E37/365))+(P38/$R38*100*($E38/365))</f>
        <v>100</v>
      </c>
      <c r="K150" s="958"/>
      <c r="L150" s="958">
        <f>(Q37/$R37*100*($E37/365))+(Q38/$R38*100*($E38/365))</f>
        <v>0</v>
      </c>
      <c r="M150" s="958"/>
      <c r="N150" s="990">
        <f t="shared" si="44"/>
        <v>100</v>
      </c>
      <c r="O150" s="990"/>
      <c r="R150" s="20">
        <v>1974</v>
      </c>
      <c r="S150" s="7">
        <f>(O37*($E37/365))+(O38*($E38/365))</f>
        <v>0</v>
      </c>
      <c r="T150" s="7">
        <f>(P37*($E37/365))+(P38*($E38/365))</f>
        <v>46.14</v>
      </c>
      <c r="U150" s="7">
        <f>(Q37*($E37/365))+(Q38*($E38/365))</f>
        <v>0</v>
      </c>
      <c r="V150" s="12"/>
      <c r="W150" s="7">
        <f>R37*(E37/365) + R38*(E38/365)</f>
        <v>46.14</v>
      </c>
      <c r="X150" s="5"/>
    </row>
    <row r="151" spans="1:24" ht="9" customHeight="1">
      <c r="A151" s="20">
        <v>1975</v>
      </c>
      <c r="B151" s="7">
        <f>(K39*($E39/365))+(K40*($E40/365))</f>
        <v>0</v>
      </c>
      <c r="C151" s="7">
        <f>(L39*($E39/365))+(L40*($E40/365))</f>
        <v>100</v>
      </c>
      <c r="D151" s="7">
        <f>(M39*($E39/365))+(M40*($E40/365))</f>
        <v>0</v>
      </c>
      <c r="E151" s="33">
        <f t="shared" si="43"/>
        <v>100</v>
      </c>
      <c r="G151" s="20">
        <v>1975</v>
      </c>
      <c r="H151" s="958">
        <f>(O39/$R39*100*($E39/365))+(O40/$R40*100*($E40/365))</f>
        <v>0</v>
      </c>
      <c r="I151" s="958"/>
      <c r="J151" s="958">
        <f>(P39/$R39*100*($E39/365))+(P40/$R40*100*($E40/365))</f>
        <v>100</v>
      </c>
      <c r="K151" s="958"/>
      <c r="L151" s="958">
        <f>(Q39/$R39*100*($E39/365))+(Q40/$R40*100*($E40/365))</f>
        <v>0</v>
      </c>
      <c r="M151" s="958"/>
      <c r="N151" s="990">
        <f t="shared" si="44"/>
        <v>100</v>
      </c>
      <c r="O151" s="990"/>
      <c r="R151" s="20">
        <v>1975</v>
      </c>
      <c r="S151" s="7">
        <f>(O39*($E39/365))+(O40*($E40/365))</f>
        <v>0</v>
      </c>
      <c r="T151" s="7">
        <f>(P39*($E39/365))+(P40*($E40/365))</f>
        <v>53.4</v>
      </c>
      <c r="U151" s="7">
        <f>(Q39*($E39/365))+(Q40*($E40/365))</f>
        <v>0</v>
      </c>
      <c r="V151" s="12"/>
      <c r="W151" s="7">
        <f>R39*(E39/365) + R40*(E40/365)</f>
        <v>53.4</v>
      </c>
      <c r="X151" s="5"/>
    </row>
    <row r="152" spans="1:24" ht="9" customHeight="1">
      <c r="A152" s="20">
        <v>1976</v>
      </c>
      <c r="B152" s="7">
        <f>(K41*($E41/366))+(K42*($E42/366))</f>
        <v>0</v>
      </c>
      <c r="C152" s="7">
        <f>(L41*($E41/366))+(L42*($E42/366))</f>
        <v>100</v>
      </c>
      <c r="D152" s="7">
        <f>(M41*($E41/366))+(M42*($E42/366))</f>
        <v>0</v>
      </c>
      <c r="E152" s="33">
        <f t="shared" si="43"/>
        <v>100</v>
      </c>
      <c r="G152" s="20">
        <v>1976</v>
      </c>
      <c r="H152" s="958">
        <f>(O41/$R41*100*($E41/366))+(O42/$R42*100*($E42/366))</f>
        <v>0</v>
      </c>
      <c r="I152" s="958"/>
      <c r="J152" s="958">
        <f>(P41/$R41*100*($E41/366))+(P42/$R42*100*($E42/366))</f>
        <v>100</v>
      </c>
      <c r="K152" s="958"/>
      <c r="L152" s="958">
        <f>(Q41/$R41*100*($E41/366))+(Q42/$R42*100*($E42/366))</f>
        <v>0</v>
      </c>
      <c r="M152" s="958"/>
      <c r="N152" s="990">
        <f t="shared" si="44"/>
        <v>100</v>
      </c>
      <c r="O152" s="990"/>
      <c r="R152" s="20">
        <v>1976</v>
      </c>
      <c r="S152" s="7">
        <f>(O41*($E41/366))+(O42*($E42/366))</f>
        <v>0</v>
      </c>
      <c r="T152" s="7">
        <f>(P41*($E41/366))+(P42*($E42/366))</f>
        <v>53.4</v>
      </c>
      <c r="U152" s="7">
        <f>(Q41*($E41/366))+(Q42*($E42/366))</f>
        <v>0</v>
      </c>
      <c r="V152" s="12"/>
      <c r="W152" s="7">
        <f>R41*(E41/366) + R42*(E42/366)</f>
        <v>53.4</v>
      </c>
      <c r="X152" s="5"/>
    </row>
    <row r="153" spans="1:24" ht="9" customHeight="1">
      <c r="A153" s="20">
        <v>1977</v>
      </c>
      <c r="B153" s="7">
        <f>(K43*($E43/365))+(K44*($E44/365))</f>
        <v>0</v>
      </c>
      <c r="C153" s="7">
        <f>(L43*($E43/365))+(L44*($E44/365))</f>
        <v>100</v>
      </c>
      <c r="D153" s="7">
        <f>(M43*($E43/365))+(M44*($E44/365))</f>
        <v>0</v>
      </c>
      <c r="E153" s="33">
        <f t="shared" si="43"/>
        <v>100</v>
      </c>
      <c r="G153" s="20">
        <v>1977</v>
      </c>
      <c r="H153" s="958">
        <f>(O43/$R43*100*($E43/365))+(O44/$R44*100*($E44/365))</f>
        <v>0</v>
      </c>
      <c r="I153" s="958"/>
      <c r="J153" s="958">
        <f>(P43/$R43*100*($E43/365))+(P44/$R44*100*($E44/365))</f>
        <v>100</v>
      </c>
      <c r="K153" s="958"/>
      <c r="L153" s="958">
        <f>(Q43/$R43*100*($E43/365))+(Q44/$R44*100*($E44/365))</f>
        <v>0</v>
      </c>
      <c r="M153" s="958"/>
      <c r="N153" s="990">
        <f t="shared" si="44"/>
        <v>100</v>
      </c>
      <c r="O153" s="990"/>
      <c r="R153" s="20">
        <v>1977</v>
      </c>
      <c r="S153" s="7">
        <f>(O43*($E43/365))+(O44*($E44/365))</f>
        <v>0</v>
      </c>
      <c r="T153" s="7">
        <f>(P43*($E43/365))+(P44*($E44/365))</f>
        <v>53.4</v>
      </c>
      <c r="U153" s="7">
        <f>(Q43*($E43/365))+(Q44*($E44/365))</f>
        <v>0</v>
      </c>
      <c r="V153" s="12"/>
      <c r="W153" s="7">
        <f>R43*(E43/365) + R44*(E44/365)</f>
        <v>53.4</v>
      </c>
      <c r="X153" s="5"/>
    </row>
    <row r="154" spans="1:24" ht="9" customHeight="1">
      <c r="A154" s="20">
        <v>1978</v>
      </c>
      <c r="B154" s="7">
        <f>(K45*($E45/365))+(K46*($E46/365))</f>
        <v>0</v>
      </c>
      <c r="C154" s="7">
        <f>(L45*($E45/365))+(L46*($E46/365))</f>
        <v>100</v>
      </c>
      <c r="D154" s="7">
        <f>(M45*($E45/365))+(M46*($E46/365))</f>
        <v>0</v>
      </c>
      <c r="E154" s="33">
        <f t="shared" si="43"/>
        <v>100</v>
      </c>
      <c r="G154" s="20">
        <v>1978</v>
      </c>
      <c r="H154" s="958">
        <f>(O45/$R45*100*($E45/365))+(O46/$R46*100*($E46/365))</f>
        <v>0</v>
      </c>
      <c r="I154" s="958"/>
      <c r="J154" s="958">
        <f>(P45/$R45*100*($E45/365))+(P46/$R46*100*($E46/365))</f>
        <v>100</v>
      </c>
      <c r="K154" s="958"/>
      <c r="L154" s="958">
        <f>(Q45/$R45*100*($E45/365))+(Q46/$R46*100*($E46/365))</f>
        <v>0</v>
      </c>
      <c r="M154" s="958"/>
      <c r="N154" s="990">
        <f t="shared" si="44"/>
        <v>100</v>
      </c>
      <c r="O154" s="990"/>
      <c r="R154" s="20">
        <v>1978</v>
      </c>
      <c r="S154" s="7">
        <f>(O45*($E45/365))+(O46*($E46/365))</f>
        <v>0</v>
      </c>
      <c r="T154" s="7">
        <f>(P45*($E45/365))+(P46*($E46/365))</f>
        <v>53.4</v>
      </c>
      <c r="U154" s="7">
        <f>(Q45*($E45/365))+(Q46*($E46/365))</f>
        <v>0</v>
      </c>
      <c r="V154" s="12"/>
      <c r="W154" s="7">
        <f>R45*(E45/365) + R46*(E46/365)</f>
        <v>53.4</v>
      </c>
      <c r="X154" s="5"/>
    </row>
    <row r="155" spans="1:24" ht="9" customHeight="1">
      <c r="A155" s="20">
        <v>1979</v>
      </c>
      <c r="B155" s="7">
        <f>(K47*($E47/365))+(K48*($E48/365))</f>
        <v>57.80821917808219</v>
      </c>
      <c r="C155" s="7">
        <f>(L47*($E47/365))+(L48*($E48/365))</f>
        <v>42.19178082191781</v>
      </c>
      <c r="D155" s="7">
        <f>(M47*($E47/365))+(M48*($E48/365))</f>
        <v>0</v>
      </c>
      <c r="E155" s="33">
        <f t="shared" si="43"/>
        <v>100</v>
      </c>
      <c r="G155" s="20">
        <v>1979</v>
      </c>
      <c r="H155" s="958">
        <f>(O47/$R47*100*($E47/365))+(O48/$R48*100*($E48/365))</f>
        <v>57.80821917808219</v>
      </c>
      <c r="I155" s="958"/>
      <c r="J155" s="958">
        <f>(P47/$R47*100*($E47/365))+(P48/$R48*100*($E48/365))</f>
        <v>42.19178082191781</v>
      </c>
      <c r="K155" s="958"/>
      <c r="L155" s="958">
        <f>(Q47/$R47*100*($E47/365))+(Q48/$R48*100*($E48/365))</f>
        <v>0</v>
      </c>
      <c r="M155" s="958"/>
      <c r="N155" s="990">
        <f t="shared" si="44"/>
        <v>100</v>
      </c>
      <c r="O155" s="990"/>
      <c r="R155" s="20">
        <v>1979</v>
      </c>
      <c r="S155" s="7">
        <f>(O47*($E47/365))+(O48*($E48/365))</f>
        <v>27.863561643835617</v>
      </c>
      <c r="T155" s="7">
        <f>(P47*($E47/365))+(P48*($E48/365))</f>
        <v>22.53041095890411</v>
      </c>
      <c r="U155" s="7">
        <f>(Q47*($E47/365))+(Q48*($E48/365))</f>
        <v>0</v>
      </c>
      <c r="V155" s="12"/>
      <c r="W155" s="7">
        <f>R47*(E47/365) + R48*(E48/365)</f>
        <v>50.393972602739723</v>
      </c>
      <c r="X155" s="5"/>
    </row>
    <row r="156" spans="1:24" ht="9" customHeight="1">
      <c r="A156" s="20">
        <v>1980</v>
      </c>
      <c r="B156" s="7">
        <f>(K49*($E49/366))+(K50*($E50/366))</f>
        <v>16.939890710382514</v>
      </c>
      <c r="C156" s="7">
        <f>(L49*($E49/366))+(L50*($E50/366))</f>
        <v>83.060109289617486</v>
      </c>
      <c r="D156" s="7">
        <f>(M49*($E49/366))+(M50*($E50/366))</f>
        <v>0</v>
      </c>
      <c r="E156" s="33">
        <f t="shared" si="43"/>
        <v>100</v>
      </c>
      <c r="G156" s="20">
        <v>1980</v>
      </c>
      <c r="H156" s="958">
        <f>(O49/$R49*100*($E49/366))+(O50/$R50*100*($E50/366))</f>
        <v>16.939890710382514</v>
      </c>
      <c r="I156" s="958"/>
      <c r="J156" s="958">
        <f>(P49/$R49*100*($E49/366))+(P50/$R50*100*($E50/366))</f>
        <v>83.060109289617486</v>
      </c>
      <c r="K156" s="958"/>
      <c r="L156" s="958">
        <f>(Q49/$R49*100*($E49/366))+(Q50/$R50*100*($E50/366))</f>
        <v>0</v>
      </c>
      <c r="M156" s="958"/>
      <c r="N156" s="990">
        <f t="shared" si="44"/>
        <v>100</v>
      </c>
      <c r="O156" s="990"/>
      <c r="R156" s="20">
        <v>1980</v>
      </c>
      <c r="S156" s="7">
        <f>(O49*($E49/366))+(O50*($E50/366))</f>
        <v>8.1650273224043719</v>
      </c>
      <c r="T156" s="7">
        <f>(P49*($E49/366))+(P50*($E50/366))</f>
        <v>43.27431693989071</v>
      </c>
      <c r="U156" s="7">
        <f>(Q49*($E49/366))+(Q50*($E50/366))</f>
        <v>0</v>
      </c>
      <c r="V156" s="12"/>
      <c r="W156" s="7">
        <f>R49*(E49/366) + R50*(E50/366)</f>
        <v>51.43934426229508</v>
      </c>
      <c r="X156" s="5"/>
    </row>
    <row r="157" spans="1:24" ht="9" customHeight="1">
      <c r="A157" s="20">
        <v>1981</v>
      </c>
      <c r="B157" s="7">
        <f>(K51*($E51/365))+(K52*($E52/365))</f>
        <v>0</v>
      </c>
      <c r="C157" s="7">
        <f>(L51*($E51/365))+(L52*($E52/365))</f>
        <v>100</v>
      </c>
      <c r="D157" s="7">
        <f>(M51*($E51/365))+(M52*($E52/365))</f>
        <v>0</v>
      </c>
      <c r="E157" s="33">
        <f t="shared" si="43"/>
        <v>100</v>
      </c>
      <c r="G157" s="20">
        <v>1981</v>
      </c>
      <c r="H157" s="958">
        <f>(O51/$R51*100*($E51/365))+(O52/$R52*100*($E52/365))</f>
        <v>0</v>
      </c>
      <c r="I157" s="958"/>
      <c r="J157" s="958">
        <f>(P51/$R51*100*($E51/365))+(P52/$R52*100*($E52/365))</f>
        <v>100</v>
      </c>
      <c r="K157" s="958"/>
      <c r="L157" s="958">
        <f>(Q51/$R51*100*($E51/365))+(Q52/$R52*100*($E52/365))</f>
        <v>0</v>
      </c>
      <c r="M157" s="958"/>
      <c r="N157" s="990">
        <f t="shared" si="44"/>
        <v>100</v>
      </c>
      <c r="O157" s="990"/>
      <c r="R157" s="20">
        <v>1981</v>
      </c>
      <c r="S157" s="7">
        <f>(O51*($E51/365))+(O52*($E52/365))</f>
        <v>0</v>
      </c>
      <c r="T157" s="7">
        <f>(P51*($E51/365))+(P52*($E52/365))</f>
        <v>52.1</v>
      </c>
      <c r="U157" s="7">
        <f>(Q51*($E51/365))+(Q52*($E52/365))</f>
        <v>0</v>
      </c>
      <c r="V157" s="12"/>
      <c r="W157" s="7">
        <f>R51*(E51/365) + R52*(E52/365)</f>
        <v>52.1</v>
      </c>
      <c r="X157" s="5"/>
    </row>
    <row r="158" spans="1:24" ht="9" customHeight="1">
      <c r="A158" s="20">
        <v>1982</v>
      </c>
      <c r="B158" s="7">
        <f>(K53*($E53/365))+(K54*($E54/365))</f>
        <v>0</v>
      </c>
      <c r="C158" s="7">
        <f>(L53*($E53/365))+(L54*($E54/365))</f>
        <v>100</v>
      </c>
      <c r="D158" s="7">
        <f>(M53*($E53/365))+(M54*($E54/365))</f>
        <v>0</v>
      </c>
      <c r="E158" s="33">
        <f t="shared" si="43"/>
        <v>100</v>
      </c>
      <c r="G158" s="20">
        <v>1982</v>
      </c>
      <c r="H158" s="958">
        <f>(O53/$R53*100*($E53/365))+(O54/$R54*100*($E54/365))</f>
        <v>0</v>
      </c>
      <c r="I158" s="958"/>
      <c r="J158" s="958">
        <f>(P53/$R53*100*($E53/365))+(P54/$R54*100*($E54/365))</f>
        <v>100</v>
      </c>
      <c r="K158" s="958"/>
      <c r="L158" s="958">
        <f>(Q53/$R53*100*($E53/365))+(Q54/$R54*100*($E54/365))</f>
        <v>0</v>
      </c>
      <c r="M158" s="958"/>
      <c r="N158" s="990">
        <f t="shared" si="44"/>
        <v>100</v>
      </c>
      <c r="O158" s="990"/>
      <c r="R158" s="20">
        <v>1982</v>
      </c>
      <c r="S158" s="7">
        <f>(O53*($E53/365))+(O54*($E54/365))</f>
        <v>0</v>
      </c>
      <c r="T158" s="7">
        <f>(P53*($E53/365))+(P54*($E54/365))</f>
        <v>52.1</v>
      </c>
      <c r="U158" s="7">
        <f>(Q53*($E53/365))+(Q54*($E54/365))</f>
        <v>0</v>
      </c>
      <c r="V158" s="12"/>
      <c r="W158" s="7">
        <f>R53*(E53/365) + R54*(E54/365)</f>
        <v>52.1</v>
      </c>
      <c r="X158" s="5"/>
    </row>
    <row r="159" spans="1:24" ht="9" customHeight="1">
      <c r="A159" s="20">
        <v>1983</v>
      </c>
      <c r="B159" s="7">
        <f>(K55*($E55/365))+(K56*($E56/365))</f>
        <v>0</v>
      </c>
      <c r="C159" s="7">
        <f>(L55*($E55/365))+(L56*($E56/365))</f>
        <v>100</v>
      </c>
      <c r="D159" s="7">
        <f>(M55*($E55/365))+(M56*($E56/365))</f>
        <v>0</v>
      </c>
      <c r="E159" s="33">
        <f t="shared" si="43"/>
        <v>100</v>
      </c>
      <c r="G159" s="20">
        <v>1983</v>
      </c>
      <c r="H159" s="958">
        <f>(O55/$R55*100*($E55/365))+(O56/$R56*100*($E56/365))</f>
        <v>0</v>
      </c>
      <c r="I159" s="958"/>
      <c r="J159" s="958">
        <f>(P55/$R55*100*($E55/365))+(P56/$R56*100*($E56/365))</f>
        <v>100</v>
      </c>
      <c r="K159" s="958"/>
      <c r="L159" s="958">
        <f>(Q55/$R55*100*($E55/365))+(Q56/$R56*100*($E56/365))</f>
        <v>0</v>
      </c>
      <c r="M159" s="958"/>
      <c r="N159" s="990">
        <f t="shared" si="44"/>
        <v>100</v>
      </c>
      <c r="O159" s="990"/>
      <c r="R159" s="20">
        <v>1983</v>
      </c>
      <c r="S159" s="7">
        <f>(O55*($E55/365))+(O56*($E56/365))</f>
        <v>0</v>
      </c>
      <c r="T159" s="7">
        <f>(P55*($E55/365))+(P56*($E56/365))</f>
        <v>52.1</v>
      </c>
      <c r="U159" s="7">
        <f>(Q55*($E55/365))+(Q56*($E56/365))</f>
        <v>0</v>
      </c>
      <c r="V159" s="12"/>
      <c r="W159" s="7">
        <f>R55*(E55/365) + R56*(E56/365)</f>
        <v>52.1</v>
      </c>
      <c r="X159" s="5"/>
    </row>
    <row r="160" spans="1:24" ht="9" customHeight="1">
      <c r="A160" s="20">
        <v>1984</v>
      </c>
      <c r="B160" s="7">
        <f>(K57*($E57/366))+(K58*($E58/366))</f>
        <v>28.961748633879779</v>
      </c>
      <c r="C160" s="7">
        <f>(L57*($E57/366))+(L58*($E58/366))</f>
        <v>71.038251366120221</v>
      </c>
      <c r="D160" s="7">
        <f>(M57*($E57/366))+(M58*($E58/366))</f>
        <v>0</v>
      </c>
      <c r="E160" s="33">
        <f t="shared" si="43"/>
        <v>100</v>
      </c>
      <c r="G160" s="20">
        <v>1984</v>
      </c>
      <c r="H160" s="958">
        <f>(O57/$R57*100*($E57/366))+(O58/$R58*100*($E58/366))</f>
        <v>28.961748633879779</v>
      </c>
      <c r="I160" s="958"/>
      <c r="J160" s="958">
        <f>(P57/$R57*100*($E57/366))+(P58/$R58*100*($E58/366))</f>
        <v>71.038251366120221</v>
      </c>
      <c r="K160" s="958"/>
      <c r="L160" s="958">
        <f>(Q57/$R57*100*($E57/366))+(Q58/$R58*100*($E58/366))</f>
        <v>0</v>
      </c>
      <c r="M160" s="958"/>
      <c r="N160" s="990">
        <f t="shared" si="44"/>
        <v>100</v>
      </c>
      <c r="O160" s="990"/>
      <c r="R160" s="20">
        <v>1984</v>
      </c>
      <c r="S160" s="7">
        <f>(O57*($E57/366))+(O58*($E58/366))</f>
        <v>21.663387978142076</v>
      </c>
      <c r="T160" s="7">
        <f>(P57*($E57/366))+(P58*($E58/366))</f>
        <v>37.010928961748633</v>
      </c>
      <c r="U160" s="7">
        <f>(Q57*($E57/366))+(Q58*($E58/366))</f>
        <v>0</v>
      </c>
      <c r="V160" s="12"/>
      <c r="W160" s="7">
        <f>R57*(E57/366) + R58*(E58/366)</f>
        <v>58.674316939890709</v>
      </c>
      <c r="X160" s="5"/>
    </row>
    <row r="161" spans="1:24" ht="9" customHeight="1">
      <c r="A161" s="20">
        <v>1985</v>
      </c>
      <c r="B161" s="7">
        <f>(K59*($E59/365))+(K60*($E60/365))</f>
        <v>100</v>
      </c>
      <c r="C161" s="7">
        <f>(L59*($E59/365))+(L60*($E60/365))</f>
        <v>0</v>
      </c>
      <c r="D161" s="7">
        <f>(M59*($E59/365))+(M60*($E60/365))</f>
        <v>0</v>
      </c>
      <c r="E161" s="33">
        <f t="shared" si="43"/>
        <v>100</v>
      </c>
      <c r="G161" s="20">
        <v>1985</v>
      </c>
      <c r="H161" s="958">
        <f>(O59/$R59*100*($E59/365))+(O60/$R60*100*($E60/365))</f>
        <v>100</v>
      </c>
      <c r="I161" s="958"/>
      <c r="J161" s="958">
        <f>(P59/$R59*100*($E59/365))+(P60/$R60*100*($E60/365))</f>
        <v>0</v>
      </c>
      <c r="K161" s="958"/>
      <c r="L161" s="958">
        <f>(Q59/$R59*100*($E59/365))+(Q60/$R60*100*($E60/365))</f>
        <v>0</v>
      </c>
      <c r="M161" s="958"/>
      <c r="N161" s="990">
        <f t="shared" si="44"/>
        <v>100</v>
      </c>
      <c r="O161" s="990"/>
      <c r="R161" s="20">
        <v>1985</v>
      </c>
      <c r="S161" s="7">
        <f>(O59*($E59/365))+(O60*($E60/365))</f>
        <v>74.8</v>
      </c>
      <c r="T161" s="7">
        <f>(P59*($E59/365))+(P60*($E60/365))</f>
        <v>0</v>
      </c>
      <c r="U161" s="7">
        <f>(Q59*($E59/365))+(Q60*($E60/365))</f>
        <v>0</v>
      </c>
      <c r="V161" s="12"/>
      <c r="W161" s="7">
        <f>R59*(E59/365) + R60*(E60/365)</f>
        <v>74.8</v>
      </c>
      <c r="X161" s="5"/>
    </row>
    <row r="162" spans="1:24" ht="9" customHeight="1">
      <c r="A162" s="20">
        <v>1986</v>
      </c>
      <c r="B162" s="7">
        <f>(K61*($E61/365))+(K62*($E62/365))</f>
        <v>100</v>
      </c>
      <c r="C162" s="7">
        <f>(L61*($E61/365))+(L62*($E62/365))</f>
        <v>0</v>
      </c>
      <c r="D162" s="7">
        <f>(M61*($E61/365))+(M62*($E62/365))</f>
        <v>0</v>
      </c>
      <c r="E162" s="33">
        <f t="shared" si="43"/>
        <v>100</v>
      </c>
      <c r="G162" s="20">
        <v>1986</v>
      </c>
      <c r="H162" s="958">
        <f>(O61/$R61*100*($E61/365))+(O62/$R62*100*($E62/365))</f>
        <v>100</v>
      </c>
      <c r="I162" s="958"/>
      <c r="J162" s="958">
        <f>(P61/$R61*100*($E61/365))+(P62/$R62*100*($E62/365))</f>
        <v>0</v>
      </c>
      <c r="K162" s="958"/>
      <c r="L162" s="958">
        <f>(Q61/$R61*100*($E61/365))+(Q62/$R62*100*($E62/365))</f>
        <v>0</v>
      </c>
      <c r="M162" s="958"/>
      <c r="N162" s="990">
        <f t="shared" si="44"/>
        <v>100</v>
      </c>
      <c r="O162" s="990"/>
      <c r="R162" s="20">
        <v>1986</v>
      </c>
      <c r="S162" s="7">
        <f>(O61*($E61/365))+(O62*($E62/365))</f>
        <v>74.8</v>
      </c>
      <c r="T162" s="7">
        <f>(P61*($E61/365))+(P62*($E62/365))</f>
        <v>0</v>
      </c>
      <c r="U162" s="7">
        <f>(Q61*($E61/365))+(Q62*($E62/365))</f>
        <v>0</v>
      </c>
      <c r="V162" s="12"/>
      <c r="W162" s="7">
        <f>R61*(E61/365) + R62*(E62/365)</f>
        <v>74.8</v>
      </c>
      <c r="X162" s="5"/>
    </row>
    <row r="163" spans="1:24" ht="9" customHeight="1">
      <c r="A163" s="20">
        <v>1987</v>
      </c>
      <c r="B163" s="7">
        <f>(K63*($E63/365))+(K64*($E64/365))</f>
        <v>100</v>
      </c>
      <c r="C163" s="7">
        <f>(L63*($E63/365))+(L64*($E64/365))</f>
        <v>0</v>
      </c>
      <c r="D163" s="7">
        <f>(M63*($E63/365))+(M64*($E64/365))</f>
        <v>0</v>
      </c>
      <c r="E163" s="33">
        <f t="shared" si="43"/>
        <v>100</v>
      </c>
      <c r="G163" s="20">
        <v>1987</v>
      </c>
      <c r="H163" s="958">
        <f>(O63/$R63*100*($E63/365))+(O64/$R64*100*($E64/365))</f>
        <v>100</v>
      </c>
      <c r="I163" s="958"/>
      <c r="J163" s="958">
        <f>(P63/$R63*100*($E63/365))+(P64/$R64*100*($E64/365))</f>
        <v>0</v>
      </c>
      <c r="K163" s="958"/>
      <c r="L163" s="958">
        <f>(Q63/$R63*100*($E63/365))+(Q64/$R64*100*($E64/365))</f>
        <v>0</v>
      </c>
      <c r="M163" s="958"/>
      <c r="N163" s="990">
        <f t="shared" si="44"/>
        <v>100</v>
      </c>
      <c r="O163" s="990"/>
      <c r="R163" s="20">
        <v>1987</v>
      </c>
      <c r="S163" s="7">
        <f>(O63*($E63/365))+(O64*($E64/365))</f>
        <v>74.8</v>
      </c>
      <c r="T163" s="7">
        <f>(P63*($E63/365))+(P64*($E64/365))</f>
        <v>0</v>
      </c>
      <c r="U163" s="7">
        <f>(Q63*($E63/365))+(Q64*($E64/365))</f>
        <v>0</v>
      </c>
      <c r="V163" s="12"/>
      <c r="W163" s="7">
        <f>R63*(E63/365) + R64*(E64/365)</f>
        <v>74.8</v>
      </c>
      <c r="X163" s="5"/>
    </row>
    <row r="164" spans="1:24" ht="9" customHeight="1">
      <c r="A164" s="20">
        <v>1988</v>
      </c>
      <c r="B164" s="7">
        <f>(K65*($E65/366))+(K66*($E66/366))</f>
        <v>100</v>
      </c>
      <c r="C164" s="7">
        <f>(L65*($E65/366))+(L66*($E66/366))</f>
        <v>0</v>
      </c>
      <c r="D164" s="7">
        <f>(M65*($E65/366))+(M66*($E66/366))</f>
        <v>0</v>
      </c>
      <c r="E164" s="33">
        <f t="shared" si="43"/>
        <v>100</v>
      </c>
      <c r="G164" s="20">
        <v>1988</v>
      </c>
      <c r="H164" s="958">
        <f>(O65/$R65*100*($E65/366))+(O66/$R66*100*($E66/366))</f>
        <v>100</v>
      </c>
      <c r="I164" s="958"/>
      <c r="J164" s="958">
        <f>(P65/$R65*100*($E65/366))+(P66/$R66*100*($E66/366))</f>
        <v>0</v>
      </c>
      <c r="K164" s="958"/>
      <c r="L164" s="958">
        <f>(Q65/$R65*100*($E65/366))+(Q66/$R66*100*($E66/366))</f>
        <v>0</v>
      </c>
      <c r="M164" s="958"/>
      <c r="N164" s="990">
        <f t="shared" si="44"/>
        <v>100</v>
      </c>
      <c r="O164" s="990"/>
      <c r="R164" s="20">
        <v>1988</v>
      </c>
      <c r="S164" s="7">
        <f>(O65*($E65/366))+(O66*($E66/366))</f>
        <v>73.60464480874316</v>
      </c>
      <c r="T164" s="7">
        <f>(P65*($E65/366))+(P66*($E66/366))</f>
        <v>0</v>
      </c>
      <c r="U164" s="7">
        <f>(Q65*($E65/366))+(Q66*($E66/366))</f>
        <v>0</v>
      </c>
      <c r="V164" s="12"/>
      <c r="W164" s="7">
        <f>R65*(E65/366) + R66*(E66/366)</f>
        <v>73.60464480874316</v>
      </c>
      <c r="X164" s="5"/>
    </row>
    <row r="165" spans="1:24" s="4" customFormat="1" ht="9" customHeight="1">
      <c r="A165" s="21">
        <v>1989</v>
      </c>
      <c r="B165" s="11">
        <f>(K67*($E67/365))+(K68*($E68/365))</f>
        <v>100</v>
      </c>
      <c r="C165" s="11">
        <f>(L67*($E67/365))+(L68*($E68/365))</f>
        <v>0</v>
      </c>
      <c r="D165" s="11">
        <f>(M67*($E67/365))+(M68*($E68/365))</f>
        <v>0</v>
      </c>
      <c r="E165" s="32">
        <f t="shared" si="43"/>
        <v>100</v>
      </c>
      <c r="G165" s="21">
        <v>1989</v>
      </c>
      <c r="H165" s="960">
        <f>(O67/$R67*100*($E67/365))+(O68/$R68*100*($E68/365))</f>
        <v>100</v>
      </c>
      <c r="I165" s="960"/>
      <c r="J165" s="960">
        <f>(P67/$R67*100*($E67/365))+(P68/$R68*100*($E68/365))</f>
        <v>0</v>
      </c>
      <c r="K165" s="960"/>
      <c r="L165" s="960">
        <f>(Q67/$R67*100*($E67/365))+(Q68/$R68*100*($E68/365))</f>
        <v>0</v>
      </c>
      <c r="M165" s="960"/>
      <c r="N165" s="987">
        <f t="shared" si="44"/>
        <v>100</v>
      </c>
      <c r="O165" s="987"/>
      <c r="R165" s="21">
        <v>1989</v>
      </c>
      <c r="S165" s="11">
        <f>(O67*($E67/365))+(O68*($E68/365))</f>
        <v>57.3</v>
      </c>
      <c r="T165" s="11">
        <f>(P67*($E67/365))+(P68*($E68/365))</f>
        <v>0</v>
      </c>
      <c r="U165" s="11">
        <f>(Q67*($E67/365))+(Q68*($E68/365))</f>
        <v>0</v>
      </c>
      <c r="V165" s="27"/>
      <c r="W165" s="11">
        <f>R67*(E67/365) + R68*(E68/365)</f>
        <v>57.3</v>
      </c>
      <c r="X165" s="19"/>
    </row>
    <row r="166" spans="1:24" ht="9" customHeight="1">
      <c r="A166" s="1">
        <v>1990</v>
      </c>
      <c r="B166" s="7">
        <f>(K69*($E69/365))+(K70*($E70/365))</f>
        <v>100</v>
      </c>
      <c r="C166" s="7">
        <f>(L69*($E69/365))+(L70*($E70/365))</f>
        <v>0</v>
      </c>
      <c r="D166" s="7">
        <f>(M69*($E69/365))+(M70*($E70/365))</f>
        <v>0</v>
      </c>
      <c r="E166" s="33">
        <f t="shared" si="43"/>
        <v>100</v>
      </c>
      <c r="G166" s="1">
        <v>1990</v>
      </c>
      <c r="H166" s="958">
        <f>(O69/$R69*100*($E69/365))+(O70/$R70*100*($E70/365))</f>
        <v>100</v>
      </c>
      <c r="I166" s="958"/>
      <c r="J166" s="958">
        <f>(P69/$R69*100*($E69/365))+(P70/$R70*100*($E70/365))</f>
        <v>0</v>
      </c>
      <c r="K166" s="958"/>
      <c r="L166" s="958">
        <f>(Q69/$R69*100*($E69/365))+(Q70/$R70*100*($E70/365))</f>
        <v>0</v>
      </c>
      <c r="M166" s="958"/>
      <c r="N166" s="990">
        <f t="shared" si="44"/>
        <v>100</v>
      </c>
      <c r="O166" s="990"/>
      <c r="R166" s="1">
        <v>1990</v>
      </c>
      <c r="S166" s="7">
        <f>(O69*($E69/365))+(O70*($E70/365))</f>
        <v>57.3</v>
      </c>
      <c r="T166" s="7">
        <f>(P69*($E69/365))+(P70*($E70/365))</f>
        <v>0</v>
      </c>
      <c r="U166" s="7">
        <f>(Q69*($E69/365))+(Q70*($E70/365))</f>
        <v>0</v>
      </c>
      <c r="V166" s="12"/>
      <c r="W166" s="7">
        <f>R69*(E69/365) + R70*(E70/365)</f>
        <v>57.3</v>
      </c>
      <c r="X166" s="5"/>
    </row>
    <row r="167" spans="1:24" ht="9" customHeight="1">
      <c r="A167" s="1">
        <v>1991</v>
      </c>
      <c r="B167" s="7">
        <f>(K71*($E71/365))+(K72*($E72/365))</f>
        <v>100</v>
      </c>
      <c r="C167" s="7">
        <f>(L71*($E71/365))+(L72*($E72/365))</f>
        <v>0</v>
      </c>
      <c r="D167" s="7">
        <f>(M71*($E71/365))+(M72*($E72/365))</f>
        <v>0</v>
      </c>
      <c r="E167" s="33">
        <f t="shared" ref="E167:E190" si="45">SUM(B167:D167)</f>
        <v>100</v>
      </c>
      <c r="G167" s="1">
        <v>1991</v>
      </c>
      <c r="H167" s="958">
        <f>(O71/$R71*100*($E71/365))+(O72/$R72*100*($E72/365))</f>
        <v>100</v>
      </c>
      <c r="I167" s="958"/>
      <c r="J167" s="958">
        <f>(P71/$R71*100*($E71/365))+(P72/$R72*100*($E72/365))</f>
        <v>0</v>
      </c>
      <c r="K167" s="958"/>
      <c r="L167" s="958">
        <f>(Q71/$R71*100*($E71/365))+(Q72/$R72*100*($E72/365))</f>
        <v>0</v>
      </c>
      <c r="M167" s="958"/>
      <c r="N167" s="990">
        <f t="shared" si="44"/>
        <v>100</v>
      </c>
      <c r="O167" s="990"/>
      <c r="R167" s="1">
        <v>1991</v>
      </c>
      <c r="S167" s="7">
        <f>(O71*($E71/365))+(O72*($E72/365))</f>
        <v>57.3</v>
      </c>
      <c r="T167" s="7">
        <f>(P71*($E71/365))+(P72*($E72/365))</f>
        <v>0</v>
      </c>
      <c r="U167" s="7">
        <f>(Q71*($E71/365))+(Q72*($E72/365))</f>
        <v>0</v>
      </c>
      <c r="V167" s="12"/>
      <c r="W167" s="7">
        <f>R71*(E71/365) + R72*(E72/365)</f>
        <v>57.3</v>
      </c>
      <c r="X167" s="5"/>
    </row>
    <row r="168" spans="1:24" ht="9" customHeight="1">
      <c r="A168" s="1">
        <v>1992</v>
      </c>
      <c r="B168" s="7">
        <f>(K73*($E73/366))+(K74*($E74/366))</f>
        <v>100</v>
      </c>
      <c r="C168" s="7">
        <f>(L73*($E73/366))+(L74*($E74/366))</f>
        <v>0</v>
      </c>
      <c r="D168" s="7">
        <f>(M73*($E73/366))+(M74*($E74/366))</f>
        <v>0</v>
      </c>
      <c r="E168" s="33">
        <f t="shared" si="45"/>
        <v>100</v>
      </c>
      <c r="G168" s="1">
        <v>1992</v>
      </c>
      <c r="H168" s="958">
        <f>(O73/$R73*100*($E73/366))+(O74/$R74*100*($E74/366))</f>
        <v>100</v>
      </c>
      <c r="I168" s="958"/>
      <c r="J168" s="958">
        <f>(P73/$R73*100*($E73/366))+(P74/$R74*100*($E74/366))</f>
        <v>0</v>
      </c>
      <c r="K168" s="958"/>
      <c r="L168" s="958">
        <f>(Q73/$R73*100*($E73/366))+(Q74/$R74*100*($E74/366))</f>
        <v>0</v>
      </c>
      <c r="M168" s="958"/>
      <c r="N168" s="990">
        <f t="shared" si="44"/>
        <v>100</v>
      </c>
      <c r="O168" s="990"/>
      <c r="R168" s="1">
        <v>1992</v>
      </c>
      <c r="S168" s="7">
        <f>(O73*($E73/366))+(O74*($E74/366))</f>
        <v>57.3</v>
      </c>
      <c r="T168" s="7">
        <f>(P73*($E73/366))+(P74*($E74/366))</f>
        <v>0</v>
      </c>
      <c r="U168" s="7">
        <f>(Q73*($E73/366))+(Q74*($E74/366))</f>
        <v>0</v>
      </c>
      <c r="V168" s="12"/>
      <c r="W168" s="7">
        <f>R73*(E73/366) + R74*(E74/366)</f>
        <v>57.3</v>
      </c>
      <c r="X168" s="5"/>
    </row>
    <row r="169" spans="1:24" ht="9" customHeight="1">
      <c r="A169" s="1">
        <v>1993</v>
      </c>
      <c r="B169" s="7">
        <f>(K75*($E75/365))+(K76*($E76/365))+(K77*($E77/365))</f>
        <v>84.109589041095887</v>
      </c>
      <c r="C169" s="7">
        <f>(L75*($E75/365))+(L76*($E76/365))+(L77*($E77/365))</f>
        <v>15.890410958904111</v>
      </c>
      <c r="D169" s="7">
        <f>(M75*($E75/365))+(M76*($E76/365))+(M77*($E77/365))</f>
        <v>0</v>
      </c>
      <c r="E169" s="33">
        <f t="shared" si="45"/>
        <v>100</v>
      </c>
      <c r="G169" s="1">
        <v>1993</v>
      </c>
      <c r="H169" s="958">
        <f>(O75/$R75*100*($E75/365))+(O76/$R76*100*($E76/365))+(O77/$R77*100*($E77/365))</f>
        <v>84.109589041095887</v>
      </c>
      <c r="I169" s="958"/>
      <c r="J169" s="958">
        <f>(P75/$R75*100*($E75/365))+(P76/$R76*100*($E76/365))+(P77/$R77*100*($E77/365))</f>
        <v>15.890410958904111</v>
      </c>
      <c r="K169" s="958"/>
      <c r="L169" s="958">
        <f>(Q75/$R75*100*($E75/365))+(Q76/$R76*100*($E76/365))+(Q77/$R77*100*($E77/365))</f>
        <v>0</v>
      </c>
      <c r="M169" s="958"/>
      <c r="N169" s="990">
        <f t="shared" si="44"/>
        <v>100</v>
      </c>
      <c r="O169" s="990"/>
      <c r="R169" s="1">
        <v>1993</v>
      </c>
      <c r="S169" s="7">
        <f>(O75*($E75/365))+(O75*($E75/365))+(O77*($E77/365))</f>
        <v>54.945205479452049</v>
      </c>
      <c r="T169" s="7">
        <f>(P75*($E75/365))+(P75*($E75/365))+(P77*($E77/365))</f>
        <v>9.5342465753424666</v>
      </c>
      <c r="U169" s="7">
        <f>(Q75*($E75/365))+(Q75*($E75/365))+(Q77*($E77/365))</f>
        <v>0</v>
      </c>
      <c r="V169" s="12"/>
      <c r="W169" s="7">
        <f>R76*(E76/365) + R77*(E77/365)</f>
        <v>30.256438356164381</v>
      </c>
      <c r="X169" s="5"/>
    </row>
    <row r="170" spans="1:24" ht="9" customHeight="1">
      <c r="A170" s="1">
        <v>1994</v>
      </c>
      <c r="B170" s="7">
        <f>(K78*($E78/365))+(K79*($E79/365))</f>
        <v>0</v>
      </c>
      <c r="C170" s="7">
        <f>(L78*($E78/365))+(L79*($E79/365))</f>
        <v>100</v>
      </c>
      <c r="D170" s="7">
        <f>(M78*($E78/365))+(M79*($E79/365))</f>
        <v>0</v>
      </c>
      <c r="E170" s="33">
        <f t="shared" si="45"/>
        <v>100</v>
      </c>
      <c r="G170" s="1">
        <v>1994</v>
      </c>
      <c r="H170" s="958">
        <f>(O78/$R78*100*($E78/365))+(O79/$R79*100*($E79/365))</f>
        <v>0</v>
      </c>
      <c r="I170" s="958"/>
      <c r="J170" s="958">
        <f>(P78/$R78*100*($E78/365))+(P79/$R79*100*($E79/365))</f>
        <v>100</v>
      </c>
      <c r="K170" s="958"/>
      <c r="L170" s="958">
        <f>(Q78/$R78*100*($E78/365))+(Q79/$R79*100*($E79/365))</f>
        <v>0</v>
      </c>
      <c r="M170" s="958"/>
      <c r="N170" s="990">
        <f t="shared" si="44"/>
        <v>100</v>
      </c>
      <c r="O170" s="990"/>
      <c r="R170" s="1">
        <v>1994</v>
      </c>
      <c r="S170" s="7">
        <f>(O78*($E78/365))+(O79*($E79/365))</f>
        <v>0</v>
      </c>
      <c r="T170" s="7">
        <f>(P78*($E78/365))+(P79*($E79/365))</f>
        <v>60</v>
      </c>
      <c r="U170" s="7">
        <f>(Q78*($E78/365))+(Q79*($E79/365))</f>
        <v>0</v>
      </c>
      <c r="V170" s="12"/>
      <c r="W170" s="7">
        <f>R78*(E78/365) + R79*(E79/365)</f>
        <v>60</v>
      </c>
      <c r="X170" s="5"/>
    </row>
    <row r="171" spans="1:24" ht="9" customHeight="1">
      <c r="A171" s="1">
        <v>1995</v>
      </c>
      <c r="B171" s="7">
        <f>(K80*($E80/365))+(K81*($E81/365))</f>
        <v>0</v>
      </c>
      <c r="C171" s="7">
        <f>(L80*($E80/365))+(L81*($E81/365))</f>
        <v>100</v>
      </c>
      <c r="D171" s="7">
        <f>(M80*($E80/365))+(M81*($E81/365))</f>
        <v>0</v>
      </c>
      <c r="E171" s="33">
        <f t="shared" si="45"/>
        <v>100</v>
      </c>
      <c r="G171" s="1">
        <v>1995</v>
      </c>
      <c r="H171" s="958">
        <f>(O80/$R80*100*($E80/365))+(O81/$R81*100*($E81/365))</f>
        <v>0</v>
      </c>
      <c r="I171" s="958"/>
      <c r="J171" s="958">
        <f>(P80/$R80*100*($E80/365))+(P81/$R81*100*($E81/365))</f>
        <v>100</v>
      </c>
      <c r="K171" s="958"/>
      <c r="L171" s="958">
        <f>(Q80/$R80*100*($E80/365))+(Q81/$R81*100*($E81/365))</f>
        <v>0</v>
      </c>
      <c r="M171" s="958"/>
      <c r="N171" s="990">
        <f t="shared" si="44"/>
        <v>100</v>
      </c>
      <c r="O171" s="990"/>
      <c r="R171" s="1">
        <v>1995</v>
      </c>
      <c r="S171" s="7">
        <f>(O80*($E80/365))+(O81*($E81/365))</f>
        <v>0</v>
      </c>
      <c r="T171" s="7">
        <f>(P80*($E80/365))+(P81*($E81/365))</f>
        <v>60</v>
      </c>
      <c r="U171" s="7">
        <f>(Q80*($E80/365))+(Q81*($E81/365))</f>
        <v>0</v>
      </c>
      <c r="V171" s="12"/>
      <c r="W171" s="7">
        <f>R80*(E80/365) + R81*(E81/365)</f>
        <v>60</v>
      </c>
      <c r="X171" s="5"/>
    </row>
    <row r="172" spans="1:24" ht="9" customHeight="1">
      <c r="A172" s="1">
        <v>1996</v>
      </c>
      <c r="B172" s="7">
        <f>(K82*($E82/366))+(K83*($E83/366))</f>
        <v>0</v>
      </c>
      <c r="C172" s="7">
        <f>(L82*($E82/366))+(L83*($E83/366))</f>
        <v>100</v>
      </c>
      <c r="D172" s="7">
        <f>(M82*($E82/366))+(M83*($E83/366))</f>
        <v>0</v>
      </c>
      <c r="E172" s="33">
        <f t="shared" si="45"/>
        <v>100</v>
      </c>
      <c r="G172" s="1">
        <v>1996</v>
      </c>
      <c r="H172" s="958">
        <f>(O82/$R82*100*($E82/366))+(O83/$R83*100*($E83/366))</f>
        <v>0</v>
      </c>
      <c r="I172" s="958"/>
      <c r="J172" s="958">
        <f>(P82/$R82*100*($E82/366))+(P83/$R83*100*($E83/366))</f>
        <v>100</v>
      </c>
      <c r="K172" s="958"/>
      <c r="L172" s="958">
        <f>(Q82/$R82*100*($E82/366))+(Q83/$R83*100*($E83/366))</f>
        <v>0</v>
      </c>
      <c r="M172" s="958"/>
      <c r="N172" s="990">
        <f t="shared" si="44"/>
        <v>100</v>
      </c>
      <c r="O172" s="990"/>
      <c r="R172" s="1">
        <v>1996</v>
      </c>
      <c r="S172" s="7">
        <f>(O82*($E82/366))+(O83*($E83/366))</f>
        <v>0</v>
      </c>
      <c r="T172" s="7">
        <f>(P82*($E82/366))+(P83*($E83/366))</f>
        <v>60</v>
      </c>
      <c r="U172" s="7">
        <f>(Q82*($E82/366))+(Q83*($E83/366))</f>
        <v>0</v>
      </c>
      <c r="V172" s="12"/>
      <c r="W172" s="7">
        <f>R82*(E82/366) + R83*(E83/366)</f>
        <v>60</v>
      </c>
      <c r="X172" s="5"/>
    </row>
    <row r="173" spans="1:24" ht="9" customHeight="1">
      <c r="A173" s="1">
        <v>1997</v>
      </c>
      <c r="B173" s="7">
        <f>(K84*($E84/365))+(K85*($E85/365))</f>
        <v>0</v>
      </c>
      <c r="C173" s="7">
        <f>(L84*($E84/365))+(L85*($E85/365))</f>
        <v>100</v>
      </c>
      <c r="D173" s="7">
        <f>(M84*($E84/365))+(M85*($E85/365))</f>
        <v>0</v>
      </c>
      <c r="E173" s="33">
        <f t="shared" si="45"/>
        <v>100</v>
      </c>
      <c r="G173" s="1">
        <v>1997</v>
      </c>
      <c r="H173" s="958">
        <f>(O84/$R84*100*($E84/365))+(O85/$R85*100*($E85/365))</f>
        <v>0</v>
      </c>
      <c r="I173" s="958"/>
      <c r="J173" s="958">
        <f>(P84/$R84*100*($E84/365))+(P85/$R85*100*($E85/365))</f>
        <v>100</v>
      </c>
      <c r="K173" s="958"/>
      <c r="L173" s="958">
        <f>(Q84/$R84*100*($E84/365))+(Q85/$R85*100*($E85/365))</f>
        <v>0</v>
      </c>
      <c r="M173" s="958"/>
      <c r="N173" s="990">
        <f t="shared" si="44"/>
        <v>100</v>
      </c>
      <c r="O173" s="990"/>
      <c r="R173" s="1">
        <v>1997</v>
      </c>
      <c r="S173" s="7">
        <f>(O84*($E84/365))+(O85*($E85/365))</f>
        <v>0</v>
      </c>
      <c r="T173" s="7">
        <f>(P84*($E84/365))+(P85*($E85/365))</f>
        <v>55.249315068493154</v>
      </c>
      <c r="U173" s="7">
        <f>(Q84*($E84/365))+(Q85*($E85/365))</f>
        <v>0</v>
      </c>
      <c r="V173" s="12"/>
      <c r="W173" s="7">
        <f>R84*(E84/365) + R85*(E85/365)</f>
        <v>55.249315068493154</v>
      </c>
      <c r="X173" s="5"/>
    </row>
    <row r="174" spans="1:24" ht="9" customHeight="1">
      <c r="A174" s="1">
        <v>1998</v>
      </c>
      <c r="B174" s="7">
        <f>(K86*($E86/365))+(K87*($E87/365))</f>
        <v>0</v>
      </c>
      <c r="C174" s="7">
        <f>(L86*($E86/365))+(L87*($E87/365))</f>
        <v>100</v>
      </c>
      <c r="D174" s="7">
        <f>(M86*($E86/365))+(M87*($E87/365))</f>
        <v>0</v>
      </c>
      <c r="E174" s="33">
        <f t="shared" si="45"/>
        <v>100</v>
      </c>
      <c r="G174" s="1">
        <v>1998</v>
      </c>
      <c r="H174" s="958">
        <f>(O86/$R86*100*($E86/365))+(O87/$R87*100*($E87/365))</f>
        <v>0</v>
      </c>
      <c r="I174" s="958"/>
      <c r="J174" s="958">
        <f>(P86/$R86*100*($E86/365))+(P87/$R87*100*($E87/365))</f>
        <v>100</v>
      </c>
      <c r="K174" s="958"/>
      <c r="L174" s="958">
        <f>(Q86/$R86*100*($E86/365))+(Q87/$R87*100*($E87/365))</f>
        <v>0</v>
      </c>
      <c r="M174" s="958"/>
      <c r="N174" s="990">
        <f t="shared" si="44"/>
        <v>100</v>
      </c>
      <c r="O174" s="990"/>
      <c r="R174" s="1">
        <v>1998</v>
      </c>
      <c r="S174" s="7">
        <f>(O86*($E86/365))+(O87*($E87/365))</f>
        <v>0</v>
      </c>
      <c r="T174" s="7">
        <f>(P86*($E86/365))+(P87*($E87/365))</f>
        <v>51.5</v>
      </c>
      <c r="U174" s="7">
        <f>(Q86*($E86/365))+(Q87*($E87/365))</f>
        <v>0</v>
      </c>
      <c r="V174" s="12"/>
      <c r="W174" s="7">
        <f>R86*(E86/365) + R87*(E87/365)</f>
        <v>51.5</v>
      </c>
      <c r="X174" s="5"/>
    </row>
    <row r="175" spans="1:24" ht="9" customHeight="1">
      <c r="A175" s="1">
        <v>1999</v>
      </c>
      <c r="B175" s="7">
        <f>(K88*($E88/365))+(K89*($E89/365))</f>
        <v>0</v>
      </c>
      <c r="C175" s="7">
        <f>(L88*($E88/365))+(L89*($E89/365))</f>
        <v>100</v>
      </c>
      <c r="D175" s="7">
        <f>(M88*($E88/365))+(M89*($E89/365))</f>
        <v>0</v>
      </c>
      <c r="E175" s="33">
        <f t="shared" si="45"/>
        <v>100</v>
      </c>
      <c r="G175" s="1">
        <v>1999</v>
      </c>
      <c r="H175" s="958">
        <f>(O88/$R88*100*($E88/365))+(O89/$R89*100*($E89/365))</f>
        <v>0</v>
      </c>
      <c r="I175" s="958"/>
      <c r="J175" s="958">
        <f>(P88/$R88*100*($E88/365))+(P89/$R89*100*($E89/365))</f>
        <v>100</v>
      </c>
      <c r="K175" s="958"/>
      <c r="L175" s="958">
        <f>(Q88/$R88*100*($E88/365))+(Q89/$R89*100*($E89/365))</f>
        <v>0</v>
      </c>
      <c r="M175" s="958"/>
      <c r="N175" s="990">
        <f t="shared" si="44"/>
        <v>100</v>
      </c>
      <c r="O175" s="990"/>
      <c r="R175" s="1">
        <v>1999</v>
      </c>
      <c r="S175" s="7">
        <f>(O88*($E88/365))+(O89*($E89/365))</f>
        <v>0</v>
      </c>
      <c r="T175" s="7">
        <f>(P88*($E88/365))+(P89*($E89/365))</f>
        <v>51.5</v>
      </c>
      <c r="U175" s="7">
        <f>(Q88*($E88/365))+(Q89*($E89/365))</f>
        <v>0</v>
      </c>
      <c r="V175" s="12"/>
      <c r="W175" s="7">
        <f>R88*(E88/365) + R89*(E89/365)</f>
        <v>51.5</v>
      </c>
      <c r="X175" s="5"/>
    </row>
    <row r="176" spans="1:24" ht="9" customHeight="1">
      <c r="A176" s="1">
        <v>2000</v>
      </c>
      <c r="B176" s="7">
        <f>(K90*($E90/366))+(K91*($E91/366))</f>
        <v>0</v>
      </c>
      <c r="C176" s="7">
        <f>(L90*($E90/366))+(L91*($E91/366))</f>
        <v>100</v>
      </c>
      <c r="D176" s="7">
        <f>(M90*($E90/366))+(M91*($E91/366))</f>
        <v>0</v>
      </c>
      <c r="E176" s="33">
        <f t="shared" si="45"/>
        <v>100</v>
      </c>
      <c r="G176" s="1">
        <v>2000</v>
      </c>
      <c r="H176" s="958">
        <f>(O90/$R90*100*($E90/366))+(O91/$R91*100*($E91/366))</f>
        <v>0</v>
      </c>
      <c r="I176" s="958"/>
      <c r="J176" s="958">
        <f>(P90/$R90*100*($E90/366))+(P91/$R91*100*($E91/366))</f>
        <v>100</v>
      </c>
      <c r="K176" s="958"/>
      <c r="L176" s="958">
        <f>(Q90/$R90*100*($E90/366))+(Q91/$R91*100*($E91/366))</f>
        <v>0</v>
      </c>
      <c r="M176" s="958"/>
      <c r="N176" s="990">
        <f t="shared" si="44"/>
        <v>100</v>
      </c>
      <c r="O176" s="990"/>
      <c r="R176" s="1">
        <v>2000</v>
      </c>
      <c r="S176" s="7">
        <f>(O90*($E90/366))+(O91*($E91/366))</f>
        <v>0</v>
      </c>
      <c r="T176" s="7">
        <f>(P90*($E90/366))+(P91*($E91/366))</f>
        <v>52.035519125683059</v>
      </c>
      <c r="U176" s="7">
        <f>(Q90*($E90/366))+(Q91*($E91/366))</f>
        <v>0</v>
      </c>
      <c r="V176" s="12"/>
      <c r="W176" s="7">
        <f>R90*(E90/366) + R91*(E91/366)</f>
        <v>52.035519125683059</v>
      </c>
      <c r="X176" s="5"/>
    </row>
    <row r="177" spans="1:24" ht="9" customHeight="1">
      <c r="A177" s="1">
        <v>2001</v>
      </c>
      <c r="B177" s="7">
        <f>(K92*($E92/365))+(K93*($E93/365))</f>
        <v>0</v>
      </c>
      <c r="C177" s="7">
        <f>(L92*($E92/365))+(L93*($E93/365))</f>
        <v>100</v>
      </c>
      <c r="D177" s="7">
        <f>(M92*($E92/365))+(M93*($E93/365))</f>
        <v>0</v>
      </c>
      <c r="E177" s="33">
        <f t="shared" si="45"/>
        <v>100</v>
      </c>
      <c r="G177" s="1">
        <v>2001</v>
      </c>
      <c r="H177" s="958">
        <f>(O92/$R92*100*($E92/365))+(O93/$R93*100*($E93/365))</f>
        <v>0</v>
      </c>
      <c r="I177" s="958"/>
      <c r="J177" s="958">
        <f>(P92/$R92*100*($E92/365))+(P93/$R93*100*($E93/365))</f>
        <v>100</v>
      </c>
      <c r="K177" s="958"/>
      <c r="L177" s="958">
        <f>(Q92/$R92*100*($E92/365))+(Q93/$R93*100*($E93/365))</f>
        <v>0</v>
      </c>
      <c r="M177" s="958"/>
      <c r="N177" s="990">
        <f t="shared" si="44"/>
        <v>100</v>
      </c>
      <c r="O177" s="990"/>
      <c r="R177" s="1">
        <v>2001</v>
      </c>
      <c r="S177" s="7">
        <f>(O92*($E92/365))+(O93*($E93/365))</f>
        <v>0</v>
      </c>
      <c r="T177" s="7">
        <f>(P92*($E92/365))+(P93*($E93/365))</f>
        <v>57.1</v>
      </c>
      <c r="U177" s="7">
        <f>(Q92*($E92/365))+(Q93*($E93/365))</f>
        <v>0</v>
      </c>
      <c r="V177" s="12"/>
      <c r="W177" s="7">
        <f>R92*(E92/365) + R93*(E93/365)</f>
        <v>57.1</v>
      </c>
      <c r="X177" s="5"/>
    </row>
    <row r="178" spans="1:24" ht="9" customHeight="1">
      <c r="A178" s="1">
        <v>2002</v>
      </c>
      <c r="B178" s="7">
        <f>(K94*($E94/365))+(K95*($E95/365))</f>
        <v>0</v>
      </c>
      <c r="C178" s="7">
        <f>(L94*($E94/365))+(L95*($E95/365))</f>
        <v>100</v>
      </c>
      <c r="D178" s="7">
        <f>(M94*($E94/365))+(M95*($E95/365))</f>
        <v>0</v>
      </c>
      <c r="E178" s="33">
        <f t="shared" si="45"/>
        <v>100</v>
      </c>
      <c r="G178" s="1">
        <v>2002</v>
      </c>
      <c r="H178" s="958">
        <f>(O94/$R94*100*($E94/365))+(O95/$R95*100*($E95/365))</f>
        <v>0</v>
      </c>
      <c r="I178" s="958"/>
      <c r="J178" s="958">
        <f>(P94/$R94*100*($E94/365))+(P95/$R95*100*($E95/365))</f>
        <v>100</v>
      </c>
      <c r="K178" s="958"/>
      <c r="L178" s="958">
        <f>(Q94/$R94*100*($E94/365))+(Q95/$R95*100*($E95/365))</f>
        <v>0</v>
      </c>
      <c r="M178" s="958"/>
      <c r="N178" s="990">
        <f t="shared" si="44"/>
        <v>100</v>
      </c>
      <c r="O178" s="990"/>
      <c r="R178" s="1">
        <v>2002</v>
      </c>
      <c r="S178" s="7">
        <f>(O94*($E94/365))+(O95*($E95/365))</f>
        <v>0</v>
      </c>
      <c r="T178" s="7">
        <f>(P94*($E94/365))+(P95*($E95/365))</f>
        <v>57.1</v>
      </c>
      <c r="U178" s="7">
        <f>(Q94*($E94/365))+(Q95*($E95/365))</f>
        <v>0</v>
      </c>
      <c r="V178" s="12"/>
      <c r="W178" s="7">
        <f>R94*(E94/365) + R95*(E95/365)</f>
        <v>57.1</v>
      </c>
      <c r="X178" s="5"/>
    </row>
    <row r="179" spans="1:24" ht="9" customHeight="1">
      <c r="A179" s="1">
        <v>2003</v>
      </c>
      <c r="B179" s="7">
        <f>(K96*($E96/365))+(K97*($E97/365))</f>
        <v>0</v>
      </c>
      <c r="C179" s="7">
        <f>(L96*($E96/365))+(L97*($E97/365))</f>
        <v>100</v>
      </c>
      <c r="D179" s="7">
        <f>(M96*($E96/365))+(M97*($E97/365))</f>
        <v>0</v>
      </c>
      <c r="E179" s="33">
        <f t="shared" si="45"/>
        <v>100</v>
      </c>
      <c r="G179" s="1">
        <v>2003</v>
      </c>
      <c r="H179" s="958">
        <f>(O96/$R96*100*($E96/365))+(O97/$R97*100*($E97/365))</f>
        <v>0</v>
      </c>
      <c r="I179" s="958"/>
      <c r="J179" s="958">
        <f>(P96/$R96*100*($E96/365))+(P97/$R97*100*($E97/365))</f>
        <v>100</v>
      </c>
      <c r="K179" s="958"/>
      <c r="L179" s="958">
        <f>(Q96/$R96*100*($E96/365))+(Q97/$R97*100*($E97/365))</f>
        <v>0</v>
      </c>
      <c r="M179" s="958"/>
      <c r="N179" s="990">
        <f t="shared" si="44"/>
        <v>100</v>
      </c>
      <c r="O179" s="990"/>
      <c r="R179" s="1">
        <v>2003</v>
      </c>
      <c r="S179" s="7">
        <f>(O96*($E96/365))+(O97*($E97/365))</f>
        <v>0</v>
      </c>
      <c r="T179" s="7">
        <f>(P96*($E96/365))+(P97*($E97/365))</f>
        <v>57.1</v>
      </c>
      <c r="U179" s="7">
        <f>(Q96*($E96/365))+(Q97*($E97/365))</f>
        <v>0</v>
      </c>
      <c r="V179" s="12"/>
      <c r="W179" s="7">
        <f>R96*(E96/365) + R97*(E97/365)</f>
        <v>57.1</v>
      </c>
      <c r="X179" s="5"/>
    </row>
    <row r="180" spans="1:24" ht="9" customHeight="1">
      <c r="A180" s="1">
        <v>2004</v>
      </c>
      <c r="B180" s="7">
        <f>(K98*($E98/366))+(K99*($E99/366))</f>
        <v>0</v>
      </c>
      <c r="C180" s="7">
        <f>(L98*($E98/366))+(L99*($E99/366))</f>
        <v>100</v>
      </c>
      <c r="D180" s="7">
        <f>(M98*($E98/366))+(M99*($E99/366))</f>
        <v>0</v>
      </c>
      <c r="E180" s="33">
        <f t="shared" si="45"/>
        <v>100</v>
      </c>
      <c r="G180" s="1">
        <v>2004</v>
      </c>
      <c r="H180" s="958">
        <f>(O98/$R98*100*($E98/366))+(O99/$R99*100*($E99/366))</f>
        <v>0</v>
      </c>
      <c r="I180" s="958"/>
      <c r="J180" s="958">
        <f>(P98/$R98*100*($E98/366))+(P99/$R99*100*($E99/366))</f>
        <v>100</v>
      </c>
      <c r="K180" s="958"/>
      <c r="L180" s="958">
        <f>(Q98/$R98*100*($E98/366))+(Q99/$R99*100*($E99/366))</f>
        <v>0</v>
      </c>
      <c r="M180" s="958"/>
      <c r="N180" s="990">
        <f t="shared" si="44"/>
        <v>100</v>
      </c>
      <c r="O180" s="990"/>
      <c r="R180" s="1">
        <v>2004</v>
      </c>
      <c r="S180" s="7">
        <f>(O98*($E98/366))+(O99*($E99/366))</f>
        <v>0</v>
      </c>
      <c r="T180" s="7">
        <f>(P98*($E98/366))+(P99*($E99/366))</f>
        <v>51.10409836065574</v>
      </c>
      <c r="U180" s="7">
        <f>(Q98*($E98/366))+(Q99*($E99/366))</f>
        <v>0</v>
      </c>
      <c r="V180" s="12"/>
      <c r="W180" s="7">
        <f>R98*(E98/366) + R99*(E99/366)</f>
        <v>51.10409836065574</v>
      </c>
      <c r="X180" s="5"/>
    </row>
    <row r="181" spans="1:24" ht="9" customHeight="1">
      <c r="A181" s="1">
        <v>2005</v>
      </c>
      <c r="B181" s="7">
        <f>(K100*($E100/365))+(K101*($E101/365))</f>
        <v>0</v>
      </c>
      <c r="C181" s="7">
        <f>(L100*($E100/365))+(L101*($E101/365))</f>
        <v>100</v>
      </c>
      <c r="D181" s="7">
        <f>(M100*($E100/365))+(M101*($E101/365))</f>
        <v>0</v>
      </c>
      <c r="E181" s="33">
        <f t="shared" si="45"/>
        <v>100</v>
      </c>
      <c r="G181" s="15">
        <v>2005</v>
      </c>
      <c r="H181" s="1008">
        <f>(O100/$R100*100*($E100/365))+(O101/$R101*100*($E101/365))</f>
        <v>0</v>
      </c>
      <c r="I181" s="1008"/>
      <c r="J181" s="1008">
        <f>(P100/$R100*100*($E100/365))+(P101/$R101*100*($E101/365))</f>
        <v>100</v>
      </c>
      <c r="K181" s="1008"/>
      <c r="L181" s="1008">
        <f>(Q100/$R100*100*($E100/365))+(Q101/$R101*100*($E101/365))</f>
        <v>0</v>
      </c>
      <c r="M181" s="1008"/>
      <c r="N181" s="1004">
        <f t="shared" si="44"/>
        <v>100</v>
      </c>
      <c r="O181" s="1004"/>
      <c r="R181" s="1">
        <v>2005</v>
      </c>
      <c r="S181" s="46">
        <f>(O100*($E100/365))+(O101*($E101/365))</f>
        <v>0</v>
      </c>
      <c r="T181" s="46">
        <f>(P100*($E100/365))+(P101*($E101/365))</f>
        <v>43.8</v>
      </c>
      <c r="U181" s="46">
        <f>(Q100*($E100/365))+(Q101*($E101/365))</f>
        <v>0</v>
      </c>
      <c r="V181" s="230"/>
      <c r="W181" s="46">
        <f>R100*(E100/365) + R101*(E101/365)</f>
        <v>43.8</v>
      </c>
      <c r="X181" s="5"/>
    </row>
    <row r="182" spans="1:24" ht="9" customHeight="1">
      <c r="A182" s="1">
        <v>2006</v>
      </c>
      <c r="B182" s="7">
        <f>(K102*($E102/365))+(K103*($E103/365))</f>
        <v>90.136986301369859</v>
      </c>
      <c r="C182" s="7">
        <f>(L102*($E102/365))+(L103*($E103/365))</f>
        <v>9.8630136986301373</v>
      </c>
      <c r="D182" s="7">
        <f>(M102*($E102/365))+(M103*($E103/365))</f>
        <v>0</v>
      </c>
      <c r="E182" s="33">
        <f t="shared" si="45"/>
        <v>100</v>
      </c>
      <c r="G182" s="15">
        <v>2006</v>
      </c>
      <c r="H182" s="1008">
        <f>(O102/$R102*100*($E102/365))+(O103/$R103*100*($E103/365))</f>
        <v>90.136986301369859</v>
      </c>
      <c r="I182" s="1008"/>
      <c r="J182" s="1008">
        <f>(P102/$R102*100*($E102/365))+(P103/$R103*100*($E103/365))</f>
        <v>9.8630136986301373</v>
      </c>
      <c r="K182" s="1008"/>
      <c r="L182" s="1008">
        <f>(Q102/$R102*100*($E102/365))+(Q103/$R103*100*($E103/365))</f>
        <v>0</v>
      </c>
      <c r="M182" s="1008"/>
      <c r="N182" s="1004">
        <f t="shared" si="44"/>
        <v>100</v>
      </c>
      <c r="O182" s="1004"/>
      <c r="R182" s="1">
        <v>2006</v>
      </c>
      <c r="S182" s="46">
        <f>(O102*($E102/365))+(O103*($E103/365))</f>
        <v>36.325205479452052</v>
      </c>
      <c r="T182" s="46">
        <f>(P102*($E102/365))+(P103*($E103/365))</f>
        <v>4.3199999999999994</v>
      </c>
      <c r="U182" s="46">
        <f>(Q102*($E102/365))+(Q103*($E103/365))</f>
        <v>0</v>
      </c>
      <c r="V182" s="230"/>
      <c r="W182" s="46">
        <f>R102*(E102/365) + R103*(E103/365)</f>
        <v>40.645205479452052</v>
      </c>
      <c r="X182" s="5"/>
    </row>
    <row r="183" spans="1:24" ht="9" customHeight="1">
      <c r="A183" s="1">
        <v>2007</v>
      </c>
      <c r="B183" s="7">
        <f>(K104*($E104/365))+(K105*($E105/365))</f>
        <v>100</v>
      </c>
      <c r="C183" s="7">
        <f>(L104*($E104/365))+(L105*($E105/365))</f>
        <v>0</v>
      </c>
      <c r="D183" s="7">
        <f>(M104*($E104/365))+(M105*($E105/365))</f>
        <v>0</v>
      </c>
      <c r="E183" s="33">
        <f t="shared" si="45"/>
        <v>100</v>
      </c>
      <c r="G183" s="1">
        <v>2007</v>
      </c>
      <c r="H183" s="958">
        <f>(O104/$R104*100*($E104/365))+(O105/$R105*100*($E105/365))</f>
        <v>100</v>
      </c>
      <c r="I183" s="958"/>
      <c r="J183" s="958">
        <f>(P104/$R104*100*($E104/365))+(P105/$R105*100*($E105/365))</f>
        <v>0</v>
      </c>
      <c r="K183" s="958"/>
      <c r="L183" s="958">
        <f>(Q104/$R104*100*($E104/365))+(Q105/$R105*100*($E105/365))</f>
        <v>0</v>
      </c>
      <c r="M183" s="958"/>
      <c r="N183" s="990">
        <f t="shared" si="44"/>
        <v>100</v>
      </c>
      <c r="O183" s="990"/>
      <c r="R183" s="1">
        <v>2007</v>
      </c>
      <c r="S183" s="7">
        <f>(O104*($E104/365))+(O105*($E105/365))</f>
        <v>40.299999999999997</v>
      </c>
      <c r="T183" s="7">
        <f>(P104*($E104/365))+(P105*($E105/365))</f>
        <v>0</v>
      </c>
      <c r="U183" s="7">
        <f>(Q104*($E104/365))+(Q105*($E105/365))</f>
        <v>0</v>
      </c>
      <c r="V183" s="12"/>
      <c r="W183" s="7">
        <f>R104*(E104/365) + R105*(E105/365)</f>
        <v>40.299999999999997</v>
      </c>
      <c r="X183" s="5"/>
    </row>
    <row r="184" spans="1:24" ht="9" customHeight="1">
      <c r="A184" s="1">
        <v>2008</v>
      </c>
      <c r="B184" s="7">
        <f>(K106*($E106/366))+(K107*($E107/366))</f>
        <v>100</v>
      </c>
      <c r="C184" s="7">
        <f>(L106*($E106/366))+(L107*($E107/366))</f>
        <v>0</v>
      </c>
      <c r="D184" s="7">
        <f>(M106*($E106/366))+(M107*($E107/366))</f>
        <v>0</v>
      </c>
      <c r="E184" s="33">
        <f t="shared" si="45"/>
        <v>100</v>
      </c>
      <c r="G184" s="1">
        <v>2008</v>
      </c>
      <c r="H184" s="958">
        <f>(O106/$R106*100*($E106/366))+(O107/$R107*100*($E107/366))</f>
        <v>100</v>
      </c>
      <c r="I184" s="958"/>
      <c r="J184" s="958">
        <f>(P106/$R106*100*($E106/366))+(P107/$R107*100*($E107/366))</f>
        <v>0</v>
      </c>
      <c r="K184" s="958"/>
      <c r="L184" s="958">
        <f>(Q106/$R106*100*($E106/366))+(Q107/$R107*100*($E107/366))</f>
        <v>0</v>
      </c>
      <c r="M184" s="958"/>
      <c r="N184" s="990">
        <f t="shared" si="44"/>
        <v>100</v>
      </c>
      <c r="O184" s="990"/>
      <c r="R184" s="1">
        <v>2008</v>
      </c>
      <c r="S184" s="7">
        <f>(O106*($E106/366))+(O107*($E107/366))</f>
        <v>41.35</v>
      </c>
      <c r="T184" s="7">
        <f>(P106*($E106/366))+(P107*($E107/366))</f>
        <v>0</v>
      </c>
      <c r="U184" s="7">
        <f>(Q106*($E106/366))+(Q107*($E107/366))</f>
        <v>0</v>
      </c>
      <c r="V184" s="12"/>
      <c r="W184" s="7">
        <f>R106*(E106/366) + R107*(E107/366)</f>
        <v>41.35</v>
      </c>
      <c r="X184" s="5"/>
    </row>
    <row r="185" spans="1:24" ht="9" customHeight="1">
      <c r="A185" s="1">
        <v>2009</v>
      </c>
      <c r="B185" s="7">
        <f>(K108*($E108/365))+(K109*($E109/365))</f>
        <v>100</v>
      </c>
      <c r="C185" s="7">
        <f>(L108*($E108/365))+(L109*($E109/365))</f>
        <v>0</v>
      </c>
      <c r="D185" s="7">
        <f>(M108*($E108/365))+(M109*($E109/365))</f>
        <v>0</v>
      </c>
      <c r="E185" s="33">
        <f t="shared" si="45"/>
        <v>100</v>
      </c>
      <c r="G185" s="1">
        <v>2009</v>
      </c>
      <c r="H185" s="958">
        <f>(O108/$R108*100*($E108/365))+(O109/$R109*100*($E109/365))</f>
        <v>100</v>
      </c>
      <c r="I185" s="958"/>
      <c r="J185" s="958">
        <f>(P108/$R108*100*($E108/365))+(P109/$R109*100*($E109/365))</f>
        <v>0</v>
      </c>
      <c r="K185" s="958"/>
      <c r="L185" s="958">
        <f>(Q108/$R108*100*($E108/365))+(Q109/$R109*100*($E109/365))</f>
        <v>0</v>
      </c>
      <c r="M185" s="958"/>
      <c r="N185" s="990">
        <f t="shared" si="44"/>
        <v>100</v>
      </c>
      <c r="O185" s="990"/>
      <c r="R185" s="1">
        <v>2009</v>
      </c>
      <c r="S185" s="7">
        <f>(O108*($E108/365))+(O109*($E109/365))</f>
        <v>46.4</v>
      </c>
      <c r="T185" s="7">
        <f>(P108*($E108/365))+(P109*($E109/365))</f>
        <v>0</v>
      </c>
      <c r="U185" s="7">
        <f>(Q108*($E108/365))+(Q109*($E109/365))</f>
        <v>0</v>
      </c>
      <c r="V185" s="12"/>
      <c r="W185" s="7">
        <f>R108*(E108/365) + R109*(E109/365)</f>
        <v>46.4</v>
      </c>
      <c r="X185" s="5"/>
    </row>
    <row r="186" spans="1:24" ht="9" customHeight="1">
      <c r="A186" s="1">
        <v>2010</v>
      </c>
      <c r="B186" s="7">
        <f>(K110*($E110/365))+(K111*($E111/365))</f>
        <v>100</v>
      </c>
      <c r="C186" s="7">
        <f>(L110*($E110/365))+(L111*($E111/365))</f>
        <v>0</v>
      </c>
      <c r="D186" s="7">
        <f>(M110*($E110/365))+(M111*($E111/365))</f>
        <v>0</v>
      </c>
      <c r="E186" s="33">
        <f t="shared" si="45"/>
        <v>100</v>
      </c>
      <c r="G186" s="1">
        <v>2010</v>
      </c>
      <c r="H186" s="958">
        <f>(O110/$R110*100*($E110/365))+(O111/$R111*100*($E111/365))</f>
        <v>100</v>
      </c>
      <c r="I186" s="958"/>
      <c r="J186" s="958">
        <f>(P110/$R110*100*($E110/365))+(P111/$R111*100*($E111/365))</f>
        <v>0</v>
      </c>
      <c r="K186" s="958"/>
      <c r="L186" s="958">
        <f>(Q110/$R110*100*($E110/365))+(Q111/$R111*100*($E111/365))</f>
        <v>0</v>
      </c>
      <c r="M186" s="958"/>
      <c r="N186" s="990">
        <f t="shared" si="44"/>
        <v>100</v>
      </c>
      <c r="O186" s="990"/>
      <c r="R186" s="1">
        <v>2010</v>
      </c>
      <c r="S186" s="7">
        <f>(O110*($E110/365))+(O111*($E111/365))</f>
        <v>46.4</v>
      </c>
      <c r="T186" s="7">
        <f>(P110*($E110/365))+(P111*($E111/365))</f>
        <v>0</v>
      </c>
      <c r="U186" s="7">
        <f>(Q110*($E110/365))+(Q111*($E111/365))</f>
        <v>0</v>
      </c>
      <c r="V186" s="12"/>
      <c r="W186" s="7">
        <f>R110*(E110/365) + R111*(E111/365)</f>
        <v>46.4</v>
      </c>
      <c r="X186" s="5"/>
    </row>
    <row r="187" spans="1:24" ht="9" customHeight="1">
      <c r="A187" s="1">
        <v>2011</v>
      </c>
      <c r="B187" s="7">
        <f>(K112*($E112/365))+(K113*($E113/365))</f>
        <v>100</v>
      </c>
      <c r="C187" s="7">
        <f>(L112*($E112/365))+(L113*($E113/365))</f>
        <v>0</v>
      </c>
      <c r="D187" s="7">
        <f>(M112*($E112/365))+(M113*($E113/365))</f>
        <v>0</v>
      </c>
      <c r="E187" s="33">
        <f t="shared" si="45"/>
        <v>100</v>
      </c>
      <c r="G187" s="1">
        <v>2011</v>
      </c>
      <c r="H187" s="958">
        <f>(O112/$R112*100*($E112/365))+(O113/$R113*100*($E113/365))</f>
        <v>100</v>
      </c>
      <c r="I187" s="958"/>
      <c r="J187" s="958">
        <f>(P112/$R112*100*($E112/365))+(P113/$R113*100*($E113/365))</f>
        <v>0</v>
      </c>
      <c r="K187" s="958"/>
      <c r="L187" s="958">
        <f>(Q112/$R112*100*($E112/365))+(Q113/$R113*100*($E113/365))</f>
        <v>0</v>
      </c>
      <c r="M187" s="958"/>
      <c r="N187" s="990">
        <f t="shared" si="44"/>
        <v>100</v>
      </c>
      <c r="O187" s="990"/>
      <c r="R187" s="1">
        <v>2011</v>
      </c>
      <c r="S187" s="7">
        <f>(O112*($E112/365))+(O113*($E113/365))</f>
        <v>51.084931506849315</v>
      </c>
      <c r="T187" s="7">
        <f>(P112*($E112/365))+(P113*($E113/365))</f>
        <v>0</v>
      </c>
      <c r="U187" s="7">
        <f>(Q112*($E112/365))+(Q113*($E113/365))</f>
        <v>0</v>
      </c>
      <c r="V187" s="12"/>
      <c r="W187" s="7">
        <f>R112*(E112/365) + R113*(E113/365)</f>
        <v>51.084931506849315</v>
      </c>
      <c r="X187" s="5"/>
    </row>
    <row r="188" spans="1:24" ht="9" customHeight="1">
      <c r="A188" s="1">
        <v>2012</v>
      </c>
      <c r="B188" s="7">
        <f>(K114*($E114/366))+(K115*($E115/366))</f>
        <v>100</v>
      </c>
      <c r="C188" s="7">
        <f>(L114*($E114/366))+(L115*($E115/366))</f>
        <v>0</v>
      </c>
      <c r="D188" s="7">
        <f>(M114*($E114/366))+(M115*($E115/366))</f>
        <v>0</v>
      </c>
      <c r="E188" s="33">
        <f t="shared" si="45"/>
        <v>100</v>
      </c>
      <c r="G188" s="1">
        <v>2012</v>
      </c>
      <c r="H188" s="958">
        <f>(O114/$R114*100*($E114/366))+(O115/$R115*100*($E115/366))</f>
        <v>100</v>
      </c>
      <c r="I188" s="958"/>
      <c r="J188" s="958">
        <f>(P114/$R114*100*($E114/366))+(P115/$R115*100*($E115/366))</f>
        <v>0</v>
      </c>
      <c r="K188" s="958"/>
      <c r="L188" s="958">
        <f>(Q114/$R114*100*($E114/366))+(Q115/$R115*100*($E115/366))</f>
        <v>0</v>
      </c>
      <c r="M188" s="958"/>
      <c r="N188" s="990">
        <f t="shared" si="44"/>
        <v>100</v>
      </c>
      <c r="O188" s="990"/>
      <c r="R188" s="1">
        <v>2012</v>
      </c>
      <c r="S188" s="7">
        <f>(O114*($E114/366))+(O115*($E115/366))</f>
        <v>53.9</v>
      </c>
      <c r="T188" s="7">
        <f>(P114*($E114/366))+(P115*($E115/366))</f>
        <v>0</v>
      </c>
      <c r="U188" s="7">
        <f>(Q114*($E114/366))+(Q115*($E115/366))</f>
        <v>0</v>
      </c>
      <c r="V188" s="12"/>
      <c r="W188" s="7">
        <f>R114*(E114/366) + R115*(E115/366)</f>
        <v>53.9</v>
      </c>
      <c r="X188" s="5"/>
    </row>
    <row r="189" spans="1:24">
      <c r="A189" s="1">
        <v>2013</v>
      </c>
      <c r="B189" s="7">
        <f>(K116*($E116/365))+(K117*($E117/365))</f>
        <v>100</v>
      </c>
      <c r="C189" s="7">
        <f>(L116*($E116/365))+(L117*($E117/365))</f>
        <v>0</v>
      </c>
      <c r="D189" s="7">
        <f>(M116*($E116/365))+(M117*($E117/365))</f>
        <v>0</v>
      </c>
      <c r="E189" s="294">
        <f t="shared" si="45"/>
        <v>100</v>
      </c>
      <c r="G189" s="1">
        <v>2013</v>
      </c>
      <c r="H189" s="958">
        <f>(O116/$R116*100*($E116/365))+(O117/$R117*100*($E117/365))</f>
        <v>100</v>
      </c>
      <c r="I189" s="958"/>
      <c r="J189" s="958">
        <f>(P116/$R116*100*($E116/365))+(P117/$R117*100*($E117/365))</f>
        <v>0</v>
      </c>
      <c r="K189" s="958"/>
      <c r="L189" s="958">
        <f>(Q116/$R116*100*($E116/365))+(Q117/$R117*100*($E117/365))</f>
        <v>0</v>
      </c>
      <c r="M189" s="958"/>
      <c r="N189" s="990">
        <f t="shared" ref="N189:N194" si="46">SUM(H189:M189)</f>
        <v>100</v>
      </c>
      <c r="O189" s="990"/>
      <c r="R189" s="1">
        <v>2013</v>
      </c>
      <c r="S189" s="7">
        <f>(O116*($E116/365))+(O117*($E117/365))</f>
        <v>53.9</v>
      </c>
      <c r="T189" s="7">
        <f>(P116*($E116/365))+(P117*($E117/365))</f>
        <v>0</v>
      </c>
      <c r="U189" s="7">
        <f>(Q116*($E116/365))+(Q117*($E117/365))</f>
        <v>0</v>
      </c>
      <c r="W189" s="7">
        <f>R116*(E116/365) + R117*(E117/365)</f>
        <v>53.9</v>
      </c>
    </row>
    <row r="190" spans="1:24">
      <c r="A190" s="1">
        <v>2014</v>
      </c>
      <c r="B190" s="7">
        <f>(K118*($E118/365))+(K119*($E119/365))</f>
        <v>100</v>
      </c>
      <c r="C190" s="7">
        <f>(L118*($E118/365))+(L119*($E119/365))</f>
        <v>0</v>
      </c>
      <c r="D190" s="7">
        <f>(M118*($E118/365))+(M119*($E119/365))</f>
        <v>0</v>
      </c>
      <c r="E190" s="517">
        <f t="shared" si="45"/>
        <v>100</v>
      </c>
      <c r="G190" s="1">
        <v>2014</v>
      </c>
      <c r="H190" s="958">
        <f>(O118/$R118*100*($E118/365))+(O119/$R119*100*($E119/365))</f>
        <v>100</v>
      </c>
      <c r="I190" s="958"/>
      <c r="J190" s="958">
        <f>(P118/$R118*100*($E118/365))+(P119/$R119*100*($E119/365))</f>
        <v>0</v>
      </c>
      <c r="K190" s="958"/>
      <c r="L190" s="958">
        <f>(Q118/$R118*100*($E118/365))+(Q119/$R119*100*($E119/365))</f>
        <v>0</v>
      </c>
      <c r="M190" s="958"/>
      <c r="N190" s="990">
        <f t="shared" si="46"/>
        <v>100</v>
      </c>
      <c r="O190" s="990"/>
      <c r="R190" s="1">
        <v>2014</v>
      </c>
      <c r="S190" s="7">
        <f>(O118*($E118/365))+(O119*($E119/365))</f>
        <v>53.9</v>
      </c>
      <c r="T190" s="7">
        <f>(P118*($E118/365))+(P119*($E119/365))</f>
        <v>0</v>
      </c>
      <c r="U190" s="7">
        <f>(Q118*($E118/365))+(Q119*($E119/365))</f>
        <v>0</v>
      </c>
      <c r="W190" s="7">
        <f>R118*(E118/365) + R119*(E119/365)</f>
        <v>53.9</v>
      </c>
    </row>
    <row r="191" spans="1:24" s="696" customFormat="1">
      <c r="A191" s="696">
        <v>2015</v>
      </c>
      <c r="B191" s="695">
        <f>(K120*($E120/365))+(K121*($E121/365))</f>
        <v>84.109589041095887</v>
      </c>
      <c r="C191" s="695">
        <f>(L120*($E120/365))+(L121*($E121/365))</f>
        <v>15.890410958904111</v>
      </c>
      <c r="D191" s="695">
        <f>(M120*($E120/365))+(M121*($E121/365))</f>
        <v>0</v>
      </c>
      <c r="E191" s="692">
        <f>SUM(B191:D191)</f>
        <v>100</v>
      </c>
      <c r="G191" s="696">
        <v>2015</v>
      </c>
      <c r="H191" s="958">
        <f>(O120/$R120*100*($E120/365))+(O121/$R121*100*($E121/365))</f>
        <v>84.109589041095887</v>
      </c>
      <c r="I191" s="958"/>
      <c r="J191" s="958">
        <f>(P120/$R120*100*($E120/365))+(P121/$R121*100*($E121/365))</f>
        <v>15.890410958904111</v>
      </c>
      <c r="K191" s="958"/>
      <c r="L191" s="958">
        <f>(Q120/$R120*100*($E120/365))+(Q121/$R121*100*($E121/365))</f>
        <v>0</v>
      </c>
      <c r="M191" s="958"/>
      <c r="N191" s="990">
        <f t="shared" si="46"/>
        <v>100</v>
      </c>
      <c r="O191" s="990"/>
      <c r="R191" s="696">
        <v>2015</v>
      </c>
      <c r="S191" s="695">
        <f>(O120*($E120/365))+(O121*($E121/365))</f>
        <v>45.335068493150686</v>
      </c>
      <c r="T191" s="695">
        <f>(P120*($E120/365))+(P121*($E121/365))</f>
        <v>8.6443835616438367</v>
      </c>
      <c r="U191" s="695">
        <f>(Q120*($E120/365))+(Q121*($E121/365))</f>
        <v>0</v>
      </c>
      <c r="W191" s="695">
        <f>R120*(E120/365) + R121*(E121/365)</f>
        <v>53.979452054794521</v>
      </c>
    </row>
    <row r="192" spans="1:24" s="696" customFormat="1">
      <c r="A192" s="696">
        <v>2016</v>
      </c>
      <c r="B192" s="787">
        <f>(K122*($E122/366))+(K123*($E123/366))</f>
        <v>0</v>
      </c>
      <c r="C192" s="787">
        <f>(L122*($E122/366))+(L123*($E123/366))</f>
        <v>100</v>
      </c>
      <c r="D192" s="787">
        <f>(M122*($E122/366))+(M123*($E123/366))</f>
        <v>0</v>
      </c>
      <c r="E192" s="784">
        <f>SUM(B192:D192)</f>
        <v>100</v>
      </c>
      <c r="G192" s="696">
        <v>2016</v>
      </c>
      <c r="H192" s="958">
        <f>(O122/$R122*100*($E122/366))+(O123/$R123*100*($E123/366))</f>
        <v>0</v>
      </c>
      <c r="I192" s="958"/>
      <c r="J192" s="958">
        <f>(P122/$R122*100*($E122/366))+(P123/$R123*100*($E123/366))</f>
        <v>100</v>
      </c>
      <c r="K192" s="958"/>
      <c r="L192" s="958">
        <f>(Q122/$R122*100*($E122/366))+(Q123/$R123*100*($E123/366))</f>
        <v>0</v>
      </c>
      <c r="M192" s="958"/>
      <c r="N192" s="990">
        <f t="shared" si="46"/>
        <v>100</v>
      </c>
      <c r="O192" s="990"/>
      <c r="R192" s="696">
        <v>2016</v>
      </c>
      <c r="S192" s="787">
        <f>(O122*($E122/366))+(O123*($E123/366))</f>
        <v>0</v>
      </c>
      <c r="T192" s="787">
        <f>(P122*($E122/366))+(P123*($E123/366))</f>
        <v>54.4</v>
      </c>
      <c r="U192" s="787">
        <f>(Q122*($E122/366))+(Q123*($E123/366))</f>
        <v>0</v>
      </c>
      <c r="V192" s="788"/>
      <c r="W192" s="787">
        <f>R122*(E122/366) + R123*(E123/366)</f>
        <v>54.4</v>
      </c>
    </row>
    <row r="193" spans="1:23" s="696" customFormat="1">
      <c r="A193" s="912">
        <v>2017</v>
      </c>
      <c r="B193" s="910">
        <f>(K124*($E124/365))+(K125*($E125/365))</f>
        <v>0</v>
      </c>
      <c r="C193" s="910">
        <f t="shared" ref="C193:D193" si="47">(L124*($E124/365))+(L125*($E125/365))</f>
        <v>100</v>
      </c>
      <c r="D193" s="910">
        <f t="shared" si="47"/>
        <v>0</v>
      </c>
      <c r="E193" s="908">
        <f>SUM(B193:D193)</f>
        <v>100</v>
      </c>
      <c r="G193" s="912">
        <v>2017</v>
      </c>
      <c r="H193" s="958">
        <f>(O124/$R124*100*($E124/365))+(O125/$R125*100*($E125/365))</f>
        <v>0</v>
      </c>
      <c r="I193" s="958"/>
      <c r="J193" s="958">
        <f>(P124/$R124*100*($E124/365))+(P125/$R125*100*($E125/365))</f>
        <v>100</v>
      </c>
      <c r="K193" s="958"/>
      <c r="L193" s="958">
        <f>(Q124/$R124*100*($E124/365))+(Q125/$R125*100*($E125/365))</f>
        <v>0</v>
      </c>
      <c r="M193" s="958"/>
      <c r="N193" s="990">
        <f t="shared" si="46"/>
        <v>100</v>
      </c>
      <c r="O193" s="990"/>
      <c r="R193" s="912">
        <v>2017</v>
      </c>
      <c r="S193" s="910">
        <f>(O124*($E124/365))+(O125*($E125/365))</f>
        <v>0</v>
      </c>
      <c r="T193" s="910">
        <f t="shared" ref="T193:U193" si="48">(P124*($E124/365))+(P125*($E125/365))</f>
        <v>54.399999999999991</v>
      </c>
      <c r="U193" s="910">
        <f t="shared" si="48"/>
        <v>0</v>
      </c>
      <c r="V193" s="912"/>
      <c r="W193" s="910">
        <f>R124*(E124/365) + R125*(E125/365)</f>
        <v>54.399999999999991</v>
      </c>
    </row>
    <row r="194" spans="1:23" s="696" customFormat="1">
      <c r="A194" s="696">
        <v>2018</v>
      </c>
      <c r="B194" s="935">
        <f>(K126*($E126/365))+(K127*($E127/365))</f>
        <v>0</v>
      </c>
      <c r="C194" s="935">
        <f>(L126*($E126/365))+(L127*($E127/365))</f>
        <v>100</v>
      </c>
      <c r="D194" s="935">
        <f>(M126*($E126/365))+(M127*($E127/365))</f>
        <v>0</v>
      </c>
      <c r="E194" s="931">
        <f>SUM(B194:D194)</f>
        <v>100</v>
      </c>
      <c r="G194" s="696">
        <v>2018</v>
      </c>
      <c r="H194" s="958">
        <f>(O126/$R126*100*($E126/365))+(O127/$R127*100*($E127/365))</f>
        <v>0</v>
      </c>
      <c r="I194" s="958"/>
      <c r="J194" s="958">
        <f>(P126/$R126*100*($E126/365))+(P127/$R127*100*($E127/365))</f>
        <v>100</v>
      </c>
      <c r="K194" s="958"/>
      <c r="L194" s="958">
        <f>(Q126/$R126*100*($E126/365))+(Q127/$R127*100*($E127/365))</f>
        <v>0</v>
      </c>
      <c r="M194" s="958"/>
      <c r="N194" s="990">
        <f t="shared" si="46"/>
        <v>100</v>
      </c>
      <c r="O194" s="990"/>
      <c r="R194" s="696">
        <v>2018</v>
      </c>
      <c r="S194" s="935">
        <f>(O126*($E126/365))+(O127*($E127/365))</f>
        <v>0</v>
      </c>
      <c r="T194" s="935">
        <f>(P126*($E126/365))+(P127*($E127/365))</f>
        <v>54.4</v>
      </c>
      <c r="U194" s="935">
        <f>(Q126*($E126/365))+(Q127*($E127/365))</f>
        <v>0</v>
      </c>
      <c r="V194" s="939"/>
      <c r="W194" s="935">
        <f>R126*(E126/365) + R127*(E127/365)</f>
        <v>54.4</v>
      </c>
    </row>
    <row r="196" spans="1:23" s="696" customFormat="1">
      <c r="B196" s="695"/>
      <c r="C196" s="695"/>
      <c r="D196" s="695"/>
      <c r="E196" s="692"/>
      <c r="H196" s="958"/>
      <c r="I196" s="958"/>
      <c r="J196" s="958"/>
      <c r="K196" s="958"/>
      <c r="L196" s="958"/>
      <c r="M196" s="958"/>
      <c r="N196" s="990"/>
      <c r="O196" s="990"/>
      <c r="S196" s="695"/>
      <c r="T196" s="695"/>
      <c r="U196" s="695"/>
      <c r="W196" s="695"/>
    </row>
    <row r="197" spans="1:23" s="696" customFormat="1">
      <c r="B197" s="695"/>
      <c r="C197" s="695"/>
      <c r="D197" s="695"/>
      <c r="E197" s="692"/>
      <c r="H197" s="958"/>
      <c r="I197" s="958"/>
      <c r="J197" s="958"/>
      <c r="K197" s="958"/>
      <c r="L197" s="958"/>
      <c r="M197" s="958"/>
      <c r="N197" s="990"/>
      <c r="O197" s="990"/>
      <c r="S197" s="695"/>
      <c r="T197" s="695"/>
      <c r="U197" s="695"/>
      <c r="W197" s="695"/>
    </row>
  </sheetData>
  <mergeCells count="396">
    <mergeCell ref="AT4:AW4"/>
    <mergeCell ref="AX4:BA4"/>
    <mergeCell ref="L184:M184"/>
    <mergeCell ref="L185:M185"/>
    <mergeCell ref="L186:M186"/>
    <mergeCell ref="L187:M187"/>
    <mergeCell ref="N176:O176"/>
    <mergeCell ref="N177:O177"/>
    <mergeCell ref="N178:O178"/>
    <mergeCell ref="N170:O170"/>
    <mergeCell ref="N173:O173"/>
    <mergeCell ref="N174:O174"/>
    <mergeCell ref="N171:O171"/>
    <mergeCell ref="N172:O172"/>
    <mergeCell ref="N175:O175"/>
    <mergeCell ref="N164:O164"/>
    <mergeCell ref="N167:O167"/>
    <mergeCell ref="N168:O168"/>
    <mergeCell ref="N165:O165"/>
    <mergeCell ref="N166:O166"/>
    <mergeCell ref="N169:O169"/>
    <mergeCell ref="N158:O158"/>
    <mergeCell ref="N161:O161"/>
    <mergeCell ref="N162:O162"/>
    <mergeCell ref="L188:M188"/>
    <mergeCell ref="C75:D75"/>
    <mergeCell ref="H141:I141"/>
    <mergeCell ref="H142:I142"/>
    <mergeCell ref="H143:I143"/>
    <mergeCell ref="H144:I144"/>
    <mergeCell ref="L136:M136"/>
    <mergeCell ref="H137:I137"/>
    <mergeCell ref="H138:I138"/>
    <mergeCell ref="H139:I139"/>
    <mergeCell ref="H140:I140"/>
    <mergeCell ref="L143:M143"/>
    <mergeCell ref="H136:I136"/>
    <mergeCell ref="J136:K136"/>
    <mergeCell ref="H145:I145"/>
    <mergeCell ref="H146:I146"/>
    <mergeCell ref="H147:I147"/>
    <mergeCell ref="H148:I148"/>
    <mergeCell ref="J142:K142"/>
    <mergeCell ref="J143:K143"/>
    <mergeCell ref="J144:K144"/>
    <mergeCell ref="J145:K145"/>
    <mergeCell ref="H149:I149"/>
    <mergeCell ref="H150:I150"/>
    <mergeCell ref="N188:O188"/>
    <mergeCell ref="N179:O179"/>
    <mergeCell ref="N180:O180"/>
    <mergeCell ref="N181:O181"/>
    <mergeCell ref="N182:O182"/>
    <mergeCell ref="N183:O183"/>
    <mergeCell ref="N184:O184"/>
    <mergeCell ref="N185:O185"/>
    <mergeCell ref="N186:O186"/>
    <mergeCell ref="N187:O187"/>
    <mergeCell ref="N137:O137"/>
    <mergeCell ref="N145:O145"/>
    <mergeCell ref="N159:O159"/>
    <mergeCell ref="N160:O160"/>
    <mergeCell ref="N163:O163"/>
    <mergeCell ref="N152:O152"/>
    <mergeCell ref="N155:O155"/>
    <mergeCell ref="N156:O156"/>
    <mergeCell ref="N153:O153"/>
    <mergeCell ref="N154:O154"/>
    <mergeCell ref="N157:O157"/>
    <mergeCell ref="J146:K146"/>
    <mergeCell ref="J147:K147"/>
    <mergeCell ref="J148:K148"/>
    <mergeCell ref="J149:K149"/>
    <mergeCell ref="H154:I154"/>
    <mergeCell ref="H155:I155"/>
    <mergeCell ref="N140:O140"/>
    <mergeCell ref="N141:O141"/>
    <mergeCell ref="N144:O144"/>
    <mergeCell ref="N142:O142"/>
    <mergeCell ref="N143:O143"/>
    <mergeCell ref="H159:I159"/>
    <mergeCell ref="H160:I160"/>
    <mergeCell ref="H161:I161"/>
    <mergeCell ref="H162:I162"/>
    <mergeCell ref="H163:I163"/>
    <mergeCell ref="H164:I164"/>
    <mergeCell ref="H151:I151"/>
    <mergeCell ref="H152:I152"/>
    <mergeCell ref="H153:I153"/>
    <mergeCell ref="G3:M3"/>
    <mergeCell ref="O3:Q3"/>
    <mergeCell ref="L168:M168"/>
    <mergeCell ref="L169:M169"/>
    <mergeCell ref="L134:M134"/>
    <mergeCell ref="N134:O134"/>
    <mergeCell ref="L159:M159"/>
    <mergeCell ref="L160:M160"/>
    <mergeCell ref="L161:M161"/>
    <mergeCell ref="L155:M155"/>
    <mergeCell ref="H135:I135"/>
    <mergeCell ref="J135:K135"/>
    <mergeCell ref="L151:M151"/>
    <mergeCell ref="L137:M137"/>
    <mergeCell ref="L138:M138"/>
    <mergeCell ref="L139:M139"/>
    <mergeCell ref="L140:M140"/>
    <mergeCell ref="L141:M141"/>
    <mergeCell ref="L142:M142"/>
    <mergeCell ref="L144:M144"/>
    <mergeCell ref="L145:M145"/>
    <mergeCell ref="L165:M165"/>
    <mergeCell ref="L166:M166"/>
    <mergeCell ref="L156:M156"/>
    <mergeCell ref="A4:A5"/>
    <mergeCell ref="B4:B5"/>
    <mergeCell ref="C4:D5"/>
    <mergeCell ref="E4:E5"/>
    <mergeCell ref="L163:M163"/>
    <mergeCell ref="L162:M162"/>
    <mergeCell ref="L152:M152"/>
    <mergeCell ref="L153:M153"/>
    <mergeCell ref="L154:M154"/>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49:M149"/>
    <mergeCell ref="R132:W132"/>
    <mergeCell ref="L178:M178"/>
    <mergeCell ref="L167:M167"/>
    <mergeCell ref="L170:M170"/>
    <mergeCell ref="T4:T5"/>
    <mergeCell ref="Z4:AC4"/>
    <mergeCell ref="AD4:AG4"/>
    <mergeCell ref="L135:M135"/>
    <mergeCell ref="N135:O135"/>
    <mergeCell ref="L150:M150"/>
    <mergeCell ref="L157:M157"/>
    <mergeCell ref="L158:M158"/>
    <mergeCell ref="L146:M146"/>
    <mergeCell ref="L147:M147"/>
    <mergeCell ref="L148:M148"/>
    <mergeCell ref="N146:O146"/>
    <mergeCell ref="N149:O149"/>
    <mergeCell ref="N150:O150"/>
    <mergeCell ref="N151:O151"/>
    <mergeCell ref="N147:O147"/>
    <mergeCell ref="N148:O148"/>
    <mergeCell ref="N136:O136"/>
    <mergeCell ref="N138:O138"/>
    <mergeCell ref="N139:O139"/>
    <mergeCell ref="AL4:AO4"/>
    <mergeCell ref="U4:U5"/>
    <mergeCell ref="V4:Y4"/>
    <mergeCell ref="AP4:AS4"/>
    <mergeCell ref="C8:D8"/>
    <mergeCell ref="K4:N4"/>
    <mergeCell ref="O4:R4"/>
    <mergeCell ref="S4:S5"/>
    <mergeCell ref="C13:D13"/>
    <mergeCell ref="AH4:AK4"/>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6:D76"/>
    <mergeCell ref="C77:D77"/>
    <mergeCell ref="C73:D73"/>
    <mergeCell ref="C74:D74"/>
    <mergeCell ref="C78:D78"/>
    <mergeCell ref="C79:D79"/>
    <mergeCell ref="C82:D82"/>
    <mergeCell ref="C83:D83"/>
    <mergeCell ref="C80:D80"/>
    <mergeCell ref="C81:D81"/>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06:D106"/>
    <mergeCell ref="C107:D107"/>
    <mergeCell ref="C108:D108"/>
    <mergeCell ref="C109:D109"/>
    <mergeCell ref="C110:D110"/>
    <mergeCell ref="C111:D111"/>
    <mergeCell ref="C114:D114"/>
    <mergeCell ref="C115:D115"/>
    <mergeCell ref="H134:I134"/>
    <mergeCell ref="J134:K134"/>
    <mergeCell ref="C116:D116"/>
    <mergeCell ref="C117:D117"/>
    <mergeCell ref="H189:I189"/>
    <mergeCell ref="J189:K189"/>
    <mergeCell ref="L171:M171"/>
    <mergeCell ref="L174:M174"/>
    <mergeCell ref="L175:M175"/>
    <mergeCell ref="L176:M176"/>
    <mergeCell ref="L177:M177"/>
    <mergeCell ref="L173:M173"/>
    <mergeCell ref="L183:M183"/>
    <mergeCell ref="L179:M179"/>
    <mergeCell ref="L180:M180"/>
    <mergeCell ref="L181:M181"/>
    <mergeCell ref="L182:M182"/>
    <mergeCell ref="J187:K187"/>
    <mergeCell ref="J182:K182"/>
    <mergeCell ref="J183:K183"/>
    <mergeCell ref="J184:K184"/>
    <mergeCell ref="J185:K185"/>
    <mergeCell ref="C118:D118"/>
    <mergeCell ref="C119:D119"/>
    <mergeCell ref="N190:O190"/>
    <mergeCell ref="L189:M189"/>
    <mergeCell ref="N189:O189"/>
    <mergeCell ref="L172:M172"/>
    <mergeCell ref="L164:M164"/>
    <mergeCell ref="J186:K186"/>
    <mergeCell ref="J188:K188"/>
    <mergeCell ref="J164:K164"/>
    <mergeCell ref="J165:K165"/>
    <mergeCell ref="J166:K166"/>
    <mergeCell ref="J167:K167"/>
    <mergeCell ref="J180:K180"/>
    <mergeCell ref="J181:K181"/>
    <mergeCell ref="J170:K170"/>
    <mergeCell ref="J171:K171"/>
    <mergeCell ref="J172:K172"/>
    <mergeCell ref="J173:K173"/>
    <mergeCell ref="J174:K174"/>
    <mergeCell ref="J175:K175"/>
    <mergeCell ref="J176:K176"/>
    <mergeCell ref="J177:K177"/>
    <mergeCell ref="J178:K178"/>
    <mergeCell ref="C120:D120"/>
    <mergeCell ref="C121:D121"/>
    <mergeCell ref="H191:I191"/>
    <mergeCell ref="J191:K191"/>
    <mergeCell ref="L191:M191"/>
    <mergeCell ref="N191:O191"/>
    <mergeCell ref="H190:I190"/>
    <mergeCell ref="J190:K190"/>
    <mergeCell ref="L190:M190"/>
    <mergeCell ref="J179:K179"/>
    <mergeCell ref="J168:K168"/>
    <mergeCell ref="J169:K169"/>
    <mergeCell ref="H185:I185"/>
    <mergeCell ref="H186:I186"/>
    <mergeCell ref="H187:I187"/>
    <mergeCell ref="H182:I182"/>
    <mergeCell ref="H183:I183"/>
    <mergeCell ref="H173:I173"/>
    <mergeCell ref="H174:I174"/>
    <mergeCell ref="H175:I175"/>
    <mergeCell ref="H176:I176"/>
    <mergeCell ref="H188:I188"/>
    <mergeCell ref="J137:K137"/>
    <mergeCell ref="J138:K138"/>
    <mergeCell ref="H197:I197"/>
    <mergeCell ref="J197:K197"/>
    <mergeCell ref="L197:M197"/>
    <mergeCell ref="N197:O197"/>
    <mergeCell ref="H193:I193"/>
    <mergeCell ref="J193:K193"/>
    <mergeCell ref="L193:M193"/>
    <mergeCell ref="N193:O193"/>
    <mergeCell ref="H194:I194"/>
    <mergeCell ref="J194:K194"/>
    <mergeCell ref="L194:M194"/>
    <mergeCell ref="N194:O194"/>
    <mergeCell ref="N192:O192"/>
    <mergeCell ref="H196:I196"/>
    <mergeCell ref="J196:K196"/>
    <mergeCell ref="L196:M196"/>
    <mergeCell ref="N196:O196"/>
    <mergeCell ref="J139:K139"/>
    <mergeCell ref="J140:K140"/>
    <mergeCell ref="J141:K141"/>
    <mergeCell ref="H184:I184"/>
    <mergeCell ref="J150:K150"/>
    <mergeCell ref="J151:K151"/>
    <mergeCell ref="J152:K152"/>
    <mergeCell ref="J153:K153"/>
    <mergeCell ref="J154:K154"/>
    <mergeCell ref="J155:K155"/>
    <mergeCell ref="J156:K156"/>
    <mergeCell ref="J157:K157"/>
    <mergeCell ref="J158:K158"/>
    <mergeCell ref="J159:K159"/>
    <mergeCell ref="J160:K160"/>
    <mergeCell ref="J161:K161"/>
    <mergeCell ref="J162:K162"/>
    <mergeCell ref="J163:K163"/>
    <mergeCell ref="H179:I179"/>
    <mergeCell ref="C126:D126"/>
    <mergeCell ref="C127:D127"/>
    <mergeCell ref="C124:D124"/>
    <mergeCell ref="C125:D125"/>
    <mergeCell ref="C122:D122"/>
    <mergeCell ref="C123:D123"/>
    <mergeCell ref="H192:I192"/>
    <mergeCell ref="J192:K192"/>
    <mergeCell ref="L192:M192"/>
    <mergeCell ref="H180:I180"/>
    <mergeCell ref="H181:I181"/>
    <mergeCell ref="H165:I165"/>
    <mergeCell ref="H166:I166"/>
    <mergeCell ref="H177:I177"/>
    <mergeCell ref="H178:I178"/>
    <mergeCell ref="H167:I167"/>
    <mergeCell ref="H168:I168"/>
    <mergeCell ref="H169:I169"/>
    <mergeCell ref="H170:I170"/>
    <mergeCell ref="H171:I171"/>
    <mergeCell ref="H172:I172"/>
    <mergeCell ref="H156:I156"/>
    <mergeCell ref="H157:I157"/>
    <mergeCell ref="H158:I15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86"/>
  <sheetViews>
    <sheetView zoomScale="212" zoomScaleNormal="120" workbookViewId="0">
      <pane xSplit="1" ySplit="5" topLeftCell="B46" activePane="bottomRight" state="frozen"/>
      <selection pane="topRight" activeCell="B1" sqref="B1"/>
      <selection pane="bottomLeft" activeCell="A6" sqref="A6"/>
      <selection pane="bottomRight" activeCell="W85" sqref="W85"/>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139</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73">
        <v>2000</v>
      </c>
      <c r="C6" s="1005" t="s">
        <v>1277</v>
      </c>
      <c r="D6" s="1005"/>
      <c r="E6" s="73">
        <v>26</v>
      </c>
      <c r="G6" s="123"/>
      <c r="J6" s="134"/>
      <c r="K6" s="92"/>
      <c r="L6" s="92"/>
      <c r="M6" s="92"/>
      <c r="N6" s="125"/>
      <c r="O6" s="91"/>
      <c r="P6" s="92"/>
      <c r="Q6" s="92"/>
      <c r="R6" s="93"/>
      <c r="T6" s="81"/>
      <c r="V6" s="82"/>
      <c r="Y6" s="83"/>
      <c r="AD6" s="82"/>
      <c r="AG6" s="83"/>
      <c r="AL6" s="82"/>
      <c r="AO6" s="83"/>
      <c r="AP6" s="82"/>
      <c r="AS6" s="83"/>
      <c r="AW6" s="83"/>
      <c r="BA6" s="84"/>
    </row>
    <row r="7" spans="1:53" s="334" customFormat="1">
      <c r="A7" s="334">
        <v>2000</v>
      </c>
      <c r="B7" s="335">
        <v>36552</v>
      </c>
      <c r="C7" s="992" t="s">
        <v>1191</v>
      </c>
      <c r="D7" s="992"/>
      <c r="E7" s="334">
        <f>366-26</f>
        <v>340</v>
      </c>
      <c r="F7" s="334" t="s">
        <v>345</v>
      </c>
      <c r="G7" s="419">
        <v>9</v>
      </c>
      <c r="H7" s="334">
        <v>3</v>
      </c>
      <c r="I7" s="334">
        <v>11</v>
      </c>
      <c r="J7" s="435">
        <v>24</v>
      </c>
      <c r="K7" s="384">
        <f t="shared" ref="K7:K37" si="0">G7/J7*100</f>
        <v>37.5</v>
      </c>
      <c r="L7" s="384">
        <f t="shared" ref="L7:L37" si="1">H7/J7*100</f>
        <v>12.5</v>
      </c>
      <c r="M7" s="384">
        <f t="shared" ref="M7:M37" si="2">I7/J7*100</f>
        <v>45.833333333333329</v>
      </c>
      <c r="N7" s="421">
        <f t="shared" ref="N7:N37" si="3">SUM(K7:M7)</f>
        <v>95.833333333333329</v>
      </c>
      <c r="O7" s="383">
        <v>18.57</v>
      </c>
      <c r="P7" s="384">
        <v>10.6</v>
      </c>
      <c r="Q7" s="384">
        <v>30.46</v>
      </c>
      <c r="R7" s="385">
        <f t="shared" ref="R7:R39" si="4">SUM(O7:Q7)</f>
        <v>59.63</v>
      </c>
      <c r="S7" s="334">
        <v>2</v>
      </c>
      <c r="T7" s="342">
        <v>36528</v>
      </c>
      <c r="U7" s="335">
        <v>36552</v>
      </c>
      <c r="V7" s="343" t="s">
        <v>112</v>
      </c>
      <c r="W7" s="334" t="s">
        <v>20</v>
      </c>
      <c r="X7" s="334" t="s">
        <v>12</v>
      </c>
      <c r="Y7" s="446">
        <v>30.46</v>
      </c>
      <c r="Z7" s="334" t="s">
        <v>1002</v>
      </c>
      <c r="AA7" s="334" t="s">
        <v>337</v>
      </c>
      <c r="AB7" s="334" t="s">
        <v>11</v>
      </c>
      <c r="AC7" s="446">
        <v>14.6</v>
      </c>
      <c r="AD7" s="343" t="s">
        <v>1003</v>
      </c>
      <c r="AE7" s="334" t="s">
        <v>880</v>
      </c>
      <c r="AF7" s="334" t="s">
        <v>18</v>
      </c>
      <c r="AG7" s="446">
        <v>10.6</v>
      </c>
      <c r="AH7" s="334" t="s">
        <v>1004</v>
      </c>
      <c r="AI7" s="334" t="s">
        <v>337</v>
      </c>
      <c r="AJ7" s="334" t="s">
        <v>11</v>
      </c>
      <c r="AK7" s="446">
        <v>2.65</v>
      </c>
      <c r="AL7" s="343" t="s">
        <v>1005</v>
      </c>
      <c r="AM7" s="334" t="s">
        <v>22</v>
      </c>
      <c r="AN7" s="334" t="s">
        <v>11</v>
      </c>
      <c r="AO7" s="446">
        <v>1.32</v>
      </c>
      <c r="AP7" s="343"/>
      <c r="AS7" s="344"/>
      <c r="AW7" s="344"/>
      <c r="BA7" s="345"/>
    </row>
    <row r="8" spans="1:53" s="334" customFormat="1">
      <c r="A8" s="334">
        <v>2001</v>
      </c>
      <c r="B8" s="335"/>
      <c r="C8" s="992" t="s">
        <v>1191</v>
      </c>
      <c r="D8" s="992"/>
      <c r="E8" s="334">
        <v>270</v>
      </c>
      <c r="G8" s="419">
        <v>9</v>
      </c>
      <c r="H8" s="334">
        <v>3</v>
      </c>
      <c r="I8" s="334">
        <v>11</v>
      </c>
      <c r="J8" s="435">
        <v>24</v>
      </c>
      <c r="K8" s="384">
        <f t="shared" si="0"/>
        <v>37.5</v>
      </c>
      <c r="L8" s="384">
        <f t="shared" si="1"/>
        <v>12.5</v>
      </c>
      <c r="M8" s="384">
        <f t="shared" si="2"/>
        <v>45.833333333333329</v>
      </c>
      <c r="N8" s="421">
        <f t="shared" si="3"/>
        <v>95.833333333333329</v>
      </c>
      <c r="O8" s="383">
        <v>18.57</v>
      </c>
      <c r="P8" s="384">
        <v>10.6</v>
      </c>
      <c r="Q8" s="384">
        <v>30.46</v>
      </c>
      <c r="R8" s="385">
        <f t="shared" si="4"/>
        <v>59.63</v>
      </c>
      <c r="S8" s="334">
        <v>2</v>
      </c>
      <c r="T8" s="357"/>
      <c r="V8" s="343" t="s">
        <v>112</v>
      </c>
      <c r="W8" s="334" t="s">
        <v>20</v>
      </c>
      <c r="X8" s="334" t="s">
        <v>12</v>
      </c>
      <c r="Y8" s="446">
        <v>30.46</v>
      </c>
      <c r="Z8" s="334" t="s">
        <v>1002</v>
      </c>
      <c r="AA8" s="334" t="s">
        <v>337</v>
      </c>
      <c r="AB8" s="334" t="s">
        <v>11</v>
      </c>
      <c r="AC8" s="384">
        <v>14.6</v>
      </c>
      <c r="AD8" s="343" t="s">
        <v>1003</v>
      </c>
      <c r="AE8" s="334" t="s">
        <v>880</v>
      </c>
      <c r="AF8" s="334" t="s">
        <v>18</v>
      </c>
      <c r="AG8" s="446">
        <v>10.6</v>
      </c>
      <c r="AH8" s="334" t="s">
        <v>1004</v>
      </c>
      <c r="AI8" s="334" t="s">
        <v>337</v>
      </c>
      <c r="AJ8" s="334" t="s">
        <v>11</v>
      </c>
      <c r="AK8" s="384">
        <v>2.65</v>
      </c>
      <c r="AL8" s="343" t="s">
        <v>1005</v>
      </c>
      <c r="AM8" s="334" t="s">
        <v>22</v>
      </c>
      <c r="AN8" s="334" t="s">
        <v>11</v>
      </c>
      <c r="AO8" s="446">
        <v>1.32</v>
      </c>
      <c r="AP8" s="343"/>
      <c r="AS8" s="344"/>
      <c r="AW8" s="344"/>
      <c r="BA8" s="345"/>
    </row>
    <row r="9" spans="1:53" s="73" customFormat="1">
      <c r="A9" s="73">
        <v>2001</v>
      </c>
      <c r="B9" s="133">
        <v>37162</v>
      </c>
      <c r="C9" s="988" t="s">
        <v>1192</v>
      </c>
      <c r="D9" s="988"/>
      <c r="E9" s="73">
        <v>55</v>
      </c>
      <c r="F9" s="73">
        <v>4</v>
      </c>
      <c r="G9" s="123">
        <v>8</v>
      </c>
      <c r="H9" s="73">
        <v>3</v>
      </c>
      <c r="I9" s="73">
        <v>12</v>
      </c>
      <c r="J9" s="134">
        <v>24</v>
      </c>
      <c r="K9" s="92">
        <f t="shared" si="0"/>
        <v>33.333333333333329</v>
      </c>
      <c r="L9" s="92">
        <f t="shared" si="1"/>
        <v>12.5</v>
      </c>
      <c r="M9" s="92">
        <f t="shared" si="2"/>
        <v>50</v>
      </c>
      <c r="N9" s="125">
        <f t="shared" si="3"/>
        <v>95.833333333333329</v>
      </c>
      <c r="O9" s="91">
        <v>15.92</v>
      </c>
      <c r="P9" s="92">
        <v>10.6</v>
      </c>
      <c r="Q9" s="92">
        <v>30.46</v>
      </c>
      <c r="R9" s="93">
        <f t="shared" si="4"/>
        <v>56.980000000000004</v>
      </c>
      <c r="S9" s="73">
        <v>3</v>
      </c>
      <c r="T9" s="81"/>
      <c r="U9" s="133">
        <v>37162</v>
      </c>
      <c r="V9" s="82" t="s">
        <v>112</v>
      </c>
      <c r="W9" s="73" t="s">
        <v>20</v>
      </c>
      <c r="X9" s="73" t="s">
        <v>12</v>
      </c>
      <c r="Y9" s="155">
        <v>30.46</v>
      </c>
      <c r="Z9" s="73" t="s">
        <v>1002</v>
      </c>
      <c r="AA9" s="73" t="s">
        <v>337</v>
      </c>
      <c r="AB9" s="73" t="s">
        <v>11</v>
      </c>
      <c r="AC9" s="92">
        <v>14.6</v>
      </c>
      <c r="AD9" s="82" t="s">
        <v>1003</v>
      </c>
      <c r="AE9" s="73" t="s">
        <v>880</v>
      </c>
      <c r="AF9" s="73" t="s">
        <v>18</v>
      </c>
      <c r="AG9" s="155">
        <v>10.6</v>
      </c>
      <c r="AH9" s="82" t="s">
        <v>1005</v>
      </c>
      <c r="AI9" s="73" t="s">
        <v>22</v>
      </c>
      <c r="AJ9" s="73" t="s">
        <v>11</v>
      </c>
      <c r="AK9" s="92">
        <v>1.32</v>
      </c>
      <c r="AL9" s="82"/>
      <c r="AO9" s="155"/>
      <c r="AP9" s="82"/>
      <c r="AS9" s="83"/>
      <c r="AW9" s="83"/>
      <c r="BA9" s="84"/>
    </row>
    <row r="10" spans="1:53" s="73" customFormat="1">
      <c r="A10" s="73">
        <v>2001</v>
      </c>
      <c r="B10" s="156">
        <v>37217</v>
      </c>
      <c r="C10" s="988" t="s">
        <v>1192</v>
      </c>
      <c r="D10" s="988"/>
      <c r="E10" s="73">
        <f xml:space="preserve"> 365-E9-E8</f>
        <v>40</v>
      </c>
      <c r="F10" s="129">
        <v>0</v>
      </c>
      <c r="G10" s="123">
        <v>9</v>
      </c>
      <c r="H10" s="73">
        <v>3</v>
      </c>
      <c r="I10" s="73">
        <v>12</v>
      </c>
      <c r="J10" s="134">
        <v>24</v>
      </c>
      <c r="K10" s="92">
        <f t="shared" si="0"/>
        <v>37.5</v>
      </c>
      <c r="L10" s="92">
        <f t="shared" si="1"/>
        <v>12.5</v>
      </c>
      <c r="M10" s="92">
        <f t="shared" si="2"/>
        <v>50</v>
      </c>
      <c r="N10" s="125">
        <f t="shared" si="3"/>
        <v>100</v>
      </c>
      <c r="O10" s="91">
        <v>15.92</v>
      </c>
      <c r="P10" s="92">
        <v>10.6</v>
      </c>
      <c r="Q10" s="92">
        <v>30.46</v>
      </c>
      <c r="R10" s="93">
        <f t="shared" si="4"/>
        <v>56.980000000000004</v>
      </c>
      <c r="S10" s="73">
        <v>3</v>
      </c>
      <c r="T10" s="81"/>
      <c r="V10" s="82" t="s">
        <v>112</v>
      </c>
      <c r="W10" s="73" t="s">
        <v>20</v>
      </c>
      <c r="X10" s="73" t="s">
        <v>12</v>
      </c>
      <c r="Y10" s="155">
        <v>30.46</v>
      </c>
      <c r="Z10" s="73" t="s">
        <v>1002</v>
      </c>
      <c r="AA10" s="73" t="s">
        <v>337</v>
      </c>
      <c r="AB10" s="73" t="s">
        <v>11</v>
      </c>
      <c r="AC10" s="92">
        <v>14.6</v>
      </c>
      <c r="AD10" s="82" t="s">
        <v>1003</v>
      </c>
      <c r="AE10" s="73" t="s">
        <v>880</v>
      </c>
      <c r="AF10" s="73" t="s">
        <v>18</v>
      </c>
      <c r="AG10" s="155">
        <v>10.6</v>
      </c>
      <c r="AH10" s="82" t="s">
        <v>1005</v>
      </c>
      <c r="AI10" s="73" t="s">
        <v>22</v>
      </c>
      <c r="AJ10" s="73" t="s">
        <v>11</v>
      </c>
      <c r="AK10" s="92">
        <v>1.32</v>
      </c>
      <c r="AL10" s="82"/>
      <c r="AO10" s="155"/>
      <c r="AP10" s="82"/>
      <c r="AS10" s="83"/>
      <c r="AW10" s="83"/>
      <c r="BA10" s="84"/>
    </row>
    <row r="11" spans="1:53" s="73" customFormat="1">
      <c r="A11" s="73">
        <v>2002</v>
      </c>
      <c r="B11" s="121"/>
      <c r="C11" s="988" t="s">
        <v>1192</v>
      </c>
      <c r="D11" s="988"/>
      <c r="E11" s="73">
        <v>210</v>
      </c>
      <c r="G11" s="123">
        <v>9</v>
      </c>
      <c r="H11" s="73">
        <v>3</v>
      </c>
      <c r="I11" s="73">
        <v>12</v>
      </c>
      <c r="J11" s="134">
        <v>24</v>
      </c>
      <c r="K11" s="92">
        <f t="shared" si="0"/>
        <v>37.5</v>
      </c>
      <c r="L11" s="92">
        <f t="shared" si="1"/>
        <v>12.5</v>
      </c>
      <c r="M11" s="92">
        <f t="shared" si="2"/>
        <v>50</v>
      </c>
      <c r="N11" s="125">
        <f t="shared" si="3"/>
        <v>100</v>
      </c>
      <c r="O11" s="91">
        <v>15.92</v>
      </c>
      <c r="P11" s="92">
        <v>10.6</v>
      </c>
      <c r="Q11" s="92">
        <v>30.46</v>
      </c>
      <c r="R11" s="93">
        <f t="shared" si="4"/>
        <v>56.980000000000004</v>
      </c>
      <c r="S11" s="73">
        <v>3</v>
      </c>
      <c r="T11" s="81"/>
      <c r="V11" s="82" t="s">
        <v>112</v>
      </c>
      <c r="W11" s="73" t="s">
        <v>20</v>
      </c>
      <c r="X11" s="73" t="s">
        <v>12</v>
      </c>
      <c r="Y11" s="155">
        <v>30.46</v>
      </c>
      <c r="Z11" s="73" t="s">
        <v>1002</v>
      </c>
      <c r="AA11" s="73" t="s">
        <v>337</v>
      </c>
      <c r="AB11" s="73" t="s">
        <v>11</v>
      </c>
      <c r="AC11" s="92">
        <v>14.6</v>
      </c>
      <c r="AD11" s="82" t="s">
        <v>1003</v>
      </c>
      <c r="AE11" s="73" t="s">
        <v>880</v>
      </c>
      <c r="AF11" s="73" t="s">
        <v>18</v>
      </c>
      <c r="AG11" s="155">
        <v>10.6</v>
      </c>
      <c r="AH11" s="82" t="s">
        <v>1005</v>
      </c>
      <c r="AI11" s="73" t="s">
        <v>22</v>
      </c>
      <c r="AJ11" s="73" t="s">
        <v>11</v>
      </c>
      <c r="AK11" s="92">
        <v>1.32</v>
      </c>
      <c r="AL11" s="82"/>
      <c r="AO11" s="155"/>
      <c r="AP11" s="82"/>
      <c r="AS11" s="83"/>
      <c r="AW11" s="83"/>
      <c r="BA11" s="84"/>
    </row>
    <row r="12" spans="1:53" s="334" customFormat="1">
      <c r="A12" s="334">
        <v>2002</v>
      </c>
      <c r="B12" s="335">
        <v>37467</v>
      </c>
      <c r="C12" s="992" t="s">
        <v>1193</v>
      </c>
      <c r="D12" s="992"/>
      <c r="E12" s="334">
        <f xml:space="preserve"> 365-E11</f>
        <v>155</v>
      </c>
      <c r="F12" s="334">
        <v>4</v>
      </c>
      <c r="G12" s="419">
        <v>5</v>
      </c>
      <c r="H12" s="334">
        <v>4</v>
      </c>
      <c r="I12" s="334">
        <v>15</v>
      </c>
      <c r="J12" s="435">
        <v>24</v>
      </c>
      <c r="K12" s="384">
        <f t="shared" si="0"/>
        <v>20.833333333333336</v>
      </c>
      <c r="L12" s="384">
        <f t="shared" si="1"/>
        <v>16.666666666666664</v>
      </c>
      <c r="M12" s="384">
        <f t="shared" si="2"/>
        <v>62.5</v>
      </c>
      <c r="N12" s="421">
        <f t="shared" si="3"/>
        <v>100</v>
      </c>
      <c r="O12" s="383">
        <v>7.28</v>
      </c>
      <c r="P12" s="384">
        <v>10.6</v>
      </c>
      <c r="Q12" s="384">
        <v>30.46</v>
      </c>
      <c r="R12" s="385">
        <f t="shared" si="4"/>
        <v>48.34</v>
      </c>
      <c r="S12" s="334">
        <v>5</v>
      </c>
      <c r="T12" s="357"/>
      <c r="U12" s="335">
        <v>37467</v>
      </c>
      <c r="V12" s="343" t="s">
        <v>112</v>
      </c>
      <c r="W12" s="334" t="s">
        <v>20</v>
      </c>
      <c r="X12" s="334" t="s">
        <v>12</v>
      </c>
      <c r="Y12" s="446">
        <v>30.46</v>
      </c>
      <c r="Z12" s="334" t="s">
        <v>1006</v>
      </c>
      <c r="AA12" s="334" t="s">
        <v>337</v>
      </c>
      <c r="AB12" s="334" t="s">
        <v>11</v>
      </c>
      <c r="AC12" s="384">
        <v>5.96</v>
      </c>
      <c r="AD12" s="343" t="s">
        <v>1003</v>
      </c>
      <c r="AE12" s="334" t="s">
        <v>880</v>
      </c>
      <c r="AF12" s="334" t="s">
        <v>18</v>
      </c>
      <c r="AG12" s="446">
        <v>10.6</v>
      </c>
      <c r="AH12" s="343" t="s">
        <v>1005</v>
      </c>
      <c r="AI12" s="334" t="s">
        <v>22</v>
      </c>
      <c r="AJ12" s="334" t="s">
        <v>11</v>
      </c>
      <c r="AK12" s="384">
        <v>1.32</v>
      </c>
      <c r="AL12" s="343"/>
      <c r="AO12" s="446"/>
      <c r="AP12" s="343"/>
      <c r="AS12" s="344"/>
      <c r="AW12" s="344"/>
      <c r="BA12" s="345"/>
    </row>
    <row r="13" spans="1:53" s="334" customFormat="1">
      <c r="A13" s="334">
        <v>2003</v>
      </c>
      <c r="B13" s="335"/>
      <c r="C13" s="992" t="s">
        <v>1193</v>
      </c>
      <c r="D13" s="992"/>
      <c r="E13" s="334">
        <v>198</v>
      </c>
      <c r="G13" s="419">
        <v>5</v>
      </c>
      <c r="H13" s="334">
        <v>4</v>
      </c>
      <c r="I13" s="334">
        <v>15</v>
      </c>
      <c r="J13" s="435">
        <v>24</v>
      </c>
      <c r="K13" s="384">
        <f t="shared" si="0"/>
        <v>20.833333333333336</v>
      </c>
      <c r="L13" s="384">
        <f t="shared" si="1"/>
        <v>16.666666666666664</v>
      </c>
      <c r="M13" s="384">
        <f t="shared" si="2"/>
        <v>62.5</v>
      </c>
      <c r="N13" s="421">
        <f t="shared" si="3"/>
        <v>100</v>
      </c>
      <c r="O13" s="383">
        <v>7.28</v>
      </c>
      <c r="P13" s="384">
        <v>10.6</v>
      </c>
      <c r="Q13" s="384">
        <v>30.46</v>
      </c>
      <c r="R13" s="385">
        <f t="shared" si="4"/>
        <v>48.34</v>
      </c>
      <c r="S13" s="334">
        <v>5</v>
      </c>
      <c r="T13" s="357"/>
      <c r="V13" s="343" t="s">
        <v>112</v>
      </c>
      <c r="W13" s="334" t="s">
        <v>20</v>
      </c>
      <c r="X13" s="334" t="s">
        <v>12</v>
      </c>
      <c r="Y13" s="446">
        <v>30.46</v>
      </c>
      <c r="Z13" s="334" t="s">
        <v>1006</v>
      </c>
      <c r="AA13" s="334" t="s">
        <v>337</v>
      </c>
      <c r="AB13" s="334" t="s">
        <v>11</v>
      </c>
      <c r="AC13" s="384">
        <v>5.96</v>
      </c>
      <c r="AD13" s="343" t="s">
        <v>1003</v>
      </c>
      <c r="AE13" s="334" t="s">
        <v>880</v>
      </c>
      <c r="AF13" s="334" t="s">
        <v>18</v>
      </c>
      <c r="AG13" s="446">
        <v>10.6</v>
      </c>
      <c r="AH13" s="334" t="s">
        <v>1005</v>
      </c>
      <c r="AI13" s="334" t="s">
        <v>22</v>
      </c>
      <c r="AJ13" s="334" t="s">
        <v>11</v>
      </c>
      <c r="AK13" s="384">
        <v>1.32</v>
      </c>
      <c r="AL13" s="343"/>
      <c r="AO13" s="446"/>
      <c r="AP13" s="343"/>
      <c r="AS13" s="344"/>
      <c r="AW13" s="344"/>
      <c r="BA13" s="345"/>
    </row>
    <row r="14" spans="1:53" s="73" customFormat="1">
      <c r="A14" s="73">
        <v>2003</v>
      </c>
      <c r="B14" s="121">
        <v>37820</v>
      </c>
      <c r="C14" s="988" t="s">
        <v>1194</v>
      </c>
      <c r="D14" s="988"/>
      <c r="E14" s="73">
        <v>158</v>
      </c>
      <c r="F14" s="73">
        <v>7</v>
      </c>
      <c r="G14" s="123">
        <v>5</v>
      </c>
      <c r="H14" s="73">
        <v>4</v>
      </c>
      <c r="I14" s="73">
        <v>15</v>
      </c>
      <c r="J14" s="134">
        <v>24</v>
      </c>
      <c r="K14" s="92">
        <f t="shared" si="0"/>
        <v>20.833333333333336</v>
      </c>
      <c r="L14" s="92">
        <f t="shared" si="1"/>
        <v>16.666666666666664</v>
      </c>
      <c r="M14" s="92">
        <f t="shared" si="2"/>
        <v>62.5</v>
      </c>
      <c r="N14" s="125">
        <f t="shared" si="3"/>
        <v>100</v>
      </c>
      <c r="O14" s="91">
        <v>9.93</v>
      </c>
      <c r="P14" s="92">
        <v>10.6</v>
      </c>
      <c r="Q14" s="92">
        <v>30.46</v>
      </c>
      <c r="R14" s="93">
        <f t="shared" si="4"/>
        <v>50.99</v>
      </c>
      <c r="S14" s="73">
        <v>2</v>
      </c>
      <c r="T14" s="81"/>
      <c r="U14" s="121">
        <v>37820</v>
      </c>
      <c r="V14" s="82" t="s">
        <v>112</v>
      </c>
      <c r="W14" s="73" t="s">
        <v>20</v>
      </c>
      <c r="X14" s="73" t="s">
        <v>12</v>
      </c>
      <c r="Y14" s="155">
        <v>30.46</v>
      </c>
      <c r="Z14" s="73" t="s">
        <v>1006</v>
      </c>
      <c r="AA14" s="73" t="s">
        <v>337</v>
      </c>
      <c r="AB14" s="73" t="s">
        <v>11</v>
      </c>
      <c r="AC14" s="92">
        <v>5.96</v>
      </c>
      <c r="AD14" s="82" t="s">
        <v>1003</v>
      </c>
      <c r="AE14" s="73" t="s">
        <v>880</v>
      </c>
      <c r="AF14" s="73" t="s">
        <v>18</v>
      </c>
      <c r="AG14" s="155">
        <v>10.6</v>
      </c>
      <c r="AH14" s="82" t="s">
        <v>1005</v>
      </c>
      <c r="AI14" s="73" t="s">
        <v>22</v>
      </c>
      <c r="AJ14" s="73" t="s">
        <v>11</v>
      </c>
      <c r="AK14" s="92">
        <v>1.32</v>
      </c>
      <c r="AL14" s="82" t="s">
        <v>1007</v>
      </c>
      <c r="AM14" s="73" t="s">
        <v>337</v>
      </c>
      <c r="AN14" s="73" t="s">
        <v>11</v>
      </c>
      <c r="AO14" s="155">
        <v>2.65</v>
      </c>
      <c r="AP14" s="82"/>
      <c r="AS14" s="83"/>
      <c r="AW14" s="83"/>
      <c r="BA14" s="84"/>
    </row>
    <row r="15" spans="1:53" s="334" customFormat="1">
      <c r="A15" s="334">
        <v>2003</v>
      </c>
      <c r="B15" s="335">
        <v>37978</v>
      </c>
      <c r="C15" s="992" t="s">
        <v>1008</v>
      </c>
      <c r="D15" s="992"/>
      <c r="E15" s="334">
        <f xml:space="preserve"> 365-E14-E13</f>
        <v>9</v>
      </c>
      <c r="F15" s="334">
        <v>1</v>
      </c>
      <c r="G15" s="419">
        <v>1</v>
      </c>
      <c r="H15" s="334">
        <v>13</v>
      </c>
      <c r="I15" s="334">
        <v>0</v>
      </c>
      <c r="J15" s="435">
        <v>15</v>
      </c>
      <c r="K15" s="384">
        <f t="shared" si="0"/>
        <v>6.666666666666667</v>
      </c>
      <c r="L15" s="384">
        <f t="shared" si="1"/>
        <v>86.666666666666671</v>
      </c>
      <c r="M15" s="384">
        <f t="shared" si="2"/>
        <v>0</v>
      </c>
      <c r="N15" s="421">
        <f t="shared" si="3"/>
        <v>93.333333333333343</v>
      </c>
      <c r="O15" s="383">
        <v>0.66</v>
      </c>
      <c r="P15" s="384">
        <v>43.42</v>
      </c>
      <c r="Q15" s="384">
        <v>0</v>
      </c>
      <c r="R15" s="385">
        <f t="shared" si="4"/>
        <v>44.08</v>
      </c>
      <c r="S15" s="334">
        <v>5</v>
      </c>
      <c r="T15" s="342">
        <v>37948</v>
      </c>
      <c r="U15" s="335">
        <v>37978</v>
      </c>
      <c r="V15" s="343" t="s">
        <v>1009</v>
      </c>
      <c r="W15" s="334" t="s">
        <v>17</v>
      </c>
      <c r="X15" s="334" t="s">
        <v>18</v>
      </c>
      <c r="Y15" s="446">
        <v>43.42</v>
      </c>
      <c r="Z15" s="334" t="s">
        <v>513</v>
      </c>
      <c r="AA15" s="334" t="s">
        <v>337</v>
      </c>
      <c r="AB15" s="334" t="s">
        <v>11</v>
      </c>
      <c r="AC15" s="384">
        <v>0.7</v>
      </c>
      <c r="AD15" s="343"/>
      <c r="AG15" s="446"/>
      <c r="AK15" s="384"/>
      <c r="AL15" s="343"/>
      <c r="AO15" s="344"/>
      <c r="AP15" s="343"/>
      <c r="AS15" s="344"/>
      <c r="AW15" s="344"/>
      <c r="BA15" s="345"/>
    </row>
    <row r="16" spans="1:53" s="334" customFormat="1">
      <c r="A16" s="334">
        <v>2004</v>
      </c>
      <c r="B16" s="335"/>
      <c r="C16" s="992" t="s">
        <v>1008</v>
      </c>
      <c r="D16" s="992"/>
      <c r="E16" s="334">
        <v>0</v>
      </c>
      <c r="G16" s="419">
        <v>1</v>
      </c>
      <c r="H16" s="334">
        <v>13</v>
      </c>
      <c r="I16" s="334">
        <v>0</v>
      </c>
      <c r="J16" s="435">
        <v>15</v>
      </c>
      <c r="K16" s="384">
        <f t="shared" si="0"/>
        <v>6.666666666666667</v>
      </c>
      <c r="L16" s="384">
        <f t="shared" si="1"/>
        <v>86.666666666666671</v>
      </c>
      <c r="M16" s="384">
        <f t="shared" si="2"/>
        <v>0</v>
      </c>
      <c r="N16" s="421">
        <f t="shared" si="3"/>
        <v>93.333333333333343</v>
      </c>
      <c r="O16" s="383">
        <v>0.66</v>
      </c>
      <c r="P16" s="384">
        <v>43.42</v>
      </c>
      <c r="Q16" s="384">
        <v>0</v>
      </c>
      <c r="R16" s="385">
        <f t="shared" si="4"/>
        <v>44.08</v>
      </c>
      <c r="S16" s="334">
        <v>5</v>
      </c>
      <c r="T16" s="357"/>
      <c r="V16" s="343" t="s">
        <v>1009</v>
      </c>
      <c r="W16" s="334" t="s">
        <v>17</v>
      </c>
      <c r="X16" s="334" t="s">
        <v>18</v>
      </c>
      <c r="Y16" s="446">
        <v>43.42</v>
      </c>
      <c r="Z16" s="334" t="s">
        <v>513</v>
      </c>
      <c r="AA16" s="334" t="s">
        <v>337</v>
      </c>
      <c r="AB16" s="334" t="s">
        <v>11</v>
      </c>
      <c r="AC16" s="384">
        <v>0.7</v>
      </c>
      <c r="AD16" s="343"/>
      <c r="AG16" s="446"/>
      <c r="AK16" s="384"/>
      <c r="AL16" s="343"/>
      <c r="AO16" s="344"/>
      <c r="AP16" s="343"/>
      <c r="AS16" s="344"/>
      <c r="AW16" s="344"/>
      <c r="BA16" s="345"/>
    </row>
    <row r="17" spans="1:53" s="334" customFormat="1">
      <c r="A17" s="334">
        <v>2004</v>
      </c>
      <c r="B17" s="335"/>
      <c r="C17" s="992" t="s">
        <v>1008</v>
      </c>
      <c r="D17" s="992"/>
      <c r="E17" s="334">
        <v>366</v>
      </c>
      <c r="G17" s="419">
        <v>1</v>
      </c>
      <c r="H17" s="334">
        <v>13</v>
      </c>
      <c r="I17" s="334">
        <v>0</v>
      </c>
      <c r="J17" s="435">
        <v>15</v>
      </c>
      <c r="K17" s="384">
        <f t="shared" si="0"/>
        <v>6.666666666666667</v>
      </c>
      <c r="L17" s="384">
        <f t="shared" si="1"/>
        <v>86.666666666666671</v>
      </c>
      <c r="M17" s="384">
        <f t="shared" si="2"/>
        <v>0</v>
      </c>
      <c r="N17" s="421">
        <f t="shared" si="3"/>
        <v>93.333333333333343</v>
      </c>
      <c r="O17" s="383">
        <v>0.66</v>
      </c>
      <c r="P17" s="384">
        <v>43.42</v>
      </c>
      <c r="Q17" s="384">
        <v>0</v>
      </c>
      <c r="R17" s="385">
        <f t="shared" si="4"/>
        <v>44.08</v>
      </c>
      <c r="S17" s="334">
        <v>5</v>
      </c>
      <c r="T17" s="357"/>
      <c r="V17" s="343" t="s">
        <v>1009</v>
      </c>
      <c r="W17" s="334" t="s">
        <v>17</v>
      </c>
      <c r="X17" s="334" t="s">
        <v>18</v>
      </c>
      <c r="Y17" s="446">
        <v>43.42</v>
      </c>
      <c r="Z17" s="334" t="s">
        <v>513</v>
      </c>
      <c r="AA17" s="334" t="s">
        <v>337</v>
      </c>
      <c r="AB17" s="334" t="s">
        <v>11</v>
      </c>
      <c r="AC17" s="384">
        <v>0.7</v>
      </c>
      <c r="AD17" s="343"/>
      <c r="AG17" s="446"/>
      <c r="AK17" s="384"/>
      <c r="AL17" s="343"/>
      <c r="AO17" s="344"/>
      <c r="AP17" s="343"/>
      <c r="AS17" s="344"/>
      <c r="AW17" s="344"/>
      <c r="BA17" s="345"/>
    </row>
    <row r="18" spans="1:53" s="334" customFormat="1">
      <c r="A18" s="358">
        <v>2005</v>
      </c>
      <c r="B18" s="359">
        <v>38400</v>
      </c>
      <c r="C18" s="992" t="s">
        <v>1008</v>
      </c>
      <c r="D18" s="992"/>
      <c r="E18" s="334">
        <v>47</v>
      </c>
      <c r="F18" s="360">
        <v>0</v>
      </c>
      <c r="G18" s="419">
        <v>1</v>
      </c>
      <c r="H18" s="334">
        <v>13</v>
      </c>
      <c r="I18" s="334">
        <v>0</v>
      </c>
      <c r="J18" s="435">
        <v>15</v>
      </c>
      <c r="K18" s="384">
        <f t="shared" si="0"/>
        <v>6.666666666666667</v>
      </c>
      <c r="L18" s="384">
        <f t="shared" si="1"/>
        <v>86.666666666666671</v>
      </c>
      <c r="M18" s="384">
        <f t="shared" si="2"/>
        <v>0</v>
      </c>
      <c r="N18" s="421">
        <f t="shared" si="3"/>
        <v>93.333333333333343</v>
      </c>
      <c r="O18" s="383">
        <v>0.66</v>
      </c>
      <c r="P18" s="384">
        <v>43.42</v>
      </c>
      <c r="Q18" s="384">
        <v>0</v>
      </c>
      <c r="R18" s="385">
        <f t="shared" si="4"/>
        <v>44.08</v>
      </c>
      <c r="S18" s="334">
        <v>5</v>
      </c>
      <c r="T18" s="357"/>
      <c r="V18" s="343" t="s">
        <v>1009</v>
      </c>
      <c r="W18" s="334" t="s">
        <v>17</v>
      </c>
      <c r="X18" s="334" t="s">
        <v>18</v>
      </c>
      <c r="Y18" s="446">
        <v>43.42</v>
      </c>
      <c r="Z18" s="334" t="s">
        <v>513</v>
      </c>
      <c r="AA18" s="334" t="s">
        <v>337</v>
      </c>
      <c r="AB18" s="334" t="s">
        <v>11</v>
      </c>
      <c r="AC18" s="384">
        <v>0.7</v>
      </c>
      <c r="AD18" s="343"/>
      <c r="AG18" s="446"/>
      <c r="AK18" s="384"/>
      <c r="AL18" s="343"/>
      <c r="AO18" s="344"/>
      <c r="AP18" s="343"/>
      <c r="AS18" s="344"/>
      <c r="AW18" s="344"/>
      <c r="BA18" s="345"/>
    </row>
    <row r="19" spans="1:53" s="334" customFormat="1">
      <c r="A19" s="334">
        <v>2005</v>
      </c>
      <c r="B19" s="335"/>
      <c r="C19" s="992" t="s">
        <v>1008</v>
      </c>
      <c r="D19" s="992"/>
      <c r="E19" s="334">
        <f xml:space="preserve"> 365-E18</f>
        <v>318</v>
      </c>
      <c r="G19" s="419">
        <v>1</v>
      </c>
      <c r="H19" s="334">
        <v>13</v>
      </c>
      <c r="I19" s="334">
        <v>0</v>
      </c>
      <c r="J19" s="435">
        <v>15</v>
      </c>
      <c r="K19" s="384">
        <f t="shared" si="0"/>
        <v>6.666666666666667</v>
      </c>
      <c r="L19" s="384">
        <f t="shared" si="1"/>
        <v>86.666666666666671</v>
      </c>
      <c r="M19" s="384">
        <f t="shared" si="2"/>
        <v>0</v>
      </c>
      <c r="N19" s="421">
        <f t="shared" si="3"/>
        <v>93.333333333333343</v>
      </c>
      <c r="O19" s="383">
        <v>0.66</v>
      </c>
      <c r="P19" s="384">
        <v>43.42</v>
      </c>
      <c r="Q19" s="384">
        <v>0</v>
      </c>
      <c r="R19" s="385">
        <f t="shared" si="4"/>
        <v>44.08</v>
      </c>
      <c r="S19" s="334">
        <v>5</v>
      </c>
      <c r="T19" s="357"/>
      <c r="V19" s="343" t="s">
        <v>1009</v>
      </c>
      <c r="W19" s="334" t="s">
        <v>17</v>
      </c>
      <c r="X19" s="334" t="s">
        <v>18</v>
      </c>
      <c r="Y19" s="446">
        <v>43.42</v>
      </c>
      <c r="Z19" s="334" t="s">
        <v>513</v>
      </c>
      <c r="AA19" s="334" t="s">
        <v>337</v>
      </c>
      <c r="AB19" s="334" t="s">
        <v>11</v>
      </c>
      <c r="AC19" s="384">
        <v>0.7</v>
      </c>
      <c r="AD19" s="343"/>
      <c r="AG19" s="446"/>
      <c r="AK19" s="384"/>
      <c r="AL19" s="343"/>
      <c r="AO19" s="344"/>
      <c r="AP19" s="343"/>
      <c r="AS19" s="344"/>
      <c r="AW19" s="344"/>
      <c r="BA19" s="345"/>
    </row>
    <row r="20" spans="1:53" s="334" customFormat="1">
      <c r="A20" s="334">
        <v>2006</v>
      </c>
      <c r="B20" s="335"/>
      <c r="C20" s="992" t="s">
        <v>1008</v>
      </c>
      <c r="D20" s="992"/>
      <c r="E20" s="334">
        <v>40</v>
      </c>
      <c r="G20" s="419">
        <v>1</v>
      </c>
      <c r="H20" s="334">
        <v>13</v>
      </c>
      <c r="I20" s="334">
        <v>0</v>
      </c>
      <c r="J20" s="435">
        <v>15</v>
      </c>
      <c r="K20" s="384">
        <f t="shared" si="0"/>
        <v>6.666666666666667</v>
      </c>
      <c r="L20" s="384">
        <f t="shared" si="1"/>
        <v>86.666666666666671</v>
      </c>
      <c r="M20" s="384">
        <f t="shared" si="2"/>
        <v>0</v>
      </c>
      <c r="N20" s="421">
        <f t="shared" si="3"/>
        <v>93.333333333333343</v>
      </c>
      <c r="O20" s="383">
        <v>0.66</v>
      </c>
      <c r="P20" s="384">
        <v>43.42</v>
      </c>
      <c r="Q20" s="384">
        <v>0</v>
      </c>
      <c r="R20" s="385">
        <f t="shared" si="4"/>
        <v>44.08</v>
      </c>
      <c r="S20" s="334">
        <v>5</v>
      </c>
      <c r="T20" s="357"/>
      <c r="V20" s="343" t="s">
        <v>1009</v>
      </c>
      <c r="W20" s="334" t="s">
        <v>17</v>
      </c>
      <c r="X20" s="334" t="s">
        <v>18</v>
      </c>
      <c r="Y20" s="446">
        <v>43.42</v>
      </c>
      <c r="Z20" s="334" t="s">
        <v>513</v>
      </c>
      <c r="AA20" s="334" t="s">
        <v>337</v>
      </c>
      <c r="AB20" s="334" t="s">
        <v>11</v>
      </c>
      <c r="AC20" s="384">
        <v>0.7</v>
      </c>
      <c r="AD20" s="343"/>
      <c r="AG20" s="446"/>
      <c r="AK20" s="384"/>
      <c r="AL20" s="343"/>
      <c r="AO20" s="344"/>
      <c r="AP20" s="343"/>
      <c r="AS20" s="344"/>
      <c r="AW20" s="344"/>
      <c r="BA20" s="345"/>
    </row>
    <row r="21" spans="1:53" s="73" customFormat="1">
      <c r="A21" s="73">
        <v>2006</v>
      </c>
      <c r="B21" s="121">
        <v>38758</v>
      </c>
      <c r="C21" s="988" t="s">
        <v>1010</v>
      </c>
      <c r="D21" s="988"/>
      <c r="E21" s="73">
        <v>325</v>
      </c>
      <c r="F21" s="73">
        <v>4</v>
      </c>
      <c r="G21" s="123">
        <v>0</v>
      </c>
      <c r="H21" s="73">
        <v>14</v>
      </c>
      <c r="I21" s="73">
        <v>0</v>
      </c>
      <c r="J21" s="134">
        <v>15</v>
      </c>
      <c r="K21" s="92">
        <f t="shared" si="0"/>
        <v>0</v>
      </c>
      <c r="L21" s="92">
        <f t="shared" si="1"/>
        <v>93.333333333333329</v>
      </c>
      <c r="M21" s="92">
        <f t="shared" si="2"/>
        <v>0</v>
      </c>
      <c r="N21" s="125">
        <f t="shared" si="3"/>
        <v>93.333333333333329</v>
      </c>
      <c r="O21" s="91">
        <v>0</v>
      </c>
      <c r="P21" s="92">
        <v>43.42</v>
      </c>
      <c r="Q21" s="92">
        <v>0</v>
      </c>
      <c r="R21" s="93">
        <f t="shared" si="4"/>
        <v>43.42</v>
      </c>
      <c r="S21" s="73">
        <v>4</v>
      </c>
      <c r="T21" s="81"/>
      <c r="U21" s="121">
        <v>38758</v>
      </c>
      <c r="V21" s="82" t="s">
        <v>1009</v>
      </c>
      <c r="W21" s="73" t="s">
        <v>17</v>
      </c>
      <c r="X21" s="73" t="s">
        <v>18</v>
      </c>
      <c r="Y21" s="155">
        <v>43.42</v>
      </c>
      <c r="AC21" s="92"/>
      <c r="AD21" s="82"/>
      <c r="AG21" s="155"/>
      <c r="AK21" s="92"/>
      <c r="AL21" s="82"/>
      <c r="AO21" s="83"/>
      <c r="AP21" s="82"/>
      <c r="AS21" s="83"/>
      <c r="AW21" s="83"/>
      <c r="BA21" s="84"/>
    </row>
    <row r="22" spans="1:53" s="73" customFormat="1">
      <c r="A22" s="73">
        <v>2007</v>
      </c>
      <c r="B22" s="121"/>
      <c r="C22" s="988" t="s">
        <v>1010</v>
      </c>
      <c r="D22" s="988"/>
      <c r="E22" s="73">
        <v>0</v>
      </c>
      <c r="G22" s="123">
        <v>0</v>
      </c>
      <c r="H22" s="73">
        <v>14</v>
      </c>
      <c r="I22" s="73">
        <v>0</v>
      </c>
      <c r="J22" s="134">
        <v>15</v>
      </c>
      <c r="K22" s="92">
        <f t="shared" si="0"/>
        <v>0</v>
      </c>
      <c r="L22" s="92">
        <f t="shared" si="1"/>
        <v>93.333333333333329</v>
      </c>
      <c r="M22" s="92">
        <f t="shared" si="2"/>
        <v>0</v>
      </c>
      <c r="N22" s="125">
        <f t="shared" si="3"/>
        <v>93.333333333333329</v>
      </c>
      <c r="O22" s="91">
        <v>0</v>
      </c>
      <c r="P22" s="92">
        <v>43.42</v>
      </c>
      <c r="Q22" s="92">
        <v>0</v>
      </c>
      <c r="R22" s="93">
        <f t="shared" si="4"/>
        <v>43.42</v>
      </c>
      <c r="S22" s="73">
        <v>4</v>
      </c>
      <c r="T22" s="81"/>
      <c r="V22" s="82" t="s">
        <v>1009</v>
      </c>
      <c r="W22" s="73" t="s">
        <v>17</v>
      </c>
      <c r="X22" s="73" t="s">
        <v>18</v>
      </c>
      <c r="Y22" s="155">
        <v>43.42</v>
      </c>
      <c r="AC22" s="92"/>
      <c r="AD22" s="82"/>
      <c r="AG22" s="155"/>
      <c r="AK22" s="92"/>
      <c r="AL22" s="82"/>
      <c r="AO22" s="83"/>
      <c r="AP22" s="82"/>
      <c r="AS22" s="83"/>
      <c r="AW22" s="83"/>
      <c r="BA22" s="84"/>
    </row>
    <row r="23" spans="1:53" s="73" customFormat="1">
      <c r="A23" s="73">
        <v>2007</v>
      </c>
      <c r="B23" s="121"/>
      <c r="C23" s="988" t="s">
        <v>1010</v>
      </c>
      <c r="D23" s="988"/>
      <c r="E23" s="73">
        <v>365</v>
      </c>
      <c r="G23" s="123">
        <v>0</v>
      </c>
      <c r="H23" s="73">
        <v>14</v>
      </c>
      <c r="I23" s="73">
        <v>0</v>
      </c>
      <c r="J23" s="134">
        <v>15</v>
      </c>
      <c r="K23" s="92">
        <f t="shared" si="0"/>
        <v>0</v>
      </c>
      <c r="L23" s="92">
        <f t="shared" si="1"/>
        <v>93.333333333333329</v>
      </c>
      <c r="M23" s="92">
        <f t="shared" si="2"/>
        <v>0</v>
      </c>
      <c r="N23" s="125">
        <f t="shared" si="3"/>
        <v>93.333333333333329</v>
      </c>
      <c r="O23" s="91">
        <v>0</v>
      </c>
      <c r="P23" s="92">
        <v>43.42</v>
      </c>
      <c r="Q23" s="92">
        <v>0</v>
      </c>
      <c r="R23" s="93">
        <f t="shared" si="4"/>
        <v>43.42</v>
      </c>
      <c r="S23" s="73">
        <v>4</v>
      </c>
      <c r="T23" s="95">
        <v>39411</v>
      </c>
      <c r="V23" s="82" t="s">
        <v>1009</v>
      </c>
      <c r="W23" s="73" t="s">
        <v>17</v>
      </c>
      <c r="X23" s="73" t="s">
        <v>18</v>
      </c>
      <c r="Y23" s="155">
        <v>43.42</v>
      </c>
      <c r="AC23" s="92"/>
      <c r="AD23" s="82"/>
      <c r="AG23" s="155"/>
      <c r="AK23" s="92"/>
      <c r="AL23" s="82"/>
      <c r="AO23" s="83"/>
      <c r="AP23" s="82"/>
      <c r="AS23" s="83"/>
      <c r="AW23" s="83"/>
      <c r="BA23" s="84"/>
    </row>
    <row r="24" spans="1:53" s="73" customFormat="1">
      <c r="A24" s="73">
        <v>2008</v>
      </c>
      <c r="B24" s="121"/>
      <c r="C24" s="988" t="s">
        <v>1010</v>
      </c>
      <c r="D24" s="988"/>
      <c r="E24" s="73">
        <v>11</v>
      </c>
      <c r="G24" s="123">
        <v>0</v>
      </c>
      <c r="H24" s="73">
        <v>14</v>
      </c>
      <c r="I24" s="73">
        <v>0</v>
      </c>
      <c r="J24" s="134">
        <v>15</v>
      </c>
      <c r="K24" s="92">
        <f t="shared" si="0"/>
        <v>0</v>
      </c>
      <c r="L24" s="92">
        <f t="shared" si="1"/>
        <v>93.333333333333329</v>
      </c>
      <c r="M24" s="92">
        <f t="shared" si="2"/>
        <v>0</v>
      </c>
      <c r="N24" s="125">
        <f t="shared" si="3"/>
        <v>93.333333333333329</v>
      </c>
      <c r="O24" s="91">
        <v>0</v>
      </c>
      <c r="P24" s="92">
        <v>43.42</v>
      </c>
      <c r="Q24" s="92">
        <v>0</v>
      </c>
      <c r="R24" s="93">
        <f t="shared" si="4"/>
        <v>43.42</v>
      </c>
      <c r="S24" s="73">
        <v>4</v>
      </c>
      <c r="T24" s="81"/>
      <c r="V24" s="82" t="s">
        <v>1009</v>
      </c>
      <c r="W24" s="73" t="s">
        <v>17</v>
      </c>
      <c r="X24" s="73" t="s">
        <v>18</v>
      </c>
      <c r="Y24" s="155">
        <v>43.42</v>
      </c>
      <c r="AC24" s="92"/>
      <c r="AD24" s="82"/>
      <c r="AG24" s="155"/>
      <c r="AK24" s="92"/>
      <c r="AL24" s="82"/>
      <c r="AO24" s="83"/>
      <c r="AP24" s="82"/>
      <c r="AS24" s="83"/>
      <c r="AW24" s="83"/>
      <c r="BA24" s="84"/>
    </row>
    <row r="25" spans="1:53" s="334" customFormat="1">
      <c r="A25" s="334">
        <v>2008</v>
      </c>
      <c r="B25" s="335">
        <v>39459</v>
      </c>
      <c r="C25" s="992" t="s">
        <v>1011</v>
      </c>
      <c r="D25" s="992"/>
      <c r="E25" s="334">
        <v>272</v>
      </c>
      <c r="F25" s="334">
        <v>1</v>
      </c>
      <c r="G25" s="419">
        <v>1</v>
      </c>
      <c r="H25" s="334">
        <v>16</v>
      </c>
      <c r="I25" s="334">
        <v>0</v>
      </c>
      <c r="J25" s="435">
        <v>18</v>
      </c>
      <c r="K25" s="384">
        <f t="shared" si="0"/>
        <v>5.5555555555555554</v>
      </c>
      <c r="L25" s="384">
        <f t="shared" si="1"/>
        <v>88.888888888888886</v>
      </c>
      <c r="M25" s="384">
        <f t="shared" si="2"/>
        <v>0</v>
      </c>
      <c r="N25" s="421">
        <f t="shared" si="3"/>
        <v>94.444444444444443</v>
      </c>
      <c r="O25" s="383">
        <v>3.3</v>
      </c>
      <c r="P25" s="384">
        <v>47</v>
      </c>
      <c r="Q25" s="384">
        <v>0</v>
      </c>
      <c r="R25" s="385">
        <f t="shared" si="4"/>
        <v>50.3</v>
      </c>
      <c r="S25" s="334">
        <v>2</v>
      </c>
      <c r="T25" s="357"/>
      <c r="U25" s="335">
        <v>39459</v>
      </c>
      <c r="V25" s="343" t="s">
        <v>1009</v>
      </c>
      <c r="W25" s="334" t="s">
        <v>17</v>
      </c>
      <c r="X25" s="334" t="s">
        <v>18</v>
      </c>
      <c r="Y25" s="446">
        <v>43.1</v>
      </c>
      <c r="Z25" s="334" t="s">
        <v>1003</v>
      </c>
      <c r="AA25" s="334" t="s">
        <v>880</v>
      </c>
      <c r="AB25" s="334" t="s">
        <v>18</v>
      </c>
      <c r="AC25" s="384">
        <v>3.9</v>
      </c>
      <c r="AD25" s="343" t="s">
        <v>1002</v>
      </c>
      <c r="AE25" s="334" t="s">
        <v>337</v>
      </c>
      <c r="AF25" s="334" t="s">
        <v>11</v>
      </c>
      <c r="AG25" s="446">
        <v>1.3</v>
      </c>
      <c r="AH25" s="334" t="s">
        <v>1012</v>
      </c>
      <c r="AI25" s="334" t="s">
        <v>337</v>
      </c>
      <c r="AJ25" s="334" t="s">
        <v>11</v>
      </c>
      <c r="AK25" s="384">
        <v>1.97</v>
      </c>
      <c r="AL25" s="343"/>
      <c r="AO25" s="344"/>
      <c r="AP25" s="343"/>
      <c r="AS25" s="344"/>
      <c r="AW25" s="344"/>
      <c r="BA25" s="345"/>
    </row>
    <row r="26" spans="1:53" s="334" customFormat="1">
      <c r="A26" s="334">
        <v>2008</v>
      </c>
      <c r="B26" s="359">
        <v>39731</v>
      </c>
      <c r="C26" s="992" t="s">
        <v>1011</v>
      </c>
      <c r="D26" s="992"/>
      <c r="E26" s="334">
        <f xml:space="preserve"> 366-E25-E24</f>
        <v>83</v>
      </c>
      <c r="F26" s="360">
        <v>0</v>
      </c>
      <c r="G26" s="419">
        <v>1</v>
      </c>
      <c r="H26" s="334">
        <v>14</v>
      </c>
      <c r="I26" s="334">
        <v>0</v>
      </c>
      <c r="J26" s="435">
        <v>18</v>
      </c>
      <c r="K26" s="384">
        <f t="shared" si="0"/>
        <v>5.5555555555555554</v>
      </c>
      <c r="L26" s="384">
        <f t="shared" si="1"/>
        <v>77.777777777777786</v>
      </c>
      <c r="M26" s="384">
        <f t="shared" si="2"/>
        <v>0</v>
      </c>
      <c r="N26" s="421">
        <f t="shared" si="3"/>
        <v>83.333333333333343</v>
      </c>
      <c r="O26" s="383">
        <v>3.3</v>
      </c>
      <c r="P26" s="384">
        <v>47</v>
      </c>
      <c r="Q26" s="384">
        <v>0</v>
      </c>
      <c r="R26" s="385">
        <f t="shared" si="4"/>
        <v>50.3</v>
      </c>
      <c r="S26" s="334">
        <v>2</v>
      </c>
      <c r="T26" s="357"/>
      <c r="V26" s="343" t="s">
        <v>1009</v>
      </c>
      <c r="W26" s="334" t="s">
        <v>17</v>
      </c>
      <c r="X26" s="334" t="s">
        <v>18</v>
      </c>
      <c r="Y26" s="446">
        <v>43.1</v>
      </c>
      <c r="Z26" s="334" t="s">
        <v>1003</v>
      </c>
      <c r="AA26" s="334" t="s">
        <v>880</v>
      </c>
      <c r="AB26" s="334" t="s">
        <v>18</v>
      </c>
      <c r="AC26" s="384">
        <v>3.9</v>
      </c>
      <c r="AD26" s="343" t="s">
        <v>1002</v>
      </c>
      <c r="AE26" s="334" t="s">
        <v>337</v>
      </c>
      <c r="AF26" s="334" t="s">
        <v>11</v>
      </c>
      <c r="AG26" s="446">
        <v>1.3</v>
      </c>
      <c r="AH26" s="334" t="s">
        <v>1012</v>
      </c>
      <c r="AI26" s="334" t="s">
        <v>337</v>
      </c>
      <c r="AJ26" s="334" t="s">
        <v>11</v>
      </c>
      <c r="AK26" s="384">
        <v>1.97</v>
      </c>
      <c r="AL26" s="343"/>
      <c r="AO26" s="344"/>
      <c r="AP26" s="343"/>
      <c r="AS26" s="344"/>
      <c r="AW26" s="344"/>
      <c r="BA26" s="345"/>
    </row>
    <row r="27" spans="1:53" s="334" customFormat="1">
      <c r="A27" s="334">
        <v>2009</v>
      </c>
      <c r="B27" s="335"/>
      <c r="C27" s="992" t="s">
        <v>1011</v>
      </c>
      <c r="D27" s="992"/>
      <c r="E27" s="334">
        <v>186</v>
      </c>
      <c r="G27" s="419">
        <v>1</v>
      </c>
      <c r="H27" s="334">
        <v>14</v>
      </c>
      <c r="I27" s="334">
        <v>0</v>
      </c>
      <c r="J27" s="435">
        <v>18</v>
      </c>
      <c r="K27" s="384">
        <f t="shared" si="0"/>
        <v>5.5555555555555554</v>
      </c>
      <c r="L27" s="384">
        <f t="shared" si="1"/>
        <v>77.777777777777786</v>
      </c>
      <c r="M27" s="384">
        <f t="shared" si="2"/>
        <v>0</v>
      </c>
      <c r="N27" s="421">
        <f t="shared" si="3"/>
        <v>83.333333333333343</v>
      </c>
      <c r="O27" s="383">
        <v>3.3</v>
      </c>
      <c r="P27" s="384">
        <v>47</v>
      </c>
      <c r="Q27" s="384">
        <v>0</v>
      </c>
      <c r="R27" s="385">
        <f t="shared" si="4"/>
        <v>50.3</v>
      </c>
      <c r="S27" s="334">
        <v>2</v>
      </c>
      <c r="T27" s="357"/>
      <c r="V27" s="343" t="s">
        <v>1009</v>
      </c>
      <c r="W27" s="334" t="s">
        <v>17</v>
      </c>
      <c r="X27" s="334" t="s">
        <v>18</v>
      </c>
      <c r="Y27" s="446">
        <v>43.1</v>
      </c>
      <c r="Z27" s="334" t="s">
        <v>1003</v>
      </c>
      <c r="AA27" s="334" t="s">
        <v>880</v>
      </c>
      <c r="AB27" s="334" t="s">
        <v>18</v>
      </c>
      <c r="AC27" s="384">
        <v>3.9</v>
      </c>
      <c r="AD27" s="343" t="s">
        <v>1002</v>
      </c>
      <c r="AE27" s="334" t="s">
        <v>337</v>
      </c>
      <c r="AF27" s="334" t="s">
        <v>11</v>
      </c>
      <c r="AG27" s="446">
        <v>1.3</v>
      </c>
      <c r="AH27" s="334" t="s">
        <v>1012</v>
      </c>
      <c r="AI27" s="334" t="s">
        <v>337</v>
      </c>
      <c r="AJ27" s="334" t="s">
        <v>11</v>
      </c>
      <c r="AK27" s="384">
        <v>1.97</v>
      </c>
      <c r="AL27" s="343"/>
      <c r="AO27" s="344"/>
      <c r="AP27" s="343"/>
      <c r="AS27" s="344"/>
      <c r="AW27" s="344"/>
      <c r="BA27" s="345"/>
    </row>
    <row r="28" spans="1:53" s="73" customFormat="1">
      <c r="A28" s="73">
        <v>2009</v>
      </c>
      <c r="B28" s="121">
        <v>40000</v>
      </c>
      <c r="C28" s="988" t="s">
        <v>1013</v>
      </c>
      <c r="D28" s="988"/>
      <c r="E28" s="73">
        <f xml:space="preserve"> 365-E27</f>
        <v>179</v>
      </c>
      <c r="F28" s="73">
        <v>2</v>
      </c>
      <c r="G28" s="123">
        <v>1</v>
      </c>
      <c r="H28" s="73">
        <v>16</v>
      </c>
      <c r="I28" s="73">
        <v>0</v>
      </c>
      <c r="J28" s="134">
        <v>20</v>
      </c>
      <c r="K28" s="92">
        <f t="shared" si="0"/>
        <v>5</v>
      </c>
      <c r="L28" s="92">
        <f t="shared" si="1"/>
        <v>80</v>
      </c>
      <c r="M28" s="92">
        <f t="shared" si="2"/>
        <v>0</v>
      </c>
      <c r="N28" s="125">
        <f t="shared" si="3"/>
        <v>85</v>
      </c>
      <c r="O28" s="91">
        <v>3.27</v>
      </c>
      <c r="P28" s="92">
        <v>47</v>
      </c>
      <c r="Q28" s="92">
        <v>0</v>
      </c>
      <c r="R28" s="93">
        <f t="shared" si="4"/>
        <v>50.27</v>
      </c>
      <c r="S28" s="73">
        <v>2</v>
      </c>
      <c r="T28" s="81"/>
      <c r="U28" s="121">
        <v>40000</v>
      </c>
      <c r="V28" s="82" t="s">
        <v>1009</v>
      </c>
      <c r="W28" s="225" t="s">
        <v>17</v>
      </c>
      <c r="X28" s="73" t="s">
        <v>18</v>
      </c>
      <c r="Y28" s="155">
        <v>43.1</v>
      </c>
      <c r="Z28" s="73" t="s">
        <v>1012</v>
      </c>
      <c r="AA28" s="73" t="s">
        <v>337</v>
      </c>
      <c r="AB28" s="73" t="s">
        <v>11</v>
      </c>
      <c r="AC28" s="92">
        <v>1.97</v>
      </c>
      <c r="AD28" s="82" t="s">
        <v>1002</v>
      </c>
      <c r="AE28" s="73" t="s">
        <v>337</v>
      </c>
      <c r="AF28" s="73" t="s">
        <v>11</v>
      </c>
      <c r="AG28" s="155">
        <v>1.3</v>
      </c>
      <c r="AH28" s="73" t="s">
        <v>1003</v>
      </c>
      <c r="AI28" s="73" t="s">
        <v>880</v>
      </c>
      <c r="AJ28" s="73" t="s">
        <v>18</v>
      </c>
      <c r="AK28" s="92">
        <v>3.9</v>
      </c>
      <c r="AL28" s="82"/>
      <c r="AO28" s="83"/>
      <c r="AP28" s="82"/>
      <c r="AS28" s="83"/>
      <c r="AW28" s="83"/>
      <c r="BA28" s="84"/>
    </row>
    <row r="29" spans="1:53" s="73" customFormat="1">
      <c r="A29" s="73">
        <v>2010</v>
      </c>
      <c r="B29" s="121"/>
      <c r="C29" s="988" t="s">
        <v>1013</v>
      </c>
      <c r="D29" s="988"/>
      <c r="E29" s="73">
        <v>83</v>
      </c>
      <c r="G29" s="123">
        <v>1</v>
      </c>
      <c r="H29" s="73">
        <v>16</v>
      </c>
      <c r="I29" s="73">
        <v>0</v>
      </c>
      <c r="J29" s="134">
        <v>20</v>
      </c>
      <c r="K29" s="92">
        <f t="shared" si="0"/>
        <v>5</v>
      </c>
      <c r="L29" s="92">
        <f t="shared" si="1"/>
        <v>80</v>
      </c>
      <c r="M29" s="92">
        <f t="shared" si="2"/>
        <v>0</v>
      </c>
      <c r="N29" s="125">
        <f t="shared" si="3"/>
        <v>85</v>
      </c>
      <c r="O29" s="91">
        <v>3.27</v>
      </c>
      <c r="P29" s="92">
        <v>47</v>
      </c>
      <c r="Q29" s="92">
        <v>0</v>
      </c>
      <c r="R29" s="93">
        <f t="shared" si="4"/>
        <v>50.27</v>
      </c>
      <c r="S29" s="73">
        <v>2</v>
      </c>
      <c r="T29" s="81"/>
      <c r="V29" s="82" t="s">
        <v>1009</v>
      </c>
      <c r="W29" s="225" t="s">
        <v>17</v>
      </c>
      <c r="X29" s="73" t="s">
        <v>18</v>
      </c>
      <c r="Y29" s="155">
        <v>43.1</v>
      </c>
      <c r="Z29" s="73" t="s">
        <v>1012</v>
      </c>
      <c r="AA29" s="73" t="s">
        <v>337</v>
      </c>
      <c r="AB29" s="73" t="s">
        <v>11</v>
      </c>
      <c r="AC29" s="92">
        <v>1.97</v>
      </c>
      <c r="AD29" s="82" t="s">
        <v>1002</v>
      </c>
      <c r="AE29" s="73" t="s">
        <v>337</v>
      </c>
      <c r="AF29" s="73" t="s">
        <v>11</v>
      </c>
      <c r="AG29" s="155">
        <v>1.3</v>
      </c>
      <c r="AH29" s="73" t="s">
        <v>1003</v>
      </c>
      <c r="AI29" s="73" t="s">
        <v>880</v>
      </c>
      <c r="AJ29" s="73" t="s">
        <v>18</v>
      </c>
      <c r="AK29" s="92">
        <v>3.9</v>
      </c>
      <c r="AL29" s="82"/>
      <c r="AO29" s="83"/>
      <c r="AP29" s="82"/>
      <c r="AS29" s="83"/>
      <c r="AW29" s="83"/>
      <c r="BA29" s="84"/>
    </row>
    <row r="30" spans="1:53" s="73" customFormat="1">
      <c r="A30" s="73">
        <v>2010</v>
      </c>
      <c r="B30" s="156">
        <v>40262</v>
      </c>
      <c r="C30" s="988" t="s">
        <v>1013</v>
      </c>
      <c r="D30" s="988"/>
      <c r="E30" s="73">
        <v>104</v>
      </c>
      <c r="F30" s="129">
        <v>0</v>
      </c>
      <c r="G30" s="123">
        <v>1</v>
      </c>
      <c r="H30" s="73">
        <v>15</v>
      </c>
      <c r="I30" s="73">
        <v>0</v>
      </c>
      <c r="J30" s="134">
        <v>19</v>
      </c>
      <c r="K30" s="92">
        <f t="shared" si="0"/>
        <v>5.2631578947368416</v>
      </c>
      <c r="L30" s="92">
        <f t="shared" si="1"/>
        <v>78.94736842105263</v>
      </c>
      <c r="M30" s="92">
        <f t="shared" si="2"/>
        <v>0</v>
      </c>
      <c r="N30" s="125">
        <f t="shared" si="3"/>
        <v>84.210526315789465</v>
      </c>
      <c r="O30" s="91">
        <v>3.27</v>
      </c>
      <c r="P30" s="92">
        <v>47</v>
      </c>
      <c r="Q30" s="92">
        <v>0</v>
      </c>
      <c r="R30" s="93">
        <f t="shared" si="4"/>
        <v>50.27</v>
      </c>
      <c r="S30" s="73">
        <v>2</v>
      </c>
      <c r="T30" s="81"/>
      <c r="V30" s="82" t="s">
        <v>1009</v>
      </c>
      <c r="W30" s="225" t="s">
        <v>17</v>
      </c>
      <c r="X30" s="73" t="s">
        <v>18</v>
      </c>
      <c r="Y30" s="155">
        <v>43.1</v>
      </c>
      <c r="Z30" s="73" t="s">
        <v>1012</v>
      </c>
      <c r="AA30" s="73" t="s">
        <v>337</v>
      </c>
      <c r="AB30" s="73" t="s">
        <v>11</v>
      </c>
      <c r="AC30" s="92">
        <v>1.97</v>
      </c>
      <c r="AD30" s="82" t="s">
        <v>1002</v>
      </c>
      <c r="AE30" s="73" t="s">
        <v>337</v>
      </c>
      <c r="AF30" s="73" t="s">
        <v>11</v>
      </c>
      <c r="AG30" s="155">
        <v>1.3</v>
      </c>
      <c r="AH30" s="73" t="s">
        <v>1003</v>
      </c>
      <c r="AI30" s="73" t="s">
        <v>880</v>
      </c>
      <c r="AJ30" s="73" t="s">
        <v>18</v>
      </c>
      <c r="AK30" s="92">
        <v>3.9</v>
      </c>
      <c r="AL30" s="82"/>
      <c r="AO30" s="83"/>
      <c r="AP30" s="82"/>
      <c r="AS30" s="83"/>
      <c r="AW30" s="83"/>
      <c r="BA30" s="84"/>
    </row>
    <row r="31" spans="1:53" s="73" customFormat="1">
      <c r="A31" s="73">
        <v>2010</v>
      </c>
      <c r="B31" s="156">
        <v>40366</v>
      </c>
      <c r="C31" s="988" t="s">
        <v>1013</v>
      </c>
      <c r="D31" s="988"/>
      <c r="E31" s="73">
        <v>175</v>
      </c>
      <c r="F31" s="129">
        <v>0</v>
      </c>
      <c r="G31" s="123">
        <v>1</v>
      </c>
      <c r="H31" s="73">
        <v>16</v>
      </c>
      <c r="I31" s="73">
        <v>0</v>
      </c>
      <c r="J31" s="134">
        <v>19</v>
      </c>
      <c r="K31" s="92">
        <f t="shared" si="0"/>
        <v>5.2631578947368416</v>
      </c>
      <c r="L31" s="92">
        <f t="shared" si="1"/>
        <v>84.210526315789465</v>
      </c>
      <c r="M31" s="92">
        <f t="shared" si="2"/>
        <v>0</v>
      </c>
      <c r="N31" s="125">
        <f t="shared" si="3"/>
        <v>89.473684210526301</v>
      </c>
      <c r="O31" s="91">
        <v>3.27</v>
      </c>
      <c r="P31" s="92">
        <v>47</v>
      </c>
      <c r="Q31" s="92">
        <v>0</v>
      </c>
      <c r="R31" s="93">
        <f t="shared" si="4"/>
        <v>50.27</v>
      </c>
      <c r="S31" s="73">
        <v>2</v>
      </c>
      <c r="T31" s="81"/>
      <c r="V31" s="82" t="s">
        <v>1009</v>
      </c>
      <c r="W31" s="225" t="s">
        <v>17</v>
      </c>
      <c r="X31" s="73" t="s">
        <v>18</v>
      </c>
      <c r="Y31" s="155">
        <v>43.1</v>
      </c>
      <c r="Z31" s="73" t="s">
        <v>1012</v>
      </c>
      <c r="AA31" s="73" t="s">
        <v>337</v>
      </c>
      <c r="AB31" s="73" t="s">
        <v>11</v>
      </c>
      <c r="AC31" s="92">
        <v>1.97</v>
      </c>
      <c r="AD31" s="82" t="s">
        <v>1002</v>
      </c>
      <c r="AE31" s="73" t="s">
        <v>337</v>
      </c>
      <c r="AF31" s="73" t="s">
        <v>11</v>
      </c>
      <c r="AG31" s="155">
        <v>1.3</v>
      </c>
      <c r="AH31" s="73" t="s">
        <v>1003</v>
      </c>
      <c r="AI31" s="73" t="s">
        <v>880</v>
      </c>
      <c r="AJ31" s="73" t="s">
        <v>18</v>
      </c>
      <c r="AK31" s="92">
        <v>3.9</v>
      </c>
      <c r="AL31" s="82"/>
      <c r="AO31" s="83"/>
      <c r="AP31" s="82"/>
      <c r="AS31" s="83"/>
      <c r="AW31" s="83"/>
      <c r="BA31" s="84"/>
    </row>
    <row r="32" spans="1:53" s="334" customFormat="1">
      <c r="A32" s="334">
        <v>2010</v>
      </c>
      <c r="B32" s="335">
        <v>40541</v>
      </c>
      <c r="C32" s="992" t="s">
        <v>1014</v>
      </c>
      <c r="D32" s="992"/>
      <c r="E32" s="334">
        <f xml:space="preserve"> 365-E31-E30-E29</f>
        <v>3</v>
      </c>
      <c r="F32" s="334">
        <v>4</v>
      </c>
      <c r="G32" s="419">
        <v>0</v>
      </c>
      <c r="H32" s="334">
        <v>16</v>
      </c>
      <c r="I32" s="334">
        <v>0</v>
      </c>
      <c r="J32" s="435">
        <v>19</v>
      </c>
      <c r="K32" s="384">
        <f t="shared" si="0"/>
        <v>0</v>
      </c>
      <c r="L32" s="384">
        <f t="shared" si="1"/>
        <v>84.210526315789465</v>
      </c>
      <c r="M32" s="384">
        <f t="shared" si="2"/>
        <v>0</v>
      </c>
      <c r="N32" s="421">
        <f t="shared" si="3"/>
        <v>84.210526315789465</v>
      </c>
      <c r="O32" s="383">
        <v>1.97</v>
      </c>
      <c r="P32" s="384">
        <v>47</v>
      </c>
      <c r="Q32" s="384">
        <v>0</v>
      </c>
      <c r="R32" s="385">
        <f t="shared" si="4"/>
        <v>48.97</v>
      </c>
      <c r="S32" s="334">
        <v>5</v>
      </c>
      <c r="T32" s="357"/>
      <c r="U32" s="335">
        <v>40541</v>
      </c>
      <c r="V32" s="343" t="s">
        <v>1009</v>
      </c>
      <c r="W32" s="334" t="s">
        <v>17</v>
      </c>
      <c r="X32" s="334" t="s">
        <v>18</v>
      </c>
      <c r="Y32" s="446">
        <v>43.1</v>
      </c>
      <c r="Z32" s="334" t="s">
        <v>1012</v>
      </c>
      <c r="AA32" s="334" t="s">
        <v>337</v>
      </c>
      <c r="AB32" s="334" t="s">
        <v>11</v>
      </c>
      <c r="AC32" s="384">
        <v>1.97</v>
      </c>
      <c r="AD32" s="343" t="s">
        <v>1003</v>
      </c>
      <c r="AE32" s="334" t="s">
        <v>880</v>
      </c>
      <c r="AF32" s="334" t="s">
        <v>18</v>
      </c>
      <c r="AG32" s="446">
        <v>3.9</v>
      </c>
      <c r="AL32" s="343"/>
      <c r="AO32" s="344"/>
      <c r="AP32" s="343"/>
      <c r="AS32" s="344"/>
      <c r="AW32" s="344"/>
      <c r="BA32" s="345"/>
    </row>
    <row r="33" spans="1:53" s="334" customFormat="1">
      <c r="A33" s="334">
        <v>2011</v>
      </c>
      <c r="B33" s="335"/>
      <c r="C33" s="992" t="s">
        <v>1014</v>
      </c>
      <c r="D33" s="992"/>
      <c r="E33" s="334">
        <v>356</v>
      </c>
      <c r="G33" s="419">
        <v>0</v>
      </c>
      <c r="H33" s="334">
        <v>16</v>
      </c>
      <c r="I33" s="334">
        <v>0</v>
      </c>
      <c r="J33" s="435">
        <v>19</v>
      </c>
      <c r="K33" s="384">
        <f t="shared" si="0"/>
        <v>0</v>
      </c>
      <c r="L33" s="384">
        <f t="shared" si="1"/>
        <v>84.210526315789465</v>
      </c>
      <c r="M33" s="384">
        <f t="shared" si="2"/>
        <v>0</v>
      </c>
      <c r="N33" s="421">
        <f t="shared" si="3"/>
        <v>84.210526315789465</v>
      </c>
      <c r="O33" s="383">
        <v>1.97</v>
      </c>
      <c r="P33" s="384">
        <v>47</v>
      </c>
      <c r="Q33" s="384">
        <v>0</v>
      </c>
      <c r="R33" s="385">
        <f t="shared" si="4"/>
        <v>48.97</v>
      </c>
      <c r="S33" s="334">
        <v>5</v>
      </c>
      <c r="T33" s="357"/>
      <c r="V33" s="343" t="s">
        <v>1009</v>
      </c>
      <c r="W33" s="334" t="s">
        <v>17</v>
      </c>
      <c r="X33" s="334" t="s">
        <v>18</v>
      </c>
      <c r="Y33" s="446">
        <v>43.1</v>
      </c>
      <c r="Z33" s="334" t="s">
        <v>1012</v>
      </c>
      <c r="AA33" s="334" t="s">
        <v>337</v>
      </c>
      <c r="AB33" s="334" t="s">
        <v>11</v>
      </c>
      <c r="AC33" s="384">
        <v>1.97</v>
      </c>
      <c r="AD33" s="343" t="s">
        <v>1003</v>
      </c>
      <c r="AE33" s="334" t="s">
        <v>880</v>
      </c>
      <c r="AF33" s="334" t="s">
        <v>18</v>
      </c>
      <c r="AG33" s="446">
        <v>3.9</v>
      </c>
      <c r="AL33" s="343"/>
      <c r="AO33" s="344"/>
      <c r="AP33" s="343"/>
      <c r="AS33" s="344"/>
      <c r="AW33" s="344"/>
      <c r="BA33" s="345"/>
    </row>
    <row r="34" spans="1:53" s="73" customFormat="1">
      <c r="A34" s="73">
        <v>2011</v>
      </c>
      <c r="B34" s="121">
        <v>40900</v>
      </c>
      <c r="C34" s="988" t="s">
        <v>1195</v>
      </c>
      <c r="D34" s="988"/>
      <c r="E34" s="73">
        <f xml:space="preserve"> 365-E33</f>
        <v>9</v>
      </c>
      <c r="F34" s="73">
        <v>1</v>
      </c>
      <c r="G34" s="123">
        <v>5</v>
      </c>
      <c r="H34" s="73">
        <v>0</v>
      </c>
      <c r="I34" s="73">
        <v>15</v>
      </c>
      <c r="J34" s="134">
        <v>22</v>
      </c>
      <c r="K34" s="92">
        <f t="shared" si="0"/>
        <v>22.727272727272727</v>
      </c>
      <c r="L34" s="92">
        <f t="shared" si="1"/>
        <v>0</v>
      </c>
      <c r="M34" s="92">
        <f t="shared" si="2"/>
        <v>68.181818181818173</v>
      </c>
      <c r="N34" s="125">
        <f t="shared" si="3"/>
        <v>90.909090909090907</v>
      </c>
      <c r="O34" s="91">
        <v>11.3</v>
      </c>
      <c r="P34" s="92">
        <v>0</v>
      </c>
      <c r="Q34" s="92">
        <v>39.700000000000003</v>
      </c>
      <c r="R34" s="93">
        <f t="shared" si="4"/>
        <v>51</v>
      </c>
      <c r="S34" s="73">
        <v>2</v>
      </c>
      <c r="T34" s="95">
        <v>40881</v>
      </c>
      <c r="U34" s="121">
        <v>40900</v>
      </c>
      <c r="V34" s="82" t="s">
        <v>112</v>
      </c>
      <c r="W34" s="73" t="s">
        <v>20</v>
      </c>
      <c r="X34" s="73" t="s">
        <v>12</v>
      </c>
      <c r="Y34" s="155">
        <v>39.700000000000003</v>
      </c>
      <c r="Z34" s="73" t="s">
        <v>1005</v>
      </c>
      <c r="AA34" s="73" t="s">
        <v>22</v>
      </c>
      <c r="AB34" s="73" t="s">
        <v>11</v>
      </c>
      <c r="AC34" s="92">
        <v>9.3000000000000007</v>
      </c>
      <c r="AD34" s="82" t="s">
        <v>1004</v>
      </c>
      <c r="AE34" s="73" t="s">
        <v>337</v>
      </c>
      <c r="AF34" s="73" t="s">
        <v>11</v>
      </c>
      <c r="AG34" s="155">
        <v>2</v>
      </c>
      <c r="AL34" s="82"/>
      <c r="AO34" s="83"/>
      <c r="AP34" s="82"/>
      <c r="AS34" s="83"/>
      <c r="AW34" s="83"/>
      <c r="BA34" s="84"/>
    </row>
    <row r="35" spans="1:53" s="73" customFormat="1">
      <c r="A35" s="73">
        <v>2012</v>
      </c>
      <c r="C35" s="988" t="s">
        <v>1195</v>
      </c>
      <c r="D35" s="988"/>
      <c r="E35" s="73">
        <v>0</v>
      </c>
      <c r="G35" s="123">
        <v>5</v>
      </c>
      <c r="H35" s="73">
        <v>0</v>
      </c>
      <c r="I35" s="73">
        <v>15</v>
      </c>
      <c r="J35" s="134">
        <v>22</v>
      </c>
      <c r="K35" s="92">
        <f t="shared" si="0"/>
        <v>22.727272727272727</v>
      </c>
      <c r="L35" s="92">
        <f t="shared" si="1"/>
        <v>0</v>
      </c>
      <c r="M35" s="92">
        <f t="shared" si="2"/>
        <v>68.181818181818173</v>
      </c>
      <c r="N35" s="125">
        <f t="shared" si="3"/>
        <v>90.909090909090907</v>
      </c>
      <c r="O35" s="91">
        <v>11.3</v>
      </c>
      <c r="P35" s="92">
        <v>0</v>
      </c>
      <c r="Q35" s="92">
        <v>39.700000000000003</v>
      </c>
      <c r="R35" s="93">
        <f t="shared" si="4"/>
        <v>51</v>
      </c>
      <c r="S35" s="73">
        <v>2</v>
      </c>
      <c r="T35" s="81"/>
      <c r="V35" s="82" t="s">
        <v>112</v>
      </c>
      <c r="W35" s="73" t="s">
        <v>20</v>
      </c>
      <c r="X35" s="73" t="s">
        <v>12</v>
      </c>
      <c r="Y35" s="155">
        <v>39.700000000000003</v>
      </c>
      <c r="Z35" s="73" t="s">
        <v>1005</v>
      </c>
      <c r="AA35" s="73" t="s">
        <v>22</v>
      </c>
      <c r="AB35" s="73" t="s">
        <v>11</v>
      </c>
      <c r="AC35" s="92">
        <v>9.3000000000000007</v>
      </c>
      <c r="AD35" s="82" t="s">
        <v>1004</v>
      </c>
      <c r="AE35" s="73" t="s">
        <v>337</v>
      </c>
      <c r="AF35" s="73" t="s">
        <v>11</v>
      </c>
      <c r="AG35" s="155">
        <v>2</v>
      </c>
      <c r="AL35" s="82"/>
      <c r="AO35" s="83"/>
      <c r="AP35" s="82"/>
      <c r="AS35" s="83"/>
      <c r="AW35" s="83"/>
      <c r="BA35" s="84"/>
    </row>
    <row r="36" spans="1:53" s="73" customFormat="1">
      <c r="A36" s="73">
        <v>2012</v>
      </c>
      <c r="B36" s="157"/>
      <c r="C36" s="988" t="s">
        <v>1195</v>
      </c>
      <c r="D36" s="988"/>
      <c r="E36" s="73">
        <v>366</v>
      </c>
      <c r="G36" s="123">
        <v>5</v>
      </c>
      <c r="H36" s="73">
        <v>0</v>
      </c>
      <c r="I36" s="73">
        <v>15</v>
      </c>
      <c r="J36" s="134">
        <v>22</v>
      </c>
      <c r="K36" s="92">
        <f t="shared" si="0"/>
        <v>22.727272727272727</v>
      </c>
      <c r="L36" s="92">
        <f t="shared" si="1"/>
        <v>0</v>
      </c>
      <c r="M36" s="92">
        <f t="shared" si="2"/>
        <v>68.181818181818173</v>
      </c>
      <c r="N36" s="125">
        <f t="shared" si="3"/>
        <v>90.909090909090907</v>
      </c>
      <c r="O36" s="91">
        <v>11.3</v>
      </c>
      <c r="P36" s="92">
        <v>0</v>
      </c>
      <c r="Q36" s="92">
        <v>39.700000000000003</v>
      </c>
      <c r="R36" s="93">
        <f t="shared" si="4"/>
        <v>51</v>
      </c>
      <c r="S36" s="73">
        <v>2</v>
      </c>
      <c r="T36" s="81"/>
      <c r="V36" s="82" t="s">
        <v>112</v>
      </c>
      <c r="W36" s="73" t="s">
        <v>20</v>
      </c>
      <c r="X36" s="73" t="s">
        <v>12</v>
      </c>
      <c r="Y36" s="155">
        <v>39.700000000000003</v>
      </c>
      <c r="Z36" s="73" t="s">
        <v>1005</v>
      </c>
      <c r="AA36" s="73" t="s">
        <v>22</v>
      </c>
      <c r="AB36" s="73" t="s">
        <v>11</v>
      </c>
      <c r="AC36" s="92">
        <v>9.3000000000000007</v>
      </c>
      <c r="AD36" s="82" t="s">
        <v>1004</v>
      </c>
      <c r="AE36" s="73" t="s">
        <v>337</v>
      </c>
      <c r="AF36" s="73" t="s">
        <v>11</v>
      </c>
      <c r="AG36" s="155">
        <v>2</v>
      </c>
      <c r="AL36" s="82"/>
      <c r="AO36" s="83"/>
      <c r="AP36" s="82"/>
      <c r="AS36" s="83"/>
      <c r="AW36" s="83"/>
      <c r="BA36" s="84"/>
    </row>
    <row r="37" spans="1:53" s="312" customFormat="1">
      <c r="A37" s="312">
        <v>2013</v>
      </c>
      <c r="B37" s="313"/>
      <c r="C37" s="988" t="s">
        <v>1195</v>
      </c>
      <c r="D37" s="988"/>
      <c r="E37" s="316">
        <v>181</v>
      </c>
      <c r="G37" s="123">
        <v>5</v>
      </c>
      <c r="H37" s="312">
        <v>0</v>
      </c>
      <c r="I37" s="312">
        <v>15</v>
      </c>
      <c r="J37" s="134">
        <v>22</v>
      </c>
      <c r="K37" s="92">
        <f t="shared" si="0"/>
        <v>22.727272727272727</v>
      </c>
      <c r="L37" s="92">
        <f t="shared" si="1"/>
        <v>0</v>
      </c>
      <c r="M37" s="92">
        <f t="shared" si="2"/>
        <v>68.181818181818173</v>
      </c>
      <c r="N37" s="125">
        <f t="shared" si="3"/>
        <v>90.909090909090907</v>
      </c>
      <c r="O37" s="91">
        <v>11.3</v>
      </c>
      <c r="P37" s="92">
        <v>0</v>
      </c>
      <c r="Q37" s="92">
        <v>39.700000000000003</v>
      </c>
      <c r="R37" s="93">
        <f t="shared" si="4"/>
        <v>51</v>
      </c>
      <c r="S37" s="312">
        <v>2</v>
      </c>
      <c r="T37" s="81"/>
      <c r="V37" s="82" t="s">
        <v>112</v>
      </c>
      <c r="W37" s="316" t="s">
        <v>20</v>
      </c>
      <c r="X37" s="316" t="s">
        <v>12</v>
      </c>
      <c r="Y37" s="155">
        <v>39.700000000000003</v>
      </c>
      <c r="Z37" s="316" t="s">
        <v>1005</v>
      </c>
      <c r="AA37" s="316" t="s">
        <v>22</v>
      </c>
      <c r="AB37" s="316" t="s">
        <v>11</v>
      </c>
      <c r="AC37" s="92">
        <v>9.3000000000000007</v>
      </c>
      <c r="AD37" s="82" t="s">
        <v>1004</v>
      </c>
      <c r="AE37" s="316" t="s">
        <v>337</v>
      </c>
      <c r="AF37" s="316" t="s">
        <v>11</v>
      </c>
      <c r="AG37" s="155">
        <v>2</v>
      </c>
      <c r="AL37" s="82"/>
      <c r="AO37" s="83"/>
      <c r="AP37" s="82"/>
      <c r="AS37" s="83"/>
      <c r="AW37" s="83"/>
      <c r="BA37" s="84"/>
    </row>
    <row r="38" spans="1:53" s="321" customFormat="1">
      <c r="A38" s="321">
        <v>2013</v>
      </c>
      <c r="B38" s="156">
        <v>41456</v>
      </c>
      <c r="C38" s="988" t="s">
        <v>1195</v>
      </c>
      <c r="D38" s="988"/>
      <c r="E38" s="321">
        <f>365-E37</f>
        <v>184</v>
      </c>
      <c r="F38" s="129">
        <v>0</v>
      </c>
      <c r="G38" s="123">
        <v>5</v>
      </c>
      <c r="H38" s="321">
        <v>0</v>
      </c>
      <c r="I38" s="321">
        <v>14</v>
      </c>
      <c r="J38" s="134">
        <v>21</v>
      </c>
      <c r="K38" s="92">
        <f>G38/J38*100</f>
        <v>23.809523809523807</v>
      </c>
      <c r="L38" s="92">
        <f>H38/J38*100</f>
        <v>0</v>
      </c>
      <c r="M38" s="92">
        <f>I38/J38*100</f>
        <v>66.666666666666657</v>
      </c>
      <c r="N38" s="125">
        <f>SUM(K38:M38)</f>
        <v>90.476190476190467</v>
      </c>
      <c r="O38" s="91">
        <v>11.3</v>
      </c>
      <c r="P38" s="92">
        <v>0</v>
      </c>
      <c r="Q38" s="92">
        <v>39.700000000000003</v>
      </c>
      <c r="R38" s="93">
        <f t="shared" si="4"/>
        <v>51</v>
      </c>
      <c r="S38" s="321">
        <v>2</v>
      </c>
      <c r="T38" s="81"/>
      <c r="V38" s="82" t="s">
        <v>112</v>
      </c>
      <c r="W38" s="321" t="s">
        <v>20</v>
      </c>
      <c r="X38" s="321" t="s">
        <v>12</v>
      </c>
      <c r="Y38" s="155">
        <v>39.700000000000003</v>
      </c>
      <c r="Z38" s="321" t="s">
        <v>1005</v>
      </c>
      <c r="AA38" s="321" t="s">
        <v>22</v>
      </c>
      <c r="AB38" s="321" t="s">
        <v>11</v>
      </c>
      <c r="AC38" s="92">
        <v>9.3000000000000007</v>
      </c>
      <c r="AD38" s="82" t="s">
        <v>1004</v>
      </c>
      <c r="AE38" s="321" t="s">
        <v>337</v>
      </c>
      <c r="AF38" s="321" t="s">
        <v>11</v>
      </c>
      <c r="AG38" s="155">
        <v>2</v>
      </c>
      <c r="AH38" s="82"/>
      <c r="AK38" s="92"/>
      <c r="AL38" s="82"/>
      <c r="AO38" s="155"/>
      <c r="AP38" s="82"/>
      <c r="AS38" s="83"/>
      <c r="AW38" s="83"/>
      <c r="BA38" s="84"/>
    </row>
    <row r="39" spans="1:53" s="518" customFormat="1">
      <c r="A39" s="518">
        <v>2014</v>
      </c>
      <c r="B39" s="156"/>
      <c r="C39" s="988" t="s">
        <v>1195</v>
      </c>
      <c r="D39" s="988"/>
      <c r="E39" s="518">
        <v>168</v>
      </c>
      <c r="F39" s="129"/>
      <c r="G39" s="480">
        <v>5</v>
      </c>
      <c r="H39" s="518">
        <v>0</v>
      </c>
      <c r="I39" s="518">
        <v>14</v>
      </c>
      <c r="J39" s="482">
        <v>21</v>
      </c>
      <c r="K39" s="477">
        <f>G39/J39*100</f>
        <v>23.809523809523807</v>
      </c>
      <c r="L39" s="477">
        <f>H39/J39*100</f>
        <v>0</v>
      </c>
      <c r="M39" s="477">
        <f>I39/J39*100</f>
        <v>66.666666666666657</v>
      </c>
      <c r="N39" s="481">
        <f>SUM(K39:M39)</f>
        <v>90.476190476190467</v>
      </c>
      <c r="O39" s="476">
        <v>11.3</v>
      </c>
      <c r="P39" s="477">
        <v>0</v>
      </c>
      <c r="Q39" s="477">
        <v>39.700000000000003</v>
      </c>
      <c r="R39" s="478">
        <f t="shared" si="4"/>
        <v>51</v>
      </c>
      <c r="S39" s="518">
        <v>2</v>
      </c>
      <c r="T39" s="471"/>
      <c r="V39" s="472" t="s">
        <v>112</v>
      </c>
      <c r="W39" s="518" t="s">
        <v>20</v>
      </c>
      <c r="X39" s="518" t="s">
        <v>12</v>
      </c>
      <c r="Y39" s="485">
        <v>39.700000000000003</v>
      </c>
      <c r="Z39" s="518" t="s">
        <v>1005</v>
      </c>
      <c r="AA39" s="518" t="s">
        <v>22</v>
      </c>
      <c r="AB39" s="518" t="s">
        <v>11</v>
      </c>
      <c r="AC39" s="477">
        <v>9.3000000000000007</v>
      </c>
      <c r="AD39" s="472" t="s">
        <v>1004</v>
      </c>
      <c r="AE39" s="518" t="s">
        <v>337</v>
      </c>
      <c r="AF39" s="518" t="s">
        <v>11</v>
      </c>
      <c r="AG39" s="485">
        <v>2</v>
      </c>
      <c r="AH39" s="472"/>
      <c r="AK39" s="477"/>
      <c r="AL39" s="472"/>
      <c r="AO39" s="485"/>
      <c r="AP39" s="472"/>
      <c r="AS39" s="473"/>
      <c r="AW39" s="473"/>
      <c r="BA39" s="474"/>
    </row>
    <row r="40" spans="1:53" s="518" customFormat="1">
      <c r="A40" s="518">
        <v>2014</v>
      </c>
      <c r="B40" s="156">
        <v>41808</v>
      </c>
      <c r="C40" s="988" t="s">
        <v>1195</v>
      </c>
      <c r="D40" s="988"/>
      <c r="E40" s="518">
        <v>197</v>
      </c>
      <c r="F40" s="129">
        <v>0</v>
      </c>
      <c r="G40" s="480">
        <v>5</v>
      </c>
      <c r="H40" s="518">
        <v>0</v>
      </c>
      <c r="I40" s="518">
        <v>13</v>
      </c>
      <c r="J40" s="482">
        <v>21</v>
      </c>
      <c r="K40" s="477">
        <f>G40/J40*100</f>
        <v>23.809523809523807</v>
      </c>
      <c r="L40" s="477">
        <f>H40/J40*100</f>
        <v>0</v>
      </c>
      <c r="M40" s="477">
        <f>I40/J40*100</f>
        <v>61.904761904761905</v>
      </c>
      <c r="N40" s="481">
        <f>SUM(K40:M40)</f>
        <v>85.714285714285708</v>
      </c>
      <c r="O40" s="476">
        <v>11.3</v>
      </c>
      <c r="P40" s="477">
        <v>0</v>
      </c>
      <c r="Q40" s="477">
        <v>39.700000000000003</v>
      </c>
      <c r="R40" s="478">
        <f>SUM(O40:Q40)</f>
        <v>51</v>
      </c>
      <c r="S40" s="518">
        <v>2</v>
      </c>
      <c r="T40" s="471"/>
      <c r="V40" s="472" t="s">
        <v>112</v>
      </c>
      <c r="W40" s="518" t="s">
        <v>20</v>
      </c>
      <c r="X40" s="518" t="s">
        <v>12</v>
      </c>
      <c r="Y40" s="485">
        <v>39.700000000000003</v>
      </c>
      <c r="Z40" s="518" t="s">
        <v>1005</v>
      </c>
      <c r="AA40" s="518" t="s">
        <v>22</v>
      </c>
      <c r="AB40" s="518" t="s">
        <v>11</v>
      </c>
      <c r="AC40" s="477">
        <v>9.3000000000000007</v>
      </c>
      <c r="AD40" s="472" t="s">
        <v>1004</v>
      </c>
      <c r="AE40" s="518" t="s">
        <v>337</v>
      </c>
      <c r="AF40" s="518" t="s">
        <v>11</v>
      </c>
      <c r="AG40" s="485">
        <v>2</v>
      </c>
      <c r="AH40" s="472"/>
      <c r="AK40" s="477"/>
      <c r="AL40" s="472"/>
      <c r="AO40" s="485"/>
      <c r="AP40" s="472"/>
      <c r="AS40" s="473"/>
      <c r="AW40" s="473"/>
      <c r="BA40" s="474"/>
    </row>
    <row r="41" spans="1:53" s="693" customFormat="1">
      <c r="A41" s="693">
        <v>2015</v>
      </c>
      <c r="B41" s="156"/>
      <c r="C41" s="988" t="s">
        <v>1195</v>
      </c>
      <c r="D41" s="988"/>
      <c r="E41" s="693">
        <v>113</v>
      </c>
      <c r="F41" s="129"/>
      <c r="G41" s="596">
        <v>5</v>
      </c>
      <c r="H41" s="693">
        <v>0</v>
      </c>
      <c r="I41" s="693">
        <v>13</v>
      </c>
      <c r="J41" s="598">
        <v>21</v>
      </c>
      <c r="K41" s="593">
        <f t="shared" ref="K41:K43" si="5">G41/J41*100</f>
        <v>23.809523809523807</v>
      </c>
      <c r="L41" s="593">
        <f t="shared" ref="L41:L43" si="6">H41/J41*100</f>
        <v>0</v>
      </c>
      <c r="M41" s="593">
        <f t="shared" ref="M41:M43" si="7">I41/J41*100</f>
        <v>61.904761904761905</v>
      </c>
      <c r="N41" s="597">
        <f t="shared" ref="N41:N43" si="8">SUM(K41:M41)</f>
        <v>85.714285714285708</v>
      </c>
      <c r="O41" s="592">
        <v>11.3</v>
      </c>
      <c r="P41" s="593">
        <v>0</v>
      </c>
      <c r="Q41" s="593">
        <v>39.700000000000003</v>
      </c>
      <c r="R41" s="594">
        <f t="shared" ref="R41:R43" si="9">SUM(O41:Q41)</f>
        <v>51</v>
      </c>
      <c r="S41" s="693">
        <v>2</v>
      </c>
      <c r="T41" s="575"/>
      <c r="V41" s="588" t="s">
        <v>112</v>
      </c>
      <c r="W41" s="697" t="s">
        <v>20</v>
      </c>
      <c r="X41" s="697" t="s">
        <v>12</v>
      </c>
      <c r="Y41" s="485">
        <v>39.700000000000003</v>
      </c>
      <c r="Z41" s="697" t="s">
        <v>1005</v>
      </c>
      <c r="AA41" s="697" t="s">
        <v>22</v>
      </c>
      <c r="AB41" s="697" t="s">
        <v>11</v>
      </c>
      <c r="AC41" s="593">
        <v>9.3000000000000007</v>
      </c>
      <c r="AD41" s="588" t="s">
        <v>1004</v>
      </c>
      <c r="AE41" s="697" t="s">
        <v>337</v>
      </c>
      <c r="AF41" s="697" t="s">
        <v>11</v>
      </c>
      <c r="AG41" s="485">
        <v>2</v>
      </c>
      <c r="AH41" s="588"/>
      <c r="AK41" s="593"/>
      <c r="AL41" s="588"/>
      <c r="AO41" s="485"/>
      <c r="AP41" s="588"/>
      <c r="AS41" s="589"/>
      <c r="AW41" s="589"/>
      <c r="BA41" s="590"/>
    </row>
    <row r="42" spans="1:53" s="693" customFormat="1">
      <c r="A42" s="693">
        <v>2015</v>
      </c>
      <c r="B42" s="156">
        <v>42118</v>
      </c>
      <c r="C42" s="988" t="s">
        <v>1195</v>
      </c>
      <c r="D42" s="988"/>
      <c r="E42" s="693">
        <v>198</v>
      </c>
      <c r="F42" s="129">
        <v>0</v>
      </c>
      <c r="G42" s="596">
        <v>4</v>
      </c>
      <c r="H42" s="693">
        <v>0</v>
      </c>
      <c r="I42" s="693">
        <v>13</v>
      </c>
      <c r="J42" s="598">
        <v>21</v>
      </c>
      <c r="K42" s="593">
        <f t="shared" si="5"/>
        <v>19.047619047619047</v>
      </c>
      <c r="L42" s="593">
        <f t="shared" si="6"/>
        <v>0</v>
      </c>
      <c r="M42" s="593">
        <f t="shared" si="7"/>
        <v>61.904761904761905</v>
      </c>
      <c r="N42" s="597">
        <f t="shared" si="8"/>
        <v>80.952380952380949</v>
      </c>
      <c r="O42" s="592">
        <v>11.3</v>
      </c>
      <c r="P42" s="593">
        <v>0</v>
      </c>
      <c r="Q42" s="593">
        <v>39.700000000000003</v>
      </c>
      <c r="R42" s="594">
        <f t="shared" si="9"/>
        <v>51</v>
      </c>
      <c r="S42" s="693">
        <v>2</v>
      </c>
      <c r="T42" s="575"/>
      <c r="V42" s="588" t="s">
        <v>112</v>
      </c>
      <c r="W42" s="697" t="s">
        <v>20</v>
      </c>
      <c r="X42" s="697" t="s">
        <v>12</v>
      </c>
      <c r="Y42" s="485">
        <v>39.700000000000003</v>
      </c>
      <c r="Z42" s="697" t="s">
        <v>1005</v>
      </c>
      <c r="AA42" s="697" t="s">
        <v>22</v>
      </c>
      <c r="AB42" s="697" t="s">
        <v>11</v>
      </c>
      <c r="AC42" s="593">
        <v>9.3000000000000007</v>
      </c>
      <c r="AD42" s="588" t="s">
        <v>1004</v>
      </c>
      <c r="AE42" s="697" t="s">
        <v>337</v>
      </c>
      <c r="AF42" s="697" t="s">
        <v>11</v>
      </c>
      <c r="AG42" s="485">
        <v>2</v>
      </c>
      <c r="AH42" s="588"/>
      <c r="AK42" s="593"/>
      <c r="AL42" s="588"/>
      <c r="AO42" s="485"/>
      <c r="AP42" s="588"/>
      <c r="AS42" s="589"/>
      <c r="AW42" s="589"/>
      <c r="BA42" s="590"/>
    </row>
    <row r="43" spans="1:53" s="768" customFormat="1">
      <c r="A43" s="768">
        <v>2015</v>
      </c>
      <c r="B43" s="335">
        <v>42316</v>
      </c>
      <c r="C43" s="992" t="s">
        <v>1329</v>
      </c>
      <c r="D43" s="992"/>
      <c r="E43" s="768">
        <v>54</v>
      </c>
      <c r="F43" s="768">
        <v>1</v>
      </c>
      <c r="G43" s="642">
        <v>4</v>
      </c>
      <c r="H43" s="768">
        <v>0</v>
      </c>
      <c r="I43" s="768">
        <v>13</v>
      </c>
      <c r="J43" s="644">
        <v>21</v>
      </c>
      <c r="K43" s="640">
        <f t="shared" si="5"/>
        <v>19.047619047619047</v>
      </c>
      <c r="L43" s="640">
        <f t="shared" si="6"/>
        <v>0</v>
      </c>
      <c r="M43" s="640">
        <f t="shared" si="7"/>
        <v>61.904761904761905</v>
      </c>
      <c r="N43" s="643">
        <f t="shared" si="8"/>
        <v>80.952380952380949</v>
      </c>
      <c r="O43" s="639">
        <v>9.1999999999999993</v>
      </c>
      <c r="P43" s="640">
        <v>0</v>
      </c>
      <c r="Q43" s="640">
        <v>37.1</v>
      </c>
      <c r="R43" s="641">
        <f t="shared" si="9"/>
        <v>46.3</v>
      </c>
      <c r="S43" s="768">
        <v>5</v>
      </c>
      <c r="T43" s="487">
        <v>42316</v>
      </c>
      <c r="U43" s="335">
        <v>42316</v>
      </c>
      <c r="V43" s="634" t="s">
        <v>112</v>
      </c>
      <c r="W43" s="768" t="s">
        <v>20</v>
      </c>
      <c r="X43" s="768" t="s">
        <v>12</v>
      </c>
      <c r="Y43" s="389">
        <v>37.1</v>
      </c>
      <c r="Z43" s="768" t="s">
        <v>1005</v>
      </c>
      <c r="AA43" s="768" t="s">
        <v>22</v>
      </c>
      <c r="AB43" s="768" t="s">
        <v>11</v>
      </c>
      <c r="AC43" s="640">
        <v>7.9</v>
      </c>
      <c r="AD43" s="634" t="s">
        <v>1004</v>
      </c>
      <c r="AE43" s="768" t="s">
        <v>337</v>
      </c>
      <c r="AF43" s="768" t="s">
        <v>11</v>
      </c>
      <c r="AG43" s="503">
        <v>1.3</v>
      </c>
      <c r="AL43" s="634"/>
      <c r="AO43" s="635"/>
      <c r="AP43" s="634"/>
      <c r="AS43" s="635"/>
      <c r="AW43" s="635"/>
      <c r="BA43" s="636"/>
    </row>
    <row r="44" spans="1:53" s="785" customFormat="1">
      <c r="A44" s="785">
        <v>2016</v>
      </c>
      <c r="B44" s="335"/>
      <c r="C44" s="992" t="s">
        <v>1329</v>
      </c>
      <c r="D44" s="992"/>
      <c r="E44" s="785">
        <v>21</v>
      </c>
      <c r="G44" s="642">
        <v>4</v>
      </c>
      <c r="H44" s="785">
        <v>0</v>
      </c>
      <c r="I44" s="785">
        <v>13</v>
      </c>
      <c r="J44" s="644">
        <v>21</v>
      </c>
      <c r="K44" s="640">
        <f t="shared" ref="K44:K45" si="10">G44/J44*100</f>
        <v>19.047619047619047</v>
      </c>
      <c r="L44" s="640">
        <f t="shared" ref="L44:L45" si="11">H44/J44*100</f>
        <v>0</v>
      </c>
      <c r="M44" s="640">
        <f t="shared" ref="M44:M45" si="12">I44/J44*100</f>
        <v>61.904761904761905</v>
      </c>
      <c r="N44" s="643">
        <f t="shared" ref="N44:N45" si="13">SUM(K44:M44)</f>
        <v>80.952380952380949</v>
      </c>
      <c r="O44" s="639">
        <v>9.1999999999999993</v>
      </c>
      <c r="P44" s="640">
        <v>0</v>
      </c>
      <c r="Q44" s="640">
        <v>37.1</v>
      </c>
      <c r="R44" s="641">
        <f t="shared" ref="R44:R45" si="14">SUM(O44:Q44)</f>
        <v>46.3</v>
      </c>
      <c r="S44" s="785">
        <v>5</v>
      </c>
      <c r="T44" s="487"/>
      <c r="U44" s="335"/>
      <c r="V44" s="634" t="s">
        <v>112</v>
      </c>
      <c r="W44" s="785" t="s">
        <v>20</v>
      </c>
      <c r="X44" s="785" t="s">
        <v>12</v>
      </c>
      <c r="Y44" s="503">
        <v>37.1</v>
      </c>
      <c r="Z44" s="785" t="s">
        <v>1005</v>
      </c>
      <c r="AA44" s="785" t="s">
        <v>22</v>
      </c>
      <c r="AB44" s="785" t="s">
        <v>11</v>
      </c>
      <c r="AC44" s="640">
        <v>7.9</v>
      </c>
      <c r="AD44" s="634" t="s">
        <v>1004</v>
      </c>
      <c r="AE44" s="785" t="s">
        <v>337</v>
      </c>
      <c r="AF44" s="785" t="s">
        <v>11</v>
      </c>
      <c r="AG44" s="503">
        <v>1.3</v>
      </c>
    </row>
    <row r="45" spans="1:53" s="782" customFormat="1">
      <c r="A45" s="782">
        <v>2016</v>
      </c>
      <c r="B45" s="121">
        <v>42391</v>
      </c>
      <c r="C45" s="988" t="s">
        <v>1350</v>
      </c>
      <c r="D45" s="988"/>
      <c r="E45" s="782">
        <v>271</v>
      </c>
      <c r="F45" s="782">
        <v>1</v>
      </c>
      <c r="G45" s="596">
        <v>5</v>
      </c>
      <c r="H45" s="782">
        <v>12</v>
      </c>
      <c r="I45" s="782">
        <v>0</v>
      </c>
      <c r="J45" s="598">
        <v>23</v>
      </c>
      <c r="K45" s="592">
        <f t="shared" si="10"/>
        <v>21.739130434782609</v>
      </c>
      <c r="L45" s="593">
        <f t="shared" si="11"/>
        <v>52.173913043478258</v>
      </c>
      <c r="M45" s="593">
        <f t="shared" si="12"/>
        <v>0</v>
      </c>
      <c r="N45" s="594">
        <f t="shared" si="13"/>
        <v>73.913043478260875</v>
      </c>
      <c r="O45" s="592">
        <v>9.9</v>
      </c>
      <c r="P45" s="593">
        <v>32.5</v>
      </c>
      <c r="Q45" s="593">
        <v>0</v>
      </c>
      <c r="R45" s="594">
        <f t="shared" si="14"/>
        <v>42.4</v>
      </c>
      <c r="S45" s="575">
        <v>5</v>
      </c>
      <c r="T45" s="595"/>
      <c r="U45" s="121">
        <v>42391</v>
      </c>
      <c r="V45" s="588" t="s">
        <v>1009</v>
      </c>
      <c r="W45" s="782" t="s">
        <v>17</v>
      </c>
      <c r="X45" s="782" t="s">
        <v>18</v>
      </c>
      <c r="Y45" s="485">
        <v>32.5</v>
      </c>
      <c r="Z45" s="896" t="s">
        <v>1352</v>
      </c>
      <c r="AA45" s="782" t="s">
        <v>100</v>
      </c>
      <c r="AB45" s="871" t="s">
        <v>11</v>
      </c>
      <c r="AC45" s="485">
        <v>9.9</v>
      </c>
      <c r="AG45" s="593"/>
    </row>
    <row r="46" spans="1:53" s="786" customFormat="1">
      <c r="A46" s="786">
        <v>2016</v>
      </c>
      <c r="B46" s="780">
        <v>42662</v>
      </c>
      <c r="C46" s="992" t="s">
        <v>1351</v>
      </c>
      <c r="D46" s="992"/>
      <c r="E46" s="785">
        <v>74</v>
      </c>
      <c r="F46" s="823">
        <v>5</v>
      </c>
      <c r="G46" s="642">
        <v>4</v>
      </c>
      <c r="H46" s="785">
        <v>14</v>
      </c>
      <c r="I46" s="785">
        <v>0</v>
      </c>
      <c r="J46" s="636">
        <v>21</v>
      </c>
      <c r="K46" s="640">
        <f>G46/J46*100</f>
        <v>19.047619047619047</v>
      </c>
      <c r="L46" s="640">
        <f>H46/J46*100</f>
        <v>66.666666666666657</v>
      </c>
      <c r="M46" s="640">
        <f>I46/J46*100</f>
        <v>0</v>
      </c>
      <c r="N46" s="643">
        <f>SUM(K46:M46)</f>
        <v>85.714285714285708</v>
      </c>
      <c r="O46" s="642">
        <v>9.3000000000000007</v>
      </c>
      <c r="P46" s="785">
        <v>37.1</v>
      </c>
      <c r="Q46" s="785">
        <v>0</v>
      </c>
      <c r="R46" s="636">
        <f>SUM(O46:Q46)</f>
        <v>46.400000000000006</v>
      </c>
      <c r="S46" s="638">
        <v>5</v>
      </c>
      <c r="T46" s="487">
        <v>42624</v>
      </c>
      <c r="U46" s="793">
        <v>42662</v>
      </c>
      <c r="V46" s="634" t="s">
        <v>1009</v>
      </c>
      <c r="W46" s="786" t="s">
        <v>17</v>
      </c>
      <c r="X46" s="786" t="s">
        <v>18</v>
      </c>
      <c r="Y46" s="503">
        <v>37.1</v>
      </c>
      <c r="Z46" s="895" t="s">
        <v>1352</v>
      </c>
      <c r="AA46" s="786" t="s">
        <v>100</v>
      </c>
      <c r="AB46" s="872" t="s">
        <v>11</v>
      </c>
      <c r="AC46" s="786">
        <v>9.3000000000000007</v>
      </c>
      <c r="AD46" s="634"/>
    </row>
    <row r="47" spans="1:53" s="897" customFormat="1">
      <c r="A47" s="897">
        <v>2017</v>
      </c>
      <c r="B47" s="893"/>
      <c r="C47" s="992" t="s">
        <v>1351</v>
      </c>
      <c r="D47" s="992"/>
      <c r="E47" s="895">
        <v>159</v>
      </c>
      <c r="F47" s="895"/>
      <c r="G47" s="642">
        <v>4</v>
      </c>
      <c r="H47" s="895">
        <v>14</v>
      </c>
      <c r="I47" s="895">
        <v>0</v>
      </c>
      <c r="J47" s="636">
        <v>21</v>
      </c>
      <c r="K47" s="639">
        <f t="shared" ref="K47" si="15">G47/J47*100</f>
        <v>19.047619047619047</v>
      </c>
      <c r="L47" s="640">
        <f t="shared" ref="L47" si="16">H47/J47*100</f>
        <v>66.666666666666657</v>
      </c>
      <c r="M47" s="640">
        <f t="shared" ref="M47" si="17">I47/J47*100</f>
        <v>0</v>
      </c>
      <c r="N47" s="641">
        <f t="shared" ref="N47" si="18">SUM(K47:M47)</f>
        <v>85.714285714285708</v>
      </c>
      <c r="O47" s="642">
        <v>9.3000000000000007</v>
      </c>
      <c r="P47" s="895">
        <v>37.1</v>
      </c>
      <c r="Q47" s="895">
        <v>0</v>
      </c>
      <c r="R47" s="636">
        <f t="shared" ref="R47" si="19">SUM(O47:Q47)</f>
        <v>46.400000000000006</v>
      </c>
      <c r="S47" s="638">
        <v>5</v>
      </c>
      <c r="T47" s="487"/>
      <c r="U47" s="893"/>
      <c r="V47" s="634" t="s">
        <v>1009</v>
      </c>
      <c r="W47" s="897" t="s">
        <v>17</v>
      </c>
      <c r="X47" s="897" t="s">
        <v>18</v>
      </c>
      <c r="Y47" s="503">
        <v>37.1</v>
      </c>
      <c r="Z47" s="895" t="s">
        <v>1352</v>
      </c>
      <c r="AA47" s="897" t="s">
        <v>100</v>
      </c>
      <c r="AB47" s="895" t="s">
        <v>11</v>
      </c>
      <c r="AC47" s="897">
        <v>9.3000000000000007</v>
      </c>
      <c r="AD47" s="634"/>
    </row>
    <row r="48" spans="1:53" s="924" customFormat="1">
      <c r="A48" s="924">
        <v>2017</v>
      </c>
      <c r="B48" s="121">
        <v>42895</v>
      </c>
      <c r="C48" s="988" t="s">
        <v>1404</v>
      </c>
      <c r="D48" s="988"/>
      <c r="E48" s="924">
        <v>206</v>
      </c>
      <c r="F48" s="924">
        <v>7</v>
      </c>
      <c r="G48" s="596">
        <v>1</v>
      </c>
      <c r="H48" s="924">
        <v>18</v>
      </c>
      <c r="I48" s="924">
        <v>0</v>
      </c>
      <c r="J48" s="598">
        <v>21</v>
      </c>
      <c r="K48" s="592">
        <f>G48/J48*100</f>
        <v>4.7619047619047619</v>
      </c>
      <c r="L48" s="593">
        <f>H48/J48*100</f>
        <v>85.714285714285708</v>
      </c>
      <c r="M48" s="593">
        <f>I48/J48*100</f>
        <v>0</v>
      </c>
      <c r="N48" s="594">
        <f>SUM(K48:M48)</f>
        <v>90.476190476190467</v>
      </c>
      <c r="O48" s="592">
        <v>3.3</v>
      </c>
      <c r="P48" s="593">
        <v>37.1</v>
      </c>
      <c r="Q48" s="593">
        <v>0</v>
      </c>
      <c r="R48" s="594">
        <f>SUM(O48:Q48)</f>
        <v>40.4</v>
      </c>
      <c r="S48" s="575">
        <v>5</v>
      </c>
      <c r="T48" s="595"/>
      <c r="U48" s="121">
        <v>42895</v>
      </c>
      <c r="V48" s="588" t="s">
        <v>1009</v>
      </c>
      <c r="W48" s="924" t="s">
        <v>17</v>
      </c>
      <c r="X48" s="924" t="s">
        <v>18</v>
      </c>
      <c r="Y48" s="485">
        <v>37.1</v>
      </c>
      <c r="Z48" s="924" t="s">
        <v>1005</v>
      </c>
      <c r="AA48" s="924" t="s">
        <v>22</v>
      </c>
      <c r="AB48" s="924" t="s">
        <v>11</v>
      </c>
      <c r="AC48" s="485">
        <v>3.3</v>
      </c>
      <c r="AG48" s="593"/>
    </row>
    <row r="49" spans="1:33" s="933" customFormat="1">
      <c r="A49" s="933">
        <v>2018</v>
      </c>
      <c r="B49" s="121"/>
      <c r="C49" s="988" t="s">
        <v>1404</v>
      </c>
      <c r="D49" s="988"/>
      <c r="E49" s="933">
        <v>0</v>
      </c>
      <c r="G49" s="596">
        <v>1</v>
      </c>
      <c r="H49" s="933">
        <v>18</v>
      </c>
      <c r="I49" s="933">
        <v>0</v>
      </c>
      <c r="J49" s="598">
        <v>21</v>
      </c>
      <c r="K49" s="592">
        <f t="shared" ref="K49:K50" si="20">G49/J49*100</f>
        <v>4.7619047619047619</v>
      </c>
      <c r="L49" s="593">
        <f t="shared" ref="L49:L50" si="21">H49/J49*100</f>
        <v>85.714285714285708</v>
      </c>
      <c r="M49" s="593">
        <f t="shared" ref="M49:M50" si="22">I49/J49*100</f>
        <v>0</v>
      </c>
      <c r="N49" s="594">
        <f t="shared" ref="N49:N50" si="23">SUM(K49:M49)</f>
        <v>90.476190476190467</v>
      </c>
      <c r="O49" s="592">
        <v>3.3</v>
      </c>
      <c r="P49" s="593">
        <v>37.1</v>
      </c>
      <c r="Q49" s="593">
        <v>0</v>
      </c>
      <c r="R49" s="594">
        <f>SUM(O49:Q49)</f>
        <v>40.4</v>
      </c>
      <c r="S49" s="575">
        <v>5</v>
      </c>
      <c r="T49" s="595"/>
      <c r="U49" s="121"/>
      <c r="V49" s="588" t="s">
        <v>1009</v>
      </c>
      <c r="W49" s="933" t="s">
        <v>17</v>
      </c>
      <c r="X49" s="933" t="s">
        <v>18</v>
      </c>
      <c r="Y49" s="485">
        <v>37.1</v>
      </c>
      <c r="Z49" s="933" t="s">
        <v>1005</v>
      </c>
      <c r="AA49" s="933" t="s">
        <v>22</v>
      </c>
      <c r="AB49" s="933" t="s">
        <v>11</v>
      </c>
      <c r="AC49" s="485">
        <v>3.3</v>
      </c>
      <c r="AG49" s="593"/>
    </row>
    <row r="50" spans="1:33" s="933" customFormat="1">
      <c r="A50" s="933">
        <v>2018</v>
      </c>
      <c r="B50" s="121"/>
      <c r="C50" s="988" t="s">
        <v>1404</v>
      </c>
      <c r="D50" s="988"/>
      <c r="E50" s="933">
        <v>365</v>
      </c>
      <c r="G50" s="596">
        <v>1</v>
      </c>
      <c r="H50" s="933">
        <v>18</v>
      </c>
      <c r="I50" s="933">
        <v>0</v>
      </c>
      <c r="J50" s="598">
        <v>21</v>
      </c>
      <c r="K50" s="592">
        <f t="shared" si="20"/>
        <v>4.7619047619047619</v>
      </c>
      <c r="L50" s="593">
        <f t="shared" si="21"/>
        <v>85.714285714285708</v>
      </c>
      <c r="M50" s="593">
        <f t="shared" si="22"/>
        <v>0</v>
      </c>
      <c r="N50" s="594">
        <f t="shared" si="23"/>
        <v>90.476190476190467</v>
      </c>
      <c r="O50" s="592">
        <v>3.3</v>
      </c>
      <c r="P50" s="593">
        <v>37.1</v>
      </c>
      <c r="Q50" s="593">
        <v>0</v>
      </c>
      <c r="R50" s="594">
        <f>SUM(O50:Q50)</f>
        <v>40.4</v>
      </c>
      <c r="S50" s="575">
        <v>5</v>
      </c>
      <c r="T50" s="595"/>
      <c r="U50" s="121"/>
      <c r="V50" s="588" t="s">
        <v>1009</v>
      </c>
      <c r="W50" s="933" t="s">
        <v>17</v>
      </c>
      <c r="X50" s="933" t="s">
        <v>18</v>
      </c>
      <c r="Y50" s="485">
        <v>37.1</v>
      </c>
      <c r="Z50" s="933" t="s">
        <v>1005</v>
      </c>
      <c r="AA50" s="933" t="s">
        <v>22</v>
      </c>
      <c r="AB50" s="933" t="s">
        <v>11</v>
      </c>
      <c r="AC50" s="485">
        <v>3.3</v>
      </c>
      <c r="AG50" s="593"/>
    </row>
    <row r="51" spans="1:33" s="933" customFormat="1">
      <c r="B51" s="121"/>
      <c r="C51" s="988"/>
      <c r="D51" s="988"/>
      <c r="G51" s="596"/>
      <c r="J51" s="598"/>
      <c r="K51" s="592"/>
      <c r="L51" s="593"/>
      <c r="M51" s="593"/>
      <c r="N51" s="594"/>
      <c r="O51" s="592"/>
      <c r="P51" s="593"/>
      <c r="Q51" s="593"/>
      <c r="R51" s="594"/>
      <c r="S51" s="575"/>
      <c r="T51" s="595"/>
      <c r="U51" s="121"/>
      <c r="V51" s="588"/>
      <c r="Y51" s="485"/>
      <c r="AC51" s="485"/>
      <c r="AG51" s="593"/>
    </row>
    <row r="52" spans="1:33" s="2" customFormat="1" ht="18" customHeight="1">
      <c r="B52" s="22" t="s">
        <v>1278</v>
      </c>
    </row>
    <row r="53" spans="1:33" s="2" customFormat="1" ht="9" customHeight="1"/>
    <row r="54" spans="1:33" s="364" customFormat="1" ht="9" customHeight="1">
      <c r="A54" s="362"/>
      <c r="B54" s="363" t="s">
        <v>1229</v>
      </c>
      <c r="C54" s="363"/>
      <c r="D54" s="363"/>
      <c r="E54" s="363"/>
      <c r="F54" s="363"/>
      <c r="G54" s="363" t="s">
        <v>1230</v>
      </c>
      <c r="H54" s="363"/>
      <c r="I54" s="363"/>
      <c r="J54" s="363"/>
      <c r="K54" s="363"/>
      <c r="L54" s="363"/>
      <c r="M54" s="363"/>
      <c r="N54" s="363"/>
      <c r="R54" s="982" t="s">
        <v>1231</v>
      </c>
      <c r="S54" s="982"/>
      <c r="T54" s="982"/>
      <c r="U54" s="982"/>
      <c r="V54" s="982"/>
      <c r="W54" s="982"/>
      <c r="X54" s="365"/>
      <c r="Y54" s="365"/>
      <c r="AA54" s="365"/>
      <c r="AB54" s="365"/>
      <c r="AC54" s="365"/>
      <c r="AD54" s="365"/>
    </row>
    <row r="55" spans="1:33" s="369" customFormat="1" ht="9" customHeight="1">
      <c r="A55" s="366"/>
      <c r="B55" s="367" t="s">
        <v>1233</v>
      </c>
      <c r="C55" s="368"/>
      <c r="D55" s="368"/>
      <c r="E55" s="368"/>
      <c r="F55" s="368"/>
      <c r="G55" s="367" t="s">
        <v>1232</v>
      </c>
      <c r="H55" s="368"/>
      <c r="I55" s="368"/>
      <c r="J55" s="368"/>
      <c r="K55" s="368"/>
      <c r="L55" s="368"/>
      <c r="M55" s="368"/>
      <c r="N55" s="368"/>
      <c r="R55" s="370" t="s">
        <v>1234</v>
      </c>
      <c r="S55" s="371"/>
      <c r="T55" s="372"/>
      <c r="U55" s="372"/>
      <c r="V55" s="372"/>
      <c r="W55" s="370" t="s">
        <v>1235</v>
      </c>
      <c r="X55" s="372"/>
      <c r="Y55" s="372"/>
      <c r="AA55" s="372"/>
      <c r="AB55" s="372"/>
      <c r="AC55" s="372"/>
      <c r="AD55" s="372"/>
    </row>
    <row r="56" spans="1:33" s="351" customFormat="1" ht="12" customHeight="1">
      <c r="A56" s="373" t="s">
        <v>3</v>
      </c>
      <c r="B56" s="374" t="s">
        <v>8</v>
      </c>
      <c r="C56" s="374" t="s">
        <v>9</v>
      </c>
      <c r="D56" s="374" t="s">
        <v>10</v>
      </c>
      <c r="E56" s="375" t="s">
        <v>1209</v>
      </c>
      <c r="F56" s="374"/>
      <c r="G56" s="351" t="s">
        <v>3</v>
      </c>
      <c r="H56" s="983" t="s">
        <v>0</v>
      </c>
      <c r="I56" s="983"/>
      <c r="J56" s="983" t="s">
        <v>1</v>
      </c>
      <c r="K56" s="983"/>
      <c r="L56" s="983" t="s">
        <v>2</v>
      </c>
      <c r="M56" s="983"/>
      <c r="N56" s="984" t="s">
        <v>1209</v>
      </c>
      <c r="O56" s="984"/>
      <c r="P56" s="376"/>
      <c r="Q56" s="376"/>
      <c r="R56" s="377" t="s">
        <v>3</v>
      </c>
      <c r="S56" s="378" t="s">
        <v>136</v>
      </c>
      <c r="T56" s="376" t="s">
        <v>134</v>
      </c>
      <c r="U56" s="374" t="s">
        <v>135</v>
      </c>
      <c r="V56" s="376"/>
      <c r="W56" s="379" t="s">
        <v>26</v>
      </c>
    </row>
    <row r="57" spans="1:33" s="16" customFormat="1" ht="9" customHeight="1">
      <c r="A57" s="1">
        <v>1990</v>
      </c>
      <c r="B57" s="196"/>
      <c r="C57" s="196"/>
      <c r="D57" s="196"/>
      <c r="E57" s="232"/>
      <c r="F57" s="196"/>
      <c r="G57" s="1">
        <v>1990</v>
      </c>
      <c r="H57" s="196"/>
      <c r="I57" s="196"/>
      <c r="J57" s="196"/>
      <c r="K57" s="196"/>
      <c r="L57" s="196"/>
      <c r="M57" s="196"/>
      <c r="N57" s="232"/>
      <c r="O57" s="232"/>
      <c r="P57" s="197"/>
      <c r="Q57" s="197"/>
      <c r="R57" s="1">
        <v>1990</v>
      </c>
      <c r="S57" s="197"/>
      <c r="T57" s="197"/>
      <c r="U57" s="196"/>
      <c r="V57" s="197"/>
      <c r="W57" s="197"/>
    </row>
    <row r="58" spans="1:33" s="16" customFormat="1" ht="9" customHeight="1">
      <c r="A58" s="44">
        <v>1991</v>
      </c>
      <c r="B58" s="196"/>
      <c r="C58" s="196"/>
      <c r="D58" s="196"/>
      <c r="E58" s="232"/>
      <c r="F58" s="196"/>
      <c r="G58" s="1">
        <v>1991</v>
      </c>
      <c r="H58" s="196"/>
      <c r="I58" s="196"/>
      <c r="J58" s="196"/>
      <c r="K58" s="196"/>
      <c r="L58" s="196"/>
      <c r="M58" s="196"/>
      <c r="N58" s="232"/>
      <c r="O58" s="232"/>
      <c r="P58" s="197"/>
      <c r="Q58" s="197"/>
      <c r="R58" s="1">
        <v>1991</v>
      </c>
      <c r="S58" s="197"/>
      <c r="T58" s="197"/>
      <c r="U58" s="196"/>
      <c r="V58" s="197"/>
      <c r="W58" s="197"/>
    </row>
    <row r="59" spans="1:33" s="16" customFormat="1" ht="9" customHeight="1">
      <c r="A59" s="1">
        <v>1992</v>
      </c>
      <c r="B59" s="196"/>
      <c r="C59" s="196"/>
      <c r="D59" s="196"/>
      <c r="E59" s="232"/>
      <c r="F59" s="196"/>
      <c r="G59" s="1">
        <v>1992</v>
      </c>
      <c r="H59" s="196"/>
      <c r="I59" s="196"/>
      <c r="J59" s="196"/>
      <c r="K59" s="196"/>
      <c r="L59" s="196"/>
      <c r="M59" s="196"/>
      <c r="N59" s="232"/>
      <c r="O59" s="232"/>
      <c r="P59" s="197"/>
      <c r="Q59" s="197"/>
      <c r="R59" s="1">
        <v>1992</v>
      </c>
      <c r="S59" s="197"/>
      <c r="T59" s="197"/>
      <c r="U59" s="196"/>
      <c r="V59" s="197"/>
      <c r="W59" s="197"/>
    </row>
    <row r="60" spans="1:33" s="16" customFormat="1" ht="9" customHeight="1">
      <c r="A60" s="44">
        <v>1993</v>
      </c>
      <c r="B60" s="196"/>
      <c r="C60" s="196"/>
      <c r="D60" s="196"/>
      <c r="E60" s="232"/>
      <c r="F60" s="196"/>
      <c r="G60" s="1">
        <v>1993</v>
      </c>
      <c r="H60" s="196"/>
      <c r="I60" s="196"/>
      <c r="J60" s="196"/>
      <c r="K60" s="196"/>
      <c r="L60" s="196"/>
      <c r="M60" s="196"/>
      <c r="N60" s="232"/>
      <c r="O60" s="232"/>
      <c r="P60" s="197"/>
      <c r="Q60" s="197"/>
      <c r="R60" s="1">
        <v>1993</v>
      </c>
      <c r="S60" s="197"/>
      <c r="T60" s="197"/>
      <c r="U60" s="196"/>
      <c r="V60" s="197"/>
      <c r="W60" s="197"/>
    </row>
    <row r="61" spans="1:33" s="16" customFormat="1" ht="9" customHeight="1">
      <c r="A61" s="1">
        <v>1994</v>
      </c>
      <c r="B61" s="196"/>
      <c r="C61" s="196"/>
      <c r="D61" s="196"/>
      <c r="E61" s="232"/>
      <c r="F61" s="196"/>
      <c r="G61" s="1">
        <v>1994</v>
      </c>
      <c r="H61" s="196"/>
      <c r="I61" s="196"/>
      <c r="J61" s="196"/>
      <c r="K61" s="196"/>
      <c r="L61" s="196"/>
      <c r="M61" s="196"/>
      <c r="N61" s="232"/>
      <c r="O61" s="232"/>
      <c r="P61" s="197"/>
      <c r="Q61" s="197"/>
      <c r="R61" s="1">
        <v>1994</v>
      </c>
      <c r="S61" s="197"/>
      <c r="T61" s="197"/>
      <c r="U61" s="196"/>
      <c r="V61" s="197"/>
      <c r="W61" s="197"/>
    </row>
    <row r="62" spans="1:33" s="16" customFormat="1" ht="9" customHeight="1">
      <c r="A62" s="44">
        <v>1995</v>
      </c>
      <c r="B62" s="196"/>
      <c r="C62" s="196"/>
      <c r="D62" s="196"/>
      <c r="E62" s="232"/>
      <c r="F62" s="196"/>
      <c r="G62" s="1">
        <v>1995</v>
      </c>
      <c r="H62" s="196"/>
      <c r="I62" s="196"/>
      <c r="J62" s="196"/>
      <c r="K62" s="196"/>
      <c r="L62" s="196"/>
      <c r="M62" s="196"/>
      <c r="N62" s="232"/>
      <c r="O62" s="232"/>
      <c r="P62" s="197"/>
      <c r="Q62" s="197"/>
      <c r="R62" s="1">
        <v>1995</v>
      </c>
      <c r="S62" s="197"/>
      <c r="T62" s="197"/>
      <c r="U62" s="196"/>
      <c r="V62" s="197"/>
      <c r="W62" s="197"/>
    </row>
    <row r="63" spans="1:33" s="16" customFormat="1" ht="9" customHeight="1">
      <c r="A63" s="1">
        <v>1996</v>
      </c>
      <c r="B63" s="196"/>
      <c r="C63" s="196"/>
      <c r="D63" s="196"/>
      <c r="E63" s="232"/>
      <c r="F63" s="196"/>
      <c r="G63" s="1">
        <v>1996</v>
      </c>
      <c r="H63" s="196"/>
      <c r="I63" s="196"/>
      <c r="J63" s="196"/>
      <c r="K63" s="196"/>
      <c r="L63" s="196"/>
      <c r="M63" s="196"/>
      <c r="N63" s="232"/>
      <c r="O63" s="232"/>
      <c r="P63" s="197"/>
      <c r="Q63" s="197"/>
      <c r="R63" s="1">
        <v>1996</v>
      </c>
      <c r="S63" s="197"/>
      <c r="T63" s="197"/>
      <c r="U63" s="196"/>
      <c r="V63" s="197"/>
      <c r="W63" s="197"/>
    </row>
    <row r="64" spans="1:33" s="16" customFormat="1" ht="9" customHeight="1">
      <c r="A64" s="44">
        <v>1997</v>
      </c>
      <c r="B64" s="196"/>
      <c r="C64" s="196"/>
      <c r="D64" s="196"/>
      <c r="E64" s="232"/>
      <c r="F64" s="196"/>
      <c r="G64" s="1">
        <v>1997</v>
      </c>
      <c r="H64" s="196"/>
      <c r="I64" s="196"/>
      <c r="J64" s="196"/>
      <c r="K64" s="196"/>
      <c r="L64" s="196"/>
      <c r="M64" s="196"/>
      <c r="N64" s="232"/>
      <c r="O64" s="232"/>
      <c r="P64" s="197"/>
      <c r="Q64" s="197"/>
      <c r="R64" s="1">
        <v>1997</v>
      </c>
      <c r="S64" s="197"/>
      <c r="T64" s="197"/>
      <c r="U64" s="196"/>
      <c r="V64" s="197"/>
      <c r="W64" s="197"/>
    </row>
    <row r="65" spans="1:25" s="16" customFormat="1" ht="9" customHeight="1">
      <c r="A65" s="1">
        <v>1998</v>
      </c>
      <c r="B65" s="196"/>
      <c r="C65" s="196"/>
      <c r="D65" s="196"/>
      <c r="E65" s="232"/>
      <c r="F65" s="196"/>
      <c r="G65" s="1">
        <v>1998</v>
      </c>
      <c r="H65" s="196"/>
      <c r="I65" s="196"/>
      <c r="J65" s="196"/>
      <c r="K65" s="196"/>
      <c r="L65" s="196"/>
      <c r="M65" s="196"/>
      <c r="N65" s="232"/>
      <c r="O65" s="232"/>
      <c r="P65" s="197"/>
      <c r="Q65" s="197"/>
      <c r="R65" s="1">
        <v>1998</v>
      </c>
      <c r="S65" s="197"/>
      <c r="T65" s="197"/>
      <c r="U65" s="196"/>
      <c r="V65" s="197"/>
      <c r="W65" s="197"/>
    </row>
    <row r="66" spans="1:25" s="16" customFormat="1" ht="9" customHeight="1">
      <c r="A66" s="44">
        <v>1999</v>
      </c>
      <c r="B66" s="196"/>
      <c r="C66" s="196"/>
      <c r="D66" s="196"/>
      <c r="E66" s="232"/>
      <c r="F66" s="196"/>
      <c r="G66" s="1">
        <v>1999</v>
      </c>
      <c r="H66" s="196"/>
      <c r="I66" s="196"/>
      <c r="J66" s="196"/>
      <c r="K66" s="196"/>
      <c r="L66" s="196"/>
      <c r="M66" s="196"/>
      <c r="N66" s="232"/>
      <c r="O66" s="232"/>
      <c r="P66" s="197"/>
      <c r="Q66" s="197"/>
      <c r="R66" s="1">
        <v>1999</v>
      </c>
      <c r="S66" s="197"/>
      <c r="T66" s="197"/>
      <c r="U66" s="196"/>
      <c r="V66" s="197"/>
      <c r="W66" s="197"/>
    </row>
    <row r="67" spans="1:25" ht="9" customHeight="1">
      <c r="A67" s="1">
        <v>2000</v>
      </c>
      <c r="B67" s="8">
        <f>(K7*($E7/340))</f>
        <v>37.5</v>
      </c>
      <c r="C67" s="8">
        <f>(L7*($E7/340))</f>
        <v>12.5</v>
      </c>
      <c r="D67" s="8">
        <f>(M7*($E7/340))</f>
        <v>45.833333333333329</v>
      </c>
      <c r="E67" s="52">
        <f t="shared" ref="E67:E79" si="24">SUM(B67:D67)</f>
        <v>95.833333333333329</v>
      </c>
      <c r="G67" s="1">
        <v>2000</v>
      </c>
      <c r="H67" s="989">
        <f>(O7/$R7*100*($E7/340))</f>
        <v>31.142042596008718</v>
      </c>
      <c r="I67" s="989"/>
      <c r="J67" s="989">
        <f>(P7/$R7*100*($E7/340))</f>
        <v>17.776287103806805</v>
      </c>
      <c r="K67" s="989"/>
      <c r="L67" s="989">
        <f>(Q7/$R7*100*($E7/340))</f>
        <v>51.08167030018447</v>
      </c>
      <c r="M67" s="989"/>
      <c r="N67" s="1011">
        <f t="shared" ref="N67:N79" si="25">H67+J67+L67</f>
        <v>100</v>
      </c>
      <c r="O67" s="1011"/>
      <c r="R67" s="1">
        <v>2000</v>
      </c>
      <c r="S67" s="8">
        <f>(O7*($E7/340))</f>
        <v>18.57</v>
      </c>
      <c r="T67" s="8">
        <f>(P7*($E7/340))</f>
        <v>10.6</v>
      </c>
      <c r="U67" s="8">
        <f>(Q7*($E7/340))</f>
        <v>30.46</v>
      </c>
      <c r="V67" s="12"/>
      <c r="W67" s="7">
        <f>S67+T67+U67</f>
        <v>59.63</v>
      </c>
      <c r="Y67" s="233" t="s">
        <v>1228</v>
      </c>
    </row>
    <row r="68" spans="1:25" ht="9" customHeight="1">
      <c r="A68" s="1">
        <v>2001</v>
      </c>
      <c r="B68" s="8">
        <f>(K8* ($E8/365))+(K9*($E9/365))+(K10*($E10/365))</f>
        <v>36.872146118721453</v>
      </c>
      <c r="C68" s="8">
        <f>(L8* ($E8/365))+(L9*($E9/365))+(L10*($E10/365))</f>
        <v>12.5</v>
      </c>
      <c r="D68" s="8">
        <f>(M8* ($E8/365))+(M9*($E9/365))+(M10*($E10/365))</f>
        <v>46.917808219178077</v>
      </c>
      <c r="E68" s="52">
        <f t="shared" si="24"/>
        <v>96.28995433789953</v>
      </c>
      <c r="G68" s="1">
        <v>2001</v>
      </c>
      <c r="H68" s="1001">
        <f>(O8/$R8*100*($E8/365))+(O9/$R9*100*($E9/365))+(O10/$R10*100*($E10/365))</f>
        <v>30.308537411471253</v>
      </c>
      <c r="I68" s="1001"/>
      <c r="J68" s="1001">
        <f>(P8/$R8*100*($E8/365))+(P9/$R9*100*($E9/365))+(P10/$R10*100*($E10/365))</f>
        <v>17.991463795382476</v>
      </c>
      <c r="K68" s="1001"/>
      <c r="L68" s="1001">
        <f>(Q8/$R8*100*($E8/365))+(Q9/$R9*100*($E9/365))+(Q10/$R10*100*($E10/365))</f>
        <v>51.699998793146257</v>
      </c>
      <c r="M68" s="1001"/>
      <c r="N68" s="1011">
        <f t="shared" si="25"/>
        <v>99.999999999999986</v>
      </c>
      <c r="O68" s="1011"/>
      <c r="R68" s="1">
        <v>2001</v>
      </c>
      <c r="S68" s="8">
        <f>(O8* ($E8/365))+(O9*($E9/365))+(O10*($E10/365))</f>
        <v>17.880273972602737</v>
      </c>
      <c r="T68" s="8">
        <f>(P8* ($E8/365))+(P9*($E9/365))+(P10*($E10/365))</f>
        <v>10.6</v>
      </c>
      <c r="U68" s="8">
        <f>(Q8* ($E8/365))+(Q9*($E9/365))+(Q10*($E10/365))</f>
        <v>30.459999999999997</v>
      </c>
      <c r="V68" s="12"/>
      <c r="W68" s="7">
        <f t="shared" ref="W68:W79" si="26">S68+T68+U68</f>
        <v>58.940273972602739</v>
      </c>
    </row>
    <row r="69" spans="1:25" ht="9" customHeight="1">
      <c r="A69" s="1">
        <v>2002</v>
      </c>
      <c r="B69" s="8">
        <f>(K11* ($E11/365))+(K12*($E12/365))</f>
        <v>30.422374429223744</v>
      </c>
      <c r="C69" s="8">
        <f>(L11* ($E11/365))+(L12*($E12/365))</f>
        <v>14.269406392694062</v>
      </c>
      <c r="D69" s="8">
        <f>(M11* ($E11/365))+(M12*($E12/365))</f>
        <v>55.30821917808219</v>
      </c>
      <c r="E69" s="52">
        <f t="shared" si="24"/>
        <v>100</v>
      </c>
      <c r="G69" s="1">
        <v>2002</v>
      </c>
      <c r="H69" s="1001">
        <f>(O11/$R11*100*($E11/365))+(O12/$R12*100*($E12/365))</f>
        <v>22.470193382849732</v>
      </c>
      <c r="I69" s="1001"/>
      <c r="J69" s="1001">
        <f>(P11/$R11*100*($E11/365))+(P12/$R12*100*($E12/365))</f>
        <v>20.015001221183454</v>
      </c>
      <c r="K69" s="1001"/>
      <c r="L69" s="1001">
        <f>(Q11/$R11*100*($E11/365))+(Q12/$R12*100*($E12/365))</f>
        <v>57.514805395966789</v>
      </c>
      <c r="M69" s="1001"/>
      <c r="N69" s="1011">
        <f t="shared" si="25"/>
        <v>99.999999999999972</v>
      </c>
      <c r="O69" s="1011"/>
      <c r="R69" s="1">
        <v>2002</v>
      </c>
      <c r="S69" s="8">
        <f>(O11* ($E11/365))+(O12*($E12/365))</f>
        <v>12.25095890410959</v>
      </c>
      <c r="T69" s="8">
        <f>(P11* ($E11/365))+(P12*($E12/365))</f>
        <v>10.599999999999998</v>
      </c>
      <c r="U69" s="8">
        <f>(Q11* ($E11/365))+(Q12*($E12/365))</f>
        <v>30.459999999999997</v>
      </c>
      <c r="V69" s="12"/>
      <c r="W69" s="7">
        <f t="shared" si="26"/>
        <v>53.310958904109583</v>
      </c>
    </row>
    <row r="70" spans="1:25" ht="9" customHeight="1">
      <c r="A70" s="1">
        <v>2003</v>
      </c>
      <c r="B70" s="8">
        <f>(K13* ($E13/365))+(K14*($E14/365))+(K15*($E15/365))</f>
        <v>20.484018264840184</v>
      </c>
      <c r="C70" s="8">
        <f>(L13* ($E13/365))+(L14*($E14/365))+(L15*($E15/365))</f>
        <v>18.392694063926939</v>
      </c>
      <c r="D70" s="8">
        <f>(M13* ($E13/365))+(M14*($E14/365))+(M15*($E15/365))</f>
        <v>60.958904109589042</v>
      </c>
      <c r="E70" s="52">
        <f t="shared" si="24"/>
        <v>99.835616438356169</v>
      </c>
      <c r="G70" s="1">
        <v>2003</v>
      </c>
      <c r="H70" s="1001">
        <f>(O13/$R13*100*($E13/365))+(O14/$R14*100*($E14/365))+(O15/$R15*100*($E15/365))</f>
        <v>16.636466100362604</v>
      </c>
      <c r="I70" s="1001"/>
      <c r="J70" s="1001">
        <f>(P13/$R13*100*($E13/365))+(P14/$R14*100*($E14/365))+(P15/$R15*100*($E15/365))</f>
        <v>23.322838542683122</v>
      </c>
      <c r="K70" s="1001"/>
      <c r="L70" s="1001">
        <f>(Q13/$R13*100*($E13/365))+(Q14/$R14*100*($E14/365))+(Q15/$R15*100*($E15/365))</f>
        <v>60.040695356954259</v>
      </c>
      <c r="M70" s="1001"/>
      <c r="N70" s="1011">
        <f t="shared" si="25"/>
        <v>99.999999999999986</v>
      </c>
      <c r="O70" s="1011"/>
      <c r="R70" s="1">
        <v>2003</v>
      </c>
      <c r="S70" s="8">
        <f>(O13* ($E13/365))+(O14*($E14/365))+(O15*($E15/365))</f>
        <v>8.2638904109589042</v>
      </c>
      <c r="T70" s="8">
        <f>(P13* ($E13/365))+(P14*($E14/365))+(P15*($E15/365))</f>
        <v>11.409260273972601</v>
      </c>
      <c r="U70" s="8">
        <f>(Q13* ($E13/365))+(Q14*($E14/365))+(Q15*($E15/365))</f>
        <v>29.708931506849318</v>
      </c>
      <c r="V70" s="12"/>
      <c r="W70" s="7">
        <f t="shared" si="26"/>
        <v>49.382082191780825</v>
      </c>
    </row>
    <row r="71" spans="1:25" ht="9" customHeight="1">
      <c r="A71" s="1">
        <v>2004</v>
      </c>
      <c r="B71" s="8">
        <f>(K16* ($E16/366))+(K17*($E17/366))</f>
        <v>6.666666666666667</v>
      </c>
      <c r="C71" s="8">
        <f>(L16* ($E16/366))+(L17*($E17/366))</f>
        <v>86.666666666666671</v>
      </c>
      <c r="D71" s="8">
        <f>(M16* ($E16/366))+(M17*($E17/366))</f>
        <v>0</v>
      </c>
      <c r="E71" s="52">
        <f t="shared" si="24"/>
        <v>93.333333333333343</v>
      </c>
      <c r="G71" s="1">
        <v>2004</v>
      </c>
      <c r="H71" s="1001">
        <f>(O16/$R16*100*($E16/366))+(O17/$R17*100*($E17/366))</f>
        <v>1.4972776769509983</v>
      </c>
      <c r="I71" s="1001"/>
      <c r="J71" s="1001">
        <f>(P16/$R16*100*($E16/366))+(P17/$R17*100*($E17/366))</f>
        <v>98.502722323049014</v>
      </c>
      <c r="K71" s="1001"/>
      <c r="L71" s="1001">
        <f>(Q16/$R16*100*($E16/366))+(Q17/$R17*100*($E17/366))</f>
        <v>0</v>
      </c>
      <c r="M71" s="1001"/>
      <c r="N71" s="1011">
        <f t="shared" si="25"/>
        <v>100.00000000000001</v>
      </c>
      <c r="O71" s="1011"/>
      <c r="R71" s="1">
        <v>2004</v>
      </c>
      <c r="S71" s="8">
        <f>(O16* ($E16/366))+(O17*($E17/366))</f>
        <v>0.66</v>
      </c>
      <c r="T71" s="8">
        <f>(P16* ($E16/366))+(P17*($E17/366))</f>
        <v>43.42</v>
      </c>
      <c r="U71" s="8">
        <f>(Q16* ($E16/366))+(Q17*($E17/366))</f>
        <v>0</v>
      </c>
      <c r="V71" s="12"/>
      <c r="W71" s="7">
        <f t="shared" si="26"/>
        <v>44.08</v>
      </c>
    </row>
    <row r="72" spans="1:25" ht="9" customHeight="1">
      <c r="A72" s="1">
        <v>2005</v>
      </c>
      <c r="B72" s="8">
        <f>(K18* ($E18/365))+(K19*($E19/365))</f>
        <v>6.666666666666667</v>
      </c>
      <c r="C72" s="8">
        <f>(L18* ($E18/365))+(L19*($E19/365))</f>
        <v>86.666666666666671</v>
      </c>
      <c r="D72" s="8">
        <f>(M18* ($E18/365))+(M19*($E19/365))</f>
        <v>0</v>
      </c>
      <c r="E72" s="52">
        <f t="shared" si="24"/>
        <v>93.333333333333343</v>
      </c>
      <c r="G72" s="1">
        <v>2005</v>
      </c>
      <c r="H72" s="1001">
        <f>(O18/$R18*100*($E18/365))+(O19/$R19*100*($E19/365))</f>
        <v>1.4972776769509983</v>
      </c>
      <c r="I72" s="1001"/>
      <c r="J72" s="1001">
        <f>(P18/$R18*100*($E18/365))+(P19/$R19*100*($E19/365))</f>
        <v>98.502722323048999</v>
      </c>
      <c r="K72" s="1001"/>
      <c r="L72" s="1001">
        <f>(Q18/$R18*100*($E18/365))+(Q19/$R19*100*($E19/365))</f>
        <v>0</v>
      </c>
      <c r="M72" s="1001"/>
      <c r="N72" s="1011">
        <f t="shared" si="25"/>
        <v>100</v>
      </c>
      <c r="O72" s="1011"/>
      <c r="R72" s="1">
        <v>2005</v>
      </c>
      <c r="S72" s="8">
        <f>(O18* ($E18/365))+(O19*($E19/365))</f>
        <v>0.65999999999999992</v>
      </c>
      <c r="T72" s="8">
        <f>(P18* ($E18/365))+(P19*($E19/365))</f>
        <v>43.42</v>
      </c>
      <c r="U72" s="8">
        <f>(Q18* ($E18/365))+(Q19*($E19/365))</f>
        <v>0</v>
      </c>
      <c r="V72" s="12"/>
      <c r="W72" s="7">
        <f t="shared" si="26"/>
        <v>44.08</v>
      </c>
    </row>
    <row r="73" spans="1:25" ht="9" customHeight="1">
      <c r="A73" s="1">
        <v>2006</v>
      </c>
      <c r="B73" s="8">
        <f>(K20* ($E20/365))+(K21*($E21/365))</f>
        <v>0.73059360730593603</v>
      </c>
      <c r="C73" s="8">
        <f>(L20* ($E20/365))+(L21*($E21/365))</f>
        <v>92.602739726027394</v>
      </c>
      <c r="D73" s="8">
        <f>(M20* ($E20/365))+(M21*($E21/365))</f>
        <v>0</v>
      </c>
      <c r="E73" s="52">
        <f t="shared" si="24"/>
        <v>93.333333333333329</v>
      </c>
      <c r="G73" s="1">
        <v>2006</v>
      </c>
      <c r="H73" s="1001">
        <f>(O20/$R20*100*($E20/365))+(O21/$R21*100*($E21/365))</f>
        <v>0.16408522487134228</v>
      </c>
      <c r="I73" s="1001"/>
      <c r="J73" s="1001">
        <f>(P20/$R20*100*($E20/365))+(P21/$R21*100*($E21/365))</f>
        <v>99.835914775128657</v>
      </c>
      <c r="K73" s="1001"/>
      <c r="L73" s="1001">
        <f>(Q20/$R20*100*($E20/365))+(Q21/$R21*100*($E21/365))</f>
        <v>0</v>
      </c>
      <c r="M73" s="1001"/>
      <c r="N73" s="1011">
        <f t="shared" si="25"/>
        <v>100</v>
      </c>
      <c r="O73" s="1011"/>
      <c r="R73" s="1">
        <v>2006</v>
      </c>
      <c r="S73" s="8">
        <f>(O20* ($E20/365))+(O21*($E21/365))</f>
        <v>7.2328767123287674E-2</v>
      </c>
      <c r="T73" s="8">
        <f>(P20* ($E20/365))+(P21*($E21/365))</f>
        <v>43.42</v>
      </c>
      <c r="U73" s="8">
        <f>(Q20* ($E20/365))+(Q21*($E21/365))</f>
        <v>0</v>
      </c>
      <c r="V73" s="12"/>
      <c r="W73" s="7">
        <f t="shared" si="26"/>
        <v>43.49232876712329</v>
      </c>
    </row>
    <row r="74" spans="1:25" ht="9" customHeight="1">
      <c r="A74" s="1">
        <v>2007</v>
      </c>
      <c r="B74" s="8">
        <f>(K22* ($E22/365))+(K23*($E23/365))</f>
        <v>0</v>
      </c>
      <c r="C74" s="8">
        <f>(L22* ($E22/365))+(L23*($E23/365))</f>
        <v>93.333333333333329</v>
      </c>
      <c r="D74" s="8">
        <f>(M22* ($E22/365))+(M23*($E23/365))</f>
        <v>0</v>
      </c>
      <c r="E74" s="52">
        <f t="shared" si="24"/>
        <v>93.333333333333329</v>
      </c>
      <c r="G74" s="1">
        <v>2007</v>
      </c>
      <c r="H74" s="1001">
        <f>(O22/$R22*100*($E22/365))+(O23/$R23*100*($E23/365))</f>
        <v>0</v>
      </c>
      <c r="I74" s="1001"/>
      <c r="J74" s="1001">
        <f>(P22/$R22*100*($E22/365))+(P23/$R23*100*($E23/365))</f>
        <v>100</v>
      </c>
      <c r="K74" s="1001"/>
      <c r="L74" s="1001">
        <f>(Q22/$R22*100*($E22/365))+(Q23/$R23*100*($E23/365))</f>
        <v>0</v>
      </c>
      <c r="M74" s="1001"/>
      <c r="N74" s="1011">
        <f t="shared" si="25"/>
        <v>100</v>
      </c>
      <c r="O74" s="1011"/>
      <c r="R74" s="1">
        <v>2007</v>
      </c>
      <c r="S74" s="8">
        <f>(O22* ($E22/365))+(O23*($E23/365))</f>
        <v>0</v>
      </c>
      <c r="T74" s="8">
        <f>(P22* ($E22/365))+(P23*($E23/365))</f>
        <v>43.42</v>
      </c>
      <c r="U74" s="8">
        <f>(Q22* ($E22/365))+(Q23*($E23/365))</f>
        <v>0</v>
      </c>
      <c r="V74" s="12"/>
      <c r="W74" s="7">
        <f t="shared" si="26"/>
        <v>43.42</v>
      </c>
    </row>
    <row r="75" spans="1:25" ht="9" customHeight="1">
      <c r="A75" s="1">
        <v>2008</v>
      </c>
      <c r="B75" s="8">
        <f>(K24* ($E24/366))+(K25*($E25/366))+(K26*($E26/366))</f>
        <v>5.3885853066180935</v>
      </c>
      <c r="C75" s="8">
        <f>(L24* ($E24/366))+(L25*($E25/366))+(L26*($E26/366))</f>
        <v>86.502732240437155</v>
      </c>
      <c r="D75" s="8">
        <f>(M24* ($E24/366))+(M25*($E25/366))+(M26*($E26/366))</f>
        <v>0</v>
      </c>
      <c r="E75" s="52">
        <f t="shared" si="24"/>
        <v>91.891317547055252</v>
      </c>
      <c r="G75" s="1">
        <v>2008</v>
      </c>
      <c r="H75" s="1001">
        <f>(O24/$R24*100*($E24/366))+(O25/$R25*100*($E25/366))+(O26/$R26*100*($E26/366))</f>
        <v>6.3634585927060598</v>
      </c>
      <c r="I75" s="1001"/>
      <c r="J75" s="1001">
        <f>(P24/$R24*100*($E24/366))+(P25/$R25*100*($E25/366))+(P26/$R26*100*($E26/366))</f>
        <v>93.636541407293947</v>
      </c>
      <c r="K75" s="1001"/>
      <c r="L75" s="1001">
        <f>(Q24/$R24*100*($E24/366))+(Q25/$R25*100*($E25/366))+(Q26/$R26*100*($E26/366))</f>
        <v>0</v>
      </c>
      <c r="M75" s="1001"/>
      <c r="N75" s="1011">
        <f t="shared" si="25"/>
        <v>100</v>
      </c>
      <c r="O75" s="1011"/>
      <c r="R75" s="1">
        <v>2008</v>
      </c>
      <c r="S75" s="8">
        <f>(O24* ($E24/366))+(O25*($E25/366))+(O26*($E26/366))</f>
        <v>3.2008196721311477</v>
      </c>
      <c r="T75" s="8">
        <f>(P24* ($E24/366))+(P25*($E25/366))+(P26*($E26/366))</f>
        <v>46.892404371584703</v>
      </c>
      <c r="U75" s="8">
        <f>(Q24* ($E24/366))+(Q25*($E25/366))+(Q26*($E26/366))</f>
        <v>0</v>
      </c>
      <c r="V75" s="12"/>
      <c r="W75" s="7">
        <f t="shared" si="26"/>
        <v>50.09322404371585</v>
      </c>
    </row>
    <row r="76" spans="1:25" ht="9" customHeight="1">
      <c r="A76" s="1">
        <v>2009</v>
      </c>
      <c r="B76" s="8">
        <f>(K27* ($E27/365))+(K28*($E28/365))</f>
        <v>5.2831050228310499</v>
      </c>
      <c r="C76" s="8">
        <f>(L27* ($E27/365))+(L28*($E28/365))</f>
        <v>78.867579908675808</v>
      </c>
      <c r="D76" s="8">
        <f>(M27* ($E27/365))+(M28*($E28/365))</f>
        <v>0</v>
      </c>
      <c r="E76" s="52">
        <f t="shared" si="24"/>
        <v>84.150684931506859</v>
      </c>
      <c r="G76" s="1">
        <v>2009</v>
      </c>
      <c r="H76" s="1001">
        <f>(O27/$R27*100*($E27/365))+(O28/$R28*100*($E28/365))</f>
        <v>6.5332896414212245</v>
      </c>
      <c r="I76" s="1001"/>
      <c r="J76" s="1001">
        <f>(P27/$R27*100*($E27/365))+(P28/$R28*100*($E28/365))</f>
        <v>93.46671035857878</v>
      </c>
      <c r="K76" s="1001"/>
      <c r="L76" s="1001">
        <f>(Q27/$R27*100*($E27/365))+(Q28/$R28*100*($E28/365))</f>
        <v>0</v>
      </c>
      <c r="M76" s="1001"/>
      <c r="N76" s="1011">
        <f t="shared" si="25"/>
        <v>100</v>
      </c>
      <c r="O76" s="1011"/>
      <c r="R76" s="1">
        <v>2009</v>
      </c>
      <c r="S76" s="8">
        <f>(O27* ($E27/365))+(O28*($E28/365))</f>
        <v>3.2852876712328767</v>
      </c>
      <c r="T76" s="8">
        <f>(P27* ($E27/365))+(P28*($E28/365))</f>
        <v>47</v>
      </c>
      <c r="U76" s="8">
        <f>(Q27* ($E27/365))+(Q28*($E28/365))</f>
        <v>0</v>
      </c>
      <c r="V76" s="12"/>
      <c r="W76" s="7">
        <f t="shared" si="26"/>
        <v>50.285287671232879</v>
      </c>
    </row>
    <row r="77" spans="1:25" ht="9" customHeight="1">
      <c r="A77" s="1">
        <v>2010</v>
      </c>
      <c r="B77" s="8">
        <f>(K29* ($E29/365))+(K30*($E30/365))+(K31* ($E31/365))+(K32*($E32/365))</f>
        <v>5.1600576784426817</v>
      </c>
      <c r="C77" s="8">
        <f>(L29* ($E29/365))+(L30*($E30/365))+(L31* ($E31/365))+(L32*($E32/365))</f>
        <v>81.753424657534239</v>
      </c>
      <c r="D77" s="8">
        <f>(M29* ($E29/365))+(M30*($E30/365))+(M31* ($E31/365))+(M32*($E32/365))</f>
        <v>0</v>
      </c>
      <c r="E77" s="52">
        <f t="shared" si="24"/>
        <v>86.913482335976923</v>
      </c>
      <c r="G77" s="1">
        <v>2010</v>
      </c>
      <c r="H77" s="1001">
        <f>(O29/$R29*100*($E29/365))+(O30/$R30*100*($E30/365))+(O31/$R31*100*($E31/365))+(O32/$R32*100*($E32/365))</f>
        <v>6.484473661268483</v>
      </c>
      <c r="I77" s="1001"/>
      <c r="J77" s="1001">
        <f>(P29/$R29*100*($E29/365))+(P30/$R30*100*($E30/365))+(P31/$R31*100*($E31/365))+(P32/$R32*100*($E32/365))</f>
        <v>93.515526338731505</v>
      </c>
      <c r="K77" s="1001"/>
      <c r="L77" s="1001">
        <f>(Q29/$R29*100*($E29/365))+(Q30/$R30*100*($E30/365))+(Q31/$R31*100*($E31/365))+(Q32/$R32*100*($E32/365))</f>
        <v>0</v>
      </c>
      <c r="M77" s="1001"/>
      <c r="N77" s="1011">
        <f t="shared" si="25"/>
        <v>99.999999999999986</v>
      </c>
      <c r="O77" s="1011"/>
      <c r="R77" s="1">
        <v>2010</v>
      </c>
      <c r="S77" s="8">
        <f>(O29* ($E29/365))+(O30*($E30/365))+(O31* ($E31/365))+(O32*($E32/365))</f>
        <v>3.2593150684931507</v>
      </c>
      <c r="T77" s="8">
        <f>(P29* ($E29/365))+(P30*($E30/365))+(P31* ($E31/365))+(P32*($E32/365))</f>
        <v>47</v>
      </c>
      <c r="U77" s="8">
        <f>(Q29* ($E29/365))+(Q30*($E30/365))+(Q31* ($E31/365))+(Q32*($E32/365))</f>
        <v>0</v>
      </c>
      <c r="V77" s="12"/>
      <c r="W77" s="7">
        <f t="shared" si="26"/>
        <v>50.259315068493152</v>
      </c>
    </row>
    <row r="78" spans="1:25" ht="9" customHeight="1">
      <c r="A78" s="1">
        <v>2011</v>
      </c>
      <c r="B78" s="8">
        <f>(K33* ($E33/365))+(K34*($E34/365))</f>
        <v>0.56039850560398508</v>
      </c>
      <c r="C78" s="8">
        <f>(L33* ($E33/365))+(L34*($E34/365))</f>
        <v>82.134102379235756</v>
      </c>
      <c r="D78" s="8">
        <f>(M33* ($E33/365))+(M34*($E34/365))</f>
        <v>1.681195516811955</v>
      </c>
      <c r="E78" s="52">
        <f t="shared" si="24"/>
        <v>84.375696401651695</v>
      </c>
      <c r="G78" s="1">
        <v>2011</v>
      </c>
      <c r="H78" s="1001">
        <f>(O33/$R33*100*($E33/365))+(O34/$R34*100*($E34/365))</f>
        <v>4.4700106644910953</v>
      </c>
      <c r="I78" s="1001"/>
      <c r="J78" s="1001">
        <f>(P33/$R33*100*($E33/365))+(P34/$R34*100*($E34/365))</f>
        <v>93.61056951278529</v>
      </c>
      <c r="K78" s="1001"/>
      <c r="L78" s="1001">
        <f>(Q33/$R33*100*($E33/365))+(Q34/$R34*100*($E34/365))</f>
        <v>1.9194198227236099</v>
      </c>
      <c r="M78" s="1001"/>
      <c r="N78" s="1011">
        <f t="shared" si="25"/>
        <v>100</v>
      </c>
      <c r="O78" s="1011"/>
      <c r="R78" s="1">
        <v>2011</v>
      </c>
      <c r="S78" s="8">
        <f>(O33* ($E33/365))+(O34*($E34/365))</f>
        <v>2.2000547945205482</v>
      </c>
      <c r="T78" s="8">
        <f>(P33* ($E33/365))+(P34*($E34/365))</f>
        <v>45.841095890410955</v>
      </c>
      <c r="U78" s="8">
        <f>(Q33* ($E33/365))+(Q34*($E34/365))</f>
        <v>0.97890410958904117</v>
      </c>
      <c r="V78" s="12"/>
      <c r="W78" s="7">
        <f t="shared" si="26"/>
        <v>49.02005479452054</v>
      </c>
    </row>
    <row r="79" spans="1:25" ht="9" customHeight="1">
      <c r="A79" s="1">
        <v>2012</v>
      </c>
      <c r="B79" s="7">
        <f xml:space="preserve"> (K35* ($E35/366))+(K36*($E36/366))</f>
        <v>22.727272727272727</v>
      </c>
      <c r="C79" s="7">
        <f xml:space="preserve"> (L35* ($E35/366))+(L36*($E36/366))</f>
        <v>0</v>
      </c>
      <c r="D79" s="7">
        <f xml:space="preserve"> (M35* ($E35/366))+(M36*($E36/366))</f>
        <v>68.181818181818173</v>
      </c>
      <c r="E79" s="52">
        <f t="shared" si="24"/>
        <v>90.909090909090907</v>
      </c>
      <c r="G79" s="1">
        <v>2012</v>
      </c>
      <c r="H79" s="1001">
        <f xml:space="preserve"> (O35/$R35*100*($E35/366))+(O36/$R36*100*($E36/366))</f>
        <v>22.156862745098042</v>
      </c>
      <c r="I79" s="1001"/>
      <c r="J79" s="1001">
        <f xml:space="preserve"> (P35/$R35*100*($E35/366))+(P36/$R36*100*($E36/366))</f>
        <v>0</v>
      </c>
      <c r="K79" s="1001"/>
      <c r="L79" s="1001">
        <f xml:space="preserve"> (Q35/$R35*100*($E35/366))+(Q36/$R36*100*($E36/366))</f>
        <v>77.843137254901961</v>
      </c>
      <c r="M79" s="1001"/>
      <c r="N79" s="1011">
        <f t="shared" si="25"/>
        <v>100</v>
      </c>
      <c r="O79" s="1011"/>
      <c r="R79" s="1">
        <v>2012</v>
      </c>
      <c r="S79" s="7">
        <f xml:space="preserve"> (O35* ($E35/366))+(O36*($E36/366))</f>
        <v>11.3</v>
      </c>
      <c r="T79" s="7">
        <f xml:space="preserve"> (P35* ($E35/366))+(P36*($E36/366))</f>
        <v>0</v>
      </c>
      <c r="U79" s="7">
        <f xml:space="preserve"> (Q35* ($E35/366))+(Q36*($E36/366))</f>
        <v>39.700000000000003</v>
      </c>
      <c r="V79" s="12"/>
      <c r="W79" s="7">
        <f t="shared" si="26"/>
        <v>51</v>
      </c>
    </row>
    <row r="80" spans="1:25" ht="9" customHeight="1">
      <c r="A80" s="1">
        <v>2013</v>
      </c>
      <c r="B80" s="7">
        <f xml:space="preserve"> (K37*($E37/365))+(K38*($E38/365))</f>
        <v>23.272845875585602</v>
      </c>
      <c r="C80" s="7">
        <f xml:space="preserve"> (L37* ($E37/365))+(L38*($E38/365))</f>
        <v>0</v>
      </c>
      <c r="D80" s="7">
        <f xml:space="preserve"> (M37* ($E37/365))+(M38*($E38/365))</f>
        <v>67.418015774180148</v>
      </c>
      <c r="E80" s="52">
        <f t="shared" ref="E80:E85" si="27">SUM(B80:D80)</f>
        <v>90.69086164976575</v>
      </c>
      <c r="G80" s="1">
        <v>2013</v>
      </c>
      <c r="H80" s="1001">
        <f xml:space="preserve"> (O37/$R37*100*($E37/365))+(O38/$R38*100*($E38/365))</f>
        <v>22.156862745098046</v>
      </c>
      <c r="I80" s="1001"/>
      <c r="J80" s="1001">
        <f xml:space="preserve"> (P37/$R37*100*($E37/365))+(P38/$R38*100*($E38/365))</f>
        <v>0</v>
      </c>
      <c r="K80" s="1001"/>
      <c r="L80" s="1001">
        <f xml:space="preserve"> (Q37/$R37*100*($E37/365))+(Q38/$R38*100*($E38/365))</f>
        <v>77.843137254901961</v>
      </c>
      <c r="M80" s="1001"/>
      <c r="N80" s="1011">
        <f t="shared" ref="N80:N85" si="28">H80+J80+L80</f>
        <v>100</v>
      </c>
      <c r="O80" s="1011"/>
      <c r="R80" s="1">
        <v>2013</v>
      </c>
      <c r="S80" s="7">
        <f xml:space="preserve"> (O37* ($E37/365))+(O38*($E38/365))</f>
        <v>11.3</v>
      </c>
      <c r="T80" s="7">
        <f xml:space="preserve"> (P37* ($E37/365))+(P38*($E38/365))</f>
        <v>0</v>
      </c>
      <c r="U80" s="7">
        <f xml:space="preserve"> (Q37* ($E37/365))+(Q38*($E38/365))</f>
        <v>39.700000000000003</v>
      </c>
      <c r="V80" s="12"/>
      <c r="W80" s="7">
        <f t="shared" ref="W80:W85" si="29">S80+T80+U80</f>
        <v>51</v>
      </c>
    </row>
    <row r="81" spans="1:23" ht="9" customHeight="1">
      <c r="A81" s="1">
        <v>2014</v>
      </c>
      <c r="B81" s="7">
        <f xml:space="preserve"> (K39*($E39/365))+(K40*($E40/365))</f>
        <v>23.809523809523807</v>
      </c>
      <c r="C81" s="7">
        <f xml:space="preserve"> (L39* ($E39/365))+(L40*($E40/365))</f>
        <v>0</v>
      </c>
      <c r="D81" s="7">
        <f xml:space="preserve"> (M39* ($E39/365))+(M40*($E40/365))</f>
        <v>64.096542726679701</v>
      </c>
      <c r="E81" s="52">
        <f t="shared" si="27"/>
        <v>87.906066536203511</v>
      </c>
      <c r="G81" s="1">
        <v>2014</v>
      </c>
      <c r="H81" s="1001">
        <f xml:space="preserve"> (O39/$R39*100*($E39/365))+(O40/$R40*100*($E40/365))</f>
        <v>22.156862745098042</v>
      </c>
      <c r="I81" s="1001"/>
      <c r="J81" s="1001">
        <f xml:space="preserve"> (P39/$R39*100*($E39/365))+(P40/$R40*100*($E40/365))</f>
        <v>0</v>
      </c>
      <c r="K81" s="1001"/>
      <c r="L81" s="1001">
        <f xml:space="preserve"> (Q39/$R39*100*($E39/365))+(Q40/$R40*100*($E40/365))</f>
        <v>77.843137254901961</v>
      </c>
      <c r="M81" s="1001"/>
      <c r="N81" s="1011">
        <f t="shared" si="28"/>
        <v>100</v>
      </c>
      <c r="O81" s="1011"/>
      <c r="R81" s="1">
        <v>2014</v>
      </c>
      <c r="S81" s="7">
        <f xml:space="preserve"> (O39* ($E39/365))+(O40*($E40/365))</f>
        <v>11.3</v>
      </c>
      <c r="T81" s="7">
        <f xml:space="preserve"> (P39* ($E39/365))+(P40*($E40/365))</f>
        <v>0</v>
      </c>
      <c r="U81" s="7">
        <f xml:space="preserve"> (Q39* ($E39/365))+(Q40*($E40/365))</f>
        <v>39.700000000000003</v>
      </c>
      <c r="V81" s="12"/>
      <c r="W81" s="7">
        <f t="shared" si="29"/>
        <v>51</v>
      </c>
    </row>
    <row r="82" spans="1:23" s="706" customFormat="1" ht="9" customHeight="1">
      <c r="A82" s="706">
        <v>2015</v>
      </c>
      <c r="B82" s="704">
        <f xml:space="preserve"> (K41*($E41/365))+(K42*($E42/365))+(K43*($E43/365))</f>
        <v>20.521852576647092</v>
      </c>
      <c r="C82" s="704">
        <f xml:space="preserve"> (L41* ($E41/365))+(L42*($E42/365))+(L43*($E43/365))</f>
        <v>0</v>
      </c>
      <c r="D82" s="704">
        <f xml:space="preserve"> (M41* ($E41/365))+(M42*($E42/365))+(M43*($E43/365))</f>
        <v>61.904761904761905</v>
      </c>
      <c r="E82" s="52">
        <f t="shared" si="27"/>
        <v>82.42661448140899</v>
      </c>
      <c r="G82" s="706">
        <v>2015</v>
      </c>
      <c r="H82" s="1001">
        <f xml:space="preserve"> (O41/$R41*100*($E41/365))+(O42/$R42*100*($E42/365))+(O43/$R43*100*($E43/365))</f>
        <v>21.818593078226588</v>
      </c>
      <c r="I82" s="1001"/>
      <c r="J82" s="1001">
        <f xml:space="preserve"> (P41/$R41*100*($E41/365))+(P42/$R42*100*($E42/365))+(P43/$R43*100*($E43/365))</f>
        <v>0</v>
      </c>
      <c r="K82" s="1001"/>
      <c r="L82" s="1001">
        <f xml:space="preserve"> (Q41/$R41*100*($E41/365))+(Q42/$R42*100*($E42/365))+(Q43/$R43*100*($E43/365))</f>
        <v>78.181406921773402</v>
      </c>
      <c r="M82" s="1001"/>
      <c r="N82" s="1011">
        <f t="shared" si="28"/>
        <v>99.999999999999986</v>
      </c>
      <c r="O82" s="1011"/>
      <c r="R82" s="706">
        <v>2015</v>
      </c>
      <c r="S82" s="704">
        <f xml:space="preserve"> (O41* ($E41/365))+(O42*($E42/365))+(O43*($E43/365))</f>
        <v>10.989315068493152</v>
      </c>
      <c r="T82" s="704">
        <f xml:space="preserve"> (P41* ($E41/365))+(P42*($E42/365))+(P43*($E43/365))</f>
        <v>0</v>
      </c>
      <c r="U82" s="704">
        <f xml:space="preserve"> (Q41* ($E41/365))+(Q42*($E42/365))+(Q43*($E43/365))</f>
        <v>39.315342465753432</v>
      </c>
      <c r="V82" s="12"/>
      <c r="W82" s="704">
        <f t="shared" si="29"/>
        <v>50.304657534246587</v>
      </c>
    </row>
    <row r="83" spans="1:23" s="706" customFormat="1" ht="9" customHeight="1">
      <c r="A83" s="874">
        <v>2016</v>
      </c>
      <c r="B83" s="873">
        <f xml:space="preserve"> (K44*($E44/366))+(K45*($E45/366))+(K46*($E46/366))</f>
        <v>21.040514091119935</v>
      </c>
      <c r="C83" s="873">
        <f xml:space="preserve"> (L44*($E44/366))+(L45*($E45/366))+(L46*($E46/366))</f>
        <v>52.110556743486178</v>
      </c>
      <c r="D83" s="873">
        <f xml:space="preserve"> (M44*($E44/366))+(M45*($E45/366))+(M46*($E46/366))</f>
        <v>3.5519125683060109</v>
      </c>
      <c r="E83" s="52">
        <f t="shared" si="27"/>
        <v>76.702983402912125</v>
      </c>
      <c r="F83" s="874"/>
      <c r="G83" s="874">
        <v>2016</v>
      </c>
      <c r="H83" s="1001">
        <f xml:space="preserve"> (O44/$R44*100*($E44/366))+(O45/$R45*100*($E45/366))+(O46/$R46*100*($E46/366))</f>
        <v>22.481045389359668</v>
      </c>
      <c r="I83" s="1001"/>
      <c r="J83" s="1001">
        <f xml:space="preserve"> (P44/$R44*100*($E44/366))+(P45/$R45*100*($E45/366))+(P46/$R46*100*($E46/366))</f>
        <v>72.921355205477994</v>
      </c>
      <c r="K83" s="1001"/>
      <c r="L83" s="1001">
        <f xml:space="preserve"> (Q44/$R44*100*($E44/366))+(Q45/$R45*100*($E45/366))+(Q46/$R46*100*($E46/366))</f>
        <v>4.5975994051623417</v>
      </c>
      <c r="M83" s="1001"/>
      <c r="N83" s="1011">
        <f t="shared" si="28"/>
        <v>100</v>
      </c>
      <c r="O83" s="1011"/>
      <c r="P83" s="874"/>
      <c r="Q83" s="874"/>
      <c r="R83" s="874">
        <v>2016</v>
      </c>
      <c r="S83" s="873">
        <f xml:space="preserve"> (O44* ($E44/366))+(O45*($E45/366))+(O46*($E46/366))</f>
        <v>9.7385245901639355</v>
      </c>
      <c r="T83" s="873">
        <f xml:space="preserve"> (P44* ($E44/366))+(P45*($E45/366))+(P46*($E46/366))</f>
        <v>31.565300546448089</v>
      </c>
      <c r="U83" s="873">
        <f xml:space="preserve"> (Q44* ($E44/366))+(Q45*($E45/366))+(Q46*($E46/366))</f>
        <v>2.1286885245901641</v>
      </c>
      <c r="V83" s="12"/>
      <c r="W83" s="873">
        <f t="shared" si="29"/>
        <v>43.432513661202194</v>
      </c>
    </row>
    <row r="84" spans="1:23">
      <c r="A84" s="912">
        <v>2017</v>
      </c>
      <c r="B84" s="910">
        <f xml:space="preserve"> (K47*($E47/365))+(K48*($E48/365))</f>
        <v>10.984996738421396</v>
      </c>
      <c r="C84" s="910">
        <f xml:space="preserve"> (L47*($E47/365))+(L48*($E48/365))</f>
        <v>77.416829745596857</v>
      </c>
      <c r="D84" s="910">
        <f xml:space="preserve"> (M47*($E47/365))+(M48*($E48/365))</f>
        <v>0</v>
      </c>
      <c r="E84" s="52">
        <f t="shared" si="27"/>
        <v>88.401826484018258</v>
      </c>
      <c r="F84" s="912"/>
      <c r="G84" s="912">
        <v>2017</v>
      </c>
      <c r="H84" s="1001">
        <f xml:space="preserve"> (O47/$R47*100*($E47/365))+(O48/$R48*100*($E48/365))</f>
        <v>13.341169083842725</v>
      </c>
      <c r="I84" s="1001"/>
      <c r="J84" s="1001">
        <f xml:space="preserve"> (P47/$R47*100*($E47/365))+(P48/$R48*100*($E48/365))</f>
        <v>86.658830916157257</v>
      </c>
      <c r="K84" s="1001"/>
      <c r="L84" s="1001">
        <f xml:space="preserve"> (Q47/$R47*100*($E47/365))+(Q48/$R48*100*($E48/365))</f>
        <v>0</v>
      </c>
      <c r="M84" s="1001"/>
      <c r="N84" s="1011">
        <f t="shared" si="28"/>
        <v>99.999999999999986</v>
      </c>
      <c r="O84" s="1011"/>
      <c r="P84" s="912"/>
      <c r="Q84" s="912"/>
      <c r="R84" s="912">
        <v>2017</v>
      </c>
      <c r="S84" s="910">
        <f xml:space="preserve"> (O47* ($E47/365))+(O48*($E48/365))</f>
        <v>5.9136986301369863</v>
      </c>
      <c r="T84" s="910">
        <f xml:space="preserve"> (P47* ($E47/365))+(P48*($E48/365))</f>
        <v>37.1</v>
      </c>
      <c r="U84" s="910">
        <f xml:space="preserve"> (Q47* ($E47/365))+(Q48*($E48/365))</f>
        <v>0</v>
      </c>
      <c r="V84" s="12"/>
      <c r="W84" s="910">
        <f t="shared" si="29"/>
        <v>43.013698630136986</v>
      </c>
    </row>
    <row r="85" spans="1:23">
      <c r="A85" s="939">
        <v>2018</v>
      </c>
      <c r="B85" s="935">
        <f xml:space="preserve"> (K49*($E49/365))+(K50*($E50/365))</f>
        <v>4.7619047619047619</v>
      </c>
      <c r="C85" s="935">
        <f xml:space="preserve"> (L49*($E49/365))+(L50*($E50/365))</f>
        <v>85.714285714285708</v>
      </c>
      <c r="D85" s="935">
        <f xml:space="preserve"> (M49*($E49/365))+(M50*($E50/365))</f>
        <v>0</v>
      </c>
      <c r="E85" s="52">
        <f t="shared" si="27"/>
        <v>90.476190476190467</v>
      </c>
      <c r="F85" s="939"/>
      <c r="G85" s="939">
        <v>2018</v>
      </c>
      <c r="H85" s="1001">
        <f xml:space="preserve"> (O49/$R49*100*($E49/365))+(O50/$R50*100*($E50/365))</f>
        <v>8.1683168316831694</v>
      </c>
      <c r="I85" s="1001"/>
      <c r="J85" s="1001">
        <f xml:space="preserve"> (P49/$R49*100*($E49/365))+(P50/$R50*100*($E50/365))</f>
        <v>91.831683168316829</v>
      </c>
      <c r="K85" s="1001"/>
      <c r="L85" s="1001">
        <f xml:space="preserve"> (Q49/$R49*100*($E49/365))+(Q50/$R50*100*($E50/365))</f>
        <v>0</v>
      </c>
      <c r="M85" s="1001"/>
      <c r="N85" s="1011">
        <f t="shared" si="28"/>
        <v>100</v>
      </c>
      <c r="O85" s="1011"/>
      <c r="P85" s="939"/>
      <c r="Q85" s="939"/>
      <c r="R85" s="939">
        <v>2018</v>
      </c>
      <c r="S85" s="935">
        <f xml:space="preserve"> (O49* ($E49/365))+(O50*($E50/365))</f>
        <v>3.3</v>
      </c>
      <c r="T85" s="935">
        <f xml:space="preserve"> (P49* ($E49/365))+(P50*($E50/365))</f>
        <v>37.1</v>
      </c>
      <c r="U85" s="935">
        <f xml:space="preserve"> (Q49* ($E49/365))+(Q50*($E50/365))</f>
        <v>0</v>
      </c>
      <c r="V85" s="12"/>
      <c r="W85" s="935">
        <f t="shared" si="29"/>
        <v>40.4</v>
      </c>
    </row>
    <row r="86" spans="1:23">
      <c r="A86" s="939"/>
      <c r="F86" s="939"/>
      <c r="G86" s="939"/>
      <c r="P86" s="939"/>
      <c r="Q86" s="939"/>
      <c r="R86" s="939"/>
    </row>
  </sheetData>
  <mergeCells count="148">
    <mergeCell ref="AT4:AW4"/>
    <mergeCell ref="AX4:BA4"/>
    <mergeCell ref="Z4:AC4"/>
    <mergeCell ref="AD4:AG4"/>
    <mergeCell ref="G3:M3"/>
    <mergeCell ref="O3:Q3"/>
    <mergeCell ref="J71:K71"/>
    <mergeCell ref="L71:M71"/>
    <mergeCell ref="N71:O71"/>
    <mergeCell ref="H56:I56"/>
    <mergeCell ref="J56:K56"/>
    <mergeCell ref="L56:M56"/>
    <mergeCell ref="N56:O56"/>
    <mergeCell ref="H67:I67"/>
    <mergeCell ref="J67:K67"/>
    <mergeCell ref="L67:M67"/>
    <mergeCell ref="H68:I68"/>
    <mergeCell ref="J68:K68"/>
    <mergeCell ref="L68:M68"/>
    <mergeCell ref="N68:O68"/>
    <mergeCell ref="A4:A5"/>
    <mergeCell ref="B4:B5"/>
    <mergeCell ref="C4:D5"/>
    <mergeCell ref="E4:E5"/>
    <mergeCell ref="F4:F5"/>
    <mergeCell ref="G4:J4"/>
    <mergeCell ref="AH4:AK4"/>
    <mergeCell ref="AL4:AO4"/>
    <mergeCell ref="AP4:AS4"/>
    <mergeCell ref="S4:S5"/>
    <mergeCell ref="T4:T5"/>
    <mergeCell ref="U4:U5"/>
    <mergeCell ref="V4:Y4"/>
    <mergeCell ref="K4:N4"/>
    <mergeCell ref="O4:R4"/>
    <mergeCell ref="C7:D7"/>
    <mergeCell ref="C9:D9"/>
    <mergeCell ref="C10:D10"/>
    <mergeCell ref="C11:D11"/>
    <mergeCell ref="C12:D12"/>
    <mergeCell ref="C13:D13"/>
    <mergeCell ref="C21:D21"/>
    <mergeCell ref="C22:D22"/>
    <mergeCell ref="C6:D6"/>
    <mergeCell ref="C8:D8"/>
    <mergeCell ref="C14:D14"/>
    <mergeCell ref="C23:D23"/>
    <mergeCell ref="C25:D25"/>
    <mergeCell ref="C26:D26"/>
    <mergeCell ref="C15:D15"/>
    <mergeCell ref="C16:D16"/>
    <mergeCell ref="C17:D17"/>
    <mergeCell ref="C18:D18"/>
    <mergeCell ref="C19:D19"/>
    <mergeCell ref="C27:D27"/>
    <mergeCell ref="C20:D20"/>
    <mergeCell ref="C24:D24"/>
    <mergeCell ref="C45:D45"/>
    <mergeCell ref="C46:D46"/>
    <mergeCell ref="C47:D47"/>
    <mergeCell ref="C28:D28"/>
    <mergeCell ref="C31:D31"/>
    <mergeCell ref="C32:D32"/>
    <mergeCell ref="C33:D33"/>
    <mergeCell ref="C34:D34"/>
    <mergeCell ref="C35:D35"/>
    <mergeCell ref="C36:D36"/>
    <mergeCell ref="C40:D40"/>
    <mergeCell ref="C37:D37"/>
    <mergeCell ref="C38:D38"/>
    <mergeCell ref="C39:D39"/>
    <mergeCell ref="C29:D29"/>
    <mergeCell ref="C30:D30"/>
    <mergeCell ref="C41:D41"/>
    <mergeCell ref="C43:D43"/>
    <mergeCell ref="C42:D42"/>
    <mergeCell ref="C44:D44"/>
    <mergeCell ref="L77:M77"/>
    <mergeCell ref="C48:D48"/>
    <mergeCell ref="R54:W54"/>
    <mergeCell ref="J69:K69"/>
    <mergeCell ref="L69:M69"/>
    <mergeCell ref="N69:O69"/>
    <mergeCell ref="H70:I70"/>
    <mergeCell ref="J70:K70"/>
    <mergeCell ref="L70:M70"/>
    <mergeCell ref="H71:I71"/>
    <mergeCell ref="N67:O67"/>
    <mergeCell ref="N70:O70"/>
    <mergeCell ref="H69:I69"/>
    <mergeCell ref="C50:D50"/>
    <mergeCell ref="C51:D51"/>
    <mergeCell ref="C49:D49"/>
    <mergeCell ref="L72:M72"/>
    <mergeCell ref="N72:O72"/>
    <mergeCell ref="H72:I72"/>
    <mergeCell ref="J72:K72"/>
    <mergeCell ref="N73:O73"/>
    <mergeCell ref="N74:O74"/>
    <mergeCell ref="N75:O75"/>
    <mergeCell ref="H76:I76"/>
    <mergeCell ref="J76:K76"/>
    <mergeCell ref="L76:M76"/>
    <mergeCell ref="H73:I73"/>
    <mergeCell ref="J73:K73"/>
    <mergeCell ref="L73:M73"/>
    <mergeCell ref="H74:I74"/>
    <mergeCell ref="J74:K74"/>
    <mergeCell ref="L74:M74"/>
    <mergeCell ref="H75:I75"/>
    <mergeCell ref="J75:K75"/>
    <mergeCell ref="L75:M75"/>
    <mergeCell ref="N81:O81"/>
    <mergeCell ref="H82:I82"/>
    <mergeCell ref="J82:K82"/>
    <mergeCell ref="L82:M82"/>
    <mergeCell ref="N82:O82"/>
    <mergeCell ref="H81:I81"/>
    <mergeCell ref="J81:K81"/>
    <mergeCell ref="L81:M81"/>
    <mergeCell ref="N76:O76"/>
    <mergeCell ref="N77:O77"/>
    <mergeCell ref="H78:I78"/>
    <mergeCell ref="J78:K78"/>
    <mergeCell ref="L78:M78"/>
    <mergeCell ref="N78:O78"/>
    <mergeCell ref="N80:O80"/>
    <mergeCell ref="H80:I80"/>
    <mergeCell ref="J80:K80"/>
    <mergeCell ref="L80:M80"/>
    <mergeCell ref="H79:I79"/>
    <mergeCell ref="J79:K79"/>
    <mergeCell ref="L79:M79"/>
    <mergeCell ref="N79:O79"/>
    <mergeCell ref="H77:I77"/>
    <mergeCell ref="J77:K77"/>
    <mergeCell ref="H85:I85"/>
    <mergeCell ref="J85:K85"/>
    <mergeCell ref="L85:M85"/>
    <mergeCell ref="N85:O85"/>
    <mergeCell ref="H84:I84"/>
    <mergeCell ref="J84:K84"/>
    <mergeCell ref="L84:M84"/>
    <mergeCell ref="N84:O84"/>
    <mergeCell ref="H83:I83"/>
    <mergeCell ref="J83:K83"/>
    <mergeCell ref="L83:M83"/>
    <mergeCell ref="N83:O83"/>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A146"/>
  <sheetViews>
    <sheetView zoomScale="169" zoomScaleNormal="120" workbookViewId="0">
      <pane xSplit="1" ySplit="5" topLeftCell="B92" activePane="bottomRight" state="frozen"/>
      <selection pane="topRight" activeCell="B1" sqref="B1"/>
      <selection pane="bottomLeft" activeCell="A6" sqref="A6"/>
      <selection pane="bottomRight" activeCell="T98" sqref="T98"/>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51</v>
      </c>
    </row>
    <row r="3" spans="1:53" s="2" customFormat="1">
      <c r="G3" s="994"/>
      <c r="H3" s="994"/>
      <c r="I3" s="994"/>
      <c r="J3" s="994"/>
      <c r="K3" s="994"/>
      <c r="L3" s="994"/>
      <c r="M3" s="994"/>
      <c r="O3" s="994"/>
      <c r="P3" s="994"/>
      <c r="Q3" s="994"/>
    </row>
    <row r="4" spans="1:53" s="346" customFormat="1" ht="12.75" customHeight="1">
      <c r="A4" s="968" t="s">
        <v>3</v>
      </c>
      <c r="B4" s="974" t="s">
        <v>4</v>
      </c>
      <c r="C4" s="968" t="s">
        <v>1276</v>
      </c>
      <c r="D4" s="968"/>
      <c r="E4" s="974" t="s">
        <v>5</v>
      </c>
      <c r="F4" s="1016"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1017"/>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661" customFormat="1">
      <c r="A6" s="102">
        <v>1976</v>
      </c>
      <c r="B6" s="659"/>
      <c r="C6" s="1015" t="s">
        <v>1277</v>
      </c>
      <c r="D6" s="1015"/>
      <c r="G6" s="596"/>
      <c r="J6" s="598"/>
      <c r="K6" s="593"/>
      <c r="L6" s="593"/>
      <c r="M6" s="593"/>
      <c r="N6" s="597"/>
      <c r="O6" s="592"/>
      <c r="P6" s="593"/>
      <c r="Q6" s="593"/>
      <c r="R6" s="594"/>
      <c r="S6" s="679"/>
      <c r="T6" s="595"/>
      <c r="U6" s="127"/>
      <c r="V6" s="677"/>
      <c r="Z6" s="588"/>
      <c r="AD6" s="588"/>
      <c r="AG6" s="589"/>
      <c r="AL6" s="588"/>
      <c r="AO6" s="589"/>
      <c r="AP6" s="588"/>
      <c r="AS6" s="589"/>
      <c r="AW6" s="589"/>
      <c r="BA6" s="590"/>
    </row>
    <row r="7" spans="1:53" s="677" customFormat="1">
      <c r="A7" s="102">
        <v>1977</v>
      </c>
      <c r="B7" s="676"/>
      <c r="C7" s="1015"/>
      <c r="D7" s="1015"/>
      <c r="G7" s="596"/>
      <c r="J7" s="598"/>
      <c r="K7" s="593"/>
      <c r="L7" s="593"/>
      <c r="M7" s="593"/>
      <c r="N7" s="597"/>
      <c r="O7" s="592"/>
      <c r="P7" s="593"/>
      <c r="Q7" s="593"/>
      <c r="R7" s="594"/>
      <c r="S7" s="97"/>
      <c r="T7" s="595"/>
      <c r="U7" s="676"/>
      <c r="V7" s="588"/>
      <c r="Z7" s="588"/>
      <c r="AD7" s="588"/>
      <c r="AG7" s="589"/>
      <c r="AL7" s="588"/>
      <c r="AO7" s="589"/>
      <c r="AP7" s="588"/>
      <c r="AS7" s="589"/>
      <c r="AW7" s="589"/>
      <c r="BA7" s="590"/>
    </row>
    <row r="8" spans="1:53" s="677" customFormat="1">
      <c r="A8" s="102">
        <v>1978</v>
      </c>
      <c r="B8" s="676"/>
      <c r="C8" s="1015"/>
      <c r="D8" s="1015"/>
      <c r="G8" s="596"/>
      <c r="J8" s="598"/>
      <c r="K8" s="593"/>
      <c r="L8" s="593"/>
      <c r="M8" s="593"/>
      <c r="N8" s="597"/>
      <c r="O8" s="592"/>
      <c r="P8" s="593"/>
      <c r="Q8" s="593"/>
      <c r="R8" s="594"/>
      <c r="S8" s="97"/>
      <c r="T8" s="595"/>
      <c r="U8" s="676"/>
      <c r="V8" s="588"/>
      <c r="Z8" s="588"/>
      <c r="AD8" s="588"/>
      <c r="AG8" s="589"/>
      <c r="AL8" s="588"/>
      <c r="AO8" s="589"/>
      <c r="AP8" s="588"/>
      <c r="AS8" s="589"/>
      <c r="AW8" s="589"/>
      <c r="BA8" s="590"/>
    </row>
    <row r="9" spans="1:53" s="678" customFormat="1">
      <c r="A9" s="678">
        <v>1978</v>
      </c>
      <c r="B9" s="675">
        <v>28557</v>
      </c>
      <c r="C9" s="992" t="s">
        <v>1311</v>
      </c>
      <c r="D9" s="992"/>
      <c r="E9" s="678">
        <v>299</v>
      </c>
      <c r="F9" s="501"/>
      <c r="G9" s="642">
        <v>6</v>
      </c>
      <c r="I9" s="678">
        <v>2</v>
      </c>
      <c r="J9" s="644">
        <v>11</v>
      </c>
      <c r="K9" s="640">
        <f t="shared" ref="K9:K35" si="0">G9/J9*100</f>
        <v>54.54545454545454</v>
      </c>
      <c r="L9" s="640">
        <f t="shared" ref="L9:L35" si="1">H9/J9*100</f>
        <v>0</v>
      </c>
      <c r="M9" s="640">
        <f t="shared" ref="M9:M35" si="2">I9/J9*100</f>
        <v>18.181818181818183</v>
      </c>
      <c r="N9" s="643">
        <f t="shared" ref="N9:N35" si="3">SUM(K9:M9)</f>
        <v>72.72727272727272</v>
      </c>
      <c r="O9" s="639">
        <v>60</v>
      </c>
      <c r="P9" s="640"/>
      <c r="Q9" s="640">
        <v>11.4</v>
      </c>
      <c r="R9" s="641">
        <f t="shared" ref="R9:R35" si="4">SUM(O9:Q9)</f>
        <v>71.400000000000006</v>
      </c>
      <c r="S9" s="678">
        <v>1</v>
      </c>
      <c r="T9" s="487"/>
      <c r="U9" s="675">
        <v>28557</v>
      </c>
      <c r="V9" s="634" t="s">
        <v>1054</v>
      </c>
      <c r="W9" s="678" t="s">
        <v>22</v>
      </c>
      <c r="X9" s="678" t="s">
        <v>11</v>
      </c>
      <c r="Y9" s="635">
        <v>60</v>
      </c>
      <c r="Z9" s="678" t="s">
        <v>1056</v>
      </c>
      <c r="AA9" s="678" t="s">
        <v>20</v>
      </c>
      <c r="AB9" s="678" t="s">
        <v>12</v>
      </c>
      <c r="AC9" s="678">
        <v>11.4</v>
      </c>
      <c r="AD9" s="634"/>
      <c r="AG9" s="635"/>
      <c r="AL9" s="634"/>
      <c r="AO9" s="635"/>
      <c r="AP9" s="634"/>
      <c r="AS9" s="635"/>
      <c r="AW9" s="635"/>
      <c r="BA9" s="636"/>
    </row>
    <row r="10" spans="1:53" s="646" customFormat="1">
      <c r="A10" s="646">
        <v>1979</v>
      </c>
      <c r="B10" s="645"/>
      <c r="C10" s="992" t="s">
        <v>1311</v>
      </c>
      <c r="D10" s="992"/>
      <c r="E10" s="646">
        <v>304</v>
      </c>
      <c r="G10" s="642">
        <v>6</v>
      </c>
      <c r="I10" s="646">
        <v>2</v>
      </c>
      <c r="J10" s="644">
        <v>11</v>
      </c>
      <c r="K10" s="640">
        <f t="shared" si="0"/>
        <v>54.54545454545454</v>
      </c>
      <c r="L10" s="640">
        <f t="shared" si="1"/>
        <v>0</v>
      </c>
      <c r="M10" s="640">
        <f t="shared" si="2"/>
        <v>18.181818181818183</v>
      </c>
      <c r="N10" s="643">
        <f t="shared" si="3"/>
        <v>72.72727272727272</v>
      </c>
      <c r="O10" s="639">
        <v>60</v>
      </c>
      <c r="P10" s="640"/>
      <c r="Q10" s="640">
        <v>11.4</v>
      </c>
      <c r="R10" s="641">
        <f t="shared" si="4"/>
        <v>71.400000000000006</v>
      </c>
      <c r="S10" s="662">
        <v>1</v>
      </c>
      <c r="T10" s="638"/>
      <c r="U10" s="645"/>
      <c r="V10" s="634" t="s">
        <v>1054</v>
      </c>
      <c r="W10" s="646" t="s">
        <v>22</v>
      </c>
      <c r="X10" s="646" t="s">
        <v>11</v>
      </c>
      <c r="Y10" s="635">
        <v>60</v>
      </c>
      <c r="Z10" s="678" t="s">
        <v>1056</v>
      </c>
      <c r="AA10" s="678" t="s">
        <v>20</v>
      </c>
      <c r="AB10" s="678" t="s">
        <v>12</v>
      </c>
      <c r="AC10" s="678">
        <v>11.4</v>
      </c>
      <c r="AD10" s="634"/>
      <c r="AG10" s="635"/>
      <c r="AL10" s="634"/>
      <c r="AO10" s="635"/>
      <c r="AP10" s="634"/>
      <c r="AS10" s="635"/>
      <c r="AW10" s="635"/>
      <c r="BA10" s="636"/>
    </row>
    <row r="11" spans="1:53" s="678" customFormat="1">
      <c r="A11" s="678">
        <v>1979</v>
      </c>
      <c r="B11" s="502">
        <v>29160</v>
      </c>
      <c r="C11" s="992" t="s">
        <v>1311</v>
      </c>
      <c r="D11" s="992"/>
      <c r="E11" s="678">
        <v>61</v>
      </c>
      <c r="F11" s="501">
        <v>0</v>
      </c>
      <c r="G11" s="642">
        <v>7</v>
      </c>
      <c r="I11" s="678">
        <v>2</v>
      </c>
      <c r="J11" s="644">
        <v>11</v>
      </c>
      <c r="K11" s="640">
        <f t="shared" si="0"/>
        <v>63.636363636363633</v>
      </c>
      <c r="L11" s="640">
        <f t="shared" si="1"/>
        <v>0</v>
      </c>
      <c r="M11" s="640">
        <f t="shared" si="2"/>
        <v>18.181818181818183</v>
      </c>
      <c r="N11" s="643">
        <f t="shared" si="3"/>
        <v>81.818181818181813</v>
      </c>
      <c r="O11" s="639">
        <v>60</v>
      </c>
      <c r="P11" s="640"/>
      <c r="Q11" s="640">
        <v>11.4</v>
      </c>
      <c r="R11" s="641">
        <f t="shared" si="4"/>
        <v>71.400000000000006</v>
      </c>
      <c r="S11" s="678">
        <v>1</v>
      </c>
      <c r="T11" s="487"/>
      <c r="U11" s="675"/>
      <c r="V11" s="634" t="s">
        <v>1054</v>
      </c>
      <c r="W11" s="678" t="s">
        <v>22</v>
      </c>
      <c r="X11" s="678" t="s">
        <v>11</v>
      </c>
      <c r="Y11" s="635">
        <v>60</v>
      </c>
      <c r="Z11" s="678" t="s">
        <v>1056</v>
      </c>
      <c r="AA11" s="678" t="s">
        <v>20</v>
      </c>
      <c r="AB11" s="678" t="s">
        <v>12</v>
      </c>
      <c r="AC11" s="678">
        <v>11.4</v>
      </c>
      <c r="AD11" s="634"/>
      <c r="AG11" s="635"/>
      <c r="AL11" s="634"/>
      <c r="AO11" s="635"/>
      <c r="AP11" s="634"/>
      <c r="AS11" s="635"/>
      <c r="AW11" s="635"/>
      <c r="BA11" s="636"/>
    </row>
    <row r="12" spans="1:53" s="646" customFormat="1">
      <c r="A12" s="646">
        <v>1980</v>
      </c>
      <c r="B12" s="645"/>
      <c r="C12" s="992" t="s">
        <v>1311</v>
      </c>
      <c r="D12" s="992"/>
      <c r="E12" s="646">
        <v>253</v>
      </c>
      <c r="G12" s="642">
        <v>7</v>
      </c>
      <c r="I12" s="646">
        <v>2</v>
      </c>
      <c r="J12" s="644">
        <v>11</v>
      </c>
      <c r="K12" s="640">
        <f t="shared" si="0"/>
        <v>63.636363636363633</v>
      </c>
      <c r="L12" s="640">
        <f t="shared" si="1"/>
        <v>0</v>
      </c>
      <c r="M12" s="640">
        <f t="shared" si="2"/>
        <v>18.181818181818183</v>
      </c>
      <c r="N12" s="643">
        <f t="shared" si="3"/>
        <v>81.818181818181813</v>
      </c>
      <c r="O12" s="639">
        <v>60</v>
      </c>
      <c r="P12" s="640"/>
      <c r="Q12" s="640">
        <v>11.4</v>
      </c>
      <c r="R12" s="641">
        <f t="shared" si="4"/>
        <v>71.400000000000006</v>
      </c>
      <c r="S12" s="662">
        <v>1</v>
      </c>
      <c r="T12" s="638"/>
      <c r="U12" s="645"/>
      <c r="V12" s="634" t="s">
        <v>1054</v>
      </c>
      <c r="W12" s="646" t="s">
        <v>22</v>
      </c>
      <c r="X12" s="646" t="s">
        <v>11</v>
      </c>
      <c r="Y12" s="635">
        <v>60</v>
      </c>
      <c r="Z12" s="678" t="s">
        <v>1056</v>
      </c>
      <c r="AA12" s="678" t="s">
        <v>20</v>
      </c>
      <c r="AB12" s="678" t="s">
        <v>12</v>
      </c>
      <c r="AC12" s="678">
        <v>11.4</v>
      </c>
      <c r="AD12" s="634"/>
      <c r="AG12" s="635"/>
      <c r="AL12" s="634"/>
      <c r="AO12" s="635"/>
      <c r="AP12" s="634"/>
      <c r="AS12" s="635"/>
      <c r="AW12" s="635"/>
      <c r="BA12" s="636"/>
    </row>
    <row r="13" spans="1:53" s="678" customFormat="1">
      <c r="A13" s="678">
        <v>1980</v>
      </c>
      <c r="B13" s="502">
        <v>29474</v>
      </c>
      <c r="C13" s="992" t="s">
        <v>1311</v>
      </c>
      <c r="D13" s="992"/>
      <c r="E13" s="678">
        <v>2</v>
      </c>
      <c r="F13" s="501">
        <v>0</v>
      </c>
      <c r="G13" s="642">
        <v>8</v>
      </c>
      <c r="I13" s="678">
        <v>1</v>
      </c>
      <c r="J13" s="644">
        <v>11</v>
      </c>
      <c r="K13" s="640">
        <f t="shared" si="0"/>
        <v>72.727272727272734</v>
      </c>
      <c r="L13" s="640">
        <f t="shared" si="1"/>
        <v>0</v>
      </c>
      <c r="M13" s="640">
        <f t="shared" si="2"/>
        <v>9.0909090909090917</v>
      </c>
      <c r="N13" s="643">
        <f t="shared" si="3"/>
        <v>81.818181818181827</v>
      </c>
      <c r="O13" s="639">
        <v>60</v>
      </c>
      <c r="P13" s="640"/>
      <c r="Q13" s="640">
        <v>11.4</v>
      </c>
      <c r="R13" s="641">
        <f t="shared" si="4"/>
        <v>71.400000000000006</v>
      </c>
      <c r="S13" s="678">
        <v>1</v>
      </c>
      <c r="T13" s="487"/>
      <c r="U13" s="675"/>
      <c r="V13" s="634" t="s">
        <v>1054</v>
      </c>
      <c r="W13" s="678" t="s">
        <v>22</v>
      </c>
      <c r="X13" s="678" t="s">
        <v>11</v>
      </c>
      <c r="Y13" s="635">
        <v>60</v>
      </c>
      <c r="Z13" s="678" t="s">
        <v>1056</v>
      </c>
      <c r="AA13" s="678" t="s">
        <v>20</v>
      </c>
      <c r="AB13" s="678" t="s">
        <v>12</v>
      </c>
      <c r="AC13" s="678">
        <v>11.4</v>
      </c>
      <c r="AD13" s="634"/>
      <c r="AG13" s="635"/>
      <c r="AL13" s="634"/>
      <c r="AO13" s="635"/>
      <c r="AP13" s="634"/>
      <c r="AS13" s="635"/>
      <c r="AW13" s="635"/>
      <c r="BA13" s="636"/>
    </row>
    <row r="14" spans="1:53" s="678" customFormat="1">
      <c r="A14" s="678">
        <v>1980</v>
      </c>
      <c r="B14" s="502">
        <v>29476</v>
      </c>
      <c r="C14" s="992" t="s">
        <v>1311</v>
      </c>
      <c r="D14" s="992"/>
      <c r="E14" s="678">
        <v>111</v>
      </c>
      <c r="F14" s="501">
        <v>0</v>
      </c>
      <c r="G14" s="642">
        <v>9</v>
      </c>
      <c r="J14" s="644">
        <v>11</v>
      </c>
      <c r="K14" s="640">
        <f t="shared" si="0"/>
        <v>81.818181818181827</v>
      </c>
      <c r="L14" s="640">
        <f t="shared" si="1"/>
        <v>0</v>
      </c>
      <c r="M14" s="640">
        <f t="shared" si="2"/>
        <v>0</v>
      </c>
      <c r="N14" s="643">
        <f t="shared" si="3"/>
        <v>81.818181818181827</v>
      </c>
      <c r="O14" s="639">
        <v>60</v>
      </c>
      <c r="P14" s="640"/>
      <c r="Q14" s="640"/>
      <c r="R14" s="641">
        <f t="shared" si="4"/>
        <v>60</v>
      </c>
      <c r="S14" s="678">
        <v>1</v>
      </c>
      <c r="T14" s="487"/>
      <c r="U14" s="675"/>
      <c r="V14" s="634" t="s">
        <v>1054</v>
      </c>
      <c r="W14" s="678" t="s">
        <v>22</v>
      </c>
      <c r="X14" s="678" t="s">
        <v>11</v>
      </c>
      <c r="Y14" s="635">
        <v>60</v>
      </c>
      <c r="AD14" s="634"/>
      <c r="AG14" s="635"/>
      <c r="AL14" s="634"/>
      <c r="AO14" s="635"/>
      <c r="AP14" s="634"/>
      <c r="AS14" s="635"/>
      <c r="AW14" s="635"/>
      <c r="BA14" s="636"/>
    </row>
    <row r="15" spans="1:53" s="662" customFormat="1">
      <c r="A15" s="662">
        <v>1981</v>
      </c>
      <c r="B15" s="660"/>
      <c r="C15" s="992" t="s">
        <v>1311</v>
      </c>
      <c r="D15" s="992"/>
      <c r="E15" s="662">
        <v>143</v>
      </c>
      <c r="G15" s="642">
        <v>1</v>
      </c>
      <c r="J15" s="644">
        <v>11</v>
      </c>
      <c r="K15" s="640">
        <f t="shared" si="0"/>
        <v>9.0909090909090917</v>
      </c>
      <c r="L15" s="640">
        <f t="shared" si="1"/>
        <v>0</v>
      </c>
      <c r="M15" s="640">
        <f t="shared" si="2"/>
        <v>0</v>
      </c>
      <c r="N15" s="643">
        <f t="shared" si="3"/>
        <v>9.0909090909090917</v>
      </c>
      <c r="O15" s="639">
        <v>60</v>
      </c>
      <c r="P15" s="640"/>
      <c r="Q15" s="640"/>
      <c r="R15" s="641">
        <f t="shared" si="4"/>
        <v>60</v>
      </c>
      <c r="S15" s="662">
        <v>1</v>
      </c>
      <c r="T15" s="638"/>
      <c r="U15" s="660"/>
      <c r="V15" s="634" t="s">
        <v>1054</v>
      </c>
      <c r="W15" s="662" t="s">
        <v>22</v>
      </c>
      <c r="X15" s="662" t="s">
        <v>11</v>
      </c>
      <c r="Y15" s="635">
        <v>60</v>
      </c>
      <c r="AD15" s="634"/>
      <c r="AG15" s="635"/>
      <c r="AL15" s="634"/>
      <c r="AO15" s="635"/>
      <c r="AP15" s="634"/>
      <c r="AS15" s="635"/>
      <c r="AW15" s="635"/>
      <c r="BA15" s="636"/>
    </row>
    <row r="16" spans="1:53" s="662" customFormat="1">
      <c r="A16" s="662">
        <v>1981</v>
      </c>
      <c r="B16" s="502"/>
      <c r="C16" s="992" t="s">
        <v>1311</v>
      </c>
      <c r="D16" s="992"/>
      <c r="E16" s="662">
        <v>222</v>
      </c>
      <c r="F16" s="501" t="s">
        <v>337</v>
      </c>
      <c r="G16" s="642">
        <v>1</v>
      </c>
      <c r="J16" s="644">
        <v>11</v>
      </c>
      <c r="K16" s="640">
        <f t="shared" si="0"/>
        <v>9.0909090909090917</v>
      </c>
      <c r="L16" s="640">
        <f t="shared" si="1"/>
        <v>0</v>
      </c>
      <c r="M16" s="640">
        <f t="shared" si="2"/>
        <v>0</v>
      </c>
      <c r="N16" s="643">
        <f t="shared" si="3"/>
        <v>9.0909090909090917</v>
      </c>
      <c r="O16" s="639">
        <v>22.9</v>
      </c>
      <c r="P16" s="640"/>
      <c r="Q16" s="640"/>
      <c r="R16" s="641">
        <f t="shared" si="4"/>
        <v>22.9</v>
      </c>
      <c r="S16" s="662">
        <v>1</v>
      </c>
      <c r="T16" s="487">
        <v>29730</v>
      </c>
      <c r="U16" s="660"/>
      <c r="V16" s="634" t="s">
        <v>1054</v>
      </c>
      <c r="W16" s="662" t="s">
        <v>22</v>
      </c>
      <c r="X16" s="662" t="s">
        <v>11</v>
      </c>
      <c r="Y16" s="635">
        <v>22.9</v>
      </c>
      <c r="AD16" s="634"/>
      <c r="AG16" s="635"/>
      <c r="AL16" s="634"/>
      <c r="AO16" s="635"/>
      <c r="AP16" s="634"/>
      <c r="AS16" s="635"/>
      <c r="AW16" s="635"/>
      <c r="BA16" s="636"/>
    </row>
    <row r="17" spans="1:53" s="662" customFormat="1">
      <c r="A17" s="662">
        <v>1982</v>
      </c>
      <c r="B17" s="660"/>
      <c r="C17" s="992" t="s">
        <v>1311</v>
      </c>
      <c r="D17" s="992"/>
      <c r="E17" s="662">
        <v>109</v>
      </c>
      <c r="G17" s="642">
        <v>1</v>
      </c>
      <c r="J17" s="644">
        <v>11</v>
      </c>
      <c r="K17" s="640">
        <f t="shared" si="0"/>
        <v>9.0909090909090917</v>
      </c>
      <c r="L17" s="640">
        <f t="shared" si="1"/>
        <v>0</v>
      </c>
      <c r="M17" s="640">
        <f t="shared" si="2"/>
        <v>0</v>
      </c>
      <c r="N17" s="643">
        <f t="shared" si="3"/>
        <v>9.0909090909090917</v>
      </c>
      <c r="O17" s="639">
        <v>22.9</v>
      </c>
      <c r="P17" s="640"/>
      <c r="Q17" s="640"/>
      <c r="R17" s="641">
        <f t="shared" si="4"/>
        <v>22.9</v>
      </c>
      <c r="S17" s="662">
        <v>1</v>
      </c>
      <c r="T17" s="638"/>
      <c r="U17" s="660"/>
      <c r="V17" s="634" t="s">
        <v>1054</v>
      </c>
      <c r="W17" s="662" t="s">
        <v>22</v>
      </c>
      <c r="X17" s="662" t="s">
        <v>11</v>
      </c>
      <c r="Y17" s="635">
        <v>22.9</v>
      </c>
      <c r="AD17" s="634"/>
      <c r="AG17" s="635"/>
      <c r="AL17" s="634"/>
      <c r="AO17" s="635"/>
      <c r="AP17" s="634"/>
      <c r="AS17" s="635"/>
      <c r="AW17" s="635"/>
      <c r="BA17" s="636"/>
    </row>
    <row r="18" spans="1:53" s="678" customFormat="1">
      <c r="A18" s="678">
        <v>1982</v>
      </c>
      <c r="B18" s="502">
        <v>30061</v>
      </c>
      <c r="C18" s="992" t="s">
        <v>1311</v>
      </c>
      <c r="D18" s="992"/>
      <c r="E18" s="678">
        <v>256</v>
      </c>
      <c r="F18" s="501">
        <v>0</v>
      </c>
      <c r="G18" s="642">
        <v>7</v>
      </c>
      <c r="J18" s="644">
        <v>11</v>
      </c>
      <c r="K18" s="640">
        <f t="shared" si="0"/>
        <v>63.636363636363633</v>
      </c>
      <c r="L18" s="640">
        <f t="shared" si="1"/>
        <v>0</v>
      </c>
      <c r="M18" s="640">
        <f t="shared" si="2"/>
        <v>0</v>
      </c>
      <c r="N18" s="643">
        <f t="shared" si="3"/>
        <v>63.636363636363633</v>
      </c>
      <c r="O18" s="639">
        <v>22.9</v>
      </c>
      <c r="P18" s="640"/>
      <c r="Q18" s="640"/>
      <c r="R18" s="641">
        <f t="shared" si="4"/>
        <v>22.9</v>
      </c>
      <c r="S18" s="678">
        <v>1</v>
      </c>
      <c r="T18" s="487"/>
      <c r="U18" s="675"/>
      <c r="V18" s="634" t="s">
        <v>1054</v>
      </c>
      <c r="W18" s="678" t="s">
        <v>22</v>
      </c>
      <c r="X18" s="678" t="s">
        <v>11</v>
      </c>
      <c r="Y18" s="635">
        <v>22.9</v>
      </c>
      <c r="AD18" s="634"/>
      <c r="AG18" s="635"/>
      <c r="AL18" s="634"/>
      <c r="AO18" s="635"/>
      <c r="AP18" s="634"/>
      <c r="AS18" s="635"/>
      <c r="AW18" s="635"/>
      <c r="BA18" s="636"/>
    </row>
    <row r="19" spans="1:53" s="662" customFormat="1">
      <c r="A19" s="662">
        <v>1983</v>
      </c>
      <c r="B19" s="660"/>
      <c r="C19" s="992" t="s">
        <v>1311</v>
      </c>
      <c r="D19" s="992"/>
      <c r="E19" s="662">
        <v>43</v>
      </c>
      <c r="G19" s="642">
        <v>7</v>
      </c>
      <c r="J19" s="644">
        <v>11</v>
      </c>
      <c r="K19" s="640">
        <f t="shared" si="0"/>
        <v>63.636363636363633</v>
      </c>
      <c r="L19" s="640">
        <f t="shared" si="1"/>
        <v>0</v>
      </c>
      <c r="M19" s="640">
        <f t="shared" si="2"/>
        <v>0</v>
      </c>
      <c r="N19" s="643">
        <f t="shared" si="3"/>
        <v>63.636363636363633</v>
      </c>
      <c r="O19" s="639">
        <v>22.9</v>
      </c>
      <c r="P19" s="640"/>
      <c r="Q19" s="640"/>
      <c r="R19" s="641">
        <f t="shared" si="4"/>
        <v>22.9</v>
      </c>
      <c r="S19" s="662">
        <v>1</v>
      </c>
      <c r="T19" s="638"/>
      <c r="U19" s="660"/>
      <c r="V19" s="634" t="s">
        <v>1054</v>
      </c>
      <c r="W19" s="662" t="s">
        <v>22</v>
      </c>
      <c r="X19" s="662" t="s">
        <v>11</v>
      </c>
      <c r="Y19" s="635">
        <v>22.9</v>
      </c>
      <c r="AD19" s="634"/>
      <c r="AG19" s="635"/>
      <c r="AL19" s="634"/>
      <c r="AO19" s="635"/>
      <c r="AP19" s="634"/>
      <c r="AS19" s="635"/>
      <c r="AW19" s="635"/>
      <c r="BA19" s="636"/>
    </row>
    <row r="20" spans="1:53" s="669" customFormat="1">
      <c r="A20" s="669">
        <v>1983</v>
      </c>
      <c r="B20" s="663">
        <v>30360</v>
      </c>
      <c r="C20" s="988" t="s">
        <v>1312</v>
      </c>
      <c r="D20" s="988"/>
      <c r="E20" s="669">
        <v>221</v>
      </c>
      <c r="G20" s="596">
        <v>7</v>
      </c>
      <c r="J20" s="598">
        <v>11</v>
      </c>
      <c r="K20" s="593">
        <f t="shared" si="0"/>
        <v>63.636363636363633</v>
      </c>
      <c r="L20" s="593">
        <f t="shared" si="1"/>
        <v>0</v>
      </c>
      <c r="M20" s="593">
        <f t="shared" si="2"/>
        <v>0</v>
      </c>
      <c r="N20" s="597">
        <f t="shared" si="3"/>
        <v>63.636363636363633</v>
      </c>
      <c r="O20" s="592">
        <v>22.9</v>
      </c>
      <c r="P20" s="593"/>
      <c r="Q20" s="593"/>
      <c r="R20" s="594">
        <f t="shared" si="4"/>
        <v>22.9</v>
      </c>
      <c r="S20" s="669">
        <v>1</v>
      </c>
      <c r="T20" s="575"/>
      <c r="U20" s="663">
        <v>30360</v>
      </c>
      <c r="V20" s="588" t="s">
        <v>1054</v>
      </c>
      <c r="W20" s="669" t="s">
        <v>22</v>
      </c>
      <c r="X20" s="669" t="s">
        <v>11</v>
      </c>
      <c r="Y20" s="589">
        <v>22.9</v>
      </c>
      <c r="AD20" s="588"/>
      <c r="AG20" s="589"/>
      <c r="AL20" s="588"/>
      <c r="AO20" s="589"/>
      <c r="AP20" s="588"/>
      <c r="AS20" s="589"/>
      <c r="AW20" s="589"/>
      <c r="BA20" s="590"/>
    </row>
    <row r="21" spans="1:53" s="677" customFormat="1">
      <c r="A21" s="677">
        <v>1983</v>
      </c>
      <c r="B21" s="599">
        <v>30581</v>
      </c>
      <c r="C21" s="988" t="s">
        <v>1312</v>
      </c>
      <c r="D21" s="988"/>
      <c r="E21" s="677">
        <v>101</v>
      </c>
      <c r="F21" s="600">
        <v>0</v>
      </c>
      <c r="G21" s="596">
        <v>6</v>
      </c>
      <c r="J21" s="598">
        <v>11</v>
      </c>
      <c r="K21" s="593">
        <f t="shared" si="0"/>
        <v>54.54545454545454</v>
      </c>
      <c r="L21" s="593">
        <f t="shared" si="1"/>
        <v>0</v>
      </c>
      <c r="M21" s="593">
        <f t="shared" si="2"/>
        <v>0</v>
      </c>
      <c r="N21" s="597">
        <f t="shared" si="3"/>
        <v>54.54545454545454</v>
      </c>
      <c r="O21" s="592">
        <v>22.9</v>
      </c>
      <c r="P21" s="593"/>
      <c r="Q21" s="593"/>
      <c r="R21" s="594">
        <f t="shared" si="4"/>
        <v>22.9</v>
      </c>
      <c r="S21" s="677">
        <v>1</v>
      </c>
      <c r="T21" s="595"/>
      <c r="U21" s="676"/>
      <c r="V21" s="588" t="s">
        <v>1054</v>
      </c>
      <c r="W21" s="677" t="s">
        <v>22</v>
      </c>
      <c r="X21" s="677" t="s">
        <v>11</v>
      </c>
      <c r="Y21" s="589">
        <v>22.9</v>
      </c>
      <c r="AD21" s="588"/>
      <c r="AG21" s="589"/>
      <c r="AL21" s="588"/>
      <c r="AO21" s="589"/>
      <c r="AP21" s="588"/>
      <c r="AS21" s="589"/>
      <c r="AW21" s="589"/>
      <c r="BA21" s="590"/>
    </row>
    <row r="22" spans="1:53" s="677" customFormat="1">
      <c r="A22" s="677">
        <v>1984</v>
      </c>
      <c r="B22" s="599"/>
      <c r="C22" s="988" t="s">
        <v>1312</v>
      </c>
      <c r="D22" s="988"/>
      <c r="E22" s="677">
        <v>0</v>
      </c>
      <c r="F22" s="600"/>
      <c r="G22" s="596">
        <v>6</v>
      </c>
      <c r="J22" s="598">
        <v>11</v>
      </c>
      <c r="K22" s="593">
        <f t="shared" si="0"/>
        <v>54.54545454545454</v>
      </c>
      <c r="L22" s="593">
        <f t="shared" si="1"/>
        <v>0</v>
      </c>
      <c r="M22" s="593">
        <f t="shared" si="2"/>
        <v>0</v>
      </c>
      <c r="N22" s="597">
        <f t="shared" si="3"/>
        <v>54.54545454545454</v>
      </c>
      <c r="O22" s="592">
        <v>22.9</v>
      </c>
      <c r="P22" s="593"/>
      <c r="Q22" s="593"/>
      <c r="R22" s="594">
        <f t="shared" si="4"/>
        <v>22.9</v>
      </c>
      <c r="S22" s="677">
        <v>1</v>
      </c>
      <c r="T22" s="595"/>
      <c r="U22" s="676"/>
      <c r="V22" s="588" t="s">
        <v>1054</v>
      </c>
      <c r="W22" s="677" t="s">
        <v>22</v>
      </c>
      <c r="X22" s="677" t="s">
        <v>11</v>
      </c>
      <c r="Y22" s="589">
        <v>22.9</v>
      </c>
      <c r="AD22" s="588"/>
      <c r="AG22" s="589"/>
      <c r="AL22" s="588"/>
      <c r="AO22" s="589"/>
      <c r="AP22" s="588"/>
      <c r="AS22" s="589"/>
      <c r="AW22" s="589"/>
      <c r="BA22" s="590"/>
    </row>
    <row r="23" spans="1:53" s="677" customFormat="1">
      <c r="A23" s="677">
        <v>1984</v>
      </c>
      <c r="B23" s="599"/>
      <c r="C23" s="988" t="s">
        <v>1312</v>
      </c>
      <c r="D23" s="988"/>
      <c r="E23" s="677">
        <v>366</v>
      </c>
      <c r="F23" s="600"/>
      <c r="G23" s="596">
        <v>6</v>
      </c>
      <c r="J23" s="598">
        <v>11</v>
      </c>
      <c r="K23" s="593">
        <f t="shared" si="0"/>
        <v>54.54545454545454</v>
      </c>
      <c r="L23" s="593">
        <f t="shared" si="1"/>
        <v>0</v>
      </c>
      <c r="M23" s="593">
        <f t="shared" si="2"/>
        <v>0</v>
      </c>
      <c r="N23" s="597">
        <f t="shared" si="3"/>
        <v>54.54545454545454</v>
      </c>
      <c r="O23" s="592">
        <v>22.9</v>
      </c>
      <c r="P23" s="593"/>
      <c r="Q23" s="593"/>
      <c r="R23" s="594">
        <f t="shared" si="4"/>
        <v>22.9</v>
      </c>
      <c r="S23" s="677">
        <v>1</v>
      </c>
      <c r="T23" s="595"/>
      <c r="U23" s="676"/>
      <c r="V23" s="588" t="s">
        <v>1054</v>
      </c>
      <c r="W23" s="677" t="s">
        <v>22</v>
      </c>
      <c r="X23" s="677" t="s">
        <v>11</v>
      </c>
      <c r="Y23" s="589">
        <v>22.9</v>
      </c>
      <c r="AD23" s="588"/>
      <c r="AG23" s="589"/>
      <c r="AL23" s="588"/>
      <c r="AO23" s="589"/>
      <c r="AP23" s="588"/>
      <c r="AS23" s="589"/>
      <c r="AW23" s="589"/>
      <c r="BA23" s="590"/>
    </row>
    <row r="24" spans="1:53" s="677" customFormat="1">
      <c r="A24" s="677">
        <v>1985</v>
      </c>
      <c r="C24" s="988" t="s">
        <v>1312</v>
      </c>
      <c r="D24" s="988"/>
      <c r="E24" s="677">
        <v>6</v>
      </c>
      <c r="F24" s="600"/>
      <c r="G24" s="596">
        <v>6</v>
      </c>
      <c r="J24" s="598">
        <v>11</v>
      </c>
      <c r="K24" s="593">
        <f t="shared" si="0"/>
        <v>54.54545454545454</v>
      </c>
      <c r="L24" s="593">
        <f t="shared" si="1"/>
        <v>0</v>
      </c>
      <c r="M24" s="593">
        <f t="shared" si="2"/>
        <v>0</v>
      </c>
      <c r="N24" s="597">
        <f t="shared" si="3"/>
        <v>54.54545454545454</v>
      </c>
      <c r="O24" s="592">
        <v>22.9</v>
      </c>
      <c r="P24" s="593"/>
      <c r="Q24" s="593"/>
      <c r="R24" s="594">
        <f t="shared" si="4"/>
        <v>22.9</v>
      </c>
      <c r="S24" s="677">
        <v>1</v>
      </c>
      <c r="T24" s="595"/>
      <c r="U24" s="676"/>
      <c r="V24" s="588" t="s">
        <v>1054</v>
      </c>
      <c r="W24" s="677" t="s">
        <v>22</v>
      </c>
      <c r="X24" s="677" t="s">
        <v>11</v>
      </c>
      <c r="Y24" s="589">
        <v>22.9</v>
      </c>
      <c r="AD24" s="588"/>
      <c r="AG24" s="589"/>
      <c r="AL24" s="588"/>
      <c r="AO24" s="589"/>
      <c r="AP24" s="588"/>
      <c r="AS24" s="589"/>
      <c r="AW24" s="589"/>
      <c r="BA24" s="590"/>
    </row>
    <row r="25" spans="1:53" s="677" customFormat="1">
      <c r="A25" s="677">
        <v>1985</v>
      </c>
      <c r="B25" s="599">
        <v>31054</v>
      </c>
      <c r="C25" s="988" t="s">
        <v>1312</v>
      </c>
      <c r="D25" s="988"/>
      <c r="E25" s="677">
        <v>206</v>
      </c>
      <c r="F25" s="600">
        <v>0</v>
      </c>
      <c r="G25" s="596">
        <v>8</v>
      </c>
      <c r="J25" s="598">
        <v>12</v>
      </c>
      <c r="K25" s="593">
        <f t="shared" si="0"/>
        <v>66.666666666666657</v>
      </c>
      <c r="L25" s="593">
        <f t="shared" si="1"/>
        <v>0</v>
      </c>
      <c r="M25" s="593">
        <f t="shared" si="2"/>
        <v>0</v>
      </c>
      <c r="N25" s="597">
        <f t="shared" si="3"/>
        <v>66.666666666666657</v>
      </c>
      <c r="O25" s="592">
        <v>57.2</v>
      </c>
      <c r="P25" s="593"/>
      <c r="Q25" s="593"/>
      <c r="R25" s="594">
        <f t="shared" si="4"/>
        <v>57.2</v>
      </c>
      <c r="S25" s="677">
        <v>1</v>
      </c>
      <c r="T25" s="595"/>
      <c r="U25" s="676"/>
      <c r="V25" s="588" t="s">
        <v>1054</v>
      </c>
      <c r="W25" s="677" t="s">
        <v>22</v>
      </c>
      <c r="X25" s="677" t="s">
        <v>11</v>
      </c>
      <c r="Y25" s="589">
        <v>22.9</v>
      </c>
      <c r="Z25" s="588" t="s">
        <v>1053</v>
      </c>
      <c r="AA25" s="677" t="s">
        <v>74</v>
      </c>
      <c r="AB25" s="677" t="s">
        <v>11</v>
      </c>
      <c r="AC25" s="677">
        <v>34.299999999999997</v>
      </c>
      <c r="AD25" s="588"/>
      <c r="AG25" s="589"/>
      <c r="AL25" s="588"/>
      <c r="AO25" s="589"/>
      <c r="AP25" s="588"/>
      <c r="AS25" s="589"/>
      <c r="AW25" s="589"/>
      <c r="BA25" s="590"/>
    </row>
    <row r="26" spans="1:53" s="677" customFormat="1">
      <c r="A26" s="677">
        <v>1985</v>
      </c>
      <c r="B26" s="599">
        <v>31260</v>
      </c>
      <c r="C26" s="988" t="s">
        <v>1312</v>
      </c>
      <c r="D26" s="988"/>
      <c r="E26" s="677">
        <v>129</v>
      </c>
      <c r="F26" s="600">
        <v>0</v>
      </c>
      <c r="G26" s="596">
        <v>8</v>
      </c>
      <c r="J26" s="598">
        <v>12</v>
      </c>
      <c r="K26" s="593">
        <f t="shared" si="0"/>
        <v>66.666666666666657</v>
      </c>
      <c r="L26" s="593">
        <f t="shared" si="1"/>
        <v>0</v>
      </c>
      <c r="M26" s="593">
        <f t="shared" si="2"/>
        <v>0</v>
      </c>
      <c r="N26" s="597">
        <f t="shared" si="3"/>
        <v>66.666666666666657</v>
      </c>
      <c r="O26" s="592">
        <v>57.2</v>
      </c>
      <c r="P26" s="593"/>
      <c r="Q26" s="593"/>
      <c r="R26" s="594">
        <f t="shared" si="4"/>
        <v>57.2</v>
      </c>
      <c r="S26" s="677">
        <v>1</v>
      </c>
      <c r="T26" s="595"/>
      <c r="U26" s="676"/>
      <c r="V26" s="588" t="s">
        <v>1054</v>
      </c>
      <c r="W26" s="677" t="s">
        <v>22</v>
      </c>
      <c r="X26" s="677" t="s">
        <v>11</v>
      </c>
      <c r="Y26" s="589">
        <v>22.9</v>
      </c>
      <c r="Z26" s="588" t="s">
        <v>1053</v>
      </c>
      <c r="AA26" s="677" t="s">
        <v>74</v>
      </c>
      <c r="AB26" s="677" t="s">
        <v>11</v>
      </c>
      <c r="AC26" s="677">
        <v>34.299999999999997</v>
      </c>
      <c r="AD26" s="588"/>
      <c r="AG26" s="589"/>
      <c r="AL26" s="588"/>
      <c r="AO26" s="589"/>
      <c r="AP26" s="588"/>
      <c r="AS26" s="589"/>
      <c r="AW26" s="589"/>
      <c r="BA26" s="590"/>
    </row>
    <row r="27" spans="1:53" s="669" customFormat="1">
      <c r="A27" s="669">
        <v>1985</v>
      </c>
      <c r="B27" s="599">
        <v>31389</v>
      </c>
      <c r="C27" s="988" t="s">
        <v>1312</v>
      </c>
      <c r="D27" s="988"/>
      <c r="E27" s="669">
        <v>24</v>
      </c>
      <c r="F27" s="600" t="s">
        <v>337</v>
      </c>
      <c r="G27" s="596">
        <v>8</v>
      </c>
      <c r="J27" s="598">
        <v>12</v>
      </c>
      <c r="K27" s="593">
        <f t="shared" si="0"/>
        <v>66.666666666666657</v>
      </c>
      <c r="L27" s="593">
        <f t="shared" si="1"/>
        <v>0</v>
      </c>
      <c r="M27" s="593">
        <f t="shared" si="2"/>
        <v>0</v>
      </c>
      <c r="N27" s="597">
        <f t="shared" si="3"/>
        <v>66.666666666666657</v>
      </c>
      <c r="O27" s="592">
        <v>62.5</v>
      </c>
      <c r="P27" s="593"/>
      <c r="Q27" s="593"/>
      <c r="R27" s="594">
        <f t="shared" si="4"/>
        <v>62.5</v>
      </c>
      <c r="S27" s="669">
        <v>1</v>
      </c>
      <c r="T27" s="595">
        <v>31389</v>
      </c>
      <c r="U27" s="663"/>
      <c r="V27" s="588" t="s">
        <v>1054</v>
      </c>
      <c r="W27" s="669" t="s">
        <v>22</v>
      </c>
      <c r="X27" s="669" t="s">
        <v>11</v>
      </c>
      <c r="Y27" s="589">
        <v>28.6</v>
      </c>
      <c r="Z27" s="588" t="s">
        <v>1053</v>
      </c>
      <c r="AA27" s="677" t="s">
        <v>74</v>
      </c>
      <c r="AB27" s="677" t="s">
        <v>11</v>
      </c>
      <c r="AC27" s="677">
        <v>33.9</v>
      </c>
      <c r="AD27" s="588"/>
      <c r="AG27" s="589"/>
      <c r="AL27" s="588"/>
      <c r="AO27" s="589"/>
      <c r="AP27" s="588"/>
      <c r="AS27" s="589"/>
      <c r="AW27" s="589"/>
      <c r="BA27" s="590"/>
    </row>
    <row r="28" spans="1:53" s="669" customFormat="1">
      <c r="A28" s="102">
        <v>1986</v>
      </c>
      <c r="B28" s="663"/>
      <c r="C28" s="988" t="s">
        <v>1312</v>
      </c>
      <c r="D28" s="988"/>
      <c r="E28" s="669">
        <v>0</v>
      </c>
      <c r="G28" s="596">
        <v>8</v>
      </c>
      <c r="J28" s="598">
        <v>12</v>
      </c>
      <c r="K28" s="593">
        <f t="shared" si="0"/>
        <v>66.666666666666657</v>
      </c>
      <c r="L28" s="593">
        <f t="shared" si="1"/>
        <v>0</v>
      </c>
      <c r="M28" s="593">
        <f t="shared" si="2"/>
        <v>0</v>
      </c>
      <c r="N28" s="597">
        <f t="shared" si="3"/>
        <v>66.666666666666657</v>
      </c>
      <c r="O28" s="592">
        <v>62.5</v>
      </c>
      <c r="P28" s="593"/>
      <c r="Q28" s="593"/>
      <c r="R28" s="594">
        <f t="shared" si="4"/>
        <v>62.5</v>
      </c>
      <c r="S28" s="669">
        <v>1</v>
      </c>
      <c r="T28" s="595"/>
      <c r="U28" s="663"/>
      <c r="V28" s="588" t="s">
        <v>1054</v>
      </c>
      <c r="W28" s="669" t="s">
        <v>22</v>
      </c>
      <c r="X28" s="669" t="s">
        <v>11</v>
      </c>
      <c r="Y28" s="589">
        <v>28.6</v>
      </c>
      <c r="Z28" s="588" t="s">
        <v>1053</v>
      </c>
      <c r="AA28" s="677" t="s">
        <v>74</v>
      </c>
      <c r="AB28" s="677" t="s">
        <v>11</v>
      </c>
      <c r="AC28" s="677">
        <v>33.9</v>
      </c>
      <c r="AD28" s="588"/>
      <c r="AG28" s="589"/>
      <c r="AL28" s="588"/>
      <c r="AO28" s="589"/>
      <c r="AP28" s="588"/>
      <c r="AS28" s="589"/>
      <c r="AW28" s="589"/>
      <c r="BA28" s="590"/>
    </row>
    <row r="29" spans="1:53" s="669" customFormat="1">
      <c r="A29" s="102">
        <v>1986</v>
      </c>
      <c r="B29" s="663"/>
      <c r="C29" s="988" t="s">
        <v>1312</v>
      </c>
      <c r="D29" s="988"/>
      <c r="E29" s="669">
        <v>365</v>
      </c>
      <c r="G29" s="596">
        <v>8</v>
      </c>
      <c r="J29" s="598">
        <v>12</v>
      </c>
      <c r="K29" s="593">
        <f t="shared" si="0"/>
        <v>66.666666666666657</v>
      </c>
      <c r="L29" s="593">
        <f t="shared" si="1"/>
        <v>0</v>
      </c>
      <c r="M29" s="593">
        <f t="shared" si="2"/>
        <v>0</v>
      </c>
      <c r="N29" s="597">
        <f t="shared" si="3"/>
        <v>66.666666666666657</v>
      </c>
      <c r="O29" s="592">
        <v>62.5</v>
      </c>
      <c r="P29" s="593"/>
      <c r="Q29" s="593"/>
      <c r="R29" s="594">
        <f t="shared" si="4"/>
        <v>62.5</v>
      </c>
      <c r="S29" s="669">
        <v>1</v>
      </c>
      <c r="T29" s="595"/>
      <c r="U29" s="663"/>
      <c r="V29" s="588" t="s">
        <v>1054</v>
      </c>
      <c r="W29" s="669" t="s">
        <v>22</v>
      </c>
      <c r="X29" s="669" t="s">
        <v>11</v>
      </c>
      <c r="Y29" s="589">
        <v>28.6</v>
      </c>
      <c r="Z29" s="588" t="s">
        <v>1053</v>
      </c>
      <c r="AA29" s="677" t="s">
        <v>74</v>
      </c>
      <c r="AB29" s="677" t="s">
        <v>11</v>
      </c>
      <c r="AC29" s="677">
        <v>33.9</v>
      </c>
      <c r="AD29" s="588"/>
      <c r="AG29" s="589"/>
      <c r="AL29" s="588"/>
      <c r="AO29" s="589"/>
      <c r="AP29" s="588"/>
      <c r="AS29" s="589"/>
      <c r="AW29" s="589"/>
      <c r="BA29" s="590"/>
    </row>
    <row r="30" spans="1:53" s="669" customFormat="1">
      <c r="A30" s="102">
        <v>1987</v>
      </c>
      <c r="B30" s="663"/>
      <c r="C30" s="988" t="s">
        <v>1312</v>
      </c>
      <c r="D30" s="988"/>
      <c r="E30" s="669">
        <v>0</v>
      </c>
      <c r="G30" s="596">
        <v>8</v>
      </c>
      <c r="J30" s="598">
        <v>12</v>
      </c>
      <c r="K30" s="593">
        <f t="shared" si="0"/>
        <v>66.666666666666657</v>
      </c>
      <c r="L30" s="593">
        <f t="shared" si="1"/>
        <v>0</v>
      </c>
      <c r="M30" s="593">
        <f t="shared" si="2"/>
        <v>0</v>
      </c>
      <c r="N30" s="597">
        <f t="shared" si="3"/>
        <v>66.666666666666657</v>
      </c>
      <c r="O30" s="592">
        <v>62.5</v>
      </c>
      <c r="P30" s="593"/>
      <c r="Q30" s="593"/>
      <c r="R30" s="594">
        <f t="shared" si="4"/>
        <v>62.5</v>
      </c>
      <c r="S30" s="669">
        <v>1</v>
      </c>
      <c r="T30" s="595"/>
      <c r="U30" s="663"/>
      <c r="V30" s="588" t="s">
        <v>1054</v>
      </c>
      <c r="W30" s="669" t="s">
        <v>22</v>
      </c>
      <c r="X30" s="669" t="s">
        <v>11</v>
      </c>
      <c r="Y30" s="589">
        <v>28.6</v>
      </c>
      <c r="Z30" s="588" t="s">
        <v>1053</v>
      </c>
      <c r="AA30" s="677" t="s">
        <v>74</v>
      </c>
      <c r="AB30" s="677" t="s">
        <v>11</v>
      </c>
      <c r="AC30" s="677">
        <v>33.9</v>
      </c>
      <c r="AD30" s="588"/>
      <c r="AG30" s="589"/>
      <c r="AL30" s="588"/>
      <c r="AO30" s="589"/>
      <c r="AP30" s="588"/>
      <c r="AS30" s="589"/>
      <c r="AW30" s="589"/>
      <c r="BA30" s="590"/>
    </row>
    <row r="31" spans="1:53" s="669" customFormat="1">
      <c r="A31" s="102">
        <v>1987</v>
      </c>
      <c r="B31" s="663"/>
      <c r="C31" s="988" t="s">
        <v>1312</v>
      </c>
      <c r="D31" s="988"/>
      <c r="E31" s="669">
        <v>365</v>
      </c>
      <c r="G31" s="596">
        <v>8</v>
      </c>
      <c r="J31" s="598">
        <v>12</v>
      </c>
      <c r="K31" s="593">
        <f t="shared" si="0"/>
        <v>66.666666666666657</v>
      </c>
      <c r="L31" s="593">
        <f t="shared" si="1"/>
        <v>0</v>
      </c>
      <c r="M31" s="593">
        <f t="shared" si="2"/>
        <v>0</v>
      </c>
      <c r="N31" s="597">
        <f t="shared" si="3"/>
        <v>66.666666666666657</v>
      </c>
      <c r="O31" s="592">
        <v>62.5</v>
      </c>
      <c r="P31" s="593"/>
      <c r="Q31" s="593"/>
      <c r="R31" s="594">
        <f t="shared" si="4"/>
        <v>62.5</v>
      </c>
      <c r="S31" s="669">
        <v>1</v>
      </c>
      <c r="T31" s="595"/>
      <c r="U31" s="663"/>
      <c r="V31" s="588" t="s">
        <v>1054</v>
      </c>
      <c r="W31" s="669" t="s">
        <v>22</v>
      </c>
      <c r="X31" s="669" t="s">
        <v>11</v>
      </c>
      <c r="Y31" s="589">
        <v>28.6</v>
      </c>
      <c r="Z31" s="588" t="s">
        <v>1053</v>
      </c>
      <c r="AA31" s="677" t="s">
        <v>74</v>
      </c>
      <c r="AB31" s="677" t="s">
        <v>11</v>
      </c>
      <c r="AC31" s="677">
        <v>33.9</v>
      </c>
      <c r="AD31" s="588"/>
      <c r="AG31" s="589"/>
      <c r="AL31" s="588"/>
      <c r="AO31" s="589"/>
      <c r="AP31" s="588"/>
      <c r="AS31" s="589"/>
      <c r="AW31" s="589"/>
      <c r="BA31" s="590"/>
    </row>
    <row r="32" spans="1:53" s="669" customFormat="1">
      <c r="A32" s="102">
        <v>1988</v>
      </c>
      <c r="B32" s="663"/>
      <c r="C32" s="988" t="s">
        <v>1312</v>
      </c>
      <c r="D32" s="988"/>
      <c r="E32" s="669">
        <v>58</v>
      </c>
      <c r="G32" s="596">
        <v>8</v>
      </c>
      <c r="J32" s="598">
        <v>12</v>
      </c>
      <c r="K32" s="593">
        <f t="shared" si="0"/>
        <v>66.666666666666657</v>
      </c>
      <c r="L32" s="593">
        <f t="shared" si="1"/>
        <v>0</v>
      </c>
      <c r="M32" s="593">
        <f t="shared" si="2"/>
        <v>0</v>
      </c>
      <c r="N32" s="597">
        <f t="shared" si="3"/>
        <v>66.666666666666657</v>
      </c>
      <c r="O32" s="592">
        <v>62.5</v>
      </c>
      <c r="P32" s="593"/>
      <c r="Q32" s="593"/>
      <c r="R32" s="594">
        <f t="shared" si="4"/>
        <v>62.5</v>
      </c>
      <c r="S32" s="669">
        <v>1</v>
      </c>
      <c r="T32" s="595"/>
      <c r="U32" s="663"/>
      <c r="V32" s="588" t="s">
        <v>1054</v>
      </c>
      <c r="W32" s="669" t="s">
        <v>22</v>
      </c>
      <c r="X32" s="669" t="s">
        <v>11</v>
      </c>
      <c r="Y32" s="589">
        <v>28.6</v>
      </c>
      <c r="Z32" s="588" t="s">
        <v>1053</v>
      </c>
      <c r="AA32" s="677" t="s">
        <v>74</v>
      </c>
      <c r="AB32" s="677" t="s">
        <v>11</v>
      </c>
      <c r="AC32" s="677">
        <v>33.9</v>
      </c>
      <c r="AD32" s="588"/>
      <c r="AG32" s="589"/>
      <c r="AL32" s="588"/>
      <c r="AO32" s="589"/>
      <c r="AP32" s="588"/>
      <c r="AS32" s="589"/>
      <c r="AW32" s="589"/>
      <c r="BA32" s="590"/>
    </row>
    <row r="33" spans="1:53" s="646" customFormat="1">
      <c r="A33" s="646">
        <v>1988</v>
      </c>
      <c r="B33" s="645">
        <v>32201</v>
      </c>
      <c r="C33" s="992" t="s">
        <v>1057</v>
      </c>
      <c r="D33" s="992"/>
      <c r="E33" s="646">
        <v>308</v>
      </c>
      <c r="F33" s="646">
        <v>1</v>
      </c>
      <c r="G33" s="642">
        <v>0</v>
      </c>
      <c r="H33" s="646">
        <v>0</v>
      </c>
      <c r="I33" s="646">
        <v>0</v>
      </c>
      <c r="J33" s="644">
        <v>12</v>
      </c>
      <c r="K33" s="640">
        <f t="shared" si="0"/>
        <v>0</v>
      </c>
      <c r="L33" s="640">
        <f t="shared" si="1"/>
        <v>0</v>
      </c>
      <c r="M33" s="640">
        <f t="shared" si="2"/>
        <v>0</v>
      </c>
      <c r="N33" s="643">
        <f t="shared" si="3"/>
        <v>0</v>
      </c>
      <c r="O33" s="639">
        <v>0</v>
      </c>
      <c r="P33" s="640">
        <v>0</v>
      </c>
      <c r="Q33" s="640">
        <v>0</v>
      </c>
      <c r="R33" s="641">
        <f t="shared" si="4"/>
        <v>0</v>
      </c>
      <c r="S33" s="662">
        <v>1</v>
      </c>
      <c r="T33" s="638"/>
      <c r="U33" s="645">
        <v>32201</v>
      </c>
      <c r="V33" s="1012" t="s">
        <v>1325</v>
      </c>
      <c r="W33" s="1013"/>
      <c r="X33" s="1013"/>
      <c r="Y33" s="1014"/>
      <c r="Z33" s="670"/>
      <c r="AA33" s="670"/>
      <c r="AB33" s="670"/>
      <c r="AC33" s="670"/>
      <c r="AD33" s="634"/>
      <c r="AG33" s="635"/>
      <c r="AL33" s="634"/>
      <c r="AO33" s="635"/>
      <c r="AP33" s="634"/>
      <c r="AS33" s="635"/>
      <c r="AW33" s="635"/>
      <c r="BA33" s="636"/>
    </row>
    <row r="34" spans="1:53" s="646" customFormat="1">
      <c r="A34" s="646">
        <v>1989</v>
      </c>
      <c r="B34" s="645"/>
      <c r="C34" s="992" t="s">
        <v>1057</v>
      </c>
      <c r="D34" s="992"/>
      <c r="E34" s="646">
        <v>0</v>
      </c>
      <c r="G34" s="642">
        <v>0</v>
      </c>
      <c r="H34" s="678">
        <v>0</v>
      </c>
      <c r="I34" s="678">
        <v>0</v>
      </c>
      <c r="J34" s="644">
        <v>12</v>
      </c>
      <c r="K34" s="640">
        <f t="shared" si="0"/>
        <v>0</v>
      </c>
      <c r="L34" s="640">
        <f t="shared" si="1"/>
        <v>0</v>
      </c>
      <c r="M34" s="640">
        <f t="shared" si="2"/>
        <v>0</v>
      </c>
      <c r="N34" s="643">
        <f t="shared" si="3"/>
        <v>0</v>
      </c>
      <c r="O34" s="639">
        <v>0</v>
      </c>
      <c r="P34" s="640">
        <v>0</v>
      </c>
      <c r="Q34" s="640">
        <v>0</v>
      </c>
      <c r="R34" s="641">
        <f t="shared" si="4"/>
        <v>0</v>
      </c>
      <c r="S34" s="662">
        <v>1</v>
      </c>
      <c r="T34" s="638"/>
      <c r="U34" s="645"/>
      <c r="V34" s="1012" t="s">
        <v>1325</v>
      </c>
      <c r="W34" s="1013"/>
      <c r="X34" s="1013"/>
      <c r="Y34" s="1014"/>
      <c r="Z34" s="670"/>
      <c r="AA34" s="670"/>
      <c r="AB34" s="670"/>
      <c r="AC34" s="670"/>
      <c r="AD34" s="634"/>
      <c r="AG34" s="635"/>
      <c r="AL34" s="634"/>
      <c r="AO34" s="635"/>
      <c r="AP34" s="634"/>
      <c r="AS34" s="635"/>
      <c r="AW34" s="635"/>
      <c r="BA34" s="636"/>
    </row>
    <row r="35" spans="1:53" s="646" customFormat="1">
      <c r="A35" s="646">
        <v>1989</v>
      </c>
      <c r="B35" s="645"/>
      <c r="C35" s="992" t="s">
        <v>1057</v>
      </c>
      <c r="D35" s="992"/>
      <c r="E35" s="646">
        <v>365</v>
      </c>
      <c r="G35" s="642">
        <v>0</v>
      </c>
      <c r="H35" s="678">
        <v>0</v>
      </c>
      <c r="I35" s="678">
        <v>0</v>
      </c>
      <c r="J35" s="644">
        <v>12</v>
      </c>
      <c r="K35" s="640">
        <f t="shared" si="0"/>
        <v>0</v>
      </c>
      <c r="L35" s="640">
        <f t="shared" si="1"/>
        <v>0</v>
      </c>
      <c r="M35" s="640">
        <f t="shared" si="2"/>
        <v>0</v>
      </c>
      <c r="N35" s="643">
        <f t="shared" si="3"/>
        <v>0</v>
      </c>
      <c r="O35" s="639">
        <v>0</v>
      </c>
      <c r="P35" s="640">
        <v>0</v>
      </c>
      <c r="Q35" s="640">
        <v>0</v>
      </c>
      <c r="R35" s="641">
        <f t="shared" si="4"/>
        <v>0</v>
      </c>
      <c r="S35" s="662">
        <v>1</v>
      </c>
      <c r="T35" s="638"/>
      <c r="U35" s="645"/>
      <c r="V35" s="1012" t="s">
        <v>1325</v>
      </c>
      <c r="W35" s="1013"/>
      <c r="X35" s="1013"/>
      <c r="Y35" s="1014"/>
      <c r="Z35" s="670"/>
      <c r="AA35" s="670"/>
      <c r="AB35" s="670"/>
      <c r="AC35" s="670"/>
      <c r="AD35" s="634"/>
      <c r="AG35" s="635"/>
      <c r="AL35" s="634"/>
      <c r="AO35" s="635"/>
      <c r="AP35" s="634"/>
      <c r="AS35" s="635"/>
      <c r="AW35" s="635"/>
      <c r="BA35" s="636"/>
    </row>
    <row r="36" spans="1:53" s="646" customFormat="1">
      <c r="A36" s="646">
        <v>1990</v>
      </c>
      <c r="B36" s="645"/>
      <c r="C36" s="992" t="s">
        <v>1057</v>
      </c>
      <c r="D36" s="992"/>
      <c r="E36" s="646">
        <v>0</v>
      </c>
      <c r="G36" s="642">
        <v>0</v>
      </c>
      <c r="H36" s="646">
        <v>0</v>
      </c>
      <c r="I36" s="646">
        <v>0</v>
      </c>
      <c r="J36" s="644">
        <v>12</v>
      </c>
      <c r="K36" s="640">
        <f t="shared" ref="K36:K38" si="5">G36/J36*100</f>
        <v>0</v>
      </c>
      <c r="L36" s="640">
        <f t="shared" ref="L36:L38" si="6">H36/J36*100</f>
        <v>0</v>
      </c>
      <c r="M36" s="640">
        <f t="shared" ref="M36:M38" si="7">I36/J36*100</f>
        <v>0</v>
      </c>
      <c r="N36" s="643">
        <f>SUM(K36:M36)</f>
        <v>0</v>
      </c>
      <c r="O36" s="639">
        <v>0</v>
      </c>
      <c r="P36" s="640">
        <v>0</v>
      </c>
      <c r="Q36" s="640">
        <v>0</v>
      </c>
      <c r="R36" s="641">
        <f>SUM(O36:Q36)</f>
        <v>0</v>
      </c>
      <c r="S36" s="646">
        <v>1</v>
      </c>
      <c r="T36" s="638"/>
      <c r="U36" s="645"/>
      <c r="V36" s="1012" t="s">
        <v>1325</v>
      </c>
      <c r="W36" s="1013"/>
      <c r="X36" s="1013"/>
      <c r="Y36" s="1014"/>
      <c r="AD36" s="634"/>
      <c r="AG36" s="635"/>
      <c r="AL36" s="634"/>
      <c r="AO36" s="635"/>
      <c r="AP36" s="634"/>
      <c r="AS36" s="635"/>
      <c r="AW36" s="635"/>
      <c r="BA36" s="636"/>
    </row>
    <row r="37" spans="1:53" s="646" customFormat="1">
      <c r="A37" s="646">
        <v>1990</v>
      </c>
      <c r="B37" s="502"/>
      <c r="C37" s="992" t="s">
        <v>1057</v>
      </c>
      <c r="D37" s="992"/>
      <c r="E37" s="646">
        <f>365-E36</f>
        <v>365</v>
      </c>
      <c r="F37" s="501"/>
      <c r="G37" s="642">
        <v>0</v>
      </c>
      <c r="H37" s="678">
        <v>0</v>
      </c>
      <c r="I37" s="678">
        <v>0</v>
      </c>
      <c r="J37" s="644">
        <v>12</v>
      </c>
      <c r="K37" s="640">
        <f t="shared" si="5"/>
        <v>0</v>
      </c>
      <c r="L37" s="640">
        <f t="shared" si="6"/>
        <v>0</v>
      </c>
      <c r="M37" s="640">
        <f t="shared" si="7"/>
        <v>0</v>
      </c>
      <c r="N37" s="643">
        <f>SUM(K37:M37)</f>
        <v>0</v>
      </c>
      <c r="O37" s="639">
        <v>0</v>
      </c>
      <c r="P37" s="640">
        <v>0</v>
      </c>
      <c r="Q37" s="640">
        <v>0</v>
      </c>
      <c r="R37" s="641">
        <f t="shared" ref="R37:R86" si="8">SUM(O37:Q37)</f>
        <v>0</v>
      </c>
      <c r="S37" s="646">
        <v>1</v>
      </c>
      <c r="T37" s="638"/>
      <c r="U37" s="645"/>
      <c r="V37" s="1012" t="s">
        <v>1325</v>
      </c>
      <c r="W37" s="1013"/>
      <c r="X37" s="1013"/>
      <c r="Y37" s="1014"/>
      <c r="AD37" s="634"/>
      <c r="AG37" s="635"/>
      <c r="AL37" s="634"/>
      <c r="AO37" s="635"/>
      <c r="AP37" s="634"/>
      <c r="AS37" s="635"/>
      <c r="AW37" s="635"/>
      <c r="BA37" s="636"/>
    </row>
    <row r="38" spans="1:53" s="646" customFormat="1">
      <c r="A38" s="646">
        <v>1991</v>
      </c>
      <c r="B38" s="502"/>
      <c r="C38" s="992" t="s">
        <v>1057</v>
      </c>
      <c r="D38" s="992"/>
      <c r="E38" s="646">
        <v>138</v>
      </c>
      <c r="F38" s="501"/>
      <c r="G38" s="642">
        <v>0</v>
      </c>
      <c r="H38" s="678">
        <v>0</v>
      </c>
      <c r="I38" s="678">
        <v>0</v>
      </c>
      <c r="J38" s="644">
        <v>12</v>
      </c>
      <c r="K38" s="640">
        <f t="shared" si="5"/>
        <v>0</v>
      </c>
      <c r="L38" s="640">
        <f t="shared" si="6"/>
        <v>0</v>
      </c>
      <c r="M38" s="640">
        <f t="shared" si="7"/>
        <v>0</v>
      </c>
      <c r="N38" s="643">
        <f t="shared" ref="N38:N87" si="9">SUM(K38:M38)</f>
        <v>0</v>
      </c>
      <c r="O38" s="639">
        <v>0</v>
      </c>
      <c r="P38" s="640">
        <v>0</v>
      </c>
      <c r="Q38" s="640">
        <v>0</v>
      </c>
      <c r="R38" s="641">
        <f t="shared" si="8"/>
        <v>0</v>
      </c>
      <c r="S38" s="646">
        <v>1</v>
      </c>
      <c r="T38" s="638"/>
      <c r="U38" s="645"/>
      <c r="V38" s="1012" t="s">
        <v>1325</v>
      </c>
      <c r="W38" s="1013"/>
      <c r="X38" s="1013"/>
      <c r="Y38" s="1014"/>
      <c r="AD38" s="634"/>
      <c r="AG38" s="635"/>
      <c r="AL38" s="634"/>
      <c r="AO38" s="635"/>
      <c r="AP38" s="634"/>
      <c r="AS38" s="635"/>
      <c r="AW38" s="635"/>
      <c r="BA38" s="636"/>
    </row>
    <row r="39" spans="1:53" s="670" customFormat="1">
      <c r="A39" s="670">
        <v>1991</v>
      </c>
      <c r="B39" s="502">
        <v>33377</v>
      </c>
      <c r="C39" s="992" t="s">
        <v>1057</v>
      </c>
      <c r="D39" s="992"/>
      <c r="E39" s="670">
        <f>365-E38</f>
        <v>227</v>
      </c>
      <c r="F39" s="501" t="s">
        <v>337</v>
      </c>
      <c r="G39" s="642">
        <v>0</v>
      </c>
      <c r="H39" s="678">
        <v>0</v>
      </c>
      <c r="I39" s="678">
        <v>0</v>
      </c>
      <c r="J39" s="644">
        <v>12</v>
      </c>
      <c r="K39" s="640">
        <f t="shared" ref="K39:K42" si="10">G39/J39*100</f>
        <v>0</v>
      </c>
      <c r="L39" s="640">
        <f t="shared" ref="L39:L42" si="11">H39/J39*100</f>
        <v>0</v>
      </c>
      <c r="M39" s="640">
        <f t="shared" ref="M39:M42" si="12">I39/J39*100</f>
        <v>0</v>
      </c>
      <c r="N39" s="643">
        <f t="shared" si="9"/>
        <v>0</v>
      </c>
      <c r="O39" s="639">
        <v>0</v>
      </c>
      <c r="P39" s="640">
        <v>0</v>
      </c>
      <c r="Q39" s="640">
        <v>0</v>
      </c>
      <c r="R39" s="641">
        <f t="shared" si="8"/>
        <v>0</v>
      </c>
      <c r="S39" s="670">
        <v>1</v>
      </c>
      <c r="T39" s="487">
        <v>33377</v>
      </c>
      <c r="U39" s="664"/>
      <c r="V39" s="1012" t="s">
        <v>1325</v>
      </c>
      <c r="W39" s="1013"/>
      <c r="X39" s="1013"/>
      <c r="Y39" s="1014"/>
      <c r="AD39" s="634"/>
      <c r="AG39" s="635"/>
      <c r="AL39" s="634"/>
      <c r="AO39" s="635"/>
      <c r="AP39" s="634"/>
      <c r="AS39" s="635"/>
      <c r="AW39" s="635"/>
      <c r="BA39" s="636"/>
    </row>
    <row r="40" spans="1:53" s="670" customFormat="1">
      <c r="A40" s="670">
        <v>1992</v>
      </c>
      <c r="B40" s="664"/>
      <c r="C40" s="992" t="s">
        <v>1057</v>
      </c>
      <c r="D40" s="992"/>
      <c r="E40" s="670">
        <v>0</v>
      </c>
      <c r="G40" s="642">
        <v>0</v>
      </c>
      <c r="H40" s="678">
        <v>0</v>
      </c>
      <c r="I40" s="678">
        <v>0</v>
      </c>
      <c r="J40" s="644">
        <v>12</v>
      </c>
      <c r="K40" s="640">
        <f t="shared" si="10"/>
        <v>0</v>
      </c>
      <c r="L40" s="640">
        <f t="shared" si="11"/>
        <v>0</v>
      </c>
      <c r="M40" s="640">
        <f t="shared" si="12"/>
        <v>0</v>
      </c>
      <c r="N40" s="643">
        <f t="shared" si="9"/>
        <v>0</v>
      </c>
      <c r="O40" s="639">
        <v>0</v>
      </c>
      <c r="P40" s="640">
        <v>0</v>
      </c>
      <c r="Q40" s="640">
        <v>0</v>
      </c>
      <c r="R40" s="641">
        <f t="shared" si="8"/>
        <v>0</v>
      </c>
      <c r="S40" s="670">
        <v>1</v>
      </c>
      <c r="T40" s="638"/>
      <c r="U40" s="664"/>
      <c r="V40" s="1012" t="s">
        <v>1325</v>
      </c>
      <c r="W40" s="1013"/>
      <c r="X40" s="1013"/>
      <c r="Y40" s="1014"/>
      <c r="AD40" s="634"/>
      <c r="AG40" s="635"/>
      <c r="AL40" s="634"/>
      <c r="AO40" s="635"/>
      <c r="AP40" s="634"/>
      <c r="AS40" s="635"/>
      <c r="AW40" s="635"/>
      <c r="BA40" s="636"/>
    </row>
    <row r="41" spans="1:53" s="670" customFormat="1">
      <c r="A41" s="670">
        <v>1992</v>
      </c>
      <c r="B41" s="664"/>
      <c r="C41" s="992" t="s">
        <v>1057</v>
      </c>
      <c r="D41" s="992"/>
      <c r="E41" s="670">
        <v>366</v>
      </c>
      <c r="G41" s="642">
        <v>0</v>
      </c>
      <c r="H41" s="678">
        <v>0</v>
      </c>
      <c r="I41" s="678">
        <v>0</v>
      </c>
      <c r="J41" s="644">
        <v>12</v>
      </c>
      <c r="K41" s="640">
        <f t="shared" si="10"/>
        <v>0</v>
      </c>
      <c r="L41" s="640">
        <f t="shared" si="11"/>
        <v>0</v>
      </c>
      <c r="M41" s="640">
        <f t="shared" si="12"/>
        <v>0</v>
      </c>
      <c r="N41" s="643">
        <f t="shared" si="9"/>
        <v>0</v>
      </c>
      <c r="O41" s="639">
        <v>0</v>
      </c>
      <c r="P41" s="640">
        <v>0</v>
      </c>
      <c r="Q41" s="640">
        <v>0</v>
      </c>
      <c r="R41" s="641">
        <f t="shared" si="8"/>
        <v>0</v>
      </c>
      <c r="S41" s="670">
        <v>1</v>
      </c>
      <c r="T41" s="638"/>
      <c r="U41" s="664"/>
      <c r="V41" s="1012" t="s">
        <v>1325</v>
      </c>
      <c r="W41" s="1013"/>
      <c r="X41" s="1013"/>
      <c r="Y41" s="1014"/>
      <c r="AD41" s="634"/>
      <c r="AG41" s="635"/>
      <c r="AL41" s="634"/>
      <c r="AO41" s="635"/>
      <c r="AP41" s="634"/>
      <c r="AS41" s="635"/>
      <c r="AW41" s="635"/>
      <c r="BA41" s="636"/>
    </row>
    <row r="42" spans="1:53" s="670" customFormat="1">
      <c r="A42" s="670">
        <v>1993</v>
      </c>
      <c r="B42" s="664"/>
      <c r="C42" s="992" t="s">
        <v>1057</v>
      </c>
      <c r="D42" s="992"/>
      <c r="E42" s="670">
        <v>55</v>
      </c>
      <c r="G42" s="642">
        <v>0</v>
      </c>
      <c r="H42" s="678">
        <v>0</v>
      </c>
      <c r="I42" s="678">
        <v>0</v>
      </c>
      <c r="J42" s="644">
        <v>12</v>
      </c>
      <c r="K42" s="640">
        <f t="shared" si="10"/>
        <v>0</v>
      </c>
      <c r="L42" s="640">
        <f t="shared" si="11"/>
        <v>0</v>
      </c>
      <c r="M42" s="640">
        <f t="shared" si="12"/>
        <v>0</v>
      </c>
      <c r="N42" s="643">
        <f t="shared" si="9"/>
        <v>0</v>
      </c>
      <c r="O42" s="639">
        <v>0</v>
      </c>
      <c r="P42" s="640">
        <v>0</v>
      </c>
      <c r="Q42" s="640">
        <v>0</v>
      </c>
      <c r="R42" s="641">
        <f t="shared" si="8"/>
        <v>0</v>
      </c>
      <c r="S42" s="670">
        <v>1</v>
      </c>
      <c r="T42" s="638"/>
      <c r="U42" s="664"/>
      <c r="V42" s="1012" t="s">
        <v>1325</v>
      </c>
      <c r="W42" s="1013"/>
      <c r="X42" s="1013"/>
      <c r="Y42" s="1014"/>
      <c r="AD42" s="634"/>
      <c r="AG42" s="635"/>
      <c r="AL42" s="634"/>
      <c r="AO42" s="635"/>
      <c r="AP42" s="634"/>
      <c r="AS42" s="635"/>
      <c r="AW42" s="635"/>
      <c r="BA42" s="636"/>
    </row>
    <row r="43" spans="1:53" s="669" customFormat="1">
      <c r="A43" s="669">
        <v>1993</v>
      </c>
      <c r="B43" s="663">
        <v>34025</v>
      </c>
      <c r="C43" s="988" t="s">
        <v>1062</v>
      </c>
      <c r="D43" s="988"/>
      <c r="E43" s="669">
        <f>365-E42</f>
        <v>310</v>
      </c>
      <c r="F43" s="669">
        <v>1</v>
      </c>
      <c r="G43" s="596">
        <v>10</v>
      </c>
      <c r="J43" s="598">
        <v>12</v>
      </c>
      <c r="K43" s="593">
        <f t="shared" ref="K43:K65" si="13">G43/J43*100</f>
        <v>83.333333333333343</v>
      </c>
      <c r="L43" s="593">
        <f t="shared" ref="L43:L65" si="14">H43/J43*100</f>
        <v>0</v>
      </c>
      <c r="M43" s="593">
        <f t="shared" ref="M43:M65" si="15">I43/J43*100</f>
        <v>0</v>
      </c>
      <c r="N43" s="597">
        <f t="shared" si="9"/>
        <v>83.333333333333343</v>
      </c>
      <c r="O43" s="592">
        <v>55.3</v>
      </c>
      <c r="P43" s="593"/>
      <c r="Q43" s="593"/>
      <c r="R43" s="594">
        <f t="shared" si="8"/>
        <v>55.3</v>
      </c>
      <c r="S43" s="669">
        <v>1</v>
      </c>
      <c r="T43" s="575"/>
      <c r="U43" s="663">
        <v>34025</v>
      </c>
      <c r="V43" s="588" t="s">
        <v>1053</v>
      </c>
      <c r="W43" s="669" t="s">
        <v>74</v>
      </c>
      <c r="X43" s="669" t="s">
        <v>11</v>
      </c>
      <c r="Y43" s="589">
        <v>35.700000000000003</v>
      </c>
      <c r="Z43" s="669" t="s">
        <v>1054</v>
      </c>
      <c r="AA43" s="669" t="s">
        <v>22</v>
      </c>
      <c r="AB43" s="669" t="s">
        <v>11</v>
      </c>
      <c r="AC43" s="669">
        <v>19.600000000000001</v>
      </c>
      <c r="AD43" s="588"/>
      <c r="AG43" s="589"/>
      <c r="AL43" s="588"/>
      <c r="AO43" s="589"/>
      <c r="AP43" s="588"/>
      <c r="AS43" s="589"/>
      <c r="AW43" s="589"/>
      <c r="BA43" s="590"/>
    </row>
    <row r="44" spans="1:53" s="669" customFormat="1">
      <c r="A44" s="669">
        <v>1994</v>
      </c>
      <c r="B44" s="663"/>
      <c r="C44" s="988" t="s">
        <v>1062</v>
      </c>
      <c r="D44" s="988"/>
      <c r="E44" s="669">
        <v>0</v>
      </c>
      <c r="G44" s="596">
        <v>10</v>
      </c>
      <c r="J44" s="598">
        <v>12</v>
      </c>
      <c r="K44" s="593">
        <f t="shared" si="13"/>
        <v>83.333333333333343</v>
      </c>
      <c r="L44" s="593">
        <f t="shared" si="14"/>
        <v>0</v>
      </c>
      <c r="M44" s="593">
        <f t="shared" si="15"/>
        <v>0</v>
      </c>
      <c r="N44" s="597">
        <f t="shared" si="9"/>
        <v>83.333333333333343</v>
      </c>
      <c r="O44" s="592">
        <v>55.3</v>
      </c>
      <c r="P44" s="593"/>
      <c r="Q44" s="593"/>
      <c r="R44" s="594">
        <f t="shared" si="8"/>
        <v>55.3</v>
      </c>
      <c r="S44" s="669">
        <v>1</v>
      </c>
      <c r="T44" s="575"/>
      <c r="U44" s="663"/>
      <c r="V44" s="588" t="s">
        <v>1053</v>
      </c>
      <c r="W44" s="669" t="s">
        <v>74</v>
      </c>
      <c r="X44" s="669" t="s">
        <v>11</v>
      </c>
      <c r="Y44" s="589">
        <v>35.700000000000003</v>
      </c>
      <c r="Z44" s="669" t="s">
        <v>1054</v>
      </c>
      <c r="AA44" s="669" t="s">
        <v>22</v>
      </c>
      <c r="AB44" s="669" t="s">
        <v>11</v>
      </c>
      <c r="AC44" s="669">
        <v>19.600000000000001</v>
      </c>
      <c r="AD44" s="588"/>
      <c r="AG44" s="589"/>
      <c r="AL44" s="588"/>
      <c r="AO44" s="589"/>
      <c r="AP44" s="588"/>
      <c r="AS44" s="589"/>
      <c r="AW44" s="589"/>
      <c r="BA44" s="590"/>
    </row>
    <row r="45" spans="1:53" s="669" customFormat="1">
      <c r="A45" s="669">
        <v>1994</v>
      </c>
      <c r="B45" s="663"/>
      <c r="C45" s="988" t="s">
        <v>1062</v>
      </c>
      <c r="D45" s="988"/>
      <c r="E45" s="669">
        <f>365-E44</f>
        <v>365</v>
      </c>
      <c r="G45" s="596">
        <v>10</v>
      </c>
      <c r="J45" s="598">
        <v>12</v>
      </c>
      <c r="K45" s="593">
        <f t="shared" si="13"/>
        <v>83.333333333333343</v>
      </c>
      <c r="L45" s="593">
        <f t="shared" si="14"/>
        <v>0</v>
      </c>
      <c r="M45" s="593">
        <f t="shared" si="15"/>
        <v>0</v>
      </c>
      <c r="N45" s="597">
        <f t="shared" si="9"/>
        <v>83.333333333333343</v>
      </c>
      <c r="O45" s="592">
        <v>55.3</v>
      </c>
      <c r="P45" s="593"/>
      <c r="Q45" s="593"/>
      <c r="R45" s="594">
        <f t="shared" si="8"/>
        <v>55.3</v>
      </c>
      <c r="S45" s="669">
        <v>1</v>
      </c>
      <c r="T45" s="575"/>
      <c r="U45" s="663"/>
      <c r="V45" s="588" t="s">
        <v>1053</v>
      </c>
      <c r="W45" s="669" t="s">
        <v>74</v>
      </c>
      <c r="X45" s="669" t="s">
        <v>11</v>
      </c>
      <c r="Y45" s="589">
        <v>35.700000000000003</v>
      </c>
      <c r="Z45" s="669" t="s">
        <v>1054</v>
      </c>
      <c r="AA45" s="669" t="s">
        <v>22</v>
      </c>
      <c r="AB45" s="669" t="s">
        <v>11</v>
      </c>
      <c r="AC45" s="669">
        <v>19.600000000000001</v>
      </c>
      <c r="AD45" s="588"/>
      <c r="AG45" s="589"/>
      <c r="AL45" s="588"/>
      <c r="AO45" s="589"/>
      <c r="AP45" s="588"/>
      <c r="AS45" s="589"/>
      <c r="AW45" s="589"/>
      <c r="BA45" s="590"/>
    </row>
    <row r="46" spans="1:53" s="669" customFormat="1">
      <c r="A46" s="669">
        <v>1995</v>
      </c>
      <c r="B46" s="663"/>
      <c r="C46" s="988" t="s">
        <v>1062</v>
      </c>
      <c r="D46" s="988"/>
      <c r="E46" s="669">
        <v>117</v>
      </c>
      <c r="G46" s="596">
        <v>10</v>
      </c>
      <c r="J46" s="598">
        <v>12</v>
      </c>
      <c r="K46" s="593">
        <f t="shared" si="13"/>
        <v>83.333333333333343</v>
      </c>
      <c r="L46" s="593">
        <f t="shared" si="14"/>
        <v>0</v>
      </c>
      <c r="M46" s="593">
        <f t="shared" si="15"/>
        <v>0</v>
      </c>
      <c r="N46" s="597">
        <f t="shared" si="9"/>
        <v>83.333333333333343</v>
      </c>
      <c r="O46" s="592">
        <v>55.3</v>
      </c>
      <c r="P46" s="593"/>
      <c r="Q46" s="593"/>
      <c r="R46" s="594">
        <f t="shared" si="8"/>
        <v>55.3</v>
      </c>
      <c r="S46" s="669">
        <v>1</v>
      </c>
      <c r="T46" s="575"/>
      <c r="U46" s="663"/>
      <c r="V46" s="588" t="s">
        <v>1053</v>
      </c>
      <c r="W46" s="669" t="s">
        <v>74</v>
      </c>
      <c r="X46" s="669" t="s">
        <v>11</v>
      </c>
      <c r="Y46" s="589">
        <v>35.700000000000003</v>
      </c>
      <c r="Z46" s="669" t="s">
        <v>1054</v>
      </c>
      <c r="AA46" s="669" t="s">
        <v>22</v>
      </c>
      <c r="AB46" s="669" t="s">
        <v>11</v>
      </c>
      <c r="AC46" s="669">
        <v>19.600000000000001</v>
      </c>
      <c r="AD46" s="588"/>
      <c r="AG46" s="589"/>
      <c r="AL46" s="588"/>
      <c r="AO46" s="589"/>
      <c r="AP46" s="588"/>
      <c r="AS46" s="589"/>
      <c r="AW46" s="589"/>
      <c r="BA46" s="590"/>
    </row>
    <row r="47" spans="1:53" s="669" customFormat="1">
      <c r="A47" s="669">
        <v>1995</v>
      </c>
      <c r="B47" s="599">
        <v>34817</v>
      </c>
      <c r="C47" s="988" t="s">
        <v>1062</v>
      </c>
      <c r="D47" s="988"/>
      <c r="E47" s="669">
        <f>365-E46</f>
        <v>248</v>
      </c>
      <c r="F47" s="600">
        <v>0</v>
      </c>
      <c r="G47" s="596">
        <v>11</v>
      </c>
      <c r="J47" s="598">
        <v>12</v>
      </c>
      <c r="K47" s="593">
        <f t="shared" si="13"/>
        <v>91.666666666666657</v>
      </c>
      <c r="L47" s="593">
        <f t="shared" si="14"/>
        <v>0</v>
      </c>
      <c r="M47" s="593">
        <f t="shared" si="15"/>
        <v>0</v>
      </c>
      <c r="N47" s="597">
        <f t="shared" si="9"/>
        <v>91.666666666666657</v>
      </c>
      <c r="O47" s="592">
        <v>55.3</v>
      </c>
      <c r="P47" s="593"/>
      <c r="Q47" s="593"/>
      <c r="R47" s="594">
        <f t="shared" si="8"/>
        <v>55.3</v>
      </c>
      <c r="S47" s="669">
        <v>1</v>
      </c>
      <c r="T47" s="575"/>
      <c r="U47" s="663"/>
      <c r="V47" s="588" t="s">
        <v>1053</v>
      </c>
      <c r="W47" s="669" t="s">
        <v>74</v>
      </c>
      <c r="X47" s="669" t="s">
        <v>11</v>
      </c>
      <c r="Y47" s="589">
        <v>35.700000000000003</v>
      </c>
      <c r="Z47" s="669" t="s">
        <v>1054</v>
      </c>
      <c r="AA47" s="669" t="s">
        <v>22</v>
      </c>
      <c r="AB47" s="669" t="s">
        <v>11</v>
      </c>
      <c r="AC47" s="669">
        <v>19.600000000000001</v>
      </c>
      <c r="AD47" s="588"/>
      <c r="AG47" s="589"/>
      <c r="AL47" s="588"/>
      <c r="AO47" s="589"/>
      <c r="AP47" s="588"/>
      <c r="AS47" s="589"/>
      <c r="AW47" s="589"/>
      <c r="BA47" s="590"/>
    </row>
    <row r="48" spans="1:53" s="669" customFormat="1">
      <c r="A48" s="669">
        <v>1996</v>
      </c>
      <c r="B48" s="663"/>
      <c r="C48" s="988" t="s">
        <v>1062</v>
      </c>
      <c r="D48" s="988"/>
      <c r="E48" s="669">
        <v>146</v>
      </c>
      <c r="G48" s="596">
        <v>11</v>
      </c>
      <c r="J48" s="598">
        <v>12</v>
      </c>
      <c r="K48" s="593">
        <f t="shared" si="13"/>
        <v>91.666666666666657</v>
      </c>
      <c r="L48" s="593">
        <f t="shared" si="14"/>
        <v>0</v>
      </c>
      <c r="M48" s="593">
        <f t="shared" si="15"/>
        <v>0</v>
      </c>
      <c r="N48" s="597">
        <f t="shared" si="9"/>
        <v>91.666666666666657</v>
      </c>
      <c r="O48" s="592">
        <v>55.3</v>
      </c>
      <c r="P48" s="593"/>
      <c r="Q48" s="593"/>
      <c r="R48" s="594">
        <f t="shared" si="8"/>
        <v>55.3</v>
      </c>
      <c r="S48" s="669">
        <v>1</v>
      </c>
      <c r="T48" s="575"/>
      <c r="U48" s="663"/>
      <c r="V48" s="588" t="s">
        <v>1053</v>
      </c>
      <c r="W48" s="669" t="s">
        <v>74</v>
      </c>
      <c r="X48" s="669" t="s">
        <v>11</v>
      </c>
      <c r="Y48" s="589">
        <v>35.700000000000003</v>
      </c>
      <c r="Z48" s="669" t="s">
        <v>1054</v>
      </c>
      <c r="AA48" s="669" t="s">
        <v>22</v>
      </c>
      <c r="AB48" s="669" t="s">
        <v>11</v>
      </c>
      <c r="AC48" s="669">
        <v>19.600000000000001</v>
      </c>
      <c r="AD48" s="588"/>
      <c r="AG48" s="589"/>
      <c r="AL48" s="588"/>
      <c r="AO48" s="589"/>
      <c r="AP48" s="588"/>
      <c r="AS48" s="589"/>
      <c r="AW48" s="589"/>
      <c r="BA48" s="590"/>
    </row>
    <row r="49" spans="1:53" s="669" customFormat="1">
      <c r="A49" s="669">
        <v>1996</v>
      </c>
      <c r="B49" s="599">
        <v>35211</v>
      </c>
      <c r="C49" s="988" t="s">
        <v>1062</v>
      </c>
      <c r="D49" s="988"/>
      <c r="E49" s="669">
        <v>220</v>
      </c>
      <c r="F49" s="600" t="s">
        <v>337</v>
      </c>
      <c r="G49" s="596">
        <v>11</v>
      </c>
      <c r="J49" s="598">
        <v>12</v>
      </c>
      <c r="K49" s="593">
        <f t="shared" si="13"/>
        <v>91.666666666666657</v>
      </c>
      <c r="L49" s="593">
        <f t="shared" si="14"/>
        <v>0</v>
      </c>
      <c r="M49" s="593">
        <f t="shared" si="15"/>
        <v>0</v>
      </c>
      <c r="N49" s="597">
        <f t="shared" si="9"/>
        <v>91.666666666666657</v>
      </c>
      <c r="O49" s="592">
        <v>53.6</v>
      </c>
      <c r="P49" s="593"/>
      <c r="Q49" s="593"/>
      <c r="R49" s="594">
        <f t="shared" si="8"/>
        <v>53.6</v>
      </c>
      <c r="S49" s="669">
        <v>1</v>
      </c>
      <c r="T49" s="595">
        <v>35211</v>
      </c>
      <c r="U49" s="663"/>
      <c r="V49" s="588" t="s">
        <v>1053</v>
      </c>
      <c r="W49" s="669" t="s">
        <v>74</v>
      </c>
      <c r="X49" s="669" t="s">
        <v>11</v>
      </c>
      <c r="Y49" s="589">
        <v>35.700000000000003</v>
      </c>
      <c r="Z49" s="669" t="s">
        <v>1054</v>
      </c>
      <c r="AA49" s="669" t="s">
        <v>22</v>
      </c>
      <c r="AB49" s="669" t="s">
        <v>11</v>
      </c>
      <c r="AC49" s="669">
        <v>17.899999999999999</v>
      </c>
      <c r="AD49" s="588"/>
      <c r="AG49" s="589"/>
      <c r="AL49" s="588"/>
      <c r="AO49" s="589"/>
      <c r="AP49" s="588"/>
      <c r="AS49" s="589"/>
      <c r="AW49" s="589"/>
      <c r="BA49" s="590"/>
    </row>
    <row r="50" spans="1:53" s="669" customFormat="1">
      <c r="A50" s="669">
        <v>1997</v>
      </c>
      <c r="B50" s="663"/>
      <c r="C50" s="988" t="s">
        <v>1062</v>
      </c>
      <c r="D50" s="988"/>
      <c r="E50" s="669">
        <v>315</v>
      </c>
      <c r="G50" s="596">
        <v>11</v>
      </c>
      <c r="J50" s="598">
        <v>12</v>
      </c>
      <c r="K50" s="593">
        <f t="shared" si="13"/>
        <v>91.666666666666657</v>
      </c>
      <c r="L50" s="593">
        <f t="shared" si="14"/>
        <v>0</v>
      </c>
      <c r="M50" s="593">
        <f t="shared" si="15"/>
        <v>0</v>
      </c>
      <c r="N50" s="597">
        <f t="shared" si="9"/>
        <v>91.666666666666657</v>
      </c>
      <c r="O50" s="592">
        <v>53.6</v>
      </c>
      <c r="P50" s="593"/>
      <c r="Q50" s="593"/>
      <c r="R50" s="594">
        <f t="shared" si="8"/>
        <v>53.6</v>
      </c>
      <c r="S50" s="669">
        <v>1</v>
      </c>
      <c r="T50" s="575"/>
      <c r="U50" s="663"/>
      <c r="V50" s="588" t="s">
        <v>1053</v>
      </c>
      <c r="W50" s="669" t="s">
        <v>74</v>
      </c>
      <c r="X50" s="669" t="s">
        <v>11</v>
      </c>
      <c r="Y50" s="589">
        <v>35.700000000000003</v>
      </c>
      <c r="Z50" s="669" t="s">
        <v>1054</v>
      </c>
      <c r="AA50" s="669" t="s">
        <v>22</v>
      </c>
      <c r="AB50" s="669" t="s">
        <v>11</v>
      </c>
      <c r="AC50" s="669">
        <v>17.899999999999999</v>
      </c>
      <c r="AD50" s="588"/>
      <c r="AG50" s="589"/>
      <c r="AL50" s="588"/>
      <c r="AO50" s="589"/>
      <c r="AP50" s="588"/>
      <c r="AS50" s="589"/>
      <c r="AW50" s="589"/>
      <c r="BA50" s="590"/>
    </row>
    <row r="51" spans="1:53" s="669" customFormat="1">
      <c r="A51" s="669">
        <v>1997</v>
      </c>
      <c r="B51" s="599">
        <v>35746</v>
      </c>
      <c r="C51" s="988" t="s">
        <v>1062</v>
      </c>
      <c r="D51" s="988"/>
      <c r="E51" s="669">
        <f>365-E50</f>
        <v>50</v>
      </c>
      <c r="F51" s="600">
        <v>0</v>
      </c>
      <c r="G51" s="596">
        <v>11</v>
      </c>
      <c r="J51" s="598">
        <v>12</v>
      </c>
      <c r="K51" s="593">
        <f t="shared" si="13"/>
        <v>91.666666666666657</v>
      </c>
      <c r="L51" s="593">
        <f t="shared" si="14"/>
        <v>0</v>
      </c>
      <c r="M51" s="593">
        <f t="shared" si="15"/>
        <v>0</v>
      </c>
      <c r="N51" s="597">
        <f t="shared" si="9"/>
        <v>91.666666666666657</v>
      </c>
      <c r="O51" s="592">
        <v>35.700000000000003</v>
      </c>
      <c r="P51" s="593"/>
      <c r="Q51" s="593"/>
      <c r="R51" s="594">
        <f t="shared" si="8"/>
        <v>35.700000000000003</v>
      </c>
      <c r="S51" s="669">
        <v>1</v>
      </c>
      <c r="T51" s="575"/>
      <c r="U51" s="663"/>
      <c r="V51" s="588" t="s">
        <v>1053</v>
      </c>
      <c r="W51" s="669" t="s">
        <v>74</v>
      </c>
      <c r="X51" s="669" t="s">
        <v>11</v>
      </c>
      <c r="Y51" s="589">
        <v>35.700000000000003</v>
      </c>
      <c r="AD51" s="588"/>
      <c r="AG51" s="589"/>
      <c r="AL51" s="588"/>
      <c r="AO51" s="589"/>
      <c r="AP51" s="588"/>
      <c r="AS51" s="589"/>
      <c r="AW51" s="589"/>
      <c r="BA51" s="590"/>
    </row>
    <row r="52" spans="1:53" s="669" customFormat="1">
      <c r="A52" s="669">
        <v>1998</v>
      </c>
      <c r="B52" s="663"/>
      <c r="C52" s="988" t="s">
        <v>1062</v>
      </c>
      <c r="D52" s="988"/>
      <c r="E52" s="669">
        <v>58</v>
      </c>
      <c r="G52" s="596">
        <v>11</v>
      </c>
      <c r="J52" s="598">
        <v>12</v>
      </c>
      <c r="K52" s="593">
        <f t="shared" si="13"/>
        <v>91.666666666666657</v>
      </c>
      <c r="L52" s="593">
        <f t="shared" si="14"/>
        <v>0</v>
      </c>
      <c r="M52" s="593">
        <f t="shared" si="15"/>
        <v>0</v>
      </c>
      <c r="N52" s="597">
        <f t="shared" si="9"/>
        <v>91.666666666666657</v>
      </c>
      <c r="O52" s="592">
        <v>35.700000000000003</v>
      </c>
      <c r="P52" s="593"/>
      <c r="Q52" s="593"/>
      <c r="R52" s="594">
        <f t="shared" si="8"/>
        <v>35.700000000000003</v>
      </c>
      <c r="S52" s="669">
        <v>1</v>
      </c>
      <c r="T52" s="575"/>
      <c r="U52" s="663"/>
      <c r="V52" s="588" t="s">
        <v>1053</v>
      </c>
      <c r="W52" s="669" t="s">
        <v>74</v>
      </c>
      <c r="X52" s="669" t="s">
        <v>11</v>
      </c>
      <c r="Y52" s="589">
        <v>35.700000000000003</v>
      </c>
      <c r="AD52" s="588"/>
      <c r="AG52" s="589"/>
      <c r="AL52" s="588"/>
      <c r="AO52" s="589"/>
      <c r="AP52" s="588"/>
      <c r="AS52" s="589"/>
      <c r="AW52" s="589"/>
      <c r="BA52" s="590"/>
    </row>
    <row r="53" spans="1:53" s="670" customFormat="1">
      <c r="A53" s="670">
        <v>1998</v>
      </c>
      <c r="B53" s="664">
        <v>35854</v>
      </c>
      <c r="C53" s="992" t="s">
        <v>1059</v>
      </c>
      <c r="D53" s="992"/>
      <c r="E53" s="670">
        <f>365-E52</f>
        <v>307</v>
      </c>
      <c r="F53" s="670">
        <v>1</v>
      </c>
      <c r="G53" s="642">
        <v>10</v>
      </c>
      <c r="I53" s="670">
        <v>2</v>
      </c>
      <c r="J53" s="644">
        <v>12</v>
      </c>
      <c r="K53" s="640">
        <f t="shared" si="13"/>
        <v>83.333333333333343</v>
      </c>
      <c r="L53" s="640">
        <f t="shared" si="14"/>
        <v>0</v>
      </c>
      <c r="M53" s="640">
        <f t="shared" si="15"/>
        <v>16.666666666666664</v>
      </c>
      <c r="N53" s="643">
        <f t="shared" si="9"/>
        <v>100</v>
      </c>
      <c r="O53" s="639">
        <v>57.2</v>
      </c>
      <c r="P53" s="640"/>
      <c r="Q53" s="640">
        <v>8.9</v>
      </c>
      <c r="R53" s="641">
        <f t="shared" si="8"/>
        <v>66.100000000000009</v>
      </c>
      <c r="S53" s="670">
        <v>1</v>
      </c>
      <c r="T53" s="638"/>
      <c r="U53" s="664">
        <v>35854</v>
      </c>
      <c r="V53" s="634" t="s">
        <v>1053</v>
      </c>
      <c r="W53" s="670" t="s">
        <v>74</v>
      </c>
      <c r="X53" s="670" t="s">
        <v>11</v>
      </c>
      <c r="Y53" s="635">
        <v>35.700000000000003</v>
      </c>
      <c r="Z53" s="670" t="s">
        <v>1054</v>
      </c>
      <c r="AA53" s="670" t="s">
        <v>22</v>
      </c>
      <c r="AB53" s="670" t="s">
        <v>11</v>
      </c>
      <c r="AC53" s="670">
        <v>17.899999999999999</v>
      </c>
      <c r="AD53" s="634" t="s">
        <v>1055</v>
      </c>
      <c r="AE53" s="670" t="s">
        <v>88</v>
      </c>
      <c r="AF53" s="670" t="s">
        <v>11</v>
      </c>
      <c r="AG53" s="635">
        <v>3.6</v>
      </c>
      <c r="AH53" s="670" t="s">
        <v>1056</v>
      </c>
      <c r="AI53" s="670" t="s">
        <v>20</v>
      </c>
      <c r="AJ53" s="670" t="s">
        <v>12</v>
      </c>
      <c r="AK53" s="670">
        <v>8.9</v>
      </c>
      <c r="AL53" s="634"/>
      <c r="AO53" s="635"/>
      <c r="AP53" s="634"/>
      <c r="AS53" s="635"/>
      <c r="AW53" s="635"/>
      <c r="BA53" s="636"/>
    </row>
    <row r="54" spans="1:53" s="670" customFormat="1">
      <c r="A54" s="670">
        <v>1999</v>
      </c>
      <c r="B54" s="664"/>
      <c r="C54" s="992" t="s">
        <v>1059</v>
      </c>
      <c r="D54" s="992"/>
      <c r="E54" s="670">
        <v>4</v>
      </c>
      <c r="G54" s="642">
        <v>10</v>
      </c>
      <c r="I54" s="670">
        <v>2</v>
      </c>
      <c r="J54" s="644">
        <v>12</v>
      </c>
      <c r="K54" s="640">
        <f t="shared" si="13"/>
        <v>83.333333333333343</v>
      </c>
      <c r="L54" s="640">
        <f t="shared" si="14"/>
        <v>0</v>
      </c>
      <c r="M54" s="640">
        <f t="shared" si="15"/>
        <v>16.666666666666664</v>
      </c>
      <c r="N54" s="643">
        <f t="shared" si="9"/>
        <v>100</v>
      </c>
      <c r="O54" s="639">
        <v>57.2</v>
      </c>
      <c r="P54" s="640"/>
      <c r="Q54" s="640">
        <v>8.9</v>
      </c>
      <c r="R54" s="641">
        <f t="shared" si="8"/>
        <v>66.100000000000009</v>
      </c>
      <c r="S54" s="670">
        <v>1</v>
      </c>
      <c r="T54" s="638"/>
      <c r="U54" s="664"/>
      <c r="V54" s="634" t="s">
        <v>1053</v>
      </c>
      <c r="W54" s="670" t="s">
        <v>74</v>
      </c>
      <c r="X54" s="670" t="s">
        <v>11</v>
      </c>
      <c r="Y54" s="635">
        <v>35.700000000000003</v>
      </c>
      <c r="Z54" s="670" t="s">
        <v>1054</v>
      </c>
      <c r="AA54" s="670" t="s">
        <v>22</v>
      </c>
      <c r="AB54" s="670" t="s">
        <v>11</v>
      </c>
      <c r="AC54" s="670">
        <v>17.899999999999999</v>
      </c>
      <c r="AD54" s="634" t="s">
        <v>1055</v>
      </c>
      <c r="AE54" s="670" t="s">
        <v>88</v>
      </c>
      <c r="AF54" s="670" t="s">
        <v>11</v>
      </c>
      <c r="AG54" s="635">
        <v>3.6</v>
      </c>
      <c r="AH54" s="670" t="s">
        <v>1056</v>
      </c>
      <c r="AI54" s="670" t="s">
        <v>20</v>
      </c>
      <c r="AJ54" s="670" t="s">
        <v>12</v>
      </c>
      <c r="AK54" s="670">
        <v>8.9</v>
      </c>
      <c r="AL54" s="634"/>
      <c r="AO54" s="635"/>
      <c r="AP54" s="634"/>
      <c r="AS54" s="635"/>
      <c r="AW54" s="635"/>
      <c r="BA54" s="636"/>
    </row>
    <row r="55" spans="1:53" s="670" customFormat="1">
      <c r="A55" s="670">
        <v>1999</v>
      </c>
      <c r="B55" s="502">
        <v>36165</v>
      </c>
      <c r="C55" s="992" t="s">
        <v>1059</v>
      </c>
      <c r="D55" s="992"/>
      <c r="E55" s="670">
        <f>365-E54</f>
        <v>361</v>
      </c>
      <c r="F55" s="501">
        <v>0</v>
      </c>
      <c r="G55" s="642">
        <v>12</v>
      </c>
      <c r="J55" s="644">
        <v>12</v>
      </c>
      <c r="K55" s="640">
        <f t="shared" si="13"/>
        <v>100</v>
      </c>
      <c r="L55" s="640">
        <f t="shared" si="14"/>
        <v>0</v>
      </c>
      <c r="M55" s="640">
        <f t="shared" si="15"/>
        <v>0</v>
      </c>
      <c r="N55" s="643">
        <f t="shared" si="9"/>
        <v>100</v>
      </c>
      <c r="O55" s="639">
        <v>57.2</v>
      </c>
      <c r="P55" s="640"/>
      <c r="Q55" s="640"/>
      <c r="R55" s="641">
        <f t="shared" si="8"/>
        <v>57.2</v>
      </c>
      <c r="S55" s="670">
        <v>1</v>
      </c>
      <c r="T55" s="638"/>
      <c r="U55" s="664"/>
      <c r="V55" s="634" t="s">
        <v>1053</v>
      </c>
      <c r="W55" s="670" t="s">
        <v>74</v>
      </c>
      <c r="X55" s="670" t="s">
        <v>11</v>
      </c>
      <c r="Y55" s="635">
        <v>35.700000000000003</v>
      </c>
      <c r="Z55" s="670" t="s">
        <v>1054</v>
      </c>
      <c r="AA55" s="670" t="s">
        <v>22</v>
      </c>
      <c r="AB55" s="670" t="s">
        <v>11</v>
      </c>
      <c r="AC55" s="670">
        <v>17.899999999999999</v>
      </c>
      <c r="AD55" s="634" t="s">
        <v>1055</v>
      </c>
      <c r="AE55" s="670" t="s">
        <v>88</v>
      </c>
      <c r="AF55" s="670" t="s">
        <v>11</v>
      </c>
      <c r="AG55" s="635">
        <v>3.6</v>
      </c>
      <c r="AL55" s="634"/>
      <c r="AO55" s="635"/>
      <c r="AP55" s="634"/>
      <c r="AS55" s="635"/>
      <c r="AW55" s="635"/>
      <c r="BA55" s="636"/>
    </row>
    <row r="56" spans="1:53" s="670" customFormat="1">
      <c r="A56" s="670">
        <v>2000</v>
      </c>
      <c r="B56" s="664"/>
      <c r="C56" s="992" t="s">
        <v>1059</v>
      </c>
      <c r="D56" s="992"/>
      <c r="E56" s="670">
        <v>0</v>
      </c>
      <c r="G56" s="642">
        <v>12</v>
      </c>
      <c r="J56" s="644">
        <v>12</v>
      </c>
      <c r="K56" s="640">
        <f t="shared" si="13"/>
        <v>100</v>
      </c>
      <c r="L56" s="640">
        <f t="shared" si="14"/>
        <v>0</v>
      </c>
      <c r="M56" s="640">
        <f t="shared" si="15"/>
        <v>0</v>
      </c>
      <c r="N56" s="643">
        <f t="shared" si="9"/>
        <v>100</v>
      </c>
      <c r="O56" s="639">
        <v>57.2</v>
      </c>
      <c r="P56" s="640"/>
      <c r="Q56" s="640"/>
      <c r="R56" s="641">
        <f t="shared" si="8"/>
        <v>57.2</v>
      </c>
      <c r="S56" s="670">
        <v>1</v>
      </c>
      <c r="T56" s="638"/>
      <c r="U56" s="664"/>
      <c r="V56" s="634" t="s">
        <v>1053</v>
      </c>
      <c r="W56" s="670" t="s">
        <v>74</v>
      </c>
      <c r="X56" s="670" t="s">
        <v>11</v>
      </c>
      <c r="Y56" s="635">
        <v>35.700000000000003</v>
      </c>
      <c r="Z56" s="670" t="s">
        <v>1054</v>
      </c>
      <c r="AA56" s="670" t="s">
        <v>22</v>
      </c>
      <c r="AB56" s="670" t="s">
        <v>11</v>
      </c>
      <c r="AC56" s="670">
        <v>17.899999999999999</v>
      </c>
      <c r="AD56" s="634" t="s">
        <v>1055</v>
      </c>
      <c r="AE56" s="670" t="s">
        <v>88</v>
      </c>
      <c r="AF56" s="670" t="s">
        <v>11</v>
      </c>
      <c r="AG56" s="635">
        <v>3.6</v>
      </c>
      <c r="AL56" s="634"/>
      <c r="AO56" s="635"/>
      <c r="AP56" s="634"/>
      <c r="AS56" s="635"/>
      <c r="AW56" s="635"/>
      <c r="BA56" s="636"/>
    </row>
    <row r="57" spans="1:53" s="670" customFormat="1">
      <c r="A57" s="670">
        <v>2000</v>
      </c>
      <c r="B57" s="664"/>
      <c r="C57" s="992" t="s">
        <v>1059</v>
      </c>
      <c r="D57" s="992"/>
      <c r="E57" s="670">
        <v>366</v>
      </c>
      <c r="G57" s="642">
        <v>12</v>
      </c>
      <c r="J57" s="644">
        <v>12</v>
      </c>
      <c r="K57" s="640">
        <f t="shared" si="13"/>
        <v>100</v>
      </c>
      <c r="L57" s="640">
        <f t="shared" si="14"/>
        <v>0</v>
      </c>
      <c r="M57" s="640">
        <f t="shared" si="15"/>
        <v>0</v>
      </c>
      <c r="N57" s="643">
        <f t="shared" si="9"/>
        <v>100</v>
      </c>
      <c r="O57" s="639">
        <v>57.2</v>
      </c>
      <c r="P57" s="640"/>
      <c r="Q57" s="640"/>
      <c r="R57" s="641">
        <f t="shared" si="8"/>
        <v>57.2</v>
      </c>
      <c r="S57" s="670">
        <v>1</v>
      </c>
      <c r="T57" s="638"/>
      <c r="U57" s="664"/>
      <c r="V57" s="634" t="s">
        <v>1053</v>
      </c>
      <c r="W57" s="670" t="s">
        <v>74</v>
      </c>
      <c r="X57" s="670" t="s">
        <v>11</v>
      </c>
      <c r="Y57" s="635">
        <v>35.700000000000003</v>
      </c>
      <c r="Z57" s="670" t="s">
        <v>1054</v>
      </c>
      <c r="AA57" s="670" t="s">
        <v>22</v>
      </c>
      <c r="AB57" s="670" t="s">
        <v>11</v>
      </c>
      <c r="AC57" s="670">
        <v>17.899999999999999</v>
      </c>
      <c r="AD57" s="634" t="s">
        <v>1055</v>
      </c>
      <c r="AE57" s="670" t="s">
        <v>88</v>
      </c>
      <c r="AF57" s="670" t="s">
        <v>11</v>
      </c>
      <c r="AG57" s="635">
        <v>3.6</v>
      </c>
      <c r="AL57" s="634"/>
      <c r="AO57" s="635"/>
      <c r="AP57" s="634"/>
      <c r="AS57" s="635"/>
      <c r="AW57" s="635"/>
      <c r="BA57" s="636"/>
    </row>
    <row r="58" spans="1:53" s="670" customFormat="1">
      <c r="A58" s="670">
        <v>2001</v>
      </c>
      <c r="B58" s="664"/>
      <c r="C58" s="992" t="s">
        <v>1059</v>
      </c>
      <c r="D58" s="992"/>
      <c r="E58" s="670">
        <v>146</v>
      </c>
      <c r="G58" s="642">
        <v>12</v>
      </c>
      <c r="J58" s="644">
        <v>12</v>
      </c>
      <c r="K58" s="640">
        <f t="shared" si="13"/>
        <v>100</v>
      </c>
      <c r="L58" s="640">
        <f t="shared" si="14"/>
        <v>0</v>
      </c>
      <c r="M58" s="640">
        <f t="shared" si="15"/>
        <v>0</v>
      </c>
      <c r="N58" s="643">
        <f t="shared" si="9"/>
        <v>100</v>
      </c>
      <c r="O58" s="639">
        <v>57.2</v>
      </c>
      <c r="P58" s="640"/>
      <c r="Q58" s="640"/>
      <c r="R58" s="641">
        <f t="shared" si="8"/>
        <v>57.2</v>
      </c>
      <c r="S58" s="670">
        <v>1</v>
      </c>
      <c r="T58" s="638"/>
      <c r="U58" s="664"/>
      <c r="V58" s="634" t="s">
        <v>1053</v>
      </c>
      <c r="W58" s="670" t="s">
        <v>74</v>
      </c>
      <c r="X58" s="670" t="s">
        <v>11</v>
      </c>
      <c r="Y58" s="635">
        <v>35.700000000000003</v>
      </c>
      <c r="Z58" s="670" t="s">
        <v>1054</v>
      </c>
      <c r="AA58" s="670" t="s">
        <v>22</v>
      </c>
      <c r="AB58" s="670" t="s">
        <v>11</v>
      </c>
      <c r="AC58" s="670">
        <v>17.899999999999999</v>
      </c>
      <c r="AD58" s="634" t="s">
        <v>1055</v>
      </c>
      <c r="AE58" s="670" t="s">
        <v>88</v>
      </c>
      <c r="AF58" s="670" t="s">
        <v>11</v>
      </c>
      <c r="AG58" s="635">
        <v>3.6</v>
      </c>
      <c r="AL58" s="634"/>
      <c r="AO58" s="635"/>
      <c r="AP58" s="634"/>
      <c r="AS58" s="635"/>
      <c r="AW58" s="635"/>
      <c r="BA58" s="636"/>
    </row>
    <row r="59" spans="1:53" s="670" customFormat="1">
      <c r="A59" s="670">
        <v>2001</v>
      </c>
      <c r="B59" s="502">
        <v>37038</v>
      </c>
      <c r="C59" s="992" t="s">
        <v>1059</v>
      </c>
      <c r="D59" s="992"/>
      <c r="E59" s="670">
        <f>365-E58</f>
        <v>219</v>
      </c>
      <c r="F59" s="501" t="s">
        <v>337</v>
      </c>
      <c r="G59" s="642">
        <v>12</v>
      </c>
      <c r="J59" s="644">
        <v>12</v>
      </c>
      <c r="K59" s="640">
        <f t="shared" si="13"/>
        <v>100</v>
      </c>
      <c r="L59" s="640">
        <f t="shared" si="14"/>
        <v>0</v>
      </c>
      <c r="M59" s="640">
        <f t="shared" si="15"/>
        <v>0</v>
      </c>
      <c r="N59" s="643">
        <f t="shared" si="9"/>
        <v>100</v>
      </c>
      <c r="O59" s="639">
        <v>51.8</v>
      </c>
      <c r="P59" s="640"/>
      <c r="Q59" s="640"/>
      <c r="R59" s="641">
        <f t="shared" si="8"/>
        <v>51.8</v>
      </c>
      <c r="S59" s="670">
        <v>1</v>
      </c>
      <c r="T59" s="487">
        <v>37038</v>
      </c>
      <c r="U59" s="664"/>
      <c r="V59" s="634" t="s">
        <v>1053</v>
      </c>
      <c r="W59" s="670" t="s">
        <v>74</v>
      </c>
      <c r="X59" s="670" t="s">
        <v>11</v>
      </c>
      <c r="Y59" s="635">
        <v>33.9</v>
      </c>
      <c r="Z59" s="670" t="s">
        <v>1054</v>
      </c>
      <c r="AA59" s="670" t="s">
        <v>22</v>
      </c>
      <c r="AB59" s="670" t="s">
        <v>11</v>
      </c>
      <c r="AC59" s="670">
        <v>16.100000000000001</v>
      </c>
      <c r="AD59" s="634" t="s">
        <v>1055</v>
      </c>
      <c r="AE59" s="670" t="s">
        <v>88</v>
      </c>
      <c r="AF59" s="670" t="s">
        <v>11</v>
      </c>
      <c r="AG59" s="635">
        <v>1.8</v>
      </c>
      <c r="AL59" s="634"/>
      <c r="AO59" s="635"/>
      <c r="AP59" s="634"/>
      <c r="AS59" s="635"/>
      <c r="AW59" s="635"/>
      <c r="BA59" s="636"/>
    </row>
    <row r="60" spans="1:53" s="670" customFormat="1">
      <c r="A60" s="670">
        <v>2002</v>
      </c>
      <c r="B60" s="664"/>
      <c r="C60" s="992" t="s">
        <v>1059</v>
      </c>
      <c r="D60" s="992"/>
      <c r="E60" s="670">
        <v>0</v>
      </c>
      <c r="G60" s="642">
        <v>12</v>
      </c>
      <c r="J60" s="644">
        <v>12</v>
      </c>
      <c r="K60" s="640">
        <f t="shared" si="13"/>
        <v>100</v>
      </c>
      <c r="L60" s="640">
        <f t="shared" si="14"/>
        <v>0</v>
      </c>
      <c r="M60" s="640">
        <f t="shared" si="15"/>
        <v>0</v>
      </c>
      <c r="N60" s="643">
        <f t="shared" si="9"/>
        <v>100</v>
      </c>
      <c r="O60" s="639">
        <v>51.8</v>
      </c>
      <c r="P60" s="640"/>
      <c r="Q60" s="640"/>
      <c r="R60" s="641">
        <f t="shared" si="8"/>
        <v>51.8</v>
      </c>
      <c r="S60" s="670">
        <v>1</v>
      </c>
      <c r="T60" s="638"/>
      <c r="U60" s="664"/>
      <c r="V60" s="634" t="s">
        <v>1053</v>
      </c>
      <c r="W60" s="670" t="s">
        <v>74</v>
      </c>
      <c r="X60" s="670" t="s">
        <v>11</v>
      </c>
      <c r="Y60" s="635">
        <v>33.9</v>
      </c>
      <c r="Z60" s="670" t="s">
        <v>1054</v>
      </c>
      <c r="AA60" s="670" t="s">
        <v>22</v>
      </c>
      <c r="AB60" s="670" t="s">
        <v>11</v>
      </c>
      <c r="AC60" s="670">
        <v>16.100000000000001</v>
      </c>
      <c r="AD60" s="634" t="s">
        <v>1055</v>
      </c>
      <c r="AE60" s="670" t="s">
        <v>88</v>
      </c>
      <c r="AF60" s="670" t="s">
        <v>11</v>
      </c>
      <c r="AG60" s="635">
        <v>1.8</v>
      </c>
      <c r="AL60" s="634"/>
      <c r="AO60" s="635"/>
      <c r="AP60" s="634"/>
      <c r="AS60" s="635"/>
      <c r="AW60" s="635"/>
      <c r="BA60" s="636"/>
    </row>
    <row r="61" spans="1:53" s="670" customFormat="1">
      <c r="A61" s="670">
        <v>2002</v>
      </c>
      <c r="B61" s="664"/>
      <c r="C61" s="992" t="s">
        <v>1059</v>
      </c>
      <c r="D61" s="992"/>
      <c r="E61" s="670">
        <f>365-E60</f>
        <v>365</v>
      </c>
      <c r="G61" s="642">
        <v>12</v>
      </c>
      <c r="J61" s="644">
        <v>12</v>
      </c>
      <c r="K61" s="640">
        <f t="shared" si="13"/>
        <v>100</v>
      </c>
      <c r="L61" s="640">
        <f t="shared" si="14"/>
        <v>0</v>
      </c>
      <c r="M61" s="640">
        <f t="shared" si="15"/>
        <v>0</v>
      </c>
      <c r="N61" s="643">
        <f t="shared" si="9"/>
        <v>100</v>
      </c>
      <c r="O61" s="639">
        <v>51.8</v>
      </c>
      <c r="P61" s="640"/>
      <c r="Q61" s="640"/>
      <c r="R61" s="641">
        <f t="shared" si="8"/>
        <v>51.8</v>
      </c>
      <c r="S61" s="670">
        <v>1</v>
      </c>
      <c r="T61" s="638"/>
      <c r="U61" s="664"/>
      <c r="V61" s="634" t="s">
        <v>1053</v>
      </c>
      <c r="W61" s="670" t="s">
        <v>74</v>
      </c>
      <c r="X61" s="670" t="s">
        <v>11</v>
      </c>
      <c r="Y61" s="635">
        <v>33.9</v>
      </c>
      <c r="Z61" s="670" t="s">
        <v>1054</v>
      </c>
      <c r="AA61" s="670" t="s">
        <v>22</v>
      </c>
      <c r="AB61" s="670" t="s">
        <v>11</v>
      </c>
      <c r="AC61" s="670">
        <v>16.100000000000001</v>
      </c>
      <c r="AD61" s="634" t="s">
        <v>1055</v>
      </c>
      <c r="AE61" s="670" t="s">
        <v>88</v>
      </c>
      <c r="AF61" s="670" t="s">
        <v>11</v>
      </c>
      <c r="AG61" s="635">
        <v>1.8</v>
      </c>
      <c r="AL61" s="634"/>
      <c r="AO61" s="635"/>
      <c r="AP61" s="634"/>
      <c r="AS61" s="635"/>
      <c r="AW61" s="635"/>
      <c r="BA61" s="636"/>
    </row>
    <row r="62" spans="1:53" s="670" customFormat="1">
      <c r="A62" s="670">
        <v>2003</v>
      </c>
      <c r="B62" s="664"/>
      <c r="C62" s="992" t="s">
        <v>1059</v>
      </c>
      <c r="D62" s="992"/>
      <c r="E62" s="670">
        <v>58</v>
      </c>
      <c r="G62" s="642">
        <v>12</v>
      </c>
      <c r="J62" s="644">
        <v>12</v>
      </c>
      <c r="K62" s="640">
        <f t="shared" si="13"/>
        <v>100</v>
      </c>
      <c r="L62" s="640">
        <f t="shared" si="14"/>
        <v>0</v>
      </c>
      <c r="M62" s="640">
        <f t="shared" si="15"/>
        <v>0</v>
      </c>
      <c r="N62" s="643">
        <f t="shared" si="9"/>
        <v>100</v>
      </c>
      <c r="O62" s="639">
        <v>51.8</v>
      </c>
      <c r="P62" s="640"/>
      <c r="Q62" s="640"/>
      <c r="R62" s="641">
        <f t="shared" si="8"/>
        <v>51.8</v>
      </c>
      <c r="S62" s="670">
        <v>1</v>
      </c>
      <c r="T62" s="638"/>
      <c r="U62" s="664"/>
      <c r="V62" s="634" t="s">
        <v>1053</v>
      </c>
      <c r="W62" s="670" t="s">
        <v>74</v>
      </c>
      <c r="X62" s="670" t="s">
        <v>11</v>
      </c>
      <c r="Y62" s="635">
        <v>33.9</v>
      </c>
      <c r="Z62" s="670" t="s">
        <v>1054</v>
      </c>
      <c r="AA62" s="670" t="s">
        <v>22</v>
      </c>
      <c r="AB62" s="670" t="s">
        <v>11</v>
      </c>
      <c r="AC62" s="670">
        <v>16.100000000000001</v>
      </c>
      <c r="AD62" s="634" t="s">
        <v>1055</v>
      </c>
      <c r="AE62" s="670" t="s">
        <v>88</v>
      </c>
      <c r="AF62" s="670" t="s">
        <v>11</v>
      </c>
      <c r="AG62" s="635">
        <v>1.8</v>
      </c>
      <c r="AL62" s="634"/>
      <c r="AO62" s="635"/>
      <c r="AP62" s="634"/>
      <c r="AS62" s="635"/>
      <c r="AW62" s="635"/>
      <c r="BA62" s="636"/>
    </row>
    <row r="63" spans="1:53" s="669" customFormat="1">
      <c r="A63" s="669">
        <v>2003</v>
      </c>
      <c r="B63" s="663">
        <v>37680</v>
      </c>
      <c r="C63" s="988" t="s">
        <v>1058</v>
      </c>
      <c r="D63" s="988"/>
      <c r="E63" s="669">
        <f>365-E62</f>
        <v>307</v>
      </c>
      <c r="F63" s="669">
        <v>1</v>
      </c>
      <c r="G63" s="596">
        <v>4</v>
      </c>
      <c r="I63" s="669">
        <v>6</v>
      </c>
      <c r="J63" s="598">
        <v>12</v>
      </c>
      <c r="K63" s="593">
        <f t="shared" si="13"/>
        <v>33.333333333333329</v>
      </c>
      <c r="L63" s="593">
        <f t="shared" si="14"/>
        <v>0</v>
      </c>
      <c r="M63" s="593">
        <f t="shared" si="15"/>
        <v>50</v>
      </c>
      <c r="N63" s="597">
        <f t="shared" si="9"/>
        <v>83.333333333333329</v>
      </c>
      <c r="O63" s="592">
        <v>16.100000000000001</v>
      </c>
      <c r="P63" s="593"/>
      <c r="Q63" s="593">
        <v>42.8</v>
      </c>
      <c r="R63" s="594">
        <f t="shared" si="8"/>
        <v>58.9</v>
      </c>
      <c r="S63" s="669">
        <v>1</v>
      </c>
      <c r="T63" s="575"/>
      <c r="U63" s="663">
        <v>37680</v>
      </c>
      <c r="V63" s="588" t="s">
        <v>1060</v>
      </c>
      <c r="W63" s="669" t="s">
        <v>114</v>
      </c>
      <c r="X63" s="669" t="s">
        <v>12</v>
      </c>
      <c r="Y63" s="589">
        <v>35.700000000000003</v>
      </c>
      <c r="Z63" s="669" t="s">
        <v>1054</v>
      </c>
      <c r="AA63" s="669" t="s">
        <v>22</v>
      </c>
      <c r="AB63" s="669" t="s">
        <v>11</v>
      </c>
      <c r="AC63" s="669">
        <v>16.100000000000001</v>
      </c>
      <c r="AD63" s="588" t="s">
        <v>1056</v>
      </c>
      <c r="AE63" s="669" t="s">
        <v>20</v>
      </c>
      <c r="AF63" s="669" t="s">
        <v>12</v>
      </c>
      <c r="AG63" s="589">
        <v>7.1</v>
      </c>
      <c r="AL63" s="588"/>
      <c r="AO63" s="589"/>
      <c r="AP63" s="588"/>
      <c r="AS63" s="589"/>
      <c r="AW63" s="589"/>
      <c r="BA63" s="590"/>
    </row>
    <row r="64" spans="1:53" s="669" customFormat="1">
      <c r="A64" s="669">
        <v>2004</v>
      </c>
      <c r="B64" s="663"/>
      <c r="C64" s="988" t="s">
        <v>1058</v>
      </c>
      <c r="D64" s="988"/>
      <c r="E64" s="669">
        <v>137</v>
      </c>
      <c r="G64" s="596">
        <v>4</v>
      </c>
      <c r="I64" s="669">
        <v>6</v>
      </c>
      <c r="J64" s="598">
        <v>12</v>
      </c>
      <c r="K64" s="593">
        <f t="shared" si="13"/>
        <v>33.333333333333329</v>
      </c>
      <c r="L64" s="593">
        <f t="shared" si="14"/>
        <v>0</v>
      </c>
      <c r="M64" s="593">
        <f t="shared" si="15"/>
        <v>50</v>
      </c>
      <c r="N64" s="597">
        <f t="shared" si="9"/>
        <v>83.333333333333329</v>
      </c>
      <c r="O64" s="592">
        <v>16.100000000000001</v>
      </c>
      <c r="P64" s="593"/>
      <c r="Q64" s="593">
        <v>42.8</v>
      </c>
      <c r="R64" s="594">
        <f t="shared" si="8"/>
        <v>58.9</v>
      </c>
      <c r="S64" s="669">
        <v>1</v>
      </c>
      <c r="T64" s="575"/>
      <c r="U64" s="663"/>
      <c r="V64" s="588" t="s">
        <v>1060</v>
      </c>
      <c r="W64" s="669" t="s">
        <v>114</v>
      </c>
      <c r="X64" s="669" t="s">
        <v>12</v>
      </c>
      <c r="Y64" s="589">
        <v>35.700000000000003</v>
      </c>
      <c r="Z64" s="669" t="s">
        <v>1054</v>
      </c>
      <c r="AA64" s="669" t="s">
        <v>22</v>
      </c>
      <c r="AB64" s="669" t="s">
        <v>11</v>
      </c>
      <c r="AC64" s="669">
        <v>16.100000000000001</v>
      </c>
      <c r="AD64" s="588" t="s">
        <v>1056</v>
      </c>
      <c r="AE64" s="669" t="s">
        <v>20</v>
      </c>
      <c r="AF64" s="669" t="s">
        <v>12</v>
      </c>
      <c r="AG64" s="589">
        <v>7.1</v>
      </c>
      <c r="AL64" s="588"/>
      <c r="AO64" s="589"/>
      <c r="AP64" s="588"/>
      <c r="AS64" s="589"/>
      <c r="AW64" s="589"/>
      <c r="BA64" s="590"/>
    </row>
    <row r="65" spans="1:53" s="669" customFormat="1">
      <c r="A65" s="669">
        <v>2004</v>
      </c>
      <c r="B65" s="599">
        <v>38124</v>
      </c>
      <c r="C65" s="988" t="s">
        <v>1058</v>
      </c>
      <c r="D65" s="988"/>
      <c r="E65" s="669">
        <v>229</v>
      </c>
      <c r="F65" s="600">
        <v>0</v>
      </c>
      <c r="G65" s="596">
        <v>3</v>
      </c>
      <c r="I65" s="669">
        <v>6</v>
      </c>
      <c r="J65" s="598">
        <v>12</v>
      </c>
      <c r="K65" s="593">
        <f t="shared" si="13"/>
        <v>25</v>
      </c>
      <c r="L65" s="593">
        <f t="shared" si="14"/>
        <v>0</v>
      </c>
      <c r="M65" s="593">
        <f t="shared" si="15"/>
        <v>50</v>
      </c>
      <c r="N65" s="597">
        <f t="shared" si="9"/>
        <v>75</v>
      </c>
      <c r="O65" s="592">
        <v>16.100000000000001</v>
      </c>
      <c r="P65" s="593"/>
      <c r="Q65" s="593">
        <v>42.8</v>
      </c>
      <c r="R65" s="594">
        <f t="shared" si="8"/>
        <v>58.9</v>
      </c>
      <c r="S65" s="669">
        <v>1</v>
      </c>
      <c r="T65" s="575"/>
      <c r="U65" s="663"/>
      <c r="V65" s="588" t="s">
        <v>1060</v>
      </c>
      <c r="W65" s="669" t="s">
        <v>114</v>
      </c>
      <c r="X65" s="669" t="s">
        <v>12</v>
      </c>
      <c r="Y65" s="589">
        <v>35.700000000000003</v>
      </c>
      <c r="Z65" s="669" t="s">
        <v>1054</v>
      </c>
      <c r="AA65" s="669" t="s">
        <v>22</v>
      </c>
      <c r="AB65" s="669" t="s">
        <v>11</v>
      </c>
      <c r="AC65" s="669">
        <v>16.100000000000001</v>
      </c>
      <c r="AD65" s="588" t="s">
        <v>1056</v>
      </c>
      <c r="AE65" s="669" t="s">
        <v>20</v>
      </c>
      <c r="AF65" s="669" t="s">
        <v>12</v>
      </c>
      <c r="AG65" s="589">
        <v>7.1</v>
      </c>
      <c r="AL65" s="588"/>
      <c r="AO65" s="589"/>
      <c r="AP65" s="588"/>
      <c r="AS65" s="589"/>
      <c r="AW65" s="589"/>
      <c r="BA65" s="590"/>
    </row>
    <row r="66" spans="1:53" s="669" customFormat="1">
      <c r="A66" s="669">
        <v>2005</v>
      </c>
      <c r="B66" s="663"/>
      <c r="C66" s="988" t="s">
        <v>1058</v>
      </c>
      <c r="D66" s="988"/>
      <c r="E66" s="669">
        <v>31</v>
      </c>
      <c r="G66" s="596">
        <v>3</v>
      </c>
      <c r="I66" s="669">
        <v>6</v>
      </c>
      <c r="J66" s="598">
        <v>12</v>
      </c>
      <c r="K66" s="593">
        <f t="shared" ref="K66:K78" si="16">G66/J66*100</f>
        <v>25</v>
      </c>
      <c r="L66" s="593">
        <f t="shared" ref="L66:L78" si="17">H66/J66*100</f>
        <v>0</v>
      </c>
      <c r="M66" s="593">
        <f t="shared" ref="M66:M78" si="18">I66/J66*100</f>
        <v>50</v>
      </c>
      <c r="N66" s="597">
        <f t="shared" si="9"/>
        <v>75</v>
      </c>
      <c r="O66" s="592">
        <v>16.100000000000001</v>
      </c>
      <c r="P66" s="593"/>
      <c r="Q66" s="593">
        <v>42.8</v>
      </c>
      <c r="R66" s="594">
        <f t="shared" si="8"/>
        <v>58.9</v>
      </c>
      <c r="S66" s="669">
        <v>1</v>
      </c>
      <c r="T66" s="575"/>
      <c r="U66" s="663"/>
      <c r="V66" s="588" t="s">
        <v>1060</v>
      </c>
      <c r="W66" s="669" t="s">
        <v>114</v>
      </c>
      <c r="X66" s="669" t="s">
        <v>12</v>
      </c>
      <c r="Y66" s="589">
        <v>35.700000000000003</v>
      </c>
      <c r="Z66" s="669" t="s">
        <v>1054</v>
      </c>
      <c r="AA66" s="669" t="s">
        <v>22</v>
      </c>
      <c r="AB66" s="669" t="s">
        <v>11</v>
      </c>
      <c r="AC66" s="669">
        <v>16.100000000000001</v>
      </c>
      <c r="AD66" s="588" t="s">
        <v>1056</v>
      </c>
      <c r="AE66" s="669" t="s">
        <v>20</v>
      </c>
      <c r="AF66" s="669" t="s">
        <v>12</v>
      </c>
      <c r="AG66" s="589">
        <v>7.1</v>
      </c>
      <c r="AL66" s="588"/>
      <c r="AO66" s="589"/>
      <c r="AP66" s="588"/>
      <c r="AS66" s="589"/>
      <c r="AW66" s="589"/>
      <c r="BA66" s="590"/>
    </row>
    <row r="67" spans="1:53" s="669" customFormat="1">
      <c r="A67" s="669">
        <v>2005</v>
      </c>
      <c r="B67" s="599">
        <v>38384</v>
      </c>
      <c r="C67" s="988" t="s">
        <v>1058</v>
      </c>
      <c r="D67" s="988"/>
      <c r="E67" s="669">
        <v>334</v>
      </c>
      <c r="F67" s="600">
        <v>0</v>
      </c>
      <c r="G67" s="596">
        <v>3</v>
      </c>
      <c r="I67" s="669">
        <v>5</v>
      </c>
      <c r="J67" s="598">
        <v>12</v>
      </c>
      <c r="K67" s="593">
        <f>G67/J67*100</f>
        <v>25</v>
      </c>
      <c r="L67" s="593">
        <f>H67/J67*100</f>
        <v>0</v>
      </c>
      <c r="M67" s="593">
        <f>I67/J67*100</f>
        <v>41.666666666666671</v>
      </c>
      <c r="N67" s="597">
        <f t="shared" si="9"/>
        <v>66.666666666666671</v>
      </c>
      <c r="O67" s="592">
        <v>16.100000000000001</v>
      </c>
      <c r="P67" s="593"/>
      <c r="Q67" s="593">
        <v>42.8</v>
      </c>
      <c r="R67" s="594">
        <f t="shared" si="8"/>
        <v>58.9</v>
      </c>
      <c r="S67" s="669">
        <v>1</v>
      </c>
      <c r="T67" s="575"/>
      <c r="U67" s="663"/>
      <c r="V67" s="588" t="s">
        <v>1060</v>
      </c>
      <c r="W67" s="669" t="s">
        <v>114</v>
      </c>
      <c r="X67" s="669" t="s">
        <v>12</v>
      </c>
      <c r="Y67" s="589">
        <v>35.700000000000003</v>
      </c>
      <c r="Z67" s="669" t="s">
        <v>1054</v>
      </c>
      <c r="AA67" s="669" t="s">
        <v>22</v>
      </c>
      <c r="AB67" s="669" t="s">
        <v>11</v>
      </c>
      <c r="AC67" s="669">
        <v>16.100000000000001</v>
      </c>
      <c r="AD67" s="588" t="s">
        <v>1056</v>
      </c>
      <c r="AE67" s="669" t="s">
        <v>20</v>
      </c>
      <c r="AF67" s="669" t="s">
        <v>12</v>
      </c>
      <c r="AG67" s="589">
        <v>7.1</v>
      </c>
      <c r="AL67" s="588"/>
      <c r="AO67" s="589"/>
      <c r="AP67" s="588"/>
      <c r="AS67" s="589"/>
      <c r="AW67" s="589"/>
      <c r="BA67" s="590"/>
    </row>
    <row r="68" spans="1:53" s="669" customFormat="1">
      <c r="A68" s="669">
        <v>2006</v>
      </c>
      <c r="B68" s="663"/>
      <c r="C68" s="988" t="s">
        <v>1058</v>
      </c>
      <c r="D68" s="988"/>
      <c r="E68" s="669">
        <v>140</v>
      </c>
      <c r="G68" s="596">
        <v>3</v>
      </c>
      <c r="I68" s="669">
        <v>5</v>
      </c>
      <c r="J68" s="598">
        <v>12</v>
      </c>
      <c r="K68" s="593">
        <f t="shared" si="16"/>
        <v>25</v>
      </c>
      <c r="L68" s="593">
        <f t="shared" si="17"/>
        <v>0</v>
      </c>
      <c r="M68" s="593">
        <f t="shared" si="18"/>
        <v>41.666666666666671</v>
      </c>
      <c r="N68" s="597">
        <f t="shared" si="9"/>
        <v>66.666666666666671</v>
      </c>
      <c r="O68" s="592">
        <v>16.100000000000001</v>
      </c>
      <c r="P68" s="593"/>
      <c r="Q68" s="593">
        <v>42.8</v>
      </c>
      <c r="R68" s="594">
        <f t="shared" si="8"/>
        <v>58.9</v>
      </c>
      <c r="S68" s="669">
        <v>1</v>
      </c>
      <c r="T68" s="575"/>
      <c r="U68" s="663"/>
      <c r="V68" s="588" t="s">
        <v>1060</v>
      </c>
      <c r="W68" s="669" t="s">
        <v>114</v>
      </c>
      <c r="X68" s="669" t="s">
        <v>12</v>
      </c>
      <c r="Y68" s="589">
        <v>35.700000000000003</v>
      </c>
      <c r="Z68" s="669" t="s">
        <v>1054</v>
      </c>
      <c r="AA68" s="669" t="s">
        <v>22</v>
      </c>
      <c r="AB68" s="669" t="s">
        <v>11</v>
      </c>
      <c r="AC68" s="669">
        <v>16.100000000000001</v>
      </c>
      <c r="AD68" s="588" t="s">
        <v>1056</v>
      </c>
      <c r="AE68" s="669" t="s">
        <v>20</v>
      </c>
      <c r="AF68" s="669" t="s">
        <v>12</v>
      </c>
      <c r="AG68" s="589">
        <v>7.1</v>
      </c>
      <c r="AL68" s="588"/>
      <c r="AO68" s="589"/>
      <c r="AP68" s="588"/>
      <c r="AS68" s="589"/>
      <c r="AW68" s="589"/>
      <c r="BA68" s="590"/>
    </row>
    <row r="69" spans="1:53" s="669" customFormat="1">
      <c r="A69" s="669">
        <v>2006</v>
      </c>
      <c r="B69" s="599">
        <v>38858</v>
      </c>
      <c r="C69" s="988" t="s">
        <v>1058</v>
      </c>
      <c r="D69" s="988"/>
      <c r="E69" s="669">
        <v>23</v>
      </c>
      <c r="F69" s="600" t="s">
        <v>337</v>
      </c>
      <c r="G69" s="596">
        <v>3</v>
      </c>
      <c r="I69" s="669">
        <v>5</v>
      </c>
      <c r="J69" s="598">
        <v>12</v>
      </c>
      <c r="K69" s="593">
        <f>G69/J69*100</f>
        <v>25</v>
      </c>
      <c r="L69" s="593">
        <f>H69/J69*100</f>
        <v>0</v>
      </c>
      <c r="M69" s="593">
        <f>I69/J69*100</f>
        <v>41.666666666666671</v>
      </c>
      <c r="N69" s="597">
        <f t="shared" si="9"/>
        <v>66.666666666666671</v>
      </c>
      <c r="O69" s="592">
        <v>19.600000000000001</v>
      </c>
      <c r="P69" s="593"/>
      <c r="Q69" s="593">
        <v>41</v>
      </c>
      <c r="R69" s="594">
        <f t="shared" si="8"/>
        <v>60.6</v>
      </c>
      <c r="S69" s="669">
        <v>1</v>
      </c>
      <c r="T69" s="595">
        <v>38858</v>
      </c>
      <c r="U69" s="663"/>
      <c r="V69" s="588" t="s">
        <v>1060</v>
      </c>
      <c r="W69" s="669" t="s">
        <v>114</v>
      </c>
      <c r="X69" s="669" t="s">
        <v>12</v>
      </c>
      <c r="Y69" s="589">
        <v>32.1</v>
      </c>
      <c r="Z69" s="669" t="s">
        <v>1054</v>
      </c>
      <c r="AA69" s="669" t="s">
        <v>22</v>
      </c>
      <c r="AB69" s="669" t="s">
        <v>11</v>
      </c>
      <c r="AC69" s="669">
        <v>19.600000000000001</v>
      </c>
      <c r="AD69" s="588" t="s">
        <v>1056</v>
      </c>
      <c r="AE69" s="669" t="s">
        <v>20</v>
      </c>
      <c r="AF69" s="669" t="s">
        <v>12</v>
      </c>
      <c r="AG69" s="589">
        <v>8.9</v>
      </c>
      <c r="AL69" s="588"/>
      <c r="AO69" s="589"/>
      <c r="AP69" s="588"/>
      <c r="AS69" s="589"/>
      <c r="AW69" s="589"/>
      <c r="BA69" s="590"/>
    </row>
    <row r="70" spans="1:53" s="669" customFormat="1">
      <c r="A70" s="669">
        <v>2006</v>
      </c>
      <c r="B70" s="599">
        <v>38881</v>
      </c>
      <c r="C70" s="988" t="s">
        <v>1058</v>
      </c>
      <c r="D70" s="988"/>
      <c r="E70" s="669">
        <v>202</v>
      </c>
      <c r="F70" s="600">
        <v>0</v>
      </c>
      <c r="G70" s="596">
        <v>6</v>
      </c>
      <c r="I70" s="669">
        <v>5</v>
      </c>
      <c r="J70" s="598">
        <v>12</v>
      </c>
      <c r="K70" s="593">
        <f t="shared" si="16"/>
        <v>50</v>
      </c>
      <c r="L70" s="593">
        <f t="shared" si="17"/>
        <v>0</v>
      </c>
      <c r="M70" s="593">
        <f t="shared" si="18"/>
        <v>41.666666666666671</v>
      </c>
      <c r="N70" s="597">
        <f t="shared" si="9"/>
        <v>91.666666666666671</v>
      </c>
      <c r="O70" s="592">
        <v>19.600000000000001</v>
      </c>
      <c r="P70" s="593"/>
      <c r="Q70" s="593">
        <v>41</v>
      </c>
      <c r="R70" s="594">
        <f t="shared" si="8"/>
        <v>60.6</v>
      </c>
      <c r="S70" s="669">
        <v>1</v>
      </c>
      <c r="T70" s="575"/>
      <c r="U70" s="663"/>
      <c r="V70" s="588" t="s">
        <v>1060</v>
      </c>
      <c r="W70" s="669" t="s">
        <v>114</v>
      </c>
      <c r="X70" s="669" t="s">
        <v>12</v>
      </c>
      <c r="Y70" s="589">
        <v>32.1</v>
      </c>
      <c r="Z70" s="669" t="s">
        <v>1054</v>
      </c>
      <c r="AA70" s="669" t="s">
        <v>22</v>
      </c>
      <c r="AB70" s="669" t="s">
        <v>11</v>
      </c>
      <c r="AC70" s="669">
        <v>19.600000000000001</v>
      </c>
      <c r="AD70" s="588" t="s">
        <v>1056</v>
      </c>
      <c r="AE70" s="669" t="s">
        <v>20</v>
      </c>
      <c r="AF70" s="669" t="s">
        <v>12</v>
      </c>
      <c r="AG70" s="589">
        <v>8.9</v>
      </c>
      <c r="AL70" s="588"/>
      <c r="AO70" s="589"/>
      <c r="AP70" s="588"/>
      <c r="AS70" s="589"/>
      <c r="AW70" s="589"/>
      <c r="BA70" s="590"/>
    </row>
    <row r="71" spans="1:53" s="669" customFormat="1">
      <c r="A71" s="669">
        <v>2007</v>
      </c>
      <c r="B71" s="663"/>
      <c r="C71" s="988" t="s">
        <v>1058</v>
      </c>
      <c r="D71" s="988"/>
      <c r="E71" s="669">
        <v>196</v>
      </c>
      <c r="G71" s="596">
        <v>3</v>
      </c>
      <c r="I71" s="669">
        <v>5</v>
      </c>
      <c r="J71" s="598">
        <v>12</v>
      </c>
      <c r="K71" s="593">
        <f t="shared" si="16"/>
        <v>25</v>
      </c>
      <c r="L71" s="593">
        <f t="shared" si="17"/>
        <v>0</v>
      </c>
      <c r="M71" s="593">
        <f t="shared" si="18"/>
        <v>41.666666666666671</v>
      </c>
      <c r="N71" s="597">
        <f t="shared" si="9"/>
        <v>66.666666666666671</v>
      </c>
      <c r="O71" s="592">
        <v>19.600000000000001</v>
      </c>
      <c r="P71" s="593"/>
      <c r="Q71" s="593">
        <v>41</v>
      </c>
      <c r="R71" s="594">
        <f t="shared" si="8"/>
        <v>60.6</v>
      </c>
      <c r="S71" s="669">
        <v>1</v>
      </c>
      <c r="T71" s="575"/>
      <c r="U71" s="663"/>
      <c r="V71" s="588" t="s">
        <v>1060</v>
      </c>
      <c r="W71" s="669" t="s">
        <v>114</v>
      </c>
      <c r="X71" s="669" t="s">
        <v>12</v>
      </c>
      <c r="Y71" s="589">
        <v>32.1</v>
      </c>
      <c r="Z71" s="669" t="s">
        <v>1054</v>
      </c>
      <c r="AA71" s="669" t="s">
        <v>22</v>
      </c>
      <c r="AB71" s="669" t="s">
        <v>11</v>
      </c>
      <c r="AC71" s="669">
        <v>19.600000000000001</v>
      </c>
      <c r="AD71" s="588" t="s">
        <v>1056</v>
      </c>
      <c r="AE71" s="669" t="s">
        <v>20</v>
      </c>
      <c r="AF71" s="669" t="s">
        <v>12</v>
      </c>
      <c r="AG71" s="589">
        <v>8.9</v>
      </c>
      <c r="AL71" s="588"/>
      <c r="AO71" s="589"/>
      <c r="AP71" s="588"/>
      <c r="AS71" s="589"/>
      <c r="AW71" s="589"/>
      <c r="BA71" s="590"/>
    </row>
    <row r="72" spans="1:53" s="669" customFormat="1">
      <c r="A72" s="669">
        <v>2007</v>
      </c>
      <c r="B72" s="599">
        <v>39279</v>
      </c>
      <c r="C72" s="988" t="s">
        <v>1058</v>
      </c>
      <c r="D72" s="988"/>
      <c r="E72" s="669">
        <v>169</v>
      </c>
      <c r="F72" s="600">
        <v>0</v>
      </c>
      <c r="G72" s="596">
        <v>6</v>
      </c>
      <c r="I72" s="669">
        <v>2</v>
      </c>
      <c r="J72" s="598">
        <v>12</v>
      </c>
      <c r="K72" s="593">
        <f t="shared" si="16"/>
        <v>50</v>
      </c>
      <c r="L72" s="593">
        <f t="shared" si="17"/>
        <v>0</v>
      </c>
      <c r="M72" s="593">
        <f t="shared" si="18"/>
        <v>16.666666666666664</v>
      </c>
      <c r="N72" s="597">
        <f t="shared" si="9"/>
        <v>66.666666666666657</v>
      </c>
      <c r="O72" s="592">
        <v>19.600000000000001</v>
      </c>
      <c r="P72" s="593"/>
      <c r="Q72" s="593">
        <v>8.9</v>
      </c>
      <c r="R72" s="594">
        <f t="shared" si="8"/>
        <v>28.5</v>
      </c>
      <c r="S72" s="669">
        <v>1</v>
      </c>
      <c r="T72" s="575"/>
      <c r="U72" s="663"/>
      <c r="V72" s="588" t="s">
        <v>1054</v>
      </c>
      <c r="W72" s="669" t="s">
        <v>22</v>
      </c>
      <c r="X72" s="669" t="s">
        <v>11</v>
      </c>
      <c r="Y72" s="589">
        <v>19.600000000000001</v>
      </c>
      <c r="Z72" s="669" t="s">
        <v>1056</v>
      </c>
      <c r="AA72" s="669" t="s">
        <v>20</v>
      </c>
      <c r="AB72" s="669" t="s">
        <v>12</v>
      </c>
      <c r="AC72" s="669">
        <v>8.9</v>
      </c>
      <c r="AD72" s="588"/>
      <c r="AG72" s="589"/>
      <c r="AL72" s="588"/>
      <c r="AO72" s="589"/>
      <c r="AP72" s="588"/>
      <c r="AS72" s="589"/>
      <c r="AW72" s="589"/>
      <c r="BA72" s="590"/>
    </row>
    <row r="73" spans="1:53" s="669" customFormat="1">
      <c r="A73" s="669">
        <v>2008</v>
      </c>
      <c r="B73" s="663"/>
      <c r="C73" s="988" t="s">
        <v>1058</v>
      </c>
      <c r="D73" s="988"/>
      <c r="E73" s="669">
        <v>59</v>
      </c>
      <c r="G73" s="596">
        <v>6</v>
      </c>
      <c r="I73" s="669">
        <v>2</v>
      </c>
      <c r="J73" s="598">
        <v>12</v>
      </c>
      <c r="K73" s="593">
        <f t="shared" si="16"/>
        <v>50</v>
      </c>
      <c r="L73" s="593">
        <f t="shared" si="17"/>
        <v>0</v>
      </c>
      <c r="M73" s="593">
        <f t="shared" si="18"/>
        <v>16.666666666666664</v>
      </c>
      <c r="N73" s="597">
        <f t="shared" si="9"/>
        <v>66.666666666666657</v>
      </c>
      <c r="O73" s="592">
        <v>19.600000000000001</v>
      </c>
      <c r="P73" s="593"/>
      <c r="Q73" s="593">
        <v>8.9</v>
      </c>
      <c r="R73" s="594">
        <f t="shared" si="8"/>
        <v>28.5</v>
      </c>
      <c r="S73" s="669">
        <v>1</v>
      </c>
      <c r="T73" s="575"/>
      <c r="U73" s="663"/>
      <c r="V73" s="588" t="s">
        <v>1054</v>
      </c>
      <c r="W73" s="669" t="s">
        <v>22</v>
      </c>
      <c r="X73" s="669" t="s">
        <v>11</v>
      </c>
      <c r="Y73" s="589">
        <v>19.600000000000001</v>
      </c>
      <c r="Z73" s="669" t="s">
        <v>1056</v>
      </c>
      <c r="AA73" s="669" t="s">
        <v>20</v>
      </c>
      <c r="AB73" s="669" t="s">
        <v>12</v>
      </c>
      <c r="AC73" s="669">
        <v>8.9</v>
      </c>
      <c r="AD73" s="588"/>
      <c r="AG73" s="589"/>
      <c r="AL73" s="588"/>
      <c r="AO73" s="589"/>
      <c r="AP73" s="588"/>
      <c r="AS73" s="589"/>
      <c r="AW73" s="589"/>
      <c r="BA73" s="590"/>
    </row>
    <row r="74" spans="1:53" s="670" customFormat="1">
      <c r="A74" s="670">
        <v>2008</v>
      </c>
      <c r="B74" s="664">
        <v>39507</v>
      </c>
      <c r="C74" s="992" t="s">
        <v>1061</v>
      </c>
      <c r="D74" s="992"/>
      <c r="E74" s="670">
        <v>307</v>
      </c>
      <c r="F74" s="670">
        <v>1</v>
      </c>
      <c r="G74" s="642">
        <v>3</v>
      </c>
      <c r="I74" s="670">
        <v>7</v>
      </c>
      <c r="J74" s="644">
        <v>12</v>
      </c>
      <c r="K74" s="640">
        <f t="shared" si="16"/>
        <v>25</v>
      </c>
      <c r="L74" s="640">
        <f t="shared" si="17"/>
        <v>0</v>
      </c>
      <c r="M74" s="640">
        <f t="shared" si="18"/>
        <v>58.333333333333336</v>
      </c>
      <c r="N74" s="643">
        <f t="shared" si="9"/>
        <v>83.333333333333343</v>
      </c>
      <c r="O74" s="639">
        <v>19.600000000000001</v>
      </c>
      <c r="P74" s="640"/>
      <c r="Q74" s="640">
        <v>41</v>
      </c>
      <c r="R74" s="641">
        <f t="shared" si="8"/>
        <v>60.6</v>
      </c>
      <c r="S74" s="670">
        <v>1</v>
      </c>
      <c r="T74" s="638"/>
      <c r="U74" s="664">
        <v>39507</v>
      </c>
      <c r="V74" s="634" t="s">
        <v>1060</v>
      </c>
      <c r="W74" s="670" t="s">
        <v>114</v>
      </c>
      <c r="X74" s="670" t="s">
        <v>12</v>
      </c>
      <c r="Y74" s="635">
        <v>32.1</v>
      </c>
      <c r="Z74" s="670" t="s">
        <v>1054</v>
      </c>
      <c r="AA74" s="670" t="s">
        <v>22</v>
      </c>
      <c r="AB74" s="670" t="s">
        <v>11</v>
      </c>
      <c r="AC74" s="670">
        <v>19.600000000000001</v>
      </c>
      <c r="AD74" s="634" t="s">
        <v>1056</v>
      </c>
      <c r="AE74" s="670" t="s">
        <v>20</v>
      </c>
      <c r="AF74" s="670" t="s">
        <v>12</v>
      </c>
      <c r="AG74" s="635">
        <v>8.9</v>
      </c>
      <c r="AL74" s="634"/>
      <c r="AO74" s="635"/>
      <c r="AP74" s="634"/>
      <c r="AS74" s="635"/>
      <c r="AW74" s="635"/>
      <c r="BA74" s="636"/>
    </row>
    <row r="75" spans="1:53" s="670" customFormat="1">
      <c r="A75" s="670">
        <v>2009</v>
      </c>
      <c r="B75" s="664"/>
      <c r="C75" s="992" t="s">
        <v>1061</v>
      </c>
      <c r="D75" s="992"/>
      <c r="E75" s="670">
        <v>0</v>
      </c>
      <c r="G75" s="642">
        <v>3</v>
      </c>
      <c r="I75" s="670">
        <v>7</v>
      </c>
      <c r="J75" s="644">
        <v>12</v>
      </c>
      <c r="K75" s="640">
        <f t="shared" si="16"/>
        <v>25</v>
      </c>
      <c r="L75" s="640">
        <f t="shared" si="17"/>
        <v>0</v>
      </c>
      <c r="M75" s="640">
        <f t="shared" si="18"/>
        <v>58.333333333333336</v>
      </c>
      <c r="N75" s="643">
        <f t="shared" si="9"/>
        <v>83.333333333333343</v>
      </c>
      <c r="O75" s="639">
        <v>19.600000000000001</v>
      </c>
      <c r="P75" s="640"/>
      <c r="Q75" s="640">
        <v>41</v>
      </c>
      <c r="R75" s="641">
        <f t="shared" si="8"/>
        <v>60.6</v>
      </c>
      <c r="S75" s="670">
        <v>1</v>
      </c>
      <c r="T75" s="638"/>
      <c r="U75" s="664"/>
      <c r="V75" s="634" t="s">
        <v>1060</v>
      </c>
      <c r="W75" s="670" t="s">
        <v>114</v>
      </c>
      <c r="X75" s="670" t="s">
        <v>12</v>
      </c>
      <c r="Y75" s="635">
        <v>32.1</v>
      </c>
      <c r="Z75" s="670" t="s">
        <v>1054</v>
      </c>
      <c r="AA75" s="670" t="s">
        <v>22</v>
      </c>
      <c r="AB75" s="670" t="s">
        <v>11</v>
      </c>
      <c r="AC75" s="670">
        <v>19.600000000000001</v>
      </c>
      <c r="AD75" s="634" t="s">
        <v>1056</v>
      </c>
      <c r="AE75" s="670" t="s">
        <v>20</v>
      </c>
      <c r="AF75" s="670" t="s">
        <v>12</v>
      </c>
      <c r="AG75" s="635">
        <v>8.9</v>
      </c>
      <c r="AL75" s="634"/>
      <c r="AO75" s="635"/>
      <c r="AP75" s="634"/>
      <c r="AS75" s="635"/>
      <c r="AW75" s="635"/>
      <c r="BA75" s="636"/>
    </row>
    <row r="76" spans="1:53" s="670" customFormat="1">
      <c r="A76" s="670">
        <v>2009</v>
      </c>
      <c r="B76" s="664"/>
      <c r="C76" s="992" t="s">
        <v>1061</v>
      </c>
      <c r="D76" s="992"/>
      <c r="E76" s="670">
        <v>365</v>
      </c>
      <c r="G76" s="642">
        <v>3</v>
      </c>
      <c r="I76" s="670">
        <v>7</v>
      </c>
      <c r="J76" s="644">
        <v>12</v>
      </c>
      <c r="K76" s="640">
        <f t="shared" si="16"/>
        <v>25</v>
      </c>
      <c r="L76" s="640">
        <f t="shared" si="17"/>
        <v>0</v>
      </c>
      <c r="M76" s="640">
        <f t="shared" si="18"/>
        <v>58.333333333333336</v>
      </c>
      <c r="N76" s="643">
        <f t="shared" si="9"/>
        <v>83.333333333333343</v>
      </c>
      <c r="O76" s="639">
        <v>19.600000000000001</v>
      </c>
      <c r="P76" s="640"/>
      <c r="Q76" s="640">
        <v>41</v>
      </c>
      <c r="R76" s="641">
        <f t="shared" si="8"/>
        <v>60.6</v>
      </c>
      <c r="S76" s="670">
        <v>1</v>
      </c>
      <c r="T76" s="638"/>
      <c r="U76" s="664"/>
      <c r="V76" s="634" t="s">
        <v>1060</v>
      </c>
      <c r="W76" s="670" t="s">
        <v>114</v>
      </c>
      <c r="X76" s="670" t="s">
        <v>12</v>
      </c>
      <c r="Y76" s="635">
        <v>32.1</v>
      </c>
      <c r="Z76" s="670" t="s">
        <v>1054</v>
      </c>
      <c r="AA76" s="670" t="s">
        <v>22</v>
      </c>
      <c r="AB76" s="670" t="s">
        <v>11</v>
      </c>
      <c r="AC76" s="670">
        <v>19.600000000000001</v>
      </c>
      <c r="AD76" s="634" t="s">
        <v>1056</v>
      </c>
      <c r="AE76" s="670" t="s">
        <v>20</v>
      </c>
      <c r="AF76" s="670" t="s">
        <v>12</v>
      </c>
      <c r="AG76" s="635">
        <v>8.9</v>
      </c>
      <c r="AL76" s="634"/>
      <c r="AO76" s="635"/>
      <c r="AP76" s="634"/>
      <c r="AS76" s="635"/>
      <c r="AW76" s="635"/>
      <c r="BA76" s="636"/>
    </row>
    <row r="77" spans="1:53" s="670" customFormat="1">
      <c r="A77" s="670">
        <v>2010</v>
      </c>
      <c r="B77" s="664"/>
      <c r="C77" s="992" t="s">
        <v>1061</v>
      </c>
      <c r="D77" s="992"/>
      <c r="E77" s="670">
        <v>60</v>
      </c>
      <c r="G77" s="642">
        <v>3</v>
      </c>
      <c r="I77" s="670">
        <v>8</v>
      </c>
      <c r="J77" s="644">
        <v>12</v>
      </c>
      <c r="K77" s="640">
        <f t="shared" si="16"/>
        <v>25</v>
      </c>
      <c r="L77" s="640">
        <f t="shared" si="17"/>
        <v>0</v>
      </c>
      <c r="M77" s="640">
        <f t="shared" si="18"/>
        <v>66.666666666666657</v>
      </c>
      <c r="N77" s="643">
        <f t="shared" si="9"/>
        <v>91.666666666666657</v>
      </c>
      <c r="O77" s="639">
        <v>19.600000000000001</v>
      </c>
      <c r="P77" s="640"/>
      <c r="Q77" s="640">
        <v>41</v>
      </c>
      <c r="R77" s="641">
        <f t="shared" si="8"/>
        <v>60.6</v>
      </c>
      <c r="S77" s="670">
        <v>1</v>
      </c>
      <c r="T77" s="638"/>
      <c r="U77" s="664"/>
      <c r="V77" s="634" t="s">
        <v>1060</v>
      </c>
      <c r="W77" s="670" t="s">
        <v>114</v>
      </c>
      <c r="X77" s="670" t="s">
        <v>12</v>
      </c>
      <c r="Y77" s="635">
        <v>32.1</v>
      </c>
      <c r="Z77" s="670" t="s">
        <v>1054</v>
      </c>
      <c r="AA77" s="670" t="s">
        <v>22</v>
      </c>
      <c r="AB77" s="670" t="s">
        <v>11</v>
      </c>
      <c r="AC77" s="670">
        <v>19.600000000000001</v>
      </c>
      <c r="AD77" s="634" t="s">
        <v>1056</v>
      </c>
      <c r="AE77" s="670" t="s">
        <v>20</v>
      </c>
      <c r="AF77" s="670" t="s">
        <v>12</v>
      </c>
      <c r="AG77" s="635">
        <v>8.9</v>
      </c>
      <c r="AL77" s="634"/>
      <c r="AO77" s="635"/>
      <c r="AP77" s="634"/>
      <c r="AS77" s="635"/>
      <c r="AW77" s="635"/>
      <c r="BA77" s="636"/>
    </row>
    <row r="78" spans="1:53" s="670" customFormat="1">
      <c r="A78" s="670">
        <v>2010</v>
      </c>
      <c r="B78" s="502">
        <v>40239</v>
      </c>
      <c r="C78" s="992" t="s">
        <v>1061</v>
      </c>
      <c r="D78" s="992"/>
      <c r="E78" s="670">
        <f>365-E77</f>
        <v>305</v>
      </c>
      <c r="F78" s="501">
        <v>0</v>
      </c>
      <c r="G78" s="642">
        <v>3</v>
      </c>
      <c r="I78" s="670">
        <v>5</v>
      </c>
      <c r="J78" s="644">
        <v>12</v>
      </c>
      <c r="K78" s="640">
        <f t="shared" si="16"/>
        <v>25</v>
      </c>
      <c r="L78" s="640">
        <f t="shared" si="17"/>
        <v>0</v>
      </c>
      <c r="M78" s="640">
        <f t="shared" si="18"/>
        <v>41.666666666666671</v>
      </c>
      <c r="N78" s="643">
        <f t="shared" si="9"/>
        <v>66.666666666666671</v>
      </c>
      <c r="O78" s="639">
        <v>19.600000000000001</v>
      </c>
      <c r="P78" s="640"/>
      <c r="Q78" s="640">
        <v>32.1</v>
      </c>
      <c r="R78" s="641">
        <f t="shared" si="8"/>
        <v>51.7</v>
      </c>
      <c r="S78" s="670">
        <v>1</v>
      </c>
      <c r="T78" s="638"/>
      <c r="U78" s="664"/>
      <c r="V78" s="634" t="s">
        <v>1060</v>
      </c>
      <c r="W78" s="670" t="s">
        <v>114</v>
      </c>
      <c r="X78" s="670" t="s">
        <v>12</v>
      </c>
      <c r="Y78" s="635">
        <v>32.1</v>
      </c>
      <c r="Z78" s="670" t="s">
        <v>1054</v>
      </c>
      <c r="AA78" s="670" t="s">
        <v>22</v>
      </c>
      <c r="AB78" s="670" t="s">
        <v>11</v>
      </c>
      <c r="AC78" s="670">
        <v>19.600000000000001</v>
      </c>
      <c r="AD78" s="634"/>
      <c r="AG78" s="635"/>
      <c r="AL78" s="634"/>
      <c r="AO78" s="635"/>
      <c r="AP78" s="634"/>
      <c r="AS78" s="635"/>
      <c r="AW78" s="635"/>
      <c r="BA78" s="636"/>
    </row>
    <row r="79" spans="1:53" s="670" customFormat="1">
      <c r="A79" s="670">
        <v>2011</v>
      </c>
      <c r="B79" s="664"/>
      <c r="C79" s="992" t="s">
        <v>1061</v>
      </c>
      <c r="D79" s="992"/>
      <c r="E79" s="670">
        <v>141</v>
      </c>
      <c r="G79" s="642">
        <v>3</v>
      </c>
      <c r="I79" s="670">
        <v>5</v>
      </c>
      <c r="J79" s="644">
        <v>12</v>
      </c>
      <c r="K79" s="640">
        <f t="shared" ref="K79:K85" si="19">G79/J79*100</f>
        <v>25</v>
      </c>
      <c r="L79" s="640">
        <f t="shared" ref="L79:L85" si="20">H79/J79*100</f>
        <v>0</v>
      </c>
      <c r="M79" s="640">
        <f t="shared" ref="M79:M85" si="21">I79/J79*100</f>
        <v>41.666666666666671</v>
      </c>
      <c r="N79" s="643">
        <f t="shared" si="9"/>
        <v>66.666666666666671</v>
      </c>
      <c r="O79" s="639">
        <v>19.600000000000001</v>
      </c>
      <c r="P79" s="640"/>
      <c r="Q79" s="640">
        <v>32.1</v>
      </c>
      <c r="R79" s="641">
        <f t="shared" si="8"/>
        <v>51.7</v>
      </c>
      <c r="S79" s="670">
        <v>1</v>
      </c>
      <c r="T79" s="638"/>
      <c r="U79" s="664"/>
      <c r="V79" s="634" t="s">
        <v>1060</v>
      </c>
      <c r="W79" s="670" t="s">
        <v>114</v>
      </c>
      <c r="X79" s="670" t="s">
        <v>12</v>
      </c>
      <c r="Y79" s="635">
        <v>32.1</v>
      </c>
      <c r="Z79" s="670" t="s">
        <v>1054</v>
      </c>
      <c r="AA79" s="670" t="s">
        <v>22</v>
      </c>
      <c r="AB79" s="670" t="s">
        <v>11</v>
      </c>
      <c r="AC79" s="670">
        <v>19.600000000000001</v>
      </c>
      <c r="AD79" s="634"/>
      <c r="AG79" s="635"/>
      <c r="AL79" s="634"/>
      <c r="AO79" s="635"/>
      <c r="AP79" s="634"/>
      <c r="AS79" s="635"/>
      <c r="AW79" s="635"/>
      <c r="BA79" s="636"/>
    </row>
    <row r="80" spans="1:53" s="670" customFormat="1">
      <c r="A80" s="670">
        <v>2011</v>
      </c>
      <c r="B80" s="502">
        <v>40685</v>
      </c>
      <c r="C80" s="992" t="s">
        <v>1061</v>
      </c>
      <c r="D80" s="992"/>
      <c r="E80" s="670">
        <v>75</v>
      </c>
      <c r="F80" s="501" t="s">
        <v>337</v>
      </c>
      <c r="G80" s="642">
        <v>3</v>
      </c>
      <c r="I80" s="670">
        <v>6</v>
      </c>
      <c r="J80" s="644">
        <v>12</v>
      </c>
      <c r="K80" s="640">
        <f t="shared" si="19"/>
        <v>25</v>
      </c>
      <c r="L80" s="640">
        <f t="shared" si="20"/>
        <v>0</v>
      </c>
      <c r="M80" s="640">
        <f t="shared" si="21"/>
        <v>50</v>
      </c>
      <c r="N80" s="643">
        <f>SUM(K80:M80)</f>
        <v>75</v>
      </c>
      <c r="O80" s="639">
        <v>16.100000000000001</v>
      </c>
      <c r="P80" s="640"/>
      <c r="Q80" s="640">
        <v>33.9</v>
      </c>
      <c r="R80" s="641">
        <f>SUM(O80:Q80)</f>
        <v>50</v>
      </c>
      <c r="S80" s="670">
        <v>1</v>
      </c>
      <c r="T80" s="487">
        <v>40685</v>
      </c>
      <c r="U80" s="664"/>
      <c r="V80" s="634" t="s">
        <v>1060</v>
      </c>
      <c r="W80" s="670" t="s">
        <v>114</v>
      </c>
      <c r="X80" s="670" t="s">
        <v>12</v>
      </c>
      <c r="Y80" s="635">
        <v>33.9</v>
      </c>
      <c r="Z80" s="670" t="s">
        <v>1054</v>
      </c>
      <c r="AA80" s="670" t="s">
        <v>22</v>
      </c>
      <c r="AB80" s="670" t="s">
        <v>11</v>
      </c>
      <c r="AC80" s="670">
        <v>16.100000000000001</v>
      </c>
      <c r="AD80" s="634"/>
      <c r="AG80" s="635"/>
      <c r="AL80" s="634"/>
      <c r="AO80" s="635"/>
      <c r="AP80" s="634"/>
      <c r="AS80" s="635"/>
      <c r="AW80" s="635"/>
      <c r="BA80" s="636"/>
    </row>
    <row r="81" spans="1:53" s="670" customFormat="1">
      <c r="A81" s="670">
        <v>2011</v>
      </c>
      <c r="B81" s="502">
        <v>40760</v>
      </c>
      <c r="C81" s="992" t="s">
        <v>1061</v>
      </c>
      <c r="D81" s="992"/>
      <c r="E81" s="670">
        <v>149</v>
      </c>
      <c r="F81" s="501">
        <v>0</v>
      </c>
      <c r="G81" s="642"/>
      <c r="I81" s="670">
        <v>5</v>
      </c>
      <c r="J81" s="644">
        <v>12</v>
      </c>
      <c r="K81" s="640">
        <f t="shared" si="19"/>
        <v>0</v>
      </c>
      <c r="L81" s="640">
        <f t="shared" si="20"/>
        <v>0</v>
      </c>
      <c r="M81" s="640">
        <f t="shared" si="21"/>
        <v>41.666666666666671</v>
      </c>
      <c r="N81" s="643">
        <f t="shared" si="9"/>
        <v>41.666666666666671</v>
      </c>
      <c r="O81" s="639"/>
      <c r="P81" s="640"/>
      <c r="Q81" s="640">
        <v>33.9</v>
      </c>
      <c r="R81" s="641">
        <f t="shared" si="8"/>
        <v>33.9</v>
      </c>
      <c r="S81" s="670">
        <v>1</v>
      </c>
      <c r="T81" s="638"/>
      <c r="U81" s="664"/>
      <c r="V81" s="634" t="s">
        <v>1060</v>
      </c>
      <c r="W81" s="670" t="s">
        <v>114</v>
      </c>
      <c r="X81" s="670" t="s">
        <v>12</v>
      </c>
      <c r="Y81" s="635">
        <v>33.9</v>
      </c>
      <c r="AD81" s="634"/>
      <c r="AG81" s="635"/>
      <c r="AL81" s="634"/>
      <c r="AO81" s="635"/>
      <c r="AP81" s="634"/>
      <c r="AS81" s="635"/>
      <c r="AW81" s="635"/>
      <c r="BA81" s="636"/>
    </row>
    <row r="82" spans="1:53" s="670" customFormat="1">
      <c r="A82" s="670">
        <v>2012</v>
      </c>
      <c r="B82" s="502"/>
      <c r="C82" s="992" t="s">
        <v>1061</v>
      </c>
      <c r="D82" s="992"/>
      <c r="E82" s="670">
        <v>82</v>
      </c>
      <c r="F82" s="501"/>
      <c r="G82" s="642"/>
      <c r="I82" s="670">
        <v>5</v>
      </c>
      <c r="J82" s="644">
        <v>12</v>
      </c>
      <c r="K82" s="640">
        <f t="shared" si="19"/>
        <v>0</v>
      </c>
      <c r="L82" s="640">
        <f t="shared" si="20"/>
        <v>0</v>
      </c>
      <c r="M82" s="640">
        <f t="shared" si="21"/>
        <v>41.666666666666671</v>
      </c>
      <c r="N82" s="643">
        <f t="shared" si="9"/>
        <v>41.666666666666671</v>
      </c>
      <c r="O82" s="639"/>
      <c r="P82" s="640"/>
      <c r="Q82" s="640">
        <v>33.9</v>
      </c>
      <c r="R82" s="641">
        <f t="shared" si="8"/>
        <v>33.9</v>
      </c>
      <c r="S82" s="670">
        <v>1</v>
      </c>
      <c r="T82" s="487"/>
      <c r="U82" s="664"/>
      <c r="V82" s="634" t="s">
        <v>1060</v>
      </c>
      <c r="W82" s="670" t="s">
        <v>114</v>
      </c>
      <c r="X82" s="670" t="s">
        <v>12</v>
      </c>
      <c r="Y82" s="635">
        <v>33.9</v>
      </c>
      <c r="AD82" s="634"/>
      <c r="AG82" s="635"/>
      <c r="AL82" s="634"/>
      <c r="AO82" s="635"/>
      <c r="AP82" s="634"/>
      <c r="AS82" s="635"/>
      <c r="AW82" s="635"/>
      <c r="BA82" s="636"/>
    </row>
    <row r="83" spans="1:53" s="670" customFormat="1">
      <c r="A83" s="670">
        <v>2012</v>
      </c>
      <c r="B83" s="502">
        <v>40991</v>
      </c>
      <c r="C83" s="992" t="s">
        <v>1061</v>
      </c>
      <c r="D83" s="992"/>
      <c r="E83" s="670">
        <v>206</v>
      </c>
      <c r="F83" s="501">
        <v>0</v>
      </c>
      <c r="G83" s="642"/>
      <c r="I83" s="670">
        <v>4</v>
      </c>
      <c r="J83" s="644">
        <v>12</v>
      </c>
      <c r="K83" s="640">
        <f t="shared" si="19"/>
        <v>0</v>
      </c>
      <c r="L83" s="640">
        <f t="shared" si="20"/>
        <v>0</v>
      </c>
      <c r="M83" s="640">
        <f t="shared" si="21"/>
        <v>33.333333333333329</v>
      </c>
      <c r="N83" s="643">
        <f t="shared" si="9"/>
        <v>33.333333333333329</v>
      </c>
      <c r="O83" s="639"/>
      <c r="P83" s="640"/>
      <c r="Q83" s="640">
        <v>33.9</v>
      </c>
      <c r="R83" s="641">
        <f t="shared" si="8"/>
        <v>33.9</v>
      </c>
      <c r="S83" s="670">
        <v>1</v>
      </c>
      <c r="T83" s="487"/>
      <c r="U83" s="664"/>
      <c r="V83" s="634" t="s">
        <v>1060</v>
      </c>
      <c r="W83" s="670" t="s">
        <v>114</v>
      </c>
      <c r="X83" s="670" t="s">
        <v>12</v>
      </c>
      <c r="Y83" s="635">
        <v>33.9</v>
      </c>
      <c r="AD83" s="634"/>
      <c r="AG83" s="635"/>
      <c r="AL83" s="634"/>
      <c r="AO83" s="635"/>
      <c r="AP83" s="634"/>
      <c r="AS83" s="635"/>
      <c r="AW83" s="635"/>
      <c r="BA83" s="636"/>
    </row>
    <row r="84" spans="1:53" s="670" customFormat="1">
      <c r="A84" s="670">
        <v>2012</v>
      </c>
      <c r="B84" s="502">
        <v>41197</v>
      </c>
      <c r="C84" s="992" t="s">
        <v>1061</v>
      </c>
      <c r="D84" s="992"/>
      <c r="E84" s="670">
        <v>78</v>
      </c>
      <c r="F84" s="501">
        <v>0</v>
      </c>
      <c r="G84" s="642"/>
      <c r="I84" s="670">
        <v>3</v>
      </c>
      <c r="J84" s="644">
        <v>12</v>
      </c>
      <c r="K84" s="640">
        <f t="shared" si="19"/>
        <v>0</v>
      </c>
      <c r="L84" s="640">
        <f t="shared" si="20"/>
        <v>0</v>
      </c>
      <c r="M84" s="640">
        <f t="shared" si="21"/>
        <v>25</v>
      </c>
      <c r="N84" s="643">
        <f t="shared" si="9"/>
        <v>25</v>
      </c>
      <c r="O84" s="639"/>
      <c r="P84" s="640"/>
      <c r="Q84" s="640">
        <v>33.9</v>
      </c>
      <c r="R84" s="641">
        <f t="shared" si="8"/>
        <v>33.9</v>
      </c>
      <c r="S84" s="670">
        <v>1</v>
      </c>
      <c r="T84" s="487"/>
      <c r="U84" s="664"/>
      <c r="V84" s="634" t="s">
        <v>1060</v>
      </c>
      <c r="W84" s="670" t="s">
        <v>114</v>
      </c>
      <c r="X84" s="670" t="s">
        <v>12</v>
      </c>
      <c r="Y84" s="635">
        <v>33.9</v>
      </c>
      <c r="AD84" s="634"/>
      <c r="AG84" s="635"/>
      <c r="AL84" s="634"/>
      <c r="AO84" s="635"/>
      <c r="AP84" s="634"/>
      <c r="AS84" s="635"/>
      <c r="AW84" s="635"/>
      <c r="BA84" s="636"/>
    </row>
    <row r="85" spans="1:53" s="670" customFormat="1">
      <c r="A85" s="670">
        <v>2013</v>
      </c>
      <c r="B85" s="502"/>
      <c r="C85" s="992" t="s">
        <v>1061</v>
      </c>
      <c r="D85" s="992"/>
      <c r="E85" s="670">
        <v>58</v>
      </c>
      <c r="F85" s="501"/>
      <c r="G85" s="642"/>
      <c r="I85" s="670">
        <v>3</v>
      </c>
      <c r="J85" s="644">
        <v>12</v>
      </c>
      <c r="K85" s="640">
        <f t="shared" si="19"/>
        <v>0</v>
      </c>
      <c r="L85" s="640">
        <f t="shared" si="20"/>
        <v>0</v>
      </c>
      <c r="M85" s="640">
        <f t="shared" si="21"/>
        <v>25</v>
      </c>
      <c r="N85" s="643">
        <f t="shared" si="9"/>
        <v>25</v>
      </c>
      <c r="O85" s="639"/>
      <c r="P85" s="640"/>
      <c r="Q85" s="640">
        <v>33.9</v>
      </c>
      <c r="R85" s="641">
        <f t="shared" si="8"/>
        <v>33.9</v>
      </c>
      <c r="S85" s="670">
        <v>1</v>
      </c>
      <c r="T85" s="487"/>
      <c r="U85" s="664"/>
      <c r="V85" s="634" t="s">
        <v>1060</v>
      </c>
      <c r="W85" s="670" t="s">
        <v>114</v>
      </c>
      <c r="X85" s="670" t="s">
        <v>12</v>
      </c>
      <c r="Y85" s="635">
        <v>33.9</v>
      </c>
      <c r="AD85" s="634"/>
      <c r="AG85" s="635"/>
      <c r="AL85" s="634"/>
      <c r="AO85" s="635"/>
      <c r="AP85" s="634"/>
      <c r="AS85" s="635"/>
      <c r="AW85" s="635"/>
      <c r="BA85" s="636"/>
    </row>
    <row r="86" spans="1:53" s="669" customFormat="1" ht="11" customHeight="1">
      <c r="A86" s="669">
        <v>2013</v>
      </c>
      <c r="B86" s="663">
        <v>41333</v>
      </c>
      <c r="C86" s="988" t="s">
        <v>1265</v>
      </c>
      <c r="D86" s="988"/>
      <c r="E86" s="669">
        <v>34</v>
      </c>
      <c r="F86" s="669">
        <v>1</v>
      </c>
      <c r="G86" s="596">
        <v>11</v>
      </c>
      <c r="J86" s="598">
        <v>12</v>
      </c>
      <c r="K86" s="593">
        <f>G86/J86*100</f>
        <v>91.666666666666657</v>
      </c>
      <c r="L86" s="593">
        <f>H86/J86*100</f>
        <v>0</v>
      </c>
      <c r="M86" s="593">
        <f>I86/J86*100</f>
        <v>0</v>
      </c>
      <c r="N86" s="597">
        <f t="shared" si="9"/>
        <v>91.666666666666657</v>
      </c>
      <c r="O86" s="592">
        <v>53.6</v>
      </c>
      <c r="P86" s="593"/>
      <c r="Q86" s="593"/>
      <c r="R86" s="594">
        <f t="shared" si="8"/>
        <v>53.6</v>
      </c>
      <c r="S86" s="669">
        <v>1</v>
      </c>
      <c r="T86" s="595"/>
      <c r="U86" s="663">
        <v>41333</v>
      </c>
      <c r="V86" s="588" t="s">
        <v>1053</v>
      </c>
      <c r="W86" s="669" t="s">
        <v>74</v>
      </c>
      <c r="X86" s="669" t="s">
        <v>11</v>
      </c>
      <c r="Y86" s="589">
        <v>35.700000000000003</v>
      </c>
      <c r="Z86" s="669" t="s">
        <v>1054</v>
      </c>
      <c r="AA86" s="669" t="s">
        <v>22</v>
      </c>
      <c r="AB86" s="669" t="s">
        <v>11</v>
      </c>
      <c r="AC86" s="669">
        <v>14.3</v>
      </c>
      <c r="AD86" s="588" t="s">
        <v>1266</v>
      </c>
      <c r="AE86" s="669" t="s">
        <v>107</v>
      </c>
      <c r="AF86" s="669" t="s">
        <v>11</v>
      </c>
      <c r="AG86" s="589">
        <v>3.6</v>
      </c>
      <c r="AL86" s="588"/>
      <c r="AO86" s="589"/>
      <c r="AP86" s="588"/>
      <c r="AS86" s="589"/>
      <c r="AW86" s="589"/>
      <c r="BA86" s="590"/>
    </row>
    <row r="87" spans="1:53" s="669" customFormat="1" ht="11" customHeight="1">
      <c r="A87" s="669">
        <v>2013</v>
      </c>
      <c r="B87" s="599">
        <v>41367</v>
      </c>
      <c r="C87" s="988" t="s">
        <v>1265</v>
      </c>
      <c r="D87" s="988"/>
      <c r="E87" s="669">
        <f>365-E86-E85</f>
        <v>273</v>
      </c>
      <c r="F87" s="600">
        <v>0</v>
      </c>
      <c r="G87" s="596">
        <v>12</v>
      </c>
      <c r="J87" s="598">
        <v>12</v>
      </c>
      <c r="K87" s="593">
        <f>G87/J87*100</f>
        <v>100</v>
      </c>
      <c r="L87" s="593">
        <f>H87/J87*100</f>
        <v>0</v>
      </c>
      <c r="M87" s="593">
        <f>I87/J87*100</f>
        <v>0</v>
      </c>
      <c r="N87" s="597">
        <f t="shared" si="9"/>
        <v>100</v>
      </c>
      <c r="O87" s="592">
        <v>53.6</v>
      </c>
      <c r="P87" s="593"/>
      <c r="Q87" s="593"/>
      <c r="R87" s="594">
        <f>SUM(O87:Q87)</f>
        <v>53.6</v>
      </c>
      <c r="S87" s="669">
        <v>1</v>
      </c>
      <c r="T87" s="595"/>
      <c r="U87" s="663"/>
      <c r="V87" s="588" t="s">
        <v>1053</v>
      </c>
      <c r="W87" s="669" t="s">
        <v>74</v>
      </c>
      <c r="X87" s="669" t="s">
        <v>11</v>
      </c>
      <c r="Y87" s="589">
        <v>35.700000000000003</v>
      </c>
      <c r="Z87" s="669" t="s">
        <v>1054</v>
      </c>
      <c r="AA87" s="669" t="s">
        <v>22</v>
      </c>
      <c r="AB87" s="669" t="s">
        <v>11</v>
      </c>
      <c r="AC87" s="669">
        <v>14.3</v>
      </c>
      <c r="AD87" s="588" t="s">
        <v>1266</v>
      </c>
      <c r="AE87" s="669" t="s">
        <v>107</v>
      </c>
      <c r="AF87" s="669" t="s">
        <v>11</v>
      </c>
      <c r="AG87" s="589">
        <v>3.6</v>
      </c>
      <c r="AL87" s="588"/>
      <c r="AO87" s="589"/>
      <c r="AP87" s="588"/>
      <c r="AS87" s="589"/>
      <c r="AW87" s="589"/>
      <c r="BA87" s="590"/>
    </row>
    <row r="88" spans="1:53" s="669" customFormat="1" ht="11" customHeight="1">
      <c r="A88" s="669">
        <v>2014</v>
      </c>
      <c r="B88" s="599"/>
      <c r="C88" s="988" t="s">
        <v>1265</v>
      </c>
      <c r="D88" s="988"/>
      <c r="E88" s="669">
        <v>61</v>
      </c>
      <c r="F88" s="600"/>
      <c r="G88" s="596">
        <v>12</v>
      </c>
      <c r="J88" s="598">
        <v>12</v>
      </c>
      <c r="K88" s="593">
        <f>G88/J88*100</f>
        <v>100</v>
      </c>
      <c r="L88" s="593">
        <f>H88/J88*100</f>
        <v>0</v>
      </c>
      <c r="M88" s="593">
        <f>I88/J88*100</f>
        <v>0</v>
      </c>
      <c r="N88" s="597">
        <f>SUM(K88:M88)</f>
        <v>100</v>
      </c>
      <c r="O88" s="592">
        <v>53.6</v>
      </c>
      <c r="P88" s="593"/>
      <c r="Q88" s="593"/>
      <c r="R88" s="594">
        <f>SUM(O88:Q88)</f>
        <v>53.6</v>
      </c>
      <c r="S88" s="669">
        <v>1</v>
      </c>
      <c r="T88" s="595"/>
      <c r="U88" s="663"/>
      <c r="V88" s="588" t="s">
        <v>1053</v>
      </c>
      <c r="W88" s="669" t="s">
        <v>74</v>
      </c>
      <c r="X88" s="669" t="s">
        <v>11</v>
      </c>
      <c r="Y88" s="589">
        <v>35.700000000000003</v>
      </c>
      <c r="Z88" s="669" t="s">
        <v>1054</v>
      </c>
      <c r="AA88" s="669" t="s">
        <v>22</v>
      </c>
      <c r="AB88" s="669" t="s">
        <v>11</v>
      </c>
      <c r="AC88" s="669">
        <v>14.3</v>
      </c>
      <c r="AD88" s="588" t="s">
        <v>1266</v>
      </c>
      <c r="AE88" s="669" t="s">
        <v>107</v>
      </c>
      <c r="AF88" s="669" t="s">
        <v>11</v>
      </c>
      <c r="AG88" s="589">
        <v>3.6</v>
      </c>
      <c r="AL88" s="588"/>
      <c r="AO88" s="589"/>
      <c r="AP88" s="588"/>
      <c r="AS88" s="589"/>
      <c r="AW88" s="589"/>
      <c r="BA88" s="590"/>
    </row>
    <row r="89" spans="1:53" s="669" customFormat="1" ht="11" customHeight="1">
      <c r="A89" s="669">
        <v>2014</v>
      </c>
      <c r="B89" s="599">
        <v>41701</v>
      </c>
      <c r="C89" s="988" t="s">
        <v>1265</v>
      </c>
      <c r="D89" s="988"/>
      <c r="E89" s="669">
        <v>11</v>
      </c>
      <c r="F89" s="600">
        <v>0</v>
      </c>
      <c r="G89" s="596">
        <v>11</v>
      </c>
      <c r="J89" s="598">
        <v>12</v>
      </c>
      <c r="K89" s="593">
        <f>G89/J89*100</f>
        <v>91.666666666666657</v>
      </c>
      <c r="L89" s="593">
        <f>H89/J89*100</f>
        <v>0</v>
      </c>
      <c r="M89" s="593">
        <f>I89/J89*100</f>
        <v>0</v>
      </c>
      <c r="N89" s="597">
        <f>SUM(K89:M89)</f>
        <v>91.666666666666657</v>
      </c>
      <c r="O89" s="592">
        <v>53.6</v>
      </c>
      <c r="P89" s="593"/>
      <c r="Q89" s="593"/>
      <c r="R89" s="594">
        <f>SUM(O89:Q89)</f>
        <v>53.6</v>
      </c>
      <c r="S89" s="669">
        <v>1</v>
      </c>
      <c r="T89" s="595"/>
      <c r="U89" s="663"/>
      <c r="V89" s="588" t="s">
        <v>1053</v>
      </c>
      <c r="W89" s="669" t="s">
        <v>74</v>
      </c>
      <c r="X89" s="669" t="s">
        <v>11</v>
      </c>
      <c r="Y89" s="589">
        <v>35.700000000000003</v>
      </c>
      <c r="Z89" s="669" t="s">
        <v>1054</v>
      </c>
      <c r="AA89" s="669" t="s">
        <v>22</v>
      </c>
      <c r="AB89" s="669" t="s">
        <v>11</v>
      </c>
      <c r="AC89" s="669">
        <v>14.3</v>
      </c>
      <c r="AD89" s="588" t="s">
        <v>1266</v>
      </c>
      <c r="AE89" s="669" t="s">
        <v>107</v>
      </c>
      <c r="AF89" s="669" t="s">
        <v>11</v>
      </c>
      <c r="AG89" s="589">
        <v>3.6</v>
      </c>
      <c r="AL89" s="588"/>
      <c r="AO89" s="589"/>
      <c r="AP89" s="588"/>
      <c r="AS89" s="589"/>
      <c r="AW89" s="589"/>
      <c r="BA89" s="590"/>
    </row>
    <row r="90" spans="1:53" s="669" customFormat="1" ht="11" customHeight="1">
      <c r="A90" s="669">
        <v>2014</v>
      </c>
      <c r="B90" s="599">
        <v>41712</v>
      </c>
      <c r="C90" s="988" t="s">
        <v>1265</v>
      </c>
      <c r="D90" s="988"/>
      <c r="E90" s="669">
        <v>293</v>
      </c>
      <c r="F90" s="600">
        <v>0</v>
      </c>
      <c r="G90" s="596">
        <v>8</v>
      </c>
      <c r="J90" s="598">
        <v>12</v>
      </c>
      <c r="K90" s="593">
        <f>G90/J90*100</f>
        <v>66.666666666666657</v>
      </c>
      <c r="L90" s="593">
        <f>H90/J90*100</f>
        <v>0</v>
      </c>
      <c r="M90" s="593">
        <f>I90/J90*100</f>
        <v>0</v>
      </c>
      <c r="N90" s="597">
        <f>SUM(K90:M90)</f>
        <v>66.666666666666657</v>
      </c>
      <c r="O90" s="592">
        <v>37.5</v>
      </c>
      <c r="P90" s="593"/>
      <c r="Q90" s="593"/>
      <c r="R90" s="594">
        <f>SUM(O90:Q90)</f>
        <v>37.5</v>
      </c>
      <c r="S90" s="669">
        <v>1</v>
      </c>
      <c r="T90" s="595"/>
      <c r="U90" s="663">
        <v>41712</v>
      </c>
      <c r="V90" s="588" t="s">
        <v>1053</v>
      </c>
      <c r="W90" s="669" t="s">
        <v>74</v>
      </c>
      <c r="X90" s="669" t="s">
        <v>11</v>
      </c>
      <c r="Y90" s="589">
        <v>35.700000000000003</v>
      </c>
      <c r="Z90" s="669" t="s">
        <v>1266</v>
      </c>
      <c r="AA90" s="669" t="s">
        <v>107</v>
      </c>
      <c r="AB90" s="669" t="s">
        <v>11</v>
      </c>
      <c r="AC90" s="669">
        <v>1.8</v>
      </c>
      <c r="AD90" s="588"/>
      <c r="AG90" s="589"/>
      <c r="AL90" s="588"/>
      <c r="AO90" s="589"/>
      <c r="AP90" s="588"/>
      <c r="AS90" s="589"/>
      <c r="AW90" s="589"/>
      <c r="BA90" s="590"/>
    </row>
    <row r="91" spans="1:53" s="702" customFormat="1" ht="11" customHeight="1">
      <c r="A91" s="702">
        <v>2015</v>
      </c>
      <c r="B91" s="599"/>
      <c r="C91" s="988" t="s">
        <v>1265</v>
      </c>
      <c r="D91" s="988"/>
      <c r="E91" s="702">
        <v>0</v>
      </c>
      <c r="F91" s="600"/>
      <c r="G91" s="596">
        <v>9</v>
      </c>
      <c r="J91" s="598">
        <v>12</v>
      </c>
      <c r="K91" s="593">
        <f t="shared" ref="K91" si="22">G91/J91*100</f>
        <v>75</v>
      </c>
      <c r="L91" s="593">
        <f t="shared" ref="L91:L95" si="23">H91/J91*100</f>
        <v>0</v>
      </c>
      <c r="M91" s="593">
        <f t="shared" ref="M91:M95" si="24">I91/J91*100</f>
        <v>0</v>
      </c>
      <c r="N91" s="597">
        <f t="shared" ref="N91:N95" si="25">SUM(K91:M91)</f>
        <v>75</v>
      </c>
      <c r="O91" s="592">
        <v>37.5</v>
      </c>
      <c r="P91" s="593"/>
      <c r="Q91" s="593"/>
      <c r="R91" s="594">
        <f t="shared" ref="R91:R95" si="26">SUM(O91:Q91)</f>
        <v>37.5</v>
      </c>
      <c r="S91" s="702">
        <v>1</v>
      </c>
      <c r="T91" s="595"/>
      <c r="U91" s="698"/>
      <c r="V91" s="588" t="s">
        <v>1053</v>
      </c>
      <c r="W91" s="702" t="s">
        <v>74</v>
      </c>
      <c r="X91" s="702" t="s">
        <v>11</v>
      </c>
      <c r="Y91" s="589">
        <v>35.700000000000003</v>
      </c>
      <c r="Z91" s="702" t="s">
        <v>1266</v>
      </c>
      <c r="AA91" s="702" t="s">
        <v>107</v>
      </c>
      <c r="AB91" s="702" t="s">
        <v>11</v>
      </c>
      <c r="AC91" s="702">
        <v>1.8</v>
      </c>
      <c r="AD91" s="588"/>
      <c r="AG91" s="589"/>
      <c r="AL91" s="588"/>
      <c r="AO91" s="589"/>
      <c r="AP91" s="588"/>
      <c r="AS91" s="589"/>
      <c r="AW91" s="589"/>
      <c r="BA91" s="590"/>
    </row>
    <row r="92" spans="1:53" s="702" customFormat="1" ht="11" customHeight="1">
      <c r="A92" s="702">
        <v>2015</v>
      </c>
      <c r="B92" s="599"/>
      <c r="C92" s="988" t="s">
        <v>1265</v>
      </c>
      <c r="D92" s="988"/>
      <c r="E92" s="702">
        <v>365</v>
      </c>
      <c r="F92" s="600"/>
      <c r="G92" s="596">
        <v>9</v>
      </c>
      <c r="J92" s="598">
        <v>12</v>
      </c>
      <c r="K92" s="593">
        <f>G92/J92*100</f>
        <v>75</v>
      </c>
      <c r="L92" s="593">
        <f t="shared" si="23"/>
        <v>0</v>
      </c>
      <c r="M92" s="593">
        <f t="shared" si="24"/>
        <v>0</v>
      </c>
      <c r="N92" s="597">
        <f t="shared" si="25"/>
        <v>75</v>
      </c>
      <c r="O92" s="592">
        <v>37.5</v>
      </c>
      <c r="P92" s="593"/>
      <c r="Q92" s="593"/>
      <c r="R92" s="594">
        <f t="shared" si="26"/>
        <v>37.5</v>
      </c>
      <c r="S92" s="702">
        <v>1</v>
      </c>
      <c r="T92" s="595"/>
      <c r="U92" s="698"/>
      <c r="V92" s="588" t="s">
        <v>1053</v>
      </c>
      <c r="W92" s="702" t="s">
        <v>74</v>
      </c>
      <c r="X92" s="702" t="s">
        <v>11</v>
      </c>
      <c r="Y92" s="589">
        <v>35.700000000000003</v>
      </c>
      <c r="Z92" s="702" t="s">
        <v>1266</v>
      </c>
      <c r="AA92" s="702" t="s">
        <v>107</v>
      </c>
      <c r="AB92" s="702" t="s">
        <v>11</v>
      </c>
      <c r="AC92" s="702">
        <v>1.8</v>
      </c>
      <c r="AD92" s="588"/>
      <c r="AG92" s="589"/>
      <c r="AL92" s="588"/>
      <c r="AO92" s="589"/>
      <c r="AP92" s="588"/>
      <c r="AS92" s="589"/>
      <c r="AW92" s="589"/>
      <c r="BA92" s="590"/>
    </row>
    <row r="93" spans="1:53" s="794" customFormat="1" ht="11" customHeight="1">
      <c r="A93" s="794">
        <v>2016</v>
      </c>
      <c r="B93" s="599"/>
      <c r="C93" s="988" t="s">
        <v>1265</v>
      </c>
      <c r="D93" s="988"/>
      <c r="E93" s="794">
        <v>60</v>
      </c>
      <c r="F93" s="600"/>
      <c r="G93" s="596">
        <v>9</v>
      </c>
      <c r="J93" s="598">
        <v>12</v>
      </c>
      <c r="K93" s="593">
        <f>G93/J93*100</f>
        <v>75</v>
      </c>
      <c r="L93" s="593">
        <f t="shared" si="23"/>
        <v>0</v>
      </c>
      <c r="M93" s="593">
        <f t="shared" si="24"/>
        <v>0</v>
      </c>
      <c r="N93" s="597">
        <f t="shared" si="25"/>
        <v>75</v>
      </c>
      <c r="O93" s="592">
        <v>37.5</v>
      </c>
      <c r="P93" s="593"/>
      <c r="Q93" s="593"/>
      <c r="R93" s="594">
        <f t="shared" si="26"/>
        <v>37.5</v>
      </c>
      <c r="S93" s="794">
        <v>1</v>
      </c>
      <c r="T93" s="595"/>
      <c r="U93" s="792"/>
      <c r="V93" s="588" t="s">
        <v>1053</v>
      </c>
      <c r="W93" s="794" t="s">
        <v>74</v>
      </c>
      <c r="X93" s="794" t="s">
        <v>11</v>
      </c>
      <c r="Y93" s="589">
        <v>35.700000000000003</v>
      </c>
      <c r="Z93" s="794" t="s">
        <v>1266</v>
      </c>
      <c r="AA93" s="794" t="s">
        <v>107</v>
      </c>
      <c r="AB93" s="794" t="s">
        <v>11</v>
      </c>
      <c r="AC93" s="794">
        <v>1.8</v>
      </c>
      <c r="AD93" s="588"/>
      <c r="AG93" s="589"/>
      <c r="AL93" s="588"/>
      <c r="AO93" s="589"/>
      <c r="AP93" s="588"/>
      <c r="AS93" s="589"/>
      <c r="AW93" s="589"/>
      <c r="BA93" s="590"/>
    </row>
    <row r="94" spans="1:53" s="896" customFormat="1" ht="11" customHeight="1">
      <c r="A94" s="896">
        <v>2016</v>
      </c>
      <c r="B94" s="599">
        <v>42430</v>
      </c>
      <c r="C94" s="988" t="s">
        <v>1265</v>
      </c>
      <c r="D94" s="988"/>
      <c r="E94" s="896">
        <v>306</v>
      </c>
      <c r="F94" s="600">
        <v>0</v>
      </c>
      <c r="G94" s="596">
        <v>8</v>
      </c>
      <c r="J94" s="598">
        <v>12</v>
      </c>
      <c r="K94" s="593">
        <f>G94/J94*100</f>
        <v>66.666666666666657</v>
      </c>
      <c r="L94" s="593">
        <f t="shared" si="23"/>
        <v>0</v>
      </c>
      <c r="M94" s="593">
        <f t="shared" si="24"/>
        <v>0</v>
      </c>
      <c r="N94" s="597">
        <f t="shared" si="25"/>
        <v>66.666666666666657</v>
      </c>
      <c r="O94" s="592">
        <v>37.5</v>
      </c>
      <c r="P94" s="593"/>
      <c r="Q94" s="593"/>
      <c r="R94" s="594">
        <f t="shared" ref="R94" si="27">SUM(O94:Q94)</f>
        <v>37.5</v>
      </c>
      <c r="S94" s="896">
        <v>1</v>
      </c>
      <c r="T94" s="595"/>
      <c r="U94" s="894"/>
      <c r="V94" s="588" t="s">
        <v>1053</v>
      </c>
      <c r="W94" s="896" t="s">
        <v>74</v>
      </c>
      <c r="X94" s="896" t="s">
        <v>11</v>
      </c>
      <c r="Y94" s="589">
        <v>35.700000000000003</v>
      </c>
      <c r="Z94" s="896" t="s">
        <v>1266</v>
      </c>
      <c r="AA94" s="896" t="s">
        <v>107</v>
      </c>
      <c r="AB94" s="896" t="s">
        <v>11</v>
      </c>
      <c r="AC94" s="896">
        <v>1.8</v>
      </c>
      <c r="AD94" s="588"/>
      <c r="AG94" s="589"/>
      <c r="AL94" s="588"/>
      <c r="AO94" s="589"/>
      <c r="AP94" s="588"/>
      <c r="AS94" s="589"/>
      <c r="AW94" s="589"/>
      <c r="BA94" s="590"/>
    </row>
    <row r="95" spans="1:53" s="896" customFormat="1" ht="11" customHeight="1">
      <c r="A95" s="896">
        <v>2017</v>
      </c>
      <c r="B95" s="599"/>
      <c r="C95" s="988" t="s">
        <v>1265</v>
      </c>
      <c r="D95" s="988"/>
      <c r="E95" s="896">
        <v>0</v>
      </c>
      <c r="F95" s="600"/>
      <c r="G95" s="596">
        <v>8</v>
      </c>
      <c r="J95" s="598">
        <v>12</v>
      </c>
      <c r="K95" s="593">
        <f>G95/J95*100</f>
        <v>66.666666666666657</v>
      </c>
      <c r="L95" s="593">
        <f t="shared" si="23"/>
        <v>0</v>
      </c>
      <c r="M95" s="593">
        <f t="shared" si="24"/>
        <v>0</v>
      </c>
      <c r="N95" s="597">
        <f t="shared" si="25"/>
        <v>66.666666666666657</v>
      </c>
      <c r="O95" s="592">
        <v>37.5</v>
      </c>
      <c r="P95" s="593"/>
      <c r="Q95" s="593"/>
      <c r="R95" s="594">
        <f t="shared" si="26"/>
        <v>37.5</v>
      </c>
      <c r="S95" s="896">
        <v>1</v>
      </c>
      <c r="T95" s="595"/>
      <c r="U95" s="894"/>
      <c r="V95" s="588" t="s">
        <v>1053</v>
      </c>
      <c r="W95" s="896" t="s">
        <v>74</v>
      </c>
      <c r="X95" s="896" t="s">
        <v>11</v>
      </c>
      <c r="Y95" s="589">
        <v>35.700000000000003</v>
      </c>
      <c r="Z95" s="896" t="s">
        <v>1266</v>
      </c>
      <c r="AA95" s="896" t="s">
        <v>107</v>
      </c>
      <c r="AB95" s="896" t="s">
        <v>11</v>
      </c>
      <c r="AC95" s="896">
        <v>1.8</v>
      </c>
      <c r="AD95" s="588"/>
      <c r="AG95" s="589"/>
      <c r="AL95" s="588"/>
      <c r="AO95" s="589"/>
      <c r="AP95" s="588"/>
      <c r="AS95" s="589"/>
      <c r="AW95" s="589"/>
      <c r="BA95" s="590"/>
    </row>
    <row r="96" spans="1:53" s="896" customFormat="1" ht="11" customHeight="1">
      <c r="A96" s="896">
        <v>2017</v>
      </c>
      <c r="B96" s="599"/>
      <c r="C96" s="988" t="s">
        <v>1265</v>
      </c>
      <c r="D96" s="988"/>
      <c r="E96" s="896">
        <v>365</v>
      </c>
      <c r="F96" s="600"/>
      <c r="G96" s="596">
        <v>8</v>
      </c>
      <c r="J96" s="598">
        <v>12</v>
      </c>
      <c r="K96" s="593">
        <f>G96/J96*100</f>
        <v>66.666666666666657</v>
      </c>
      <c r="L96" s="593">
        <f>H96/J96*100</f>
        <v>0</v>
      </c>
      <c r="M96" s="593">
        <f>I96/J96*100</f>
        <v>0</v>
      </c>
      <c r="N96" s="597">
        <f>SUM(K96:M96)</f>
        <v>66.666666666666657</v>
      </c>
      <c r="O96" s="592">
        <v>37.5</v>
      </c>
      <c r="P96" s="593"/>
      <c r="Q96" s="593"/>
      <c r="R96" s="594">
        <f>SUM(O96:Q96)</f>
        <v>37.5</v>
      </c>
      <c r="S96" s="896">
        <v>1</v>
      </c>
      <c r="T96" s="595"/>
      <c r="U96" s="894"/>
      <c r="V96" s="588" t="s">
        <v>1053</v>
      </c>
      <c r="W96" s="896" t="s">
        <v>74</v>
      </c>
      <c r="X96" s="896" t="s">
        <v>11</v>
      </c>
      <c r="Y96" s="589">
        <v>35.700000000000003</v>
      </c>
      <c r="Z96" s="896" t="s">
        <v>1266</v>
      </c>
      <c r="AA96" s="896" t="s">
        <v>107</v>
      </c>
      <c r="AB96" s="896" t="s">
        <v>11</v>
      </c>
      <c r="AC96" s="896">
        <v>1.8</v>
      </c>
      <c r="AD96" s="588"/>
      <c r="AG96" s="589"/>
      <c r="AL96" s="588"/>
      <c r="AO96" s="589"/>
      <c r="AP96" s="588"/>
      <c r="AS96" s="589"/>
      <c r="AW96" s="589"/>
      <c r="BA96" s="590"/>
    </row>
    <row r="97" spans="1:53" s="933" customFormat="1" ht="11" customHeight="1">
      <c r="A97" s="933">
        <v>2018</v>
      </c>
      <c r="B97" s="599"/>
      <c r="C97" s="988" t="s">
        <v>1265</v>
      </c>
      <c r="D97" s="988"/>
      <c r="E97" s="933">
        <v>59</v>
      </c>
      <c r="F97" s="600"/>
      <c r="G97" s="596">
        <v>8</v>
      </c>
      <c r="J97" s="598">
        <v>12</v>
      </c>
      <c r="K97" s="593">
        <f t="shared" ref="K97:K98" si="28">G97/J97*100</f>
        <v>66.666666666666657</v>
      </c>
      <c r="L97" s="593">
        <f t="shared" ref="L97:L98" si="29">H97/J97*100</f>
        <v>0</v>
      </c>
      <c r="M97" s="593">
        <f t="shared" ref="M97:M98" si="30">I97/J97*100</f>
        <v>0</v>
      </c>
      <c r="N97" s="597">
        <f t="shared" ref="N97:N98" si="31">SUM(K97:M97)</f>
        <v>66.666666666666657</v>
      </c>
      <c r="O97" s="592">
        <v>37.5</v>
      </c>
      <c r="P97" s="593"/>
      <c r="Q97" s="593"/>
      <c r="R97" s="594">
        <f>SUM(O97:Q97)</f>
        <v>37.5</v>
      </c>
      <c r="S97" s="933">
        <v>1</v>
      </c>
      <c r="T97" s="595"/>
      <c r="U97" s="929"/>
      <c r="V97" s="588" t="s">
        <v>1053</v>
      </c>
      <c r="W97" s="933" t="s">
        <v>74</v>
      </c>
      <c r="X97" s="933" t="s">
        <v>11</v>
      </c>
      <c r="Y97" s="589">
        <v>35.700000000000003</v>
      </c>
      <c r="Z97" s="933" t="s">
        <v>1266</v>
      </c>
      <c r="AA97" s="933" t="s">
        <v>107</v>
      </c>
      <c r="AB97" s="933" t="s">
        <v>11</v>
      </c>
      <c r="AC97" s="933">
        <v>1.8</v>
      </c>
      <c r="AD97" s="588"/>
      <c r="AG97" s="589"/>
      <c r="AL97" s="588"/>
      <c r="AO97" s="589"/>
      <c r="AP97" s="588"/>
      <c r="AS97" s="589"/>
      <c r="AW97" s="589"/>
      <c r="BA97" s="590"/>
    </row>
    <row r="98" spans="1:53" s="932" customFormat="1">
      <c r="A98" s="932">
        <v>2018</v>
      </c>
      <c r="B98" s="928">
        <v>43160</v>
      </c>
      <c r="C98" s="992" t="s">
        <v>1407</v>
      </c>
      <c r="D98" s="992"/>
      <c r="E98" s="932">
        <v>306</v>
      </c>
      <c r="F98" s="932">
        <v>1</v>
      </c>
      <c r="G98" s="642">
        <v>6</v>
      </c>
      <c r="J98" s="644">
        <v>12</v>
      </c>
      <c r="K98" s="640">
        <f t="shared" si="28"/>
        <v>50</v>
      </c>
      <c r="L98" s="640">
        <f t="shared" si="29"/>
        <v>0</v>
      </c>
      <c r="M98" s="640">
        <f t="shared" si="30"/>
        <v>0</v>
      </c>
      <c r="N98" s="643">
        <f t="shared" si="31"/>
        <v>50</v>
      </c>
      <c r="O98" s="639">
        <v>32.1</v>
      </c>
      <c r="P98" s="640"/>
      <c r="Q98" s="640"/>
      <c r="R98" s="641">
        <f>SUM(O98:Q98)</f>
        <v>32.1</v>
      </c>
      <c r="S98" s="932">
        <v>1</v>
      </c>
      <c r="T98" s="487"/>
      <c r="U98" s="928">
        <v>43160</v>
      </c>
      <c r="V98" s="634" t="s">
        <v>1053</v>
      </c>
      <c r="W98" s="932" t="s">
        <v>74</v>
      </c>
      <c r="X98" s="932" t="s">
        <v>11</v>
      </c>
      <c r="Y98" s="635">
        <v>32.1</v>
      </c>
      <c r="AD98" s="634"/>
      <c r="AG98" s="635"/>
      <c r="AL98" s="634"/>
      <c r="AO98" s="635"/>
      <c r="AP98" s="634"/>
      <c r="AS98" s="635"/>
      <c r="AW98" s="635"/>
      <c r="BA98" s="636"/>
    </row>
    <row r="99" spans="1:53" ht="11" customHeight="1"/>
    <row r="100" spans="1:53" s="2" customFormat="1" ht="18" customHeight="1">
      <c r="B100" s="22" t="s">
        <v>1278</v>
      </c>
    </row>
    <row r="101" spans="1:53" s="2" customFormat="1" ht="9" customHeight="1"/>
    <row r="102" spans="1:53" s="364" customFormat="1" ht="9" customHeight="1">
      <c r="A102" s="362"/>
      <c r="B102" s="363" t="s">
        <v>1229</v>
      </c>
      <c r="C102" s="363"/>
      <c r="D102" s="363"/>
      <c r="E102" s="363"/>
      <c r="F102" s="363"/>
      <c r="G102" s="363" t="s">
        <v>1230</v>
      </c>
      <c r="H102" s="363"/>
      <c r="I102" s="363"/>
      <c r="J102" s="363"/>
      <c r="K102" s="363"/>
      <c r="L102" s="363"/>
      <c r="M102" s="363"/>
      <c r="N102" s="363"/>
      <c r="R102" s="982" t="s">
        <v>1231</v>
      </c>
      <c r="S102" s="982"/>
      <c r="T102" s="982"/>
      <c r="U102" s="982"/>
      <c r="V102" s="982"/>
      <c r="W102" s="982"/>
      <c r="X102" s="365"/>
      <c r="Y102" s="365"/>
      <c r="AA102" s="365"/>
      <c r="AB102" s="365"/>
      <c r="AC102" s="365"/>
      <c r="AD102" s="365"/>
    </row>
    <row r="103" spans="1:53" s="369" customFormat="1" ht="9" customHeight="1">
      <c r="A103" s="366"/>
      <c r="B103" s="367" t="s">
        <v>1233</v>
      </c>
      <c r="C103" s="368"/>
      <c r="D103" s="368"/>
      <c r="E103" s="368"/>
      <c r="F103" s="368"/>
      <c r="G103" s="367" t="s">
        <v>1232</v>
      </c>
      <c r="H103" s="368"/>
      <c r="I103" s="368"/>
      <c r="J103" s="368"/>
      <c r="K103" s="368"/>
      <c r="L103" s="368"/>
      <c r="M103" s="368"/>
      <c r="N103" s="368"/>
      <c r="R103" s="370" t="s">
        <v>1234</v>
      </c>
      <c r="S103" s="371"/>
      <c r="T103" s="372"/>
      <c r="U103" s="372"/>
      <c r="V103" s="372"/>
      <c r="W103" s="370" t="s">
        <v>1235</v>
      </c>
      <c r="X103" s="372"/>
      <c r="Y103" s="372"/>
      <c r="AA103" s="372"/>
      <c r="AB103" s="372"/>
      <c r="AC103" s="372"/>
      <c r="AD103" s="372"/>
    </row>
    <row r="104" spans="1:53" s="351" customFormat="1" ht="12" customHeight="1">
      <c r="A104" s="373" t="s">
        <v>3</v>
      </c>
      <c r="B104" s="374" t="s">
        <v>8</v>
      </c>
      <c r="C104" s="374" t="s">
        <v>9</v>
      </c>
      <c r="D104" s="374" t="s">
        <v>10</v>
      </c>
      <c r="E104" s="375" t="s">
        <v>1209</v>
      </c>
      <c r="F104" s="374"/>
      <c r="G104" s="351" t="s">
        <v>3</v>
      </c>
      <c r="H104" s="983" t="s">
        <v>0</v>
      </c>
      <c r="I104" s="983"/>
      <c r="J104" s="983" t="s">
        <v>1</v>
      </c>
      <c r="K104" s="983"/>
      <c r="L104" s="983" t="s">
        <v>2</v>
      </c>
      <c r="M104" s="983"/>
      <c r="N104" s="984" t="s">
        <v>1209</v>
      </c>
      <c r="O104" s="984"/>
      <c r="P104" s="376"/>
      <c r="Q104" s="376"/>
      <c r="R104" s="377" t="s">
        <v>3</v>
      </c>
      <c r="S104" s="378" t="s">
        <v>136</v>
      </c>
      <c r="T104" s="376" t="s">
        <v>134</v>
      </c>
      <c r="U104" s="374" t="s">
        <v>135</v>
      </c>
      <c r="V104" s="376"/>
      <c r="W104" s="379" t="s">
        <v>26</v>
      </c>
    </row>
    <row r="105" spans="1:53" s="674" customFormat="1" ht="9" customHeight="1">
      <c r="A105" s="674">
        <v>1978</v>
      </c>
      <c r="B105" s="667">
        <f>(K9*($E9/365))</f>
        <v>44.682440846824399</v>
      </c>
      <c r="C105" s="667">
        <f>(L9*($E9/365))</f>
        <v>0</v>
      </c>
      <c r="D105" s="667">
        <f>(M9*($E9/365))</f>
        <v>14.89414694894147</v>
      </c>
      <c r="E105" s="668">
        <f t="shared" ref="E105:E116" si="32">SUM(B105:D105)</f>
        <v>59.576587795765867</v>
      </c>
      <c r="G105" s="674">
        <v>1978</v>
      </c>
      <c r="H105" s="989">
        <f>(O9/$R9*100*($E9/365))</f>
        <v>68.838494301830309</v>
      </c>
      <c r="I105" s="989"/>
      <c r="J105" s="989">
        <f>(P9/$R9*100*($E9/365))</f>
        <v>0</v>
      </c>
      <c r="K105" s="989"/>
      <c r="L105" s="989">
        <f>(Q9/$R9*100*($E9/365))</f>
        <v>13.079313917347759</v>
      </c>
      <c r="M105" s="989"/>
      <c r="N105" s="959">
        <f>H105+J105+L105</f>
        <v>81.91780821917807</v>
      </c>
      <c r="O105" s="959"/>
      <c r="R105" s="674">
        <v>1978</v>
      </c>
      <c r="S105" s="667">
        <f>(O9*($E9/365))</f>
        <v>49.150684931506845</v>
      </c>
      <c r="T105" s="667">
        <f>(P9*($E9/365))</f>
        <v>0</v>
      </c>
      <c r="U105" s="667">
        <f>(Q9*($E9/365))</f>
        <v>9.3386301369863016</v>
      </c>
      <c r="W105" s="672">
        <f t="shared" ref="W105:W116" si="33">SUM(S105:U105)</f>
        <v>58.489315068493148</v>
      </c>
      <c r="Y105" s="71" t="s">
        <v>1326</v>
      </c>
    </row>
    <row r="106" spans="1:53" s="674" customFormat="1" ht="9" customHeight="1">
      <c r="A106" s="674">
        <v>1979</v>
      </c>
      <c r="B106" s="667">
        <f>(K10*($E10/365))+(K11*($E11/365))</f>
        <v>56.064757160647567</v>
      </c>
      <c r="C106" s="667">
        <f>(L10*($E10/365))+(L11*($E11/365))</f>
        <v>0</v>
      </c>
      <c r="D106" s="667">
        <f>(M10*($E10/365))+(M11*($E11/365))</f>
        <v>18.181818181818183</v>
      </c>
      <c r="E106" s="668">
        <f t="shared" si="32"/>
        <v>74.246575342465746</v>
      </c>
      <c r="G106" s="674">
        <v>1979</v>
      </c>
      <c r="H106" s="989">
        <f>(O10/$R10*100*($E10/365))+(O11/$R11*100*($E11/365))</f>
        <v>84.033613445378137</v>
      </c>
      <c r="I106" s="989"/>
      <c r="J106" s="989">
        <f>(P10/$R10*100*($E10/365))+(P11/$R11*100*($E11/365))</f>
        <v>0</v>
      </c>
      <c r="K106" s="989"/>
      <c r="L106" s="989">
        <f>(Q10/$R10*100*($E10/365))+(Q11/$R11*100*($E11/365))</f>
        <v>15.966386554621847</v>
      </c>
      <c r="M106" s="989"/>
      <c r="N106" s="959">
        <f t="shared" ref="N106:N141" si="34">H106+J106+L106</f>
        <v>99.999999999999986</v>
      </c>
      <c r="O106" s="959"/>
      <c r="R106" s="674">
        <v>1979</v>
      </c>
      <c r="S106" s="667">
        <f>(O10*($E10/365))+(O11*($E11/365))</f>
        <v>60</v>
      </c>
      <c r="T106" s="667">
        <f>(P10*($E10/365))+(P11*($E11/365))</f>
        <v>0</v>
      </c>
      <c r="U106" s="667">
        <f>(Q10*($E10/365))+(Q11*($E11/365))</f>
        <v>11.4</v>
      </c>
      <c r="W106" s="672">
        <f t="shared" si="33"/>
        <v>71.400000000000006</v>
      </c>
    </row>
    <row r="107" spans="1:53" s="674" customFormat="1" ht="9" customHeight="1">
      <c r="A107" s="674">
        <v>1980</v>
      </c>
      <c r="B107" s="667">
        <f>(K12*($E12/366))+(K13*($E13/366))+(K14*($E14/366))</f>
        <v>69.200198708395433</v>
      </c>
      <c r="C107" s="667">
        <f>(L12*($E12/366))+(L13*($E13/366))+(L14*($E14/366))</f>
        <v>0</v>
      </c>
      <c r="D107" s="667">
        <f>(M12*($E12/366))+(M13*($E13/366))+(M14*($E14/366))</f>
        <v>12.617983109786389</v>
      </c>
      <c r="E107" s="668">
        <f t="shared" si="32"/>
        <v>81.818181818181827</v>
      </c>
      <c r="G107" s="674">
        <v>1980</v>
      </c>
      <c r="H107" s="989">
        <f>(O12/$R12*100*($E12/366))+(O13/$R13*100*($E13/366))+(O14/$R14*100*($E14/366))</f>
        <v>88.875878220140507</v>
      </c>
      <c r="I107" s="989"/>
      <c r="J107" s="989">
        <f>(P12/$R12*100*($E12/366))+(P13/$R13*100*($E13/366))+(P14/$R14*100*($E14/366))</f>
        <v>0</v>
      </c>
      <c r="K107" s="989"/>
      <c r="L107" s="989">
        <f>(Q12/$R12*100*($E12/366))+(Q13/$R13*100*($E13/366))+(Q14/$R14*100*($E14/366))</f>
        <v>11.124121779859482</v>
      </c>
      <c r="M107" s="989"/>
      <c r="N107" s="959">
        <f t="shared" si="34"/>
        <v>99.999999999999986</v>
      </c>
      <c r="O107" s="959"/>
      <c r="R107" s="674">
        <v>1980</v>
      </c>
      <c r="S107" s="667">
        <f>(O12*($E12/366))+(O13*($E13/366))+(O14*($E14/366))</f>
        <v>60</v>
      </c>
      <c r="T107" s="667">
        <f>(P12*($E12/366))+(P13*($E13/366))+(P14*($E14/366))</f>
        <v>0</v>
      </c>
      <c r="U107" s="667">
        <f>(Q12*($E12/366))+(Q13*($E13/366))+(Q14*($E14/366))</f>
        <v>7.942622950819672</v>
      </c>
      <c r="W107" s="672">
        <f t="shared" si="33"/>
        <v>67.942622950819668</v>
      </c>
    </row>
    <row r="108" spans="1:53" s="674" customFormat="1" ht="9" customHeight="1">
      <c r="A108" s="674">
        <v>1981</v>
      </c>
      <c r="B108" s="667">
        <f>(K15*($E15/365))+(K16*($E16/365))</f>
        <v>9.0909090909090917</v>
      </c>
      <c r="C108" s="667">
        <f>(L15*($E15/365))+(L16*($E16/365))</f>
        <v>0</v>
      </c>
      <c r="D108" s="667">
        <f>(M15*($E15/365))+(M16*($E16/365))</f>
        <v>0</v>
      </c>
      <c r="E108" s="668">
        <f t="shared" si="32"/>
        <v>9.0909090909090917</v>
      </c>
      <c r="G108" s="674">
        <v>1981</v>
      </c>
      <c r="H108" s="989">
        <f>(O15/$R15*100*($E15/365))+(O16/$R16*100*($E16/365))</f>
        <v>100</v>
      </c>
      <c r="I108" s="989"/>
      <c r="J108" s="989">
        <f>(P15/$R15*100*($E15/365))+(P16/$R16*100*($E16/365))</f>
        <v>0</v>
      </c>
      <c r="K108" s="989"/>
      <c r="L108" s="989">
        <f>(Q15/$R15*100*($E15/365))+(Q16/$R16*100*($E16/365))</f>
        <v>0</v>
      </c>
      <c r="M108" s="989"/>
      <c r="N108" s="959">
        <f t="shared" si="34"/>
        <v>100</v>
      </c>
      <c r="O108" s="959"/>
      <c r="R108" s="674">
        <v>1981</v>
      </c>
      <c r="S108" s="667">
        <f>(O15*($E15/365))+(O16*($E16/365))</f>
        <v>37.435068493150688</v>
      </c>
      <c r="T108" s="667">
        <f>(P15*($E15/365))+(P16*($E16/365))</f>
        <v>0</v>
      </c>
      <c r="U108" s="667">
        <f>(Q15*($E15/365))+(Q16*($E16/365))</f>
        <v>0</v>
      </c>
      <c r="W108" s="672">
        <f t="shared" si="33"/>
        <v>37.435068493150688</v>
      </c>
      <c r="Y108" s="71"/>
    </row>
    <row r="109" spans="1:53" s="674" customFormat="1" ht="9" customHeight="1">
      <c r="A109" s="674">
        <v>1982</v>
      </c>
      <c r="B109" s="667">
        <f>(K17*($E17/365))+(K18*($E18/365))</f>
        <v>47.34744707347447</v>
      </c>
      <c r="C109" s="667">
        <f>(L17*($E17/365))+(L18*($E18/365))</f>
        <v>0</v>
      </c>
      <c r="D109" s="667">
        <f>(M17*($E17/365))+(M18*($E18/365))</f>
        <v>0</v>
      </c>
      <c r="E109" s="668">
        <f t="shared" si="32"/>
        <v>47.34744707347447</v>
      </c>
      <c r="G109" s="674">
        <v>1982</v>
      </c>
      <c r="H109" s="989">
        <f>(O17/$R17*100*($E17/365))+(O18/$R18*100*($E18/365))</f>
        <v>100</v>
      </c>
      <c r="I109" s="989"/>
      <c r="J109" s="989">
        <f>(P17/$R17*100*($E17/365))+(P18/$R18*100*($E18/365))</f>
        <v>0</v>
      </c>
      <c r="K109" s="989"/>
      <c r="L109" s="989">
        <f>(Q17/$R17*100*($E17/365))+(Q18/$R18*100*($E18/365))</f>
        <v>0</v>
      </c>
      <c r="M109" s="989"/>
      <c r="N109" s="959">
        <f t="shared" si="34"/>
        <v>100</v>
      </c>
      <c r="O109" s="959"/>
      <c r="R109" s="674">
        <v>1982</v>
      </c>
      <c r="S109" s="667">
        <f>(O17*($E17/365))+(O18*($E18/365))</f>
        <v>22.9</v>
      </c>
      <c r="T109" s="667">
        <f>(P17*($E17/365))+(P18*($E18/365))</f>
        <v>0</v>
      </c>
      <c r="U109" s="667">
        <f>(Q17*($E17/365))+(Q18*($E18/365))</f>
        <v>0</v>
      </c>
      <c r="W109" s="672">
        <f t="shared" si="33"/>
        <v>22.9</v>
      </c>
    </row>
    <row r="110" spans="1:53" s="674" customFormat="1" ht="9" customHeight="1">
      <c r="A110" s="674">
        <v>1983</v>
      </c>
      <c r="B110" s="667">
        <f>(K19*($E19/365))+(K20*($E20/365))+(K21*($E21/365))</f>
        <v>61.120797011207969</v>
      </c>
      <c r="C110" s="667">
        <f>(L19*($E19/365))+(L20*($E20/365))+(L21*($E21/365))</f>
        <v>0</v>
      </c>
      <c r="D110" s="667">
        <f>(M19*($E19/365))+(M20*($E20/365))+(M21*($E21/365))</f>
        <v>0</v>
      </c>
      <c r="E110" s="668">
        <f t="shared" si="32"/>
        <v>61.120797011207969</v>
      </c>
      <c r="G110" s="674">
        <v>1983</v>
      </c>
      <c r="H110" s="989">
        <f>(O19/$R19*100*($E19/365))+(O20/$R20*100*($E20/365))+(O21/$R21*100*($E21/365))</f>
        <v>100</v>
      </c>
      <c r="I110" s="989"/>
      <c r="J110" s="989">
        <f>(P19/$R19*100*($E19/365))+(P20/$R20*100*($E20/365))+(P21/$R21*100*($E21/365))</f>
        <v>0</v>
      </c>
      <c r="K110" s="989"/>
      <c r="L110" s="989">
        <f>(Q19/$R19*100*($E19/365))+(Q20/$R20*100*($E20/365))+(Q21/$R21*100*($E21/365))</f>
        <v>0</v>
      </c>
      <c r="M110" s="989"/>
      <c r="N110" s="959">
        <f t="shared" si="34"/>
        <v>100</v>
      </c>
      <c r="O110" s="959"/>
      <c r="R110" s="674">
        <v>1983</v>
      </c>
      <c r="S110" s="667">
        <f>(O19*($E19/365))+(O20*($E20/365))+(O21*($E21/365))</f>
        <v>22.9</v>
      </c>
      <c r="T110" s="667">
        <f>(P19*($E19/365))+(P20*($E20/365))+(P21*($E21/365))</f>
        <v>0</v>
      </c>
      <c r="U110" s="667">
        <f>(Q19*($E19/365))+(Q20*($E20/365))+(Q21*($E21/365))</f>
        <v>0</v>
      </c>
      <c r="W110" s="672">
        <f t="shared" si="33"/>
        <v>22.9</v>
      </c>
    </row>
    <row r="111" spans="1:53" s="674" customFormat="1" ht="9" customHeight="1">
      <c r="A111" s="674">
        <v>1984</v>
      </c>
      <c r="B111" s="667">
        <f>(K22*($E22/366))+(K23*($E23/366))</f>
        <v>54.54545454545454</v>
      </c>
      <c r="C111" s="667">
        <f>(L22*($E22/366))+(L23*($E23/366))</f>
        <v>0</v>
      </c>
      <c r="D111" s="667">
        <f>(M22*($E22/366))+(M23*($E23/366))</f>
        <v>0</v>
      </c>
      <c r="E111" s="668">
        <f t="shared" si="32"/>
        <v>54.54545454545454</v>
      </c>
      <c r="G111" s="674">
        <v>1984</v>
      </c>
      <c r="H111" s="989">
        <f>(O22/$R22*100*($E22/366))+(O23/$R23*100*($E23/366))</f>
        <v>100</v>
      </c>
      <c r="I111" s="989"/>
      <c r="J111" s="989">
        <f>(P22/$R22*100*($E22/366))+(P23/$R23*100*($E23/366))</f>
        <v>0</v>
      </c>
      <c r="K111" s="989"/>
      <c r="L111" s="989">
        <f>(Q22/$R22*100*($E22/366))+(Q23/$R23*100*($E23/366))</f>
        <v>0</v>
      </c>
      <c r="M111" s="989"/>
      <c r="N111" s="959">
        <f t="shared" si="34"/>
        <v>100</v>
      </c>
      <c r="O111" s="959"/>
      <c r="R111" s="674">
        <v>1984</v>
      </c>
      <c r="S111" s="667">
        <f>(O22*($E22/366))+(O23*($E23/366))</f>
        <v>22.9</v>
      </c>
      <c r="T111" s="667">
        <f>(P22*($E22/366))+(P23*($E23/366))</f>
        <v>0</v>
      </c>
      <c r="U111" s="667">
        <f>(Q22*($E22/366))+(Q23*($E23/366))</f>
        <v>0</v>
      </c>
      <c r="W111" s="672">
        <f t="shared" si="33"/>
        <v>22.9</v>
      </c>
    </row>
    <row r="112" spans="1:53" s="674" customFormat="1" ht="9" customHeight="1">
      <c r="A112" s="674">
        <v>1985</v>
      </c>
      <c r="B112" s="667">
        <f>(K24*($E24/365))+(K25*($E25/365))+(K26*($E26/365))+(K27*($E27/365))</f>
        <v>66.467413864674128</v>
      </c>
      <c r="C112" s="667">
        <f>(L24*($E24/365))+(L25*($E25/365))+(L26*($E26/365))+(L27*($E27/365))</f>
        <v>0</v>
      </c>
      <c r="D112" s="667">
        <f>(M24*($E24/365))+(M25*($E25/365))+(M26*($E26/365))+(M27*($E27/365))</f>
        <v>0</v>
      </c>
      <c r="E112" s="668">
        <f t="shared" si="32"/>
        <v>66.467413864674128</v>
      </c>
      <c r="G112" s="674">
        <v>1985</v>
      </c>
      <c r="H112" s="989">
        <f>(O24/$R24*100*($E24/365))+(O25/$R25*100*($E25/365))+(O26/$R26*100*($E26/365))+(O27/$R27*100*($E27/365))</f>
        <v>100</v>
      </c>
      <c r="I112" s="989"/>
      <c r="J112" s="989">
        <f>(P24/$R24*100*($E24/365))+(P25/$R25*100*($E25/365))+(P26/$R26*100*($E26/365))+(P27/$R27*100*($E27/365))</f>
        <v>0</v>
      </c>
      <c r="K112" s="989"/>
      <c r="L112" s="989">
        <f>(Q24/$R24*100*($E24/365))+(Q25/$R25*100*($E25/365))+(Q26/$R26*100*($E26/365))+(Q27/$R27*100*($E27/365))</f>
        <v>0</v>
      </c>
      <c r="M112" s="989"/>
      <c r="N112" s="959">
        <f t="shared" si="34"/>
        <v>100</v>
      </c>
      <c r="O112" s="959"/>
      <c r="R112" s="674">
        <v>1985</v>
      </c>
      <c r="S112" s="667">
        <f>(O24*($E24/365))+(O25*($E25/365))+(O26*($E26/365))+(O27*($E27/365))</f>
        <v>56.98465753424658</v>
      </c>
      <c r="T112" s="667">
        <f>(P24*($E24/365))+(P25*($E25/365))+(P26*($E26/365))+(P27*($E27/365))</f>
        <v>0</v>
      </c>
      <c r="U112" s="667">
        <f>(Q24*($E24/365))+(Q25*($E25/365))+(Q26*($E26/365))+(Q27*($E27/365))</f>
        <v>0</v>
      </c>
      <c r="W112" s="672">
        <f t="shared" si="33"/>
        <v>56.98465753424658</v>
      </c>
    </row>
    <row r="113" spans="1:25" s="674" customFormat="1" ht="9" customHeight="1">
      <c r="A113" s="674">
        <v>1986</v>
      </c>
      <c r="B113" s="667">
        <f>(K28*($E28/365))+(K29*($E29/365))</f>
        <v>66.666666666666657</v>
      </c>
      <c r="C113" s="667">
        <f>(L28*($E28/365))+(L29*($E29/365))</f>
        <v>0</v>
      </c>
      <c r="D113" s="667">
        <f>(M28*($E28/365))+(M29*($E29/365))</f>
        <v>0</v>
      </c>
      <c r="E113" s="668">
        <f t="shared" si="32"/>
        <v>66.666666666666657</v>
      </c>
      <c r="G113" s="674">
        <v>1986</v>
      </c>
      <c r="H113" s="989">
        <f>(O28/$R28*100*($E28/365))+(O29/$R29*100*($E29/365))</f>
        <v>100</v>
      </c>
      <c r="I113" s="989"/>
      <c r="J113" s="989">
        <f>(P28/$R28*100*($E28/365))+(P29/$R29*100*($E29/365))</f>
        <v>0</v>
      </c>
      <c r="K113" s="989"/>
      <c r="L113" s="989">
        <f>(Q28/$R28*100*($E28/365))+(Q29/$R29*100*($E29/365))</f>
        <v>0</v>
      </c>
      <c r="M113" s="989"/>
      <c r="N113" s="959">
        <f t="shared" si="34"/>
        <v>100</v>
      </c>
      <c r="O113" s="959"/>
      <c r="R113" s="674">
        <v>1986</v>
      </c>
      <c r="S113" s="667">
        <f>(O28*($E28/365))+(O29*($E29/365))</f>
        <v>62.5</v>
      </c>
      <c r="T113" s="667">
        <f>(P28*($E28/365))+(P29*($E29/365))</f>
        <v>0</v>
      </c>
      <c r="U113" s="667">
        <f>(Q28*($E28/365))+(Q29*($E29/365))</f>
        <v>0</v>
      </c>
      <c r="W113" s="672">
        <f t="shared" si="33"/>
        <v>62.5</v>
      </c>
    </row>
    <row r="114" spans="1:25" s="674" customFormat="1" ht="9" customHeight="1">
      <c r="A114" s="674">
        <v>1987</v>
      </c>
      <c r="B114" s="667">
        <f>(K30*($E30/365))+(K31*($E31/365))</f>
        <v>66.666666666666657</v>
      </c>
      <c r="C114" s="667">
        <f>(L30*($E30/365))+(L31*($E31/365))</f>
        <v>0</v>
      </c>
      <c r="D114" s="667">
        <f>(M30*($E30/365))+(M31*($E31/365))</f>
        <v>0</v>
      </c>
      <c r="E114" s="668">
        <f t="shared" si="32"/>
        <v>66.666666666666657</v>
      </c>
      <c r="G114" s="674">
        <v>1987</v>
      </c>
      <c r="H114" s="989">
        <f>(O30/$R30*100*($E30/365))+(O31/$R31*100*($E31/365))</f>
        <v>100</v>
      </c>
      <c r="I114" s="989"/>
      <c r="J114" s="989">
        <f>(P30/$R30*100*($E30/365))+(P31/$R31*100*($E31/365))</f>
        <v>0</v>
      </c>
      <c r="K114" s="989"/>
      <c r="L114" s="989">
        <f>(Q30/$R30*100*($E30/365))+(Q31/$R31*100*($E31/365))</f>
        <v>0</v>
      </c>
      <c r="M114" s="989"/>
      <c r="N114" s="959">
        <f t="shared" si="34"/>
        <v>100</v>
      </c>
      <c r="O114" s="959"/>
      <c r="R114" s="674">
        <v>1987</v>
      </c>
      <c r="S114" s="667">
        <f>(O30*($E30/365))+(O31*($E31/365))</f>
        <v>62.5</v>
      </c>
      <c r="T114" s="667">
        <f>(P30*($E30/365))+(P31*($E31/365))</f>
        <v>0</v>
      </c>
      <c r="U114" s="667">
        <f>(Q30*($E30/365))+(Q31*($E31/365))</f>
        <v>0</v>
      </c>
      <c r="W114" s="672">
        <f t="shared" si="33"/>
        <v>62.5</v>
      </c>
    </row>
    <row r="115" spans="1:25" s="674" customFormat="1" ht="9" customHeight="1">
      <c r="A115" s="674">
        <v>1988</v>
      </c>
      <c r="B115" s="667">
        <f>(K32*($E32/366))+(K33*($E33/366))</f>
        <v>10.564663023679417</v>
      </c>
      <c r="C115" s="667">
        <f>(L32*($E32/366))+(L33*($E33/366))</f>
        <v>0</v>
      </c>
      <c r="D115" s="667">
        <f>(M32*($E32/366))+(M33*($E33/366))</f>
        <v>0</v>
      </c>
      <c r="E115" s="668">
        <f t="shared" si="32"/>
        <v>10.564663023679417</v>
      </c>
      <c r="G115" s="674">
        <v>1988</v>
      </c>
      <c r="H115" s="989">
        <f>(O32/$R32*100*($E32/365))</f>
        <v>15.890410958904111</v>
      </c>
      <c r="I115" s="989"/>
      <c r="J115" s="989">
        <f>(P32/$R32*100*($E32/365))</f>
        <v>0</v>
      </c>
      <c r="K115" s="989"/>
      <c r="L115" s="989">
        <f>(Q32/$R32*100*($E32/365))</f>
        <v>0</v>
      </c>
      <c r="M115" s="989"/>
      <c r="N115" s="959">
        <f t="shared" si="34"/>
        <v>15.890410958904111</v>
      </c>
      <c r="O115" s="959"/>
      <c r="R115" s="674">
        <v>1988</v>
      </c>
      <c r="S115" s="667">
        <f>(O32*($E32/366))+(O33*($E33/366))</f>
        <v>9.9043715846994544</v>
      </c>
      <c r="T115" s="667">
        <f>(P32*($E32/366))+(P33*($E33/366))</f>
        <v>0</v>
      </c>
      <c r="U115" s="667">
        <f>(Q32*($E32/366))+(Q33*($E33/366))</f>
        <v>0</v>
      </c>
      <c r="W115" s="672">
        <f t="shared" si="33"/>
        <v>9.9043715846994544</v>
      </c>
    </row>
    <row r="116" spans="1:25" s="4" customFormat="1" ht="9" customHeight="1">
      <c r="A116" s="4">
        <v>1989</v>
      </c>
      <c r="B116" s="671">
        <f>(K34*($E34/365))+(K35*($E35/365))</f>
        <v>0</v>
      </c>
      <c r="C116" s="671">
        <f>(L34*($E34/365))+(L35*($E35/365))</f>
        <v>0</v>
      </c>
      <c r="D116" s="671">
        <f>(M34*($E34/365))+(M35*($E35/365))</f>
        <v>0</v>
      </c>
      <c r="E116" s="666">
        <f t="shared" si="32"/>
        <v>0</v>
      </c>
      <c r="G116" s="4">
        <v>1989</v>
      </c>
      <c r="H116" s="999">
        <v>0</v>
      </c>
      <c r="I116" s="999"/>
      <c r="J116" s="999">
        <v>0</v>
      </c>
      <c r="K116" s="999"/>
      <c r="L116" s="999">
        <v>0</v>
      </c>
      <c r="M116" s="999"/>
      <c r="N116" s="987">
        <f t="shared" si="34"/>
        <v>0</v>
      </c>
      <c r="O116" s="987"/>
      <c r="R116" s="4">
        <v>1989</v>
      </c>
      <c r="S116" s="671">
        <f>(O34*($E34/365))+(O35*($E35/365))</f>
        <v>0</v>
      </c>
      <c r="T116" s="671">
        <f>(P34*($E34/365))+(P35*($E35/365))</f>
        <v>0</v>
      </c>
      <c r="U116" s="671">
        <f>(Q34*($E34/365))+(Q35*($E35/365))</f>
        <v>0</v>
      </c>
      <c r="W116" s="665">
        <f t="shared" si="33"/>
        <v>0</v>
      </c>
    </row>
    <row r="117" spans="1:25" ht="9" customHeight="1">
      <c r="A117" s="1">
        <v>1990</v>
      </c>
      <c r="B117" s="8">
        <f>(K36*($E36/365))+(K37*($E37/365))</f>
        <v>0</v>
      </c>
      <c r="C117" s="8">
        <f>(L36*($E36/365))+(L37*($E37/365))</f>
        <v>0</v>
      </c>
      <c r="D117" s="8">
        <f>(M36*($E36/365))+(M37*($E37/365))</f>
        <v>0</v>
      </c>
      <c r="E117" s="64">
        <f t="shared" ref="E117:E139" si="35">SUM(B117:D117)</f>
        <v>0</v>
      </c>
      <c r="G117" s="1">
        <v>1990</v>
      </c>
      <c r="H117" s="989">
        <v>0</v>
      </c>
      <c r="I117" s="989"/>
      <c r="J117" s="989">
        <v>0</v>
      </c>
      <c r="K117" s="989"/>
      <c r="L117" s="989">
        <v>0</v>
      </c>
      <c r="M117" s="989"/>
      <c r="N117" s="959">
        <f t="shared" si="34"/>
        <v>0</v>
      </c>
      <c r="O117" s="959"/>
      <c r="R117" s="1">
        <v>1990</v>
      </c>
      <c r="S117" s="8">
        <f>(O36*($E36/365))+(O37*($E37/365))</f>
        <v>0</v>
      </c>
      <c r="T117" s="8">
        <f>(P36*($E36/365))+(P37*($E37/365))</f>
        <v>0</v>
      </c>
      <c r="U117" s="8">
        <f>(Q36*($E36/365))+(Q37*($E37/365))</f>
        <v>0</v>
      </c>
      <c r="W117" s="14">
        <f>SUM(S117:U117)</f>
        <v>0</v>
      </c>
      <c r="Y117" s="71"/>
    </row>
    <row r="118" spans="1:25" ht="9" customHeight="1">
      <c r="A118" s="1">
        <v>1991</v>
      </c>
      <c r="B118" s="8">
        <f>(K38*($E38/365))+(K39*($E39/365))</f>
        <v>0</v>
      </c>
      <c r="C118" s="8">
        <f>(L38*($E38/365))+(L39*($E39/365))</f>
        <v>0</v>
      </c>
      <c r="D118" s="8">
        <f>(M38*($E38/365))+(M39*($E39/365))</f>
        <v>0</v>
      </c>
      <c r="E118" s="64">
        <f t="shared" si="35"/>
        <v>0</v>
      </c>
      <c r="G118" s="1">
        <v>1991</v>
      </c>
      <c r="H118" s="989">
        <v>0</v>
      </c>
      <c r="I118" s="989"/>
      <c r="J118" s="989">
        <v>0</v>
      </c>
      <c r="K118" s="989"/>
      <c r="L118" s="989">
        <v>0</v>
      </c>
      <c r="M118" s="989"/>
      <c r="N118" s="959">
        <f t="shared" si="34"/>
        <v>0</v>
      </c>
      <c r="O118" s="959"/>
      <c r="R118" s="1">
        <v>1991</v>
      </c>
      <c r="S118" s="8">
        <f>(O38*($E38/365))+(O39*($E39/365))</f>
        <v>0</v>
      </c>
      <c r="T118" s="8">
        <f>(P38*($E38/365))+(P39*($E39/365))</f>
        <v>0</v>
      </c>
      <c r="U118" s="8">
        <f>(Q38*($E38/365))+(Q39*($E39/365))</f>
        <v>0</v>
      </c>
      <c r="W118" s="14">
        <f>SUM(S118:U118)</f>
        <v>0</v>
      </c>
    </row>
    <row r="119" spans="1:25" ht="9" customHeight="1">
      <c r="A119" s="1">
        <v>1992</v>
      </c>
      <c r="B119" s="8">
        <f>(K40*($E40/366))+(K41*($E41/366))</f>
        <v>0</v>
      </c>
      <c r="C119" s="8">
        <f>(L40*($E40/366))+(L41*($E41/366))</f>
        <v>0</v>
      </c>
      <c r="D119" s="8">
        <f>(M40*($E40/366))+(M41*($E41/366))</f>
        <v>0</v>
      </c>
      <c r="E119" s="64">
        <f t="shared" si="35"/>
        <v>0</v>
      </c>
      <c r="G119" s="1">
        <v>1992</v>
      </c>
      <c r="H119" s="989">
        <v>0</v>
      </c>
      <c r="I119" s="989"/>
      <c r="J119" s="989">
        <v>0</v>
      </c>
      <c r="K119" s="989"/>
      <c r="L119" s="989">
        <v>0</v>
      </c>
      <c r="M119" s="989"/>
      <c r="N119" s="959">
        <f t="shared" si="34"/>
        <v>0</v>
      </c>
      <c r="O119" s="959"/>
      <c r="R119" s="1">
        <v>1992</v>
      </c>
      <c r="S119" s="8">
        <f>(O40*($E40/366))+(O41*($E41/366))</f>
        <v>0</v>
      </c>
      <c r="T119" s="8">
        <f>(P40*($E40/366))+(P41*($E41/366))</f>
        <v>0</v>
      </c>
      <c r="U119" s="8">
        <f>(Q40*($E40/366))+(Q41*($E41/366))</f>
        <v>0</v>
      </c>
      <c r="W119" s="14">
        <f t="shared" ref="W119:W139" si="36">SUM(S119:U119)</f>
        <v>0</v>
      </c>
    </row>
    <row r="120" spans="1:25" ht="9" customHeight="1">
      <c r="A120" s="1">
        <v>1993</v>
      </c>
      <c r="B120" s="8">
        <f>(K42*($E42/365))+(K43*($E43/365))</f>
        <v>70.776255707762559</v>
      </c>
      <c r="C120" s="8">
        <f>(L42*($E42/365))+(L43*($E43/365))</f>
        <v>0</v>
      </c>
      <c r="D120" s="8">
        <f>(M42*($E42/365))+(M43*($E43/365))</f>
        <v>0</v>
      </c>
      <c r="E120" s="64">
        <f t="shared" si="35"/>
        <v>70.776255707762559</v>
      </c>
      <c r="G120" s="1">
        <v>1993</v>
      </c>
      <c r="H120" s="989">
        <f>0+(O43/$R43*100*($E43/365))</f>
        <v>84.93150684931507</v>
      </c>
      <c r="I120" s="989"/>
      <c r="J120" s="989">
        <f>0+(P43/$R43*100*($E43/365))</f>
        <v>0</v>
      </c>
      <c r="K120" s="989"/>
      <c r="L120" s="989">
        <f>0+(Q43/$R43*100*($E43/365))</f>
        <v>0</v>
      </c>
      <c r="M120" s="989"/>
      <c r="N120" s="959">
        <f t="shared" si="34"/>
        <v>84.93150684931507</v>
      </c>
      <c r="O120" s="959"/>
      <c r="R120" s="1">
        <v>1993</v>
      </c>
      <c r="S120" s="8">
        <f>(O42*($E42/365))+(O43*($E43/365))</f>
        <v>46.967123287671228</v>
      </c>
      <c r="T120" s="8">
        <f>(P42*($E42/365))+(P43*($E43/365))</f>
        <v>0</v>
      </c>
      <c r="U120" s="8">
        <f>(Q42*($E42/365))+(Q43*($E43/365))</f>
        <v>0</v>
      </c>
      <c r="W120" s="14">
        <f t="shared" si="36"/>
        <v>46.967123287671228</v>
      </c>
    </row>
    <row r="121" spans="1:25" ht="9" customHeight="1">
      <c r="A121" s="1">
        <v>1994</v>
      </c>
      <c r="B121" s="8">
        <f>(K44*($E44/365))+(K45*($E45/365))</f>
        <v>83.333333333333343</v>
      </c>
      <c r="C121" s="8">
        <f>(L44*($E44/365))+(L45*($E45/365))</f>
        <v>0</v>
      </c>
      <c r="D121" s="8">
        <f>(M44*($E44/365))+(M45*($E45/365))</f>
        <v>0</v>
      </c>
      <c r="E121" s="64">
        <f t="shared" si="35"/>
        <v>83.333333333333343</v>
      </c>
      <c r="G121" s="1">
        <v>1994</v>
      </c>
      <c r="H121" s="989">
        <f>(O44/$R44*100*($E44/365))+(O45/$R45*100*($E45/365))</f>
        <v>100</v>
      </c>
      <c r="I121" s="989"/>
      <c r="J121" s="989">
        <f>(P44/$R44*100*($E44/365))+(P45/$R45*100*($E45/365))</f>
        <v>0</v>
      </c>
      <c r="K121" s="989"/>
      <c r="L121" s="989">
        <f>(Q44/$R44*100*($E44/365))+(Q45/$R45*100*($E45/365))</f>
        <v>0</v>
      </c>
      <c r="M121" s="989"/>
      <c r="N121" s="959">
        <f t="shared" si="34"/>
        <v>100</v>
      </c>
      <c r="O121" s="959"/>
      <c r="R121" s="1">
        <v>1994</v>
      </c>
      <c r="S121" s="8">
        <f>(O44*($E44/365))+(O45*($E45/365))</f>
        <v>55.3</v>
      </c>
      <c r="T121" s="8">
        <f>(P44*($E44/365))+(P45*($E45/365))</f>
        <v>0</v>
      </c>
      <c r="U121" s="8">
        <f>(Q44*($E44/365))+(Q45*($E45/365))</f>
        <v>0</v>
      </c>
      <c r="W121" s="14">
        <f t="shared" si="36"/>
        <v>55.3</v>
      </c>
    </row>
    <row r="122" spans="1:25" ht="9" customHeight="1">
      <c r="A122" s="1">
        <v>1995</v>
      </c>
      <c r="B122" s="8">
        <f>(K46*($E46/365))+(K47*($E47/365))</f>
        <v>88.995433789954333</v>
      </c>
      <c r="C122" s="8">
        <f>(L46*($E46/365))+(L47*($E47/365))</f>
        <v>0</v>
      </c>
      <c r="D122" s="8">
        <f>(M46*($E46/365))+(M47*($E47/365))</f>
        <v>0</v>
      </c>
      <c r="E122" s="64">
        <f t="shared" si="35"/>
        <v>88.995433789954333</v>
      </c>
      <c r="G122" s="1">
        <v>1995</v>
      </c>
      <c r="H122" s="989">
        <f>(O46/$R46*100*($E46/365))+(O47/$R47*100*($E47/365))</f>
        <v>100</v>
      </c>
      <c r="I122" s="989"/>
      <c r="J122" s="989">
        <f>(P46/$R46*100*($E46/365))+(P47/$R47*100*($E47/365))</f>
        <v>0</v>
      </c>
      <c r="K122" s="989"/>
      <c r="L122" s="989">
        <f>(Q46/$R46*100*($E46/365))+(Q47/$R47*100*($E47/365))</f>
        <v>0</v>
      </c>
      <c r="M122" s="989"/>
      <c r="N122" s="959">
        <f t="shared" si="34"/>
        <v>100</v>
      </c>
      <c r="O122" s="959"/>
      <c r="R122" s="1">
        <v>1995</v>
      </c>
      <c r="S122" s="8">
        <f>(O46*($E46/365))+(O47*($E47/365))</f>
        <v>55.3</v>
      </c>
      <c r="T122" s="8">
        <f>(P46*($E46/365))+(P47*($E47/365))</f>
        <v>0</v>
      </c>
      <c r="U122" s="8">
        <f>(Q46*($E46/365))+(Q47*($E47/365))</f>
        <v>0</v>
      </c>
      <c r="W122" s="14">
        <f t="shared" si="36"/>
        <v>55.3</v>
      </c>
    </row>
    <row r="123" spans="1:25" ht="9" customHeight="1">
      <c r="A123" s="1">
        <v>1996</v>
      </c>
      <c r="B123" s="8">
        <f>(K48*($E48/366))+(K49*($E49/366))</f>
        <v>91.666666666666657</v>
      </c>
      <c r="C123" s="8">
        <f>(L48*($E48/366))+(L49*($E49/366))</f>
        <v>0</v>
      </c>
      <c r="D123" s="8">
        <f>(M48*($E48/366))+(M49*($E49/366))</f>
        <v>0</v>
      </c>
      <c r="E123" s="64">
        <f t="shared" si="35"/>
        <v>91.666666666666657</v>
      </c>
      <c r="G123" s="1">
        <v>1996</v>
      </c>
      <c r="H123" s="989">
        <f>(O48/$R48*100*($E48/366))+(O49/$R49*100*($E49/366))</f>
        <v>100</v>
      </c>
      <c r="I123" s="989"/>
      <c r="J123" s="989">
        <f>(P48/$R48*100*($E48/366))+(P49/$R49*100*($E49/366))</f>
        <v>0</v>
      </c>
      <c r="K123" s="989"/>
      <c r="L123" s="989">
        <f>(Q48/$R48*100*($E48/366))+(Q49/$R49*100*($E49/366))</f>
        <v>0</v>
      </c>
      <c r="M123" s="989"/>
      <c r="N123" s="959">
        <f t="shared" si="34"/>
        <v>100</v>
      </c>
      <c r="O123" s="959"/>
      <c r="R123" s="1">
        <v>1996</v>
      </c>
      <c r="S123" s="8">
        <f>(O48*($E48/366))+(O49*($E49/366))</f>
        <v>54.278142076502732</v>
      </c>
      <c r="T123" s="8">
        <f>(P48*($E48/366))+(P49*($E49/366))</f>
        <v>0</v>
      </c>
      <c r="U123" s="8">
        <f>(Q48*($E48/366))+(Q49*($E49/366))</f>
        <v>0</v>
      </c>
      <c r="W123" s="14">
        <f t="shared" si="36"/>
        <v>54.278142076502732</v>
      </c>
    </row>
    <row r="124" spans="1:25" ht="9" customHeight="1">
      <c r="A124" s="1">
        <v>1997</v>
      </c>
      <c r="B124" s="8">
        <f>(K50*($E50/365))+(K51*($E51/365))</f>
        <v>91.666666666666657</v>
      </c>
      <c r="C124" s="8">
        <f>(L50*($E50/365))+(L51*($E51/365))</f>
        <v>0</v>
      </c>
      <c r="D124" s="8">
        <f>(M50*($E50/365))+(M51*($E51/365))</f>
        <v>0</v>
      </c>
      <c r="E124" s="64">
        <f t="shared" si="35"/>
        <v>91.666666666666657</v>
      </c>
      <c r="G124" s="1">
        <v>1997</v>
      </c>
      <c r="H124" s="989">
        <f>(O50/$R50*100*($E50/365))+(O51/$R51*100*($E51/365))</f>
        <v>100</v>
      </c>
      <c r="I124" s="989"/>
      <c r="J124" s="989">
        <f>(P50/$R50*100*($E50/365))+(P51/$R51*100*($E51/365))</f>
        <v>0</v>
      </c>
      <c r="K124" s="989"/>
      <c r="L124" s="989">
        <f>(Q50/$R50*100*($E50/365))+(Q51/$R51*100*($E51/365))</f>
        <v>0</v>
      </c>
      <c r="M124" s="989"/>
      <c r="N124" s="959">
        <f t="shared" si="34"/>
        <v>100</v>
      </c>
      <c r="O124" s="959"/>
      <c r="R124" s="1">
        <v>1997</v>
      </c>
      <c r="S124" s="8">
        <f>(O50*($E50/365))+(O51*($E51/365))</f>
        <v>51.147945205479459</v>
      </c>
      <c r="T124" s="8">
        <f>(P50*($E50/365))+(P51*($E51/365))</f>
        <v>0</v>
      </c>
      <c r="U124" s="8">
        <f>(Q50*($E50/365))+(Q51*($E51/365))</f>
        <v>0</v>
      </c>
      <c r="W124" s="14">
        <f t="shared" si="36"/>
        <v>51.147945205479459</v>
      </c>
    </row>
    <row r="125" spans="1:25" ht="9" customHeight="1">
      <c r="A125" s="1">
        <v>1998</v>
      </c>
      <c r="B125" s="8">
        <f>(K52*($E52/365))+(K53*($E53/365))</f>
        <v>84.657534246575352</v>
      </c>
      <c r="C125" s="8">
        <f>(L52*($E52/365))+(L53*($E53/365))</f>
        <v>0</v>
      </c>
      <c r="D125" s="8">
        <f>(M52*($E52/365))+(M53*($E53/365))</f>
        <v>14.018264840182646</v>
      </c>
      <c r="E125" s="64">
        <f t="shared" si="35"/>
        <v>98.675799086757991</v>
      </c>
      <c r="G125" s="1">
        <v>1998</v>
      </c>
      <c r="H125" s="989">
        <f>(O52/$R52*100*($E52/365))+(O53/$R53*100*($E53/365))</f>
        <v>88.675108283422787</v>
      </c>
      <c r="I125" s="989"/>
      <c r="J125" s="989">
        <f>(P52/$R52*100*($E52/365))+(P53/$R53*100*($E53/365))</f>
        <v>0</v>
      </c>
      <c r="K125" s="989"/>
      <c r="L125" s="989">
        <f>(Q52/$R52*100*($E52/365))+(Q53/$R53*100*($E53/365))</f>
        <v>11.324891716577206</v>
      </c>
      <c r="M125" s="989"/>
      <c r="N125" s="959">
        <f t="shared" si="34"/>
        <v>100</v>
      </c>
      <c r="O125" s="959"/>
      <c r="R125" s="1">
        <v>1998</v>
      </c>
      <c r="S125" s="8">
        <f>(O52*($E52/365))+(O53*($E53/365))</f>
        <v>53.783561643835618</v>
      </c>
      <c r="T125" s="8">
        <f>(P52*($E52/365))+(P53*($E53/365))</f>
        <v>0</v>
      </c>
      <c r="U125" s="8">
        <f>(Q52*($E52/365))+(Q53*($E53/365))</f>
        <v>7.4857534246575348</v>
      </c>
      <c r="W125" s="14">
        <f t="shared" si="36"/>
        <v>61.269315068493157</v>
      </c>
    </row>
    <row r="126" spans="1:25" ht="9" customHeight="1">
      <c r="A126" s="1">
        <v>1999</v>
      </c>
      <c r="B126" s="8">
        <f>(K54*($E54/365))+(K55*($E55/365))</f>
        <v>99.817351598173516</v>
      </c>
      <c r="C126" s="8">
        <f>(L54*($E54/365))+(L55*($E55/365))</f>
        <v>0</v>
      </c>
      <c r="D126" s="8">
        <f>(M54*($E54/365))+(M55*($E55/365))</f>
        <v>0.18264840182648398</v>
      </c>
      <c r="E126" s="64">
        <f t="shared" si="35"/>
        <v>100</v>
      </c>
      <c r="G126" s="1">
        <v>1999</v>
      </c>
      <c r="H126" s="989">
        <f>(O54/$R54*100*($E54/365))+(O55/$R55*100*($E55/365))</f>
        <v>99.85244440760161</v>
      </c>
      <c r="I126" s="989"/>
      <c r="J126" s="989">
        <f>(P54/$R54*100*($E54/365))+(P55/$R55*100*($E55/365))</f>
        <v>0</v>
      </c>
      <c r="K126" s="989"/>
      <c r="L126" s="989">
        <f>(Q54/$R54*100*($E54/365))+(Q55/$R55*100*($E55/365))</f>
        <v>0.14755559239840008</v>
      </c>
      <c r="M126" s="989"/>
      <c r="N126" s="959">
        <f t="shared" si="34"/>
        <v>100.00000000000001</v>
      </c>
      <c r="O126" s="959"/>
      <c r="R126" s="1">
        <v>1999</v>
      </c>
      <c r="S126" s="8">
        <f>(O54*($E54/365))+(O55*($E55/365))</f>
        <v>57.2</v>
      </c>
      <c r="T126" s="8">
        <f>(P54*($E54/365))+(P55*($E55/365))</f>
        <v>0</v>
      </c>
      <c r="U126" s="8">
        <f>(Q54*($E54/365))+(Q55*($E55/365))</f>
        <v>9.7534246575342473E-2</v>
      </c>
      <c r="W126" s="14">
        <f t="shared" si="36"/>
        <v>57.297534246575346</v>
      </c>
    </row>
    <row r="127" spans="1:25" ht="9" customHeight="1">
      <c r="A127" s="1">
        <v>2000</v>
      </c>
      <c r="B127" s="8">
        <f>(K56*($E56/366))+(K57*($E57/366))</f>
        <v>100</v>
      </c>
      <c r="C127" s="8">
        <f>(L56*($E56/366))+(L57*($E57/366))</f>
        <v>0</v>
      </c>
      <c r="D127" s="8">
        <f>(M56*($E56/366))+(M57*($E57/366))</f>
        <v>0</v>
      </c>
      <c r="E127" s="64">
        <f t="shared" si="35"/>
        <v>100</v>
      </c>
      <c r="G127" s="1">
        <v>2000</v>
      </c>
      <c r="H127" s="989">
        <f>(O56/$R56*100*($E56/366))+(O57/$R57*100*($E57/366))</f>
        <v>100</v>
      </c>
      <c r="I127" s="989"/>
      <c r="J127" s="989">
        <f>(P56/$R56*100*($E56/366))+(P57/$R57*100*($E57/366))</f>
        <v>0</v>
      </c>
      <c r="K127" s="989"/>
      <c r="L127" s="989">
        <f>(Q56/$R56*100*($E56/366))+(Q57/$R57*100*($E57/366))</f>
        <v>0</v>
      </c>
      <c r="M127" s="989"/>
      <c r="N127" s="959">
        <f t="shared" si="34"/>
        <v>100</v>
      </c>
      <c r="O127" s="959"/>
      <c r="R127" s="1">
        <v>2000</v>
      </c>
      <c r="S127" s="8">
        <f>(O56*($E56/366))+(O57*($E57/366))</f>
        <v>57.2</v>
      </c>
      <c r="T127" s="8">
        <f>(P56*($E56/366))+(P57*($E57/366))</f>
        <v>0</v>
      </c>
      <c r="U127" s="8">
        <f>(Q56*($E56/366))+(Q57*($E57/366))</f>
        <v>0</v>
      </c>
      <c r="W127" s="14">
        <f t="shared" si="36"/>
        <v>57.2</v>
      </c>
    </row>
    <row r="128" spans="1:25" ht="9" customHeight="1">
      <c r="A128" s="1">
        <v>2001</v>
      </c>
      <c r="B128" s="8">
        <f>(K58*($E58/365))+(K59*($E59/365))</f>
        <v>100</v>
      </c>
      <c r="C128" s="8">
        <f>(L58*($E58/365))+(L59*($E59/365))</f>
        <v>0</v>
      </c>
      <c r="D128" s="8">
        <f>(M58*($E58/365))+(M59*($E59/365))</f>
        <v>0</v>
      </c>
      <c r="E128" s="64">
        <f t="shared" si="35"/>
        <v>100</v>
      </c>
      <c r="G128" s="1">
        <v>2001</v>
      </c>
      <c r="H128" s="989">
        <f>(O58/$R58*100*($E58/365))+(O59/$R59*100*($E59/365))</f>
        <v>100</v>
      </c>
      <c r="I128" s="989"/>
      <c r="J128" s="989">
        <f>(P58/$R58*100*($E58/365))+(P59/$R59*100*($E59/365))</f>
        <v>0</v>
      </c>
      <c r="K128" s="989"/>
      <c r="L128" s="989">
        <f>(Q58/$R58*100*($E58/365))+(Q59/$R59*100*($E59/365))</f>
        <v>0</v>
      </c>
      <c r="M128" s="989"/>
      <c r="N128" s="959">
        <f t="shared" si="34"/>
        <v>100</v>
      </c>
      <c r="O128" s="959"/>
      <c r="R128" s="1">
        <v>2001</v>
      </c>
      <c r="S128" s="8">
        <f>(O58*($E58/365))+(O59*($E59/365))</f>
        <v>53.96</v>
      </c>
      <c r="T128" s="8">
        <f>(P58*($E58/365))+(P59*($E59/365))</f>
        <v>0</v>
      </c>
      <c r="U128" s="8">
        <f>(Q58*($E58/365))+(Q59*($E59/365))</f>
        <v>0</v>
      </c>
      <c r="W128" s="14">
        <f t="shared" si="36"/>
        <v>53.96</v>
      </c>
    </row>
    <row r="129" spans="1:23" ht="9" customHeight="1">
      <c r="A129" s="1">
        <v>2002</v>
      </c>
      <c r="B129" s="8">
        <f>(K60*($E60/365))+(K61*($E61/365))</f>
        <v>100</v>
      </c>
      <c r="C129" s="8">
        <f>(L60*($E60/365))+(L61*($E61/365))</f>
        <v>0</v>
      </c>
      <c r="D129" s="8">
        <f>(M60*($E60/365))+(M61*($E61/365))</f>
        <v>0</v>
      </c>
      <c r="E129" s="64">
        <f t="shared" si="35"/>
        <v>100</v>
      </c>
      <c r="G129" s="1">
        <v>2002</v>
      </c>
      <c r="H129" s="989">
        <f>(O60/$R60*100*($E60/365))+(O61/$R61*100*($E61/365))</f>
        <v>100</v>
      </c>
      <c r="I129" s="989"/>
      <c r="J129" s="989">
        <f>(P60/$R60*100*($E60/365))+(P61/$R61*100*($E61/365))</f>
        <v>0</v>
      </c>
      <c r="K129" s="989"/>
      <c r="L129" s="989">
        <f>(Q60/$R60*100*($E60/365))+(Q61/$R61*100*($E61/365))</f>
        <v>0</v>
      </c>
      <c r="M129" s="989"/>
      <c r="N129" s="959">
        <f t="shared" si="34"/>
        <v>100</v>
      </c>
      <c r="O129" s="959"/>
      <c r="R129" s="1">
        <v>2002</v>
      </c>
      <c r="S129" s="8">
        <f>(O60*($E60/365))+(O61*($E61/365))</f>
        <v>51.8</v>
      </c>
      <c r="T129" s="8">
        <f>(P60*($E60/365))+(P61*($E61/365))</f>
        <v>0</v>
      </c>
      <c r="U129" s="8">
        <f>(Q60*($E60/365))+(Q61*($E61/365))</f>
        <v>0</v>
      </c>
      <c r="W129" s="14">
        <f t="shared" si="36"/>
        <v>51.8</v>
      </c>
    </row>
    <row r="130" spans="1:23" ht="9" customHeight="1">
      <c r="A130" s="1">
        <v>2003</v>
      </c>
      <c r="B130" s="8">
        <f>(K62*($E62/365))+(K63*($E63/365))</f>
        <v>43.926940639269404</v>
      </c>
      <c r="C130" s="8">
        <f>(L62*($E62/365))+(L63*($E63/365))</f>
        <v>0</v>
      </c>
      <c r="D130" s="8">
        <f>(M62*($E62/365))+(M63*($E63/365))</f>
        <v>42.054794520547944</v>
      </c>
      <c r="E130" s="64">
        <f t="shared" si="35"/>
        <v>85.981735159817347</v>
      </c>
      <c r="G130" s="1">
        <v>2003</v>
      </c>
      <c r="H130" s="989">
        <f>(O62/$R62*100*($E62/365))+(O63/$R63*100*($E63/365))</f>
        <v>38.881317301207062</v>
      </c>
      <c r="I130" s="989"/>
      <c r="J130" s="989">
        <f>(P62/$R62*100*($E62/365))+(P63/$R63*100*($E63/365))</f>
        <v>0</v>
      </c>
      <c r="K130" s="989"/>
      <c r="L130" s="989">
        <f>(Q62/$R62*100*($E62/365))+(Q63/$R63*100*($E63/365))</f>
        <v>61.118682698792938</v>
      </c>
      <c r="M130" s="989"/>
      <c r="N130" s="959">
        <f t="shared" si="34"/>
        <v>100</v>
      </c>
      <c r="O130" s="959"/>
      <c r="R130" s="1">
        <v>2003</v>
      </c>
      <c r="S130" s="8">
        <f>(O62*($E62/365))+(O63*($E63/365))</f>
        <v>21.772876712328767</v>
      </c>
      <c r="T130" s="8">
        <f>(P62*($E62/365))+(P63*($E63/365))</f>
        <v>0</v>
      </c>
      <c r="U130" s="8">
        <f>(Q62*($E62/365))+(Q63*($E63/365))</f>
        <v>35.998904109589041</v>
      </c>
      <c r="W130" s="14">
        <f t="shared" si="36"/>
        <v>57.771780821917808</v>
      </c>
    </row>
    <row r="131" spans="1:23" ht="9" customHeight="1">
      <c r="A131" s="1">
        <v>2004</v>
      </c>
      <c r="B131" s="8">
        <f>(K64*($E64/366))+(K65*($E65/366))</f>
        <v>28.119307832422585</v>
      </c>
      <c r="C131" s="8">
        <f>(L64*($E64/366))+(L65*($E65/366))</f>
        <v>0</v>
      </c>
      <c r="D131" s="8">
        <f>(M64*($E64/366))+(M65*($E65/366))</f>
        <v>50</v>
      </c>
      <c r="E131" s="64">
        <f t="shared" si="35"/>
        <v>78.119307832422578</v>
      </c>
      <c r="G131" s="1">
        <v>2004</v>
      </c>
      <c r="H131" s="989">
        <f>(O64/$R64*100*($E64/366))+(O65/$R65*100*($E65/366))</f>
        <v>27.334465195246182</v>
      </c>
      <c r="I131" s="989"/>
      <c r="J131" s="989">
        <f>(P64/$R64*100*($E64/366))+(P65/$R65*100*($E65/366))</f>
        <v>0</v>
      </c>
      <c r="K131" s="989"/>
      <c r="L131" s="989">
        <f>(Q64/$R64*100*($E64/366))+(Q65/$R65*100*($E65/366))</f>
        <v>72.665534804753833</v>
      </c>
      <c r="M131" s="989"/>
      <c r="N131" s="959">
        <f t="shared" si="34"/>
        <v>100.00000000000001</v>
      </c>
      <c r="O131" s="959"/>
      <c r="R131" s="1">
        <v>2004</v>
      </c>
      <c r="S131" s="8">
        <f>(O64*($E64/366))+(O65*($E65/366))</f>
        <v>16.100000000000001</v>
      </c>
      <c r="T131" s="8">
        <f>(P64*($E64/366))+(P65*($E65/366))</f>
        <v>0</v>
      </c>
      <c r="U131" s="8">
        <f>(Q64*($E64/366))+(Q65*($E65/366))</f>
        <v>42.8</v>
      </c>
      <c r="W131" s="14">
        <f t="shared" si="36"/>
        <v>58.9</v>
      </c>
    </row>
    <row r="132" spans="1:23" ht="9" customHeight="1">
      <c r="A132" s="1">
        <v>2005</v>
      </c>
      <c r="B132" s="8">
        <f>(K66*($E66/365))+(K67*($E67/365))</f>
        <v>25</v>
      </c>
      <c r="C132" s="8">
        <f>(L66*($E66/365))+(L67*($E67/365))</f>
        <v>0</v>
      </c>
      <c r="D132" s="8">
        <f>(M66*($E66/365))+(M67*($E67/365))</f>
        <v>42.374429223744301</v>
      </c>
      <c r="E132" s="64">
        <f>SUM(B132:D132)</f>
        <v>67.374429223744301</v>
      </c>
      <c r="G132" s="1">
        <v>2005</v>
      </c>
      <c r="H132" s="989">
        <f>(O66/$R66*100*($E66/365))+(O67/$R67*100*($E67/365))</f>
        <v>27.334465195246182</v>
      </c>
      <c r="I132" s="989"/>
      <c r="J132" s="989">
        <f>(P66/$R66*100*($E66/365))+(P67/$R67*100*($E67/365))</f>
        <v>0</v>
      </c>
      <c r="K132" s="989"/>
      <c r="L132" s="989">
        <f>(Q66/$R66*100*($E66/365))+(Q67/$R67*100*($E67/365))</f>
        <v>72.665534804753818</v>
      </c>
      <c r="M132" s="989"/>
      <c r="N132" s="959">
        <f>H132+J132+L132</f>
        <v>100</v>
      </c>
      <c r="O132" s="959"/>
      <c r="R132" s="1">
        <v>2005</v>
      </c>
      <c r="S132" s="8">
        <f>(O66*($E66/365))+(O67*($E67/365))</f>
        <v>16.100000000000001</v>
      </c>
      <c r="T132" s="8">
        <f>(P66*($E66/365))+(P67*($E67/365))</f>
        <v>0</v>
      </c>
      <c r="U132" s="8">
        <f>(Q66*($E66/365))+(Q67*($E67/365))</f>
        <v>42.8</v>
      </c>
      <c r="W132" s="14">
        <f t="shared" si="36"/>
        <v>58.9</v>
      </c>
    </row>
    <row r="133" spans="1:23" ht="9" customHeight="1">
      <c r="A133" s="1">
        <v>2006</v>
      </c>
      <c r="B133" s="8">
        <f>(K68*($E68/365))*(K69*($E69/365))+(K70*($E70/365))</f>
        <v>42.777256520923245</v>
      </c>
      <c r="C133" s="8">
        <f>(L68*($E68/365))+($L69*($E69/365))+(L70*($E70/365))</f>
        <v>0</v>
      </c>
      <c r="D133" s="8">
        <f>(M68*($E68/365))+(M69*($E69/365))+(M70*($E70/365))</f>
        <v>41.666666666666671</v>
      </c>
      <c r="E133" s="64">
        <f t="shared" si="35"/>
        <v>84.443923187589917</v>
      </c>
      <c r="G133" s="1">
        <v>2006</v>
      </c>
      <c r="H133" s="989">
        <f>(O68/$R68*100*($E68/365))+(O69/$R69*100*($E69/365))+(O70/$R70*100*($E70/365))</f>
        <v>30.422062603032174</v>
      </c>
      <c r="I133" s="989"/>
      <c r="J133" s="989">
        <f>(P68/$R68*100*($E68/365))+(P69/$R69*100*($E69/365))+(P70/$R70*100*($E70/365))</f>
        <v>0</v>
      </c>
      <c r="K133" s="989"/>
      <c r="L133" s="989">
        <f>(Q68/$R68*100*($E68/365))+(Q69/$R69*100*($E69/365))+(Q70/$R70*100*($E70/365))</f>
        <v>69.577937396967826</v>
      </c>
      <c r="M133" s="989"/>
      <c r="N133" s="959">
        <f t="shared" si="34"/>
        <v>100</v>
      </c>
      <c r="O133" s="959"/>
      <c r="R133" s="1">
        <v>2006</v>
      </c>
      <c r="S133" s="8">
        <f>(O68*($E68/365))+(O69*($E69/365))+(O70*($E70/365))</f>
        <v>18.257534246575343</v>
      </c>
      <c r="T133" s="8">
        <f>(P68*($E68/365))+(P69*($E69/365))+(P70*($E70/365))</f>
        <v>0</v>
      </c>
      <c r="U133" s="8">
        <f>(Q68*($E68/365))+(Q69*($E69/365))+(Q70*($E70/365))</f>
        <v>41.690410958904103</v>
      </c>
      <c r="W133" s="14">
        <f t="shared" si="36"/>
        <v>59.947945205479442</v>
      </c>
    </row>
    <row r="134" spans="1:23" ht="9" customHeight="1">
      <c r="A134" s="1">
        <v>2007</v>
      </c>
      <c r="B134" s="7">
        <f>(K71*($E71/365))+(K72*($E72/365))</f>
        <v>36.575342465753423</v>
      </c>
      <c r="C134" s="7">
        <f>(L71*($E71/365))+(L72*($E72/365))</f>
        <v>0</v>
      </c>
      <c r="D134" s="7">
        <f>(M71*($E71/365))+(M72*($E72/365))</f>
        <v>30.091324200913245</v>
      </c>
      <c r="E134" s="64">
        <f t="shared" si="35"/>
        <v>66.666666666666671</v>
      </c>
      <c r="G134" s="1">
        <v>2007</v>
      </c>
      <c r="H134" s="989">
        <f>(O71/$R71*100*($E71/365))+(O72/$R72*100*($E72/365))</f>
        <v>49.210219363681148</v>
      </c>
      <c r="I134" s="989"/>
      <c r="J134" s="989">
        <f>(P71/$R71*100*($E71/365))+(P72/$R72*100*($E72/365))</f>
        <v>0</v>
      </c>
      <c r="K134" s="989"/>
      <c r="L134" s="989">
        <f>(Q71/$R71*100*($E71/365))+(Q72/$R72*100*($E72/365))</f>
        <v>50.789780636318859</v>
      </c>
      <c r="M134" s="989"/>
      <c r="N134" s="959">
        <f t="shared" si="34"/>
        <v>100</v>
      </c>
      <c r="O134" s="959"/>
      <c r="R134" s="1">
        <v>2007</v>
      </c>
      <c r="S134" s="7">
        <f>(O71*($E71/365))+(O72*($E72/365))</f>
        <v>19.600000000000001</v>
      </c>
      <c r="T134" s="7">
        <f>(P71*($E71/365))+(P72*($E72/365))</f>
        <v>0</v>
      </c>
      <c r="U134" s="7">
        <f>(Q71*($E71/365))+(Q72*($E72/365))</f>
        <v>26.137260273972604</v>
      </c>
      <c r="W134" s="14">
        <f t="shared" si="36"/>
        <v>45.737260273972609</v>
      </c>
    </row>
    <row r="135" spans="1:23" ht="9" customHeight="1">
      <c r="A135" s="1">
        <v>2008</v>
      </c>
      <c r="B135" s="7">
        <f>(K73*($E73/366))+(K74*($E74/366))</f>
        <v>29.030054644808743</v>
      </c>
      <c r="C135" s="7">
        <f>(L73*($E73/366))+(L74*($E74/366))</f>
        <v>0</v>
      </c>
      <c r="D135" s="7">
        <f>(M73*($E73/366))+(M74*($E74/366))</f>
        <v>51.616575591985431</v>
      </c>
      <c r="E135" s="64">
        <f t="shared" si="35"/>
        <v>80.646630236794181</v>
      </c>
      <c r="G135" s="1">
        <v>2008</v>
      </c>
      <c r="H135" s="989">
        <f>(O73/$R73*100*($E73/366))+(O74/$R74*100*($E74/366))</f>
        <v>38.215619663778298</v>
      </c>
      <c r="I135" s="989"/>
      <c r="J135" s="989">
        <f>(P73/$R73*100*($E73/366))+(P74/$R74*100*($E74/366))</f>
        <v>0</v>
      </c>
      <c r="K135" s="989"/>
      <c r="L135" s="989">
        <f>(Q73/$R73*100*($E73/366))+(Q74/$R74*100*($E74/366))</f>
        <v>61.784380336221723</v>
      </c>
      <c r="M135" s="989"/>
      <c r="N135" s="959">
        <f t="shared" si="34"/>
        <v>100.00000000000003</v>
      </c>
      <c r="O135" s="959"/>
      <c r="R135" s="1">
        <v>2008</v>
      </c>
      <c r="S135" s="7">
        <f>(O73*($E73/366))+(O74*($E74/366))</f>
        <v>19.600000000000001</v>
      </c>
      <c r="T135" s="7">
        <f>(P73*($E73/366))+(P74*($E74/366))</f>
        <v>0</v>
      </c>
      <c r="U135" s="7">
        <f>(Q73*($E73/366))+(Q74*($E74/366))</f>
        <v>35.825409836065575</v>
      </c>
      <c r="W135" s="14">
        <f t="shared" si="36"/>
        <v>55.425409836065576</v>
      </c>
    </row>
    <row r="136" spans="1:23" ht="9" customHeight="1">
      <c r="A136" s="1">
        <v>2009</v>
      </c>
      <c r="B136" s="7">
        <f>(K75*($E75/365))+(K76*($E76/365))</f>
        <v>25</v>
      </c>
      <c r="C136" s="7">
        <f>(L75*($E75/365))+(L76*($E76/365))</f>
        <v>0</v>
      </c>
      <c r="D136" s="7">
        <f>(M75*($E75/365))+(M76*($E76/365))</f>
        <v>58.333333333333336</v>
      </c>
      <c r="E136" s="64">
        <f t="shared" si="35"/>
        <v>83.333333333333343</v>
      </c>
      <c r="G136" s="1">
        <v>2009</v>
      </c>
      <c r="H136" s="989">
        <f>(O75/$R75*100*($E75/365))+(O76/$R76*100*($E76/365))</f>
        <v>32.343234323432348</v>
      </c>
      <c r="I136" s="989"/>
      <c r="J136" s="989">
        <f>(P75/$R75*100*($E75/365))+(P76/$R76*100*($E76/365))</f>
        <v>0</v>
      </c>
      <c r="K136" s="989"/>
      <c r="L136" s="989">
        <f>(Q75/$R75*100*($E75/365))+(Q76/$R76*100*($E76/365))</f>
        <v>67.656765676567659</v>
      </c>
      <c r="M136" s="989"/>
      <c r="N136" s="959">
        <f t="shared" si="34"/>
        <v>100</v>
      </c>
      <c r="O136" s="959"/>
      <c r="R136" s="1">
        <v>2009</v>
      </c>
      <c r="S136" s="7">
        <f>(O75*($E75/365))+(O76*($E76/365))</f>
        <v>19.600000000000001</v>
      </c>
      <c r="T136" s="7">
        <f>(P75*($E75/365))+(P76*($E76/365))</f>
        <v>0</v>
      </c>
      <c r="U136" s="7">
        <f>(Q75*($E75/365))+(Q76*($E76/365))</f>
        <v>41</v>
      </c>
      <c r="W136" s="14">
        <f t="shared" si="36"/>
        <v>60.6</v>
      </c>
    </row>
    <row r="137" spans="1:23" ht="9" customHeight="1">
      <c r="A137" s="1">
        <v>2010</v>
      </c>
      <c r="B137" s="7">
        <f>(K77*($E77/365))+(K78*($E78/365))</f>
        <v>25</v>
      </c>
      <c r="C137" s="7">
        <f>(L77*($E77/365))+(L78*($E78/365))</f>
        <v>0</v>
      </c>
      <c r="D137" s="7">
        <f>(M77*($E77/365))+(M78*($E78/365))</f>
        <v>45.776255707762559</v>
      </c>
      <c r="E137" s="64">
        <f t="shared" si="35"/>
        <v>70.776255707762559</v>
      </c>
      <c r="G137" s="1">
        <v>2010</v>
      </c>
      <c r="H137" s="989">
        <f>(O77/$R77*100*($E77/365))+(O78/$R78*100*($E78/365))</f>
        <v>36.995771859319419</v>
      </c>
      <c r="I137" s="989"/>
      <c r="J137" s="989">
        <f>(P77/$R77*100*($E77/365))+(P78/$R78*100*($E78/365))</f>
        <v>0</v>
      </c>
      <c r="K137" s="989"/>
      <c r="L137" s="989">
        <f>(Q77/$R77*100*($E77/365))+(Q78/$R78*100*($E78/365))</f>
        <v>63.004228140680581</v>
      </c>
      <c r="M137" s="989"/>
      <c r="N137" s="959">
        <f t="shared" si="34"/>
        <v>100</v>
      </c>
      <c r="O137" s="959"/>
      <c r="R137" s="1">
        <v>2010</v>
      </c>
      <c r="S137" s="7">
        <f>(O77*($E77/365))+(O78*($E78/365))</f>
        <v>19.600000000000001</v>
      </c>
      <c r="T137" s="7">
        <f>(P77*($E77/365))+(P78*($E78/365))</f>
        <v>0</v>
      </c>
      <c r="U137" s="7">
        <f>(Q77*($E77/365))+(Q78*($E78/365))</f>
        <v>33.563013698630137</v>
      </c>
      <c r="W137" s="14">
        <f t="shared" si="36"/>
        <v>53.163013698630138</v>
      </c>
    </row>
    <row r="138" spans="1:23" ht="9" customHeight="1">
      <c r="A138" s="1">
        <v>2011</v>
      </c>
      <c r="B138" s="7">
        <f>(K79*($E79/365))+(K80*($E80/365))+(K81*($E81/365))</f>
        <v>14.794520547945206</v>
      </c>
      <c r="C138" s="7">
        <f>(L79*($E79/365))+(L80*($E80/365))+(L81*($E81/365))</f>
        <v>0</v>
      </c>
      <c r="D138" s="7">
        <f>(M79*($E79/365))+(M80*($E80/365))+(M81*($E81/365))</f>
        <v>43.37899543378996</v>
      </c>
      <c r="E138" s="64">
        <f t="shared" si="35"/>
        <v>58.173515981735164</v>
      </c>
      <c r="G138" s="1">
        <v>2011</v>
      </c>
      <c r="H138" s="989">
        <f>(O79/$R79*100*($E79/365))+(O80/$R80*100*($E80/365))+(O81/$R81*100*($E81/365))</f>
        <v>21.261519302615191</v>
      </c>
      <c r="I138" s="989"/>
      <c r="J138" s="989">
        <f>(P79/$R79*100*($E79/365))+(P80/$R80*100*($E80/365))+(P81/$R81*100*($E81/365))</f>
        <v>0</v>
      </c>
      <c r="K138" s="989"/>
      <c r="L138" s="989">
        <f>(Q79/$R79*100*($E79/365))+(Q80/$R80*100*($E80/365))+(Q81/$R81*100*($E81/365))</f>
        <v>78.738480697384801</v>
      </c>
      <c r="M138" s="989"/>
      <c r="N138" s="959">
        <f t="shared" si="34"/>
        <v>100</v>
      </c>
      <c r="O138" s="959"/>
      <c r="R138" s="1">
        <v>2011</v>
      </c>
      <c r="S138" s="7">
        <f>(O79*($E79/365))+(O80*($E80/365))+(O81*($E81/365))</f>
        <v>10.879726027397261</v>
      </c>
      <c r="T138" s="7">
        <f>(P79*($E79/365))+(P80*($E80/365))+(P81*($E81/365))</f>
        <v>0</v>
      </c>
      <c r="U138" s="7">
        <f>(Q79*($E79/365))+(Q80*($E80/365))+(Q81*($E81/365))</f>
        <v>33.204657534246579</v>
      </c>
      <c r="W138" s="14">
        <f t="shared" si="36"/>
        <v>44.08438356164384</v>
      </c>
    </row>
    <row r="139" spans="1:23" ht="9" customHeight="1">
      <c r="A139" s="1">
        <v>2012</v>
      </c>
      <c r="B139" s="7">
        <f>(K82*($E82/366))+(K83*($E83/366))+(K84*($E84/366))</f>
        <v>0</v>
      </c>
      <c r="C139" s="7">
        <f>(L82*($E82/366))+(L83*($E83/366))+(L84*($E84/366))</f>
        <v>0</v>
      </c>
      <c r="D139" s="7">
        <f>(M82*($E82/366))+(M83*($E83/366))+(M84*($E84/366))</f>
        <v>33.424408014571945</v>
      </c>
      <c r="E139" s="64">
        <f t="shared" si="35"/>
        <v>33.424408014571945</v>
      </c>
      <c r="G139" s="1">
        <v>2012</v>
      </c>
      <c r="H139" s="989">
        <f>(O82/$R82*100*($E82/366))+(O83/$R83*100*($E83/366))+(O84/$R84*100*($E84/366))</f>
        <v>0</v>
      </c>
      <c r="I139" s="989"/>
      <c r="J139" s="989">
        <f>(P82/$R82*100*($E82/366))+(P83/$R83*100*($E83/366))+(P84/$R84*100*($E84/366))</f>
        <v>0</v>
      </c>
      <c r="K139" s="989"/>
      <c r="L139" s="989">
        <f>(Q82/$R82*100*($E82/366))+(Q83/$R83*100*($E83/366))+(Q84/$R84*100*($E84/366))</f>
        <v>99.999999999999986</v>
      </c>
      <c r="M139" s="989"/>
      <c r="N139" s="959">
        <f t="shared" si="34"/>
        <v>99.999999999999986</v>
      </c>
      <c r="O139" s="959"/>
      <c r="R139" s="1">
        <v>2012</v>
      </c>
      <c r="S139" s="7">
        <f>(O82*($E82/366))+(O83*($E83/366))+(O84*($E84/366))</f>
        <v>0</v>
      </c>
      <c r="T139" s="7">
        <f>(P82*($E82/366))+(P83*($E83/366))+(P84*($E84/366))</f>
        <v>0</v>
      </c>
      <c r="U139" s="7">
        <f>(Q82*($E82/366))+(Q83*($E83/366))+(Q84*($E84/366))</f>
        <v>33.9</v>
      </c>
      <c r="W139" s="14">
        <f t="shared" si="36"/>
        <v>33.9</v>
      </c>
    </row>
    <row r="140" spans="1:23" ht="9" customHeight="1">
      <c r="A140" s="1">
        <v>2013</v>
      </c>
      <c r="B140" s="7">
        <f>(K85*($E85/365))+(K86*($E86/365))+(K87*($E87/365))</f>
        <v>83.333333333333343</v>
      </c>
      <c r="C140" s="7">
        <f>(L85*($E85/365))+(L86*($E86/365))+(L87*($E87/365))</f>
        <v>0</v>
      </c>
      <c r="D140" s="7">
        <f>(M85*($E85/365))+(M86*($E86/365))+(M87*($E87/365))</f>
        <v>3.9726027397260277</v>
      </c>
      <c r="E140" s="315">
        <f t="shared" ref="E140:E145" si="37">SUM(B140:D140)</f>
        <v>87.305936073059371</v>
      </c>
      <c r="G140" s="1">
        <v>2013</v>
      </c>
      <c r="H140" s="989">
        <f>(O85/$R85*100*($E85/365))+(O86/$R86*100*($E86/365))+(O87/$R87*100*($E87/365))</f>
        <v>84.109589041095902</v>
      </c>
      <c r="I140" s="989"/>
      <c r="J140" s="989">
        <f>(P85/$R85*100*($E85/365))+(P86/$R86*100*($E86/365))+(P87/$R87*100*($E87/365))</f>
        <v>0</v>
      </c>
      <c r="K140" s="989"/>
      <c r="L140" s="989">
        <f>(Q85/$R85*100*($E85/365))+(Q86/$R86*100*($E86/365))+(Q87/$R87*100*($E87/365))</f>
        <v>15.890410958904111</v>
      </c>
      <c r="M140" s="989"/>
      <c r="N140" s="959">
        <f t="shared" si="34"/>
        <v>100.00000000000001</v>
      </c>
      <c r="O140" s="959"/>
      <c r="R140" s="1">
        <v>2013</v>
      </c>
      <c r="S140" s="7">
        <f>(O85*($E85/365))+(O86*($E86/365))+(O87*($E87/365))</f>
        <v>45.082739726027398</v>
      </c>
      <c r="T140" s="7">
        <f>(P85*($E85/365))+(P86*($E86/365))+(P87*($E87/365))</f>
        <v>0</v>
      </c>
      <c r="U140" s="7">
        <f>(Q85*($E85/365))+(Q86*($E86/365))+(Q87*($E87/365))</f>
        <v>5.3868493150684937</v>
      </c>
      <c r="W140" s="14">
        <f t="shared" ref="W140:W145" si="38">SUM(S140:U140)</f>
        <v>50.469589041095894</v>
      </c>
    </row>
    <row r="141" spans="1:23" ht="9" customHeight="1">
      <c r="A141" s="1">
        <v>2014</v>
      </c>
      <c r="B141" s="7">
        <f>(K88*($E88/365))+(K89*($E89/365))+(K90*($E90/365))</f>
        <v>72.990867579908667</v>
      </c>
      <c r="C141" s="7">
        <f>(L88*($E88/365))+(L89*($E89/365))+(L90*($E90/365))</f>
        <v>0</v>
      </c>
      <c r="D141" s="7">
        <f>(M88*($E88/365))+(M89*($E89/365))+(M90*($E90/365))</f>
        <v>0</v>
      </c>
      <c r="E141" s="521">
        <f t="shared" si="37"/>
        <v>72.990867579908667</v>
      </c>
      <c r="G141" s="1">
        <v>2014</v>
      </c>
      <c r="H141" s="989">
        <f>(O88/$R88*100*($E88/365))+(O89/$R89*100*($E89/365))+(O90/$R90*100*($E90/365))</f>
        <v>100</v>
      </c>
      <c r="I141" s="989"/>
      <c r="J141" s="989">
        <f>(P88/$R88*100*($E88/365))+(P89/$R89*100*($E89/365))+(P90/$R90*100*($E90/365))</f>
        <v>0</v>
      </c>
      <c r="K141" s="989"/>
      <c r="L141" s="989">
        <f>(Q88/$R88*100*($E88/365))+(Q89/$R89*100*($E89/365))+(Q90/$R90*100*($E90/365))</f>
        <v>0</v>
      </c>
      <c r="M141" s="989"/>
      <c r="N141" s="959">
        <f t="shared" si="34"/>
        <v>100</v>
      </c>
      <c r="O141" s="959"/>
      <c r="R141" s="1">
        <v>2014</v>
      </c>
      <c r="S141" s="7">
        <f>(O88*($E88/365))+(O89*($E89/365))+(O90*($E90/365))</f>
        <v>40.675890410958907</v>
      </c>
      <c r="T141" s="7">
        <f>(P88*($E88/365))+(P89*($E89/365))+(P90*($E90/365))</f>
        <v>0</v>
      </c>
      <c r="U141" s="7">
        <f>(Q88*($E88/365))+(Q89*($E89/365))+(Q90*($E90/365))</f>
        <v>0</v>
      </c>
      <c r="W141" s="14">
        <f t="shared" si="38"/>
        <v>40.675890410958907</v>
      </c>
    </row>
    <row r="142" spans="1:23" s="706" customFormat="1" ht="9" customHeight="1">
      <c r="A142" s="706">
        <v>2015</v>
      </c>
      <c r="B142" s="704">
        <f>(K91*($E91/365))+(K92*($E92/365))</f>
        <v>75</v>
      </c>
      <c r="C142" s="704">
        <f>(L91*($E91/365))+(L92*($E92/365))</f>
        <v>0</v>
      </c>
      <c r="D142" s="704">
        <f>(M91*($E91/365))+(M92*($E92/365))</f>
        <v>0</v>
      </c>
      <c r="E142" s="701">
        <f t="shared" si="37"/>
        <v>75</v>
      </c>
      <c r="G142" s="706">
        <v>2015</v>
      </c>
      <c r="H142" s="989">
        <f>(O91/$R91*100*($E91/365))+(O92/$R92*100*($E92/365))</f>
        <v>100</v>
      </c>
      <c r="I142" s="989"/>
      <c r="J142" s="989">
        <f>(P91/$R91*100*($E91/365))+(P92/$R92*100*($E92/365))</f>
        <v>0</v>
      </c>
      <c r="K142" s="989"/>
      <c r="L142" s="989">
        <f>(Q91/$R91*100*($E91/365))+(Q92/$R92*100*($E92/365))</f>
        <v>0</v>
      </c>
      <c r="M142" s="989"/>
      <c r="N142" s="959">
        <f>H142+J142+L142</f>
        <v>100</v>
      </c>
      <c r="O142" s="959"/>
      <c r="R142" s="706">
        <v>2015</v>
      </c>
      <c r="S142" s="704">
        <f>(O91*($E91/365))+(O92*($E92/365))</f>
        <v>37.5</v>
      </c>
      <c r="T142" s="704">
        <f>(P91*($E91/365))+(P92*($E92/365))</f>
        <v>0</v>
      </c>
      <c r="U142" s="704">
        <f>(Q91*($E91/365))+(Q92*($E92/365))</f>
        <v>0</v>
      </c>
      <c r="W142" s="705">
        <f t="shared" si="38"/>
        <v>37.5</v>
      </c>
    </row>
    <row r="143" spans="1:23" s="706" customFormat="1" ht="9" customHeight="1">
      <c r="A143" s="706">
        <v>2016</v>
      </c>
      <c r="B143" s="910">
        <f>(K93*($E93/366))+(K94*($E94/366))</f>
        <v>68.032786885245898</v>
      </c>
      <c r="C143" s="910">
        <f t="shared" ref="C143:D143" si="39">(L93*($E93/366))+(L94*($E94/366))</f>
        <v>0</v>
      </c>
      <c r="D143" s="910">
        <f t="shared" si="39"/>
        <v>0</v>
      </c>
      <c r="E143" s="795">
        <f t="shared" si="37"/>
        <v>68.032786885245898</v>
      </c>
      <c r="F143" s="797"/>
      <c r="G143" s="797">
        <v>2016</v>
      </c>
      <c r="H143" s="989">
        <f>(O93/$R93*100*($E93/366))+(O94/$R94*100*($E94/366))</f>
        <v>100</v>
      </c>
      <c r="I143" s="989"/>
      <c r="J143" s="989">
        <f>(P93/$R93*100*($E93/366))+(P94/$R94*100*($E94/366))</f>
        <v>0</v>
      </c>
      <c r="K143" s="989"/>
      <c r="L143" s="989">
        <f>(Q93/$R93*100*($E93/366))+(Q94/$R94*100*($E94/366))</f>
        <v>0</v>
      </c>
      <c r="M143" s="989"/>
      <c r="N143" s="959">
        <f>H143+J143+L143</f>
        <v>100</v>
      </c>
      <c r="O143" s="959"/>
      <c r="P143" s="797"/>
      <c r="Q143" s="797"/>
      <c r="R143" s="797">
        <v>2016</v>
      </c>
      <c r="S143" s="910">
        <f>(O93*($E93/366))+(O94*($E94/366))</f>
        <v>37.5</v>
      </c>
      <c r="T143" s="910">
        <f t="shared" ref="T143:U143" si="40">(P93*($E93/366))+(P94*($E94/366))</f>
        <v>0</v>
      </c>
      <c r="U143" s="910">
        <f t="shared" si="40"/>
        <v>0</v>
      </c>
      <c r="V143" s="797"/>
      <c r="W143" s="796">
        <f t="shared" si="38"/>
        <v>37.5</v>
      </c>
    </row>
    <row r="144" spans="1:23">
      <c r="A144" s="912">
        <v>2017</v>
      </c>
      <c r="B144" s="910">
        <f>(K95*($E95/365))+(K96*($E96/365))</f>
        <v>66.666666666666657</v>
      </c>
      <c r="C144" s="910">
        <f>(L95*($E95/365))+(L96*($E96/365))</f>
        <v>0</v>
      </c>
      <c r="D144" s="910">
        <f>(M95*($E95/365))+(M96*($E96/365))</f>
        <v>0</v>
      </c>
      <c r="E144" s="908">
        <f t="shared" si="37"/>
        <v>66.666666666666657</v>
      </c>
      <c r="F144" s="912"/>
      <c r="G144" s="912">
        <v>2017</v>
      </c>
      <c r="H144" s="989">
        <f>(O95/$R95*100*($E95/365))+(O96/$R96*100*($E96/365))</f>
        <v>100</v>
      </c>
      <c r="I144" s="989"/>
      <c r="J144" s="989">
        <f>(P95/$R95*100*($E95/365))+(P96/$R96*100*($E96/365))</f>
        <v>0</v>
      </c>
      <c r="K144" s="989"/>
      <c r="L144" s="989">
        <f>(Q95/$R95*100*($E95/365))+(Q96/$R96*100*($E96/365))</f>
        <v>0</v>
      </c>
      <c r="M144" s="989"/>
      <c r="N144" s="959">
        <f>H144+J144+L144</f>
        <v>100</v>
      </c>
      <c r="O144" s="959"/>
      <c r="P144" s="912"/>
      <c r="Q144" s="912"/>
      <c r="R144" s="912">
        <v>2017</v>
      </c>
      <c r="S144" s="910">
        <f>(O95*($E95/365))+(O96*($E96/365))</f>
        <v>37.5</v>
      </c>
      <c r="T144" s="910">
        <f>(P95*($E95/365))+(P96*($E96/365))</f>
        <v>0</v>
      </c>
      <c r="U144" s="910">
        <f>(Q95*($E95/365))+(Q96*($E96/365))</f>
        <v>0</v>
      </c>
      <c r="V144" s="912"/>
      <c r="W144" s="911">
        <f t="shared" si="38"/>
        <v>37.5</v>
      </c>
    </row>
    <row r="145" spans="1:23">
      <c r="A145" s="939">
        <v>2018</v>
      </c>
      <c r="B145" s="935">
        <f>(K97*($E97/365))+(K98*($E98/365))</f>
        <v>52.694063926940643</v>
      </c>
      <c r="C145" s="935">
        <f>(L97*($E97/365))+(L98*($E98/365))</f>
        <v>0</v>
      </c>
      <c r="D145" s="935">
        <f>(M97*($E97/365))+(M98*($E98/365))</f>
        <v>0</v>
      </c>
      <c r="E145" s="931">
        <f t="shared" si="37"/>
        <v>52.694063926940643</v>
      </c>
      <c r="F145" s="939"/>
      <c r="G145" s="939">
        <v>2018</v>
      </c>
      <c r="H145" s="989">
        <f>(O97/$R97*100*($E97/365))+(O98/$R98*100*($E98/365))</f>
        <v>100</v>
      </c>
      <c r="I145" s="989"/>
      <c r="J145" s="989">
        <f>(P97/$R97*100*($E97/365))+(P98/$R98*100*($E98/365))</f>
        <v>0</v>
      </c>
      <c r="K145" s="989"/>
      <c r="L145" s="989">
        <f>(Q97/$R97*100*($E97/365))+(Q98/$R98*100*($E98/365))</f>
        <v>0</v>
      </c>
      <c r="M145" s="989"/>
      <c r="N145" s="959">
        <f>H145+J145+L145</f>
        <v>100</v>
      </c>
      <c r="O145" s="959"/>
      <c r="P145" s="939"/>
      <c r="Q145" s="939"/>
      <c r="R145" s="939">
        <v>2018</v>
      </c>
      <c r="S145" s="935">
        <f>(O97*($E97/365))+(O98*($E98/365))</f>
        <v>32.97287671232877</v>
      </c>
      <c r="T145" s="935">
        <f>(P97*($E97/365))+(P98*($E98/365))</f>
        <v>0</v>
      </c>
      <c r="U145" s="935">
        <f>(Q97*($E97/365))+(Q98*($E98/365))</f>
        <v>0</v>
      </c>
      <c r="V145" s="939"/>
      <c r="W145" s="936">
        <f t="shared" si="38"/>
        <v>32.97287671232877</v>
      </c>
    </row>
    <row r="146" spans="1:23">
      <c r="A146" s="939"/>
      <c r="F146" s="939"/>
      <c r="G146" s="939"/>
      <c r="P146" s="939"/>
      <c r="Q146" s="939"/>
      <c r="R146" s="939"/>
    </row>
  </sheetData>
  <mergeCells count="291">
    <mergeCell ref="H143:I143"/>
    <mergeCell ref="J143:K143"/>
    <mergeCell ref="L143:M143"/>
    <mergeCell ref="N143:O143"/>
    <mergeCell ref="H142:I142"/>
    <mergeCell ref="J142:K142"/>
    <mergeCell ref="L142:M142"/>
    <mergeCell ref="N142:O142"/>
    <mergeCell ref="C77:D77"/>
    <mergeCell ref="J108:K108"/>
    <mergeCell ref="J109:K109"/>
    <mergeCell ref="C91:D91"/>
    <mergeCell ref="C92:D92"/>
    <mergeCell ref="J127:K127"/>
    <mergeCell ref="J128:K128"/>
    <mergeCell ref="J129:K129"/>
    <mergeCell ref="J126:K126"/>
    <mergeCell ref="L104:M104"/>
    <mergeCell ref="L117:M117"/>
    <mergeCell ref="L118:M118"/>
    <mergeCell ref="J118:K118"/>
    <mergeCell ref="J119:K119"/>
    <mergeCell ref="J120:K120"/>
    <mergeCell ref="H114:I114"/>
    <mergeCell ref="AT4:AW4"/>
    <mergeCell ref="AX4:BA4"/>
    <mergeCell ref="C85:D85"/>
    <mergeCell ref="C86:D86"/>
    <mergeCell ref="C87:D87"/>
    <mergeCell ref="C39:D39"/>
    <mergeCell ref="C40:D40"/>
    <mergeCell ref="Z4:AC4"/>
    <mergeCell ref="AD4:AG4"/>
    <mergeCell ref="AH4:AK4"/>
    <mergeCell ref="AL4:AO4"/>
    <mergeCell ref="U4:U5"/>
    <mergeCell ref="V4:Y4"/>
    <mergeCell ref="AP4:AS4"/>
    <mergeCell ref="S4:S5"/>
    <mergeCell ref="T4:T5"/>
    <mergeCell ref="C41:D41"/>
    <mergeCell ref="C42:D42"/>
    <mergeCell ref="C43:D43"/>
    <mergeCell ref="C69:D69"/>
    <mergeCell ref="C80:D80"/>
    <mergeCell ref="C52:D52"/>
    <mergeCell ref="C53:D53"/>
    <mergeCell ref="C54:D54"/>
    <mergeCell ref="J111:K111"/>
    <mergeCell ref="C78:D78"/>
    <mergeCell ref="C68:D68"/>
    <mergeCell ref="C70:D70"/>
    <mergeCell ref="C71:D71"/>
    <mergeCell ref="C72:D72"/>
    <mergeCell ref="C67:D67"/>
    <mergeCell ref="C66:D66"/>
    <mergeCell ref="C58:D58"/>
    <mergeCell ref="H111:I111"/>
    <mergeCell ref="H104:I104"/>
    <mergeCell ref="J104:K104"/>
    <mergeCell ref="C62:D62"/>
    <mergeCell ref="C88:D88"/>
    <mergeCell ref="C89:D89"/>
    <mergeCell ref="C90:D90"/>
    <mergeCell ref="C94:D94"/>
    <mergeCell ref="C97:D97"/>
    <mergeCell ref="C98:D98"/>
    <mergeCell ref="L114:M114"/>
    <mergeCell ref="L121:M121"/>
    <mergeCell ref="L122:M122"/>
    <mergeCell ref="H120:I120"/>
    <mergeCell ref="J117:K117"/>
    <mergeCell ref="J125:K125"/>
    <mergeCell ref="L123:M123"/>
    <mergeCell ref="H121:I121"/>
    <mergeCell ref="H122:I122"/>
    <mergeCell ref="H123:I123"/>
    <mergeCell ref="H124:I124"/>
    <mergeCell ref="J124:K124"/>
    <mergeCell ref="H116:I116"/>
    <mergeCell ref="J116:K116"/>
    <mergeCell ref="L108:M108"/>
    <mergeCell ref="N122:O122"/>
    <mergeCell ref="N123:O123"/>
    <mergeCell ref="N124:O124"/>
    <mergeCell ref="L125:M125"/>
    <mergeCell ref="L126:M126"/>
    <mergeCell ref="N125:O125"/>
    <mergeCell ref="N114:O114"/>
    <mergeCell ref="N117:O117"/>
    <mergeCell ref="N118:O118"/>
    <mergeCell ref="N119:O119"/>
    <mergeCell ref="N120:O120"/>
    <mergeCell ref="L115:M115"/>
    <mergeCell ref="L116:M116"/>
    <mergeCell ref="N126:O126"/>
    <mergeCell ref="N116:O116"/>
    <mergeCell ref="L119:M119"/>
    <mergeCell ref="L124:M124"/>
    <mergeCell ref="L120:M120"/>
    <mergeCell ref="N121:O121"/>
    <mergeCell ref="L109:M109"/>
    <mergeCell ref="N115:O115"/>
    <mergeCell ref="N108:O108"/>
    <mergeCell ref="N109:O109"/>
    <mergeCell ref="N139:O139"/>
    <mergeCell ref="L131:M131"/>
    <mergeCell ref="L132:M132"/>
    <mergeCell ref="L127:M127"/>
    <mergeCell ref="L128:M128"/>
    <mergeCell ref="N137:O137"/>
    <mergeCell ref="N138:O138"/>
    <mergeCell ref="N135:O135"/>
    <mergeCell ref="N136:O136"/>
    <mergeCell ref="L135:M135"/>
    <mergeCell ref="L136:M136"/>
    <mergeCell ref="L129:M129"/>
    <mergeCell ref="L130:M130"/>
    <mergeCell ref="L137:M137"/>
    <mergeCell ref="L139:M139"/>
    <mergeCell ref="N127:O127"/>
    <mergeCell ref="N134:O134"/>
    <mergeCell ref="N128:O128"/>
    <mergeCell ref="N129:O129"/>
    <mergeCell ref="N130:O130"/>
    <mergeCell ref="N131:O131"/>
    <mergeCell ref="N132:O132"/>
    <mergeCell ref="N133:O133"/>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33:D33"/>
    <mergeCell ref="C34:D34"/>
    <mergeCell ref="C29:D29"/>
    <mergeCell ref="C30:D30"/>
    <mergeCell ref="C31:D31"/>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H141:I141"/>
    <mergeCell ref="H107:I107"/>
    <mergeCell ref="H108:I108"/>
    <mergeCell ref="H109:I109"/>
    <mergeCell ref="H110:I110"/>
    <mergeCell ref="J140:K140"/>
    <mergeCell ref="C50:D50"/>
    <mergeCell ref="C51:D51"/>
    <mergeCell ref="C59:D59"/>
    <mergeCell ref="C60:D60"/>
    <mergeCell ref="C83:D83"/>
    <mergeCell ref="J107:K107"/>
    <mergeCell ref="J110:K110"/>
    <mergeCell ref="C75:D75"/>
    <mergeCell ref="C76:D76"/>
    <mergeCell ref="C79:D79"/>
    <mergeCell ref="C73:D73"/>
    <mergeCell ref="C74:D74"/>
    <mergeCell ref="C81:D81"/>
    <mergeCell ref="C84:D84"/>
    <mergeCell ref="C82:D82"/>
    <mergeCell ref="C93:D93"/>
    <mergeCell ref="C95:D95"/>
    <mergeCell ref="C96:D96"/>
    <mergeCell ref="N140:O140"/>
    <mergeCell ref="H140:I140"/>
    <mergeCell ref="H105:I105"/>
    <mergeCell ref="J105:K105"/>
    <mergeCell ref="L105:M105"/>
    <mergeCell ref="N105:O105"/>
    <mergeCell ref="H106:I106"/>
    <mergeCell ref="J106:K106"/>
    <mergeCell ref="L106:M106"/>
    <mergeCell ref="N106:O106"/>
    <mergeCell ref="L140:M140"/>
    <mergeCell ref="H117:I117"/>
    <mergeCell ref="H118:I118"/>
    <mergeCell ref="N110:O110"/>
    <mergeCell ref="N111:O111"/>
    <mergeCell ref="L111:M111"/>
    <mergeCell ref="N112:O112"/>
    <mergeCell ref="L112:M112"/>
    <mergeCell ref="N113:O113"/>
    <mergeCell ref="L110:M110"/>
    <mergeCell ref="H139:I139"/>
    <mergeCell ref="J121:K121"/>
    <mergeCell ref="J122:K122"/>
    <mergeCell ref="J123:K123"/>
    <mergeCell ref="H112:I112"/>
    <mergeCell ref="J112:K112"/>
    <mergeCell ref="H113:I113"/>
    <mergeCell ref="J113:K113"/>
    <mergeCell ref="H125:I125"/>
    <mergeCell ref="H126:I126"/>
    <mergeCell ref="H135:I135"/>
    <mergeCell ref="H136:I136"/>
    <mergeCell ref="J134:K134"/>
    <mergeCell ref="J135:K135"/>
    <mergeCell ref="H115:I115"/>
    <mergeCell ref="J115:K115"/>
    <mergeCell ref="H133:I133"/>
    <mergeCell ref="H134:I134"/>
    <mergeCell ref="J114:K114"/>
    <mergeCell ref="J133:K133"/>
    <mergeCell ref="J136:K136"/>
    <mergeCell ref="H127:I127"/>
    <mergeCell ref="H128:I128"/>
    <mergeCell ref="H129:I129"/>
    <mergeCell ref="H130:I130"/>
    <mergeCell ref="H131:I131"/>
    <mergeCell ref="H132:I132"/>
    <mergeCell ref="J139:K139"/>
    <mergeCell ref="H119:I119"/>
    <mergeCell ref="J137:K137"/>
    <mergeCell ref="H137:I137"/>
    <mergeCell ref="J138:K138"/>
    <mergeCell ref="J130:K130"/>
    <mergeCell ref="J131:K131"/>
    <mergeCell ref="J132:K132"/>
    <mergeCell ref="L134:M134"/>
    <mergeCell ref="H138:I138"/>
    <mergeCell ref="V35:Y35"/>
    <mergeCell ref="V36:Y36"/>
    <mergeCell ref="V37:Y37"/>
    <mergeCell ref="V38:Y38"/>
    <mergeCell ref="C11:D11"/>
    <mergeCell ref="C12:D12"/>
    <mergeCell ref="C14:D14"/>
    <mergeCell ref="C15:D15"/>
    <mergeCell ref="C23:D23"/>
    <mergeCell ref="C26:D26"/>
    <mergeCell ref="C27:D27"/>
    <mergeCell ref="C28:D28"/>
    <mergeCell ref="C32:D32"/>
    <mergeCell ref="H145:I145"/>
    <mergeCell ref="J145:K145"/>
    <mergeCell ref="L145:M145"/>
    <mergeCell ref="N145:O145"/>
    <mergeCell ref="H144:I144"/>
    <mergeCell ref="J144:K144"/>
    <mergeCell ref="L144:M144"/>
    <mergeCell ref="N144:O144"/>
    <mergeCell ref="V33:Y33"/>
    <mergeCell ref="V34:Y34"/>
    <mergeCell ref="V39:Y39"/>
    <mergeCell ref="V40:Y40"/>
    <mergeCell ref="V41:Y41"/>
    <mergeCell ref="V42:Y42"/>
    <mergeCell ref="L107:M107"/>
    <mergeCell ref="R102:W102"/>
    <mergeCell ref="N104:O104"/>
    <mergeCell ref="N107:O107"/>
    <mergeCell ref="J141:K141"/>
    <mergeCell ref="L141:M141"/>
    <mergeCell ref="N141:O141"/>
    <mergeCell ref="L113:M113"/>
    <mergeCell ref="L138:M138"/>
    <mergeCell ref="L133:M133"/>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107"/>
  <sheetViews>
    <sheetView zoomScale="184" zoomScaleNormal="120" workbookViewId="0">
      <pane xSplit="1" ySplit="5" topLeftCell="B60" activePane="bottomRight" state="frozen"/>
      <selection pane="topRight" activeCell="B1" sqref="B1"/>
      <selection pane="bottomLeft" activeCell="A6" sqref="A6"/>
      <selection pane="bottomRight" activeCell="W107" sqref="W10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138</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73">
        <v>1990</v>
      </c>
      <c r="B6" s="85"/>
      <c r="C6" s="1005" t="s">
        <v>1277</v>
      </c>
      <c r="D6" s="1005"/>
      <c r="E6" s="73">
        <v>176</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c r="A7" s="334">
        <v>1990</v>
      </c>
      <c r="B7" s="355">
        <v>33050</v>
      </c>
      <c r="C7" s="992" t="s">
        <v>1067</v>
      </c>
      <c r="D7" s="992"/>
      <c r="E7" s="334">
        <v>189</v>
      </c>
      <c r="F7" s="334" t="s">
        <v>345</v>
      </c>
      <c r="G7" s="497">
        <v>10</v>
      </c>
      <c r="H7" s="532">
        <v>3</v>
      </c>
      <c r="I7" s="532"/>
      <c r="J7" s="499">
        <v>21</v>
      </c>
      <c r="K7" s="495">
        <f t="shared" ref="K7:K37" si="0">G7/J7*100</f>
        <v>47.619047619047613</v>
      </c>
      <c r="L7" s="495">
        <f t="shared" ref="L7:L37" si="1">H7/J7*100</f>
        <v>14.285714285714285</v>
      </c>
      <c r="M7" s="495">
        <f t="shared" ref="M7:M37" si="2">I7/J7*100</f>
        <v>0</v>
      </c>
      <c r="N7" s="498">
        <f t="shared" ref="N7:N37" si="3">SUM(K7:M7)</f>
        <v>61.904761904761898</v>
      </c>
      <c r="O7" s="494">
        <v>63</v>
      </c>
      <c r="P7" s="495">
        <v>20</v>
      </c>
      <c r="Q7" s="495"/>
      <c r="R7" s="496">
        <f t="shared" ref="R7:R57" si="4">SUM(O7:Q7)</f>
        <v>83</v>
      </c>
      <c r="S7" s="334">
        <v>3</v>
      </c>
      <c r="T7" s="342">
        <v>33033</v>
      </c>
      <c r="U7" s="355">
        <v>33050</v>
      </c>
      <c r="V7" s="343" t="s">
        <v>1081</v>
      </c>
      <c r="W7" s="334" t="s">
        <v>22</v>
      </c>
      <c r="X7" s="334" t="s">
        <v>11</v>
      </c>
      <c r="Y7" s="344">
        <v>63</v>
      </c>
      <c r="Z7" s="334" t="s">
        <v>1082</v>
      </c>
      <c r="AA7" s="334" t="s">
        <v>1083</v>
      </c>
      <c r="AB7" s="334" t="s">
        <v>18</v>
      </c>
      <c r="AC7" s="334">
        <v>11</v>
      </c>
      <c r="AD7" s="343" t="s">
        <v>1084</v>
      </c>
      <c r="AE7" s="334" t="s">
        <v>17</v>
      </c>
      <c r="AF7" s="334" t="s">
        <v>18</v>
      </c>
      <c r="AG7" s="344">
        <v>9</v>
      </c>
      <c r="AL7" s="343"/>
      <c r="AO7" s="344"/>
      <c r="AP7" s="343"/>
      <c r="AS7" s="344"/>
      <c r="AW7" s="344"/>
      <c r="BA7" s="345"/>
    </row>
    <row r="8" spans="1:53" s="334" customFormat="1">
      <c r="A8" s="334">
        <v>1991</v>
      </c>
      <c r="B8" s="355"/>
      <c r="C8" s="992" t="s">
        <v>1067</v>
      </c>
      <c r="D8" s="992"/>
      <c r="E8" s="334">
        <v>0</v>
      </c>
      <c r="G8" s="497">
        <v>10</v>
      </c>
      <c r="H8" s="532">
        <v>3</v>
      </c>
      <c r="I8" s="532"/>
      <c r="J8" s="499">
        <v>21</v>
      </c>
      <c r="K8" s="495">
        <f t="shared" si="0"/>
        <v>47.619047619047613</v>
      </c>
      <c r="L8" s="495">
        <f t="shared" si="1"/>
        <v>14.285714285714285</v>
      </c>
      <c r="M8" s="495">
        <f t="shared" si="2"/>
        <v>0</v>
      </c>
      <c r="N8" s="498">
        <f t="shared" si="3"/>
        <v>61.904761904761898</v>
      </c>
      <c r="O8" s="494">
        <v>63</v>
      </c>
      <c r="P8" s="495">
        <v>20</v>
      </c>
      <c r="Q8" s="495"/>
      <c r="R8" s="496">
        <f t="shared" si="4"/>
        <v>83</v>
      </c>
      <c r="S8" s="334">
        <v>3</v>
      </c>
      <c r="T8" s="342"/>
      <c r="U8" s="355"/>
      <c r="V8" s="343" t="s">
        <v>1081</v>
      </c>
      <c r="W8" s="334" t="s">
        <v>22</v>
      </c>
      <c r="X8" s="334" t="s">
        <v>11</v>
      </c>
      <c r="Y8" s="344">
        <v>63</v>
      </c>
      <c r="Z8" s="334" t="s">
        <v>1082</v>
      </c>
      <c r="AA8" s="334" t="s">
        <v>1083</v>
      </c>
      <c r="AB8" s="334" t="s">
        <v>18</v>
      </c>
      <c r="AC8" s="334">
        <v>11</v>
      </c>
      <c r="AD8" s="343" t="s">
        <v>1084</v>
      </c>
      <c r="AE8" s="334" t="s">
        <v>17</v>
      </c>
      <c r="AF8" s="334" t="s">
        <v>18</v>
      </c>
      <c r="AG8" s="344">
        <v>9</v>
      </c>
      <c r="AL8" s="343"/>
      <c r="AO8" s="344"/>
      <c r="AP8" s="343"/>
      <c r="AS8" s="344"/>
      <c r="AW8" s="344"/>
      <c r="BA8" s="345"/>
    </row>
    <row r="9" spans="1:53" s="334" customFormat="1">
      <c r="A9" s="334">
        <v>1991</v>
      </c>
      <c r="B9" s="355"/>
      <c r="C9" s="992" t="s">
        <v>1067</v>
      </c>
      <c r="D9" s="992"/>
      <c r="E9" s="334">
        <v>365</v>
      </c>
      <c r="G9" s="497">
        <v>10</v>
      </c>
      <c r="H9" s="532">
        <v>3</v>
      </c>
      <c r="I9" s="532"/>
      <c r="J9" s="499">
        <v>21</v>
      </c>
      <c r="K9" s="495">
        <f t="shared" si="0"/>
        <v>47.619047619047613</v>
      </c>
      <c r="L9" s="495">
        <f t="shared" si="1"/>
        <v>14.285714285714285</v>
      </c>
      <c r="M9" s="495">
        <f t="shared" si="2"/>
        <v>0</v>
      </c>
      <c r="N9" s="498">
        <f t="shared" si="3"/>
        <v>61.904761904761898</v>
      </c>
      <c r="O9" s="494">
        <v>63</v>
      </c>
      <c r="P9" s="495">
        <v>20</v>
      </c>
      <c r="Q9" s="495"/>
      <c r="R9" s="496">
        <f t="shared" si="4"/>
        <v>83</v>
      </c>
      <c r="S9" s="334">
        <v>3</v>
      </c>
      <c r="T9" s="342"/>
      <c r="U9" s="355"/>
      <c r="V9" s="343" t="s">
        <v>1081</v>
      </c>
      <c r="W9" s="334" t="s">
        <v>22</v>
      </c>
      <c r="X9" s="334" t="s">
        <v>11</v>
      </c>
      <c r="Y9" s="344">
        <v>63</v>
      </c>
      <c r="Z9" s="334" t="s">
        <v>1082</v>
      </c>
      <c r="AA9" s="334" t="s">
        <v>1083</v>
      </c>
      <c r="AB9" s="334" t="s">
        <v>18</v>
      </c>
      <c r="AC9" s="334">
        <v>11</v>
      </c>
      <c r="AD9" s="343" t="s">
        <v>1084</v>
      </c>
      <c r="AE9" s="334" t="s">
        <v>17</v>
      </c>
      <c r="AF9" s="334" t="s">
        <v>18</v>
      </c>
      <c r="AG9" s="344">
        <v>9</v>
      </c>
      <c r="AL9" s="343"/>
      <c r="AO9" s="344"/>
      <c r="AP9" s="343"/>
      <c r="AS9" s="344"/>
      <c r="AW9" s="344"/>
      <c r="BA9" s="345"/>
    </row>
    <row r="10" spans="1:53" s="334" customFormat="1">
      <c r="A10" s="334">
        <v>1992</v>
      </c>
      <c r="B10" s="355"/>
      <c r="C10" s="992" t="s">
        <v>1067</v>
      </c>
      <c r="D10" s="992"/>
      <c r="E10" s="334">
        <v>184</v>
      </c>
      <c r="G10" s="497">
        <v>10</v>
      </c>
      <c r="H10" s="532">
        <v>3</v>
      </c>
      <c r="I10" s="532"/>
      <c r="J10" s="499">
        <v>21</v>
      </c>
      <c r="K10" s="495">
        <f t="shared" si="0"/>
        <v>47.619047619047613</v>
      </c>
      <c r="L10" s="495">
        <f t="shared" si="1"/>
        <v>14.285714285714285</v>
      </c>
      <c r="M10" s="495">
        <f t="shared" si="2"/>
        <v>0</v>
      </c>
      <c r="N10" s="498">
        <f t="shared" si="3"/>
        <v>61.904761904761898</v>
      </c>
      <c r="O10" s="494">
        <v>63</v>
      </c>
      <c r="P10" s="495">
        <v>20</v>
      </c>
      <c r="Q10" s="495"/>
      <c r="R10" s="496">
        <f t="shared" si="4"/>
        <v>83</v>
      </c>
      <c r="S10" s="334">
        <v>3</v>
      </c>
      <c r="T10" s="342"/>
      <c r="U10" s="355"/>
      <c r="V10" s="343" t="s">
        <v>1081</v>
      </c>
      <c r="W10" s="334" t="s">
        <v>22</v>
      </c>
      <c r="X10" s="334" t="s">
        <v>11</v>
      </c>
      <c r="Y10" s="344">
        <v>63</v>
      </c>
      <c r="Z10" s="334" t="s">
        <v>1082</v>
      </c>
      <c r="AA10" s="334" t="s">
        <v>1083</v>
      </c>
      <c r="AB10" s="334" t="s">
        <v>18</v>
      </c>
      <c r="AC10" s="334">
        <v>11</v>
      </c>
      <c r="AD10" s="343" t="s">
        <v>1084</v>
      </c>
      <c r="AE10" s="334" t="s">
        <v>17</v>
      </c>
      <c r="AF10" s="334" t="s">
        <v>18</v>
      </c>
      <c r="AG10" s="344">
        <v>9</v>
      </c>
      <c r="AL10" s="343"/>
      <c r="AO10" s="344"/>
      <c r="AP10" s="343"/>
      <c r="AS10" s="344"/>
      <c r="AW10" s="344"/>
      <c r="BA10" s="345"/>
    </row>
    <row r="11" spans="1:53" s="73" customFormat="1">
      <c r="A11" s="73">
        <v>1992</v>
      </c>
      <c r="B11" s="85">
        <v>33788</v>
      </c>
      <c r="C11" s="988" t="s">
        <v>1068</v>
      </c>
      <c r="D11" s="988"/>
      <c r="E11" s="73">
        <v>182</v>
      </c>
      <c r="F11" s="73">
        <v>1</v>
      </c>
      <c r="G11" s="480">
        <v>15</v>
      </c>
      <c r="H11" s="531">
        <v>4</v>
      </c>
      <c r="I11" s="531"/>
      <c r="J11" s="482">
        <v>19</v>
      </c>
      <c r="K11" s="477">
        <f t="shared" si="0"/>
        <v>78.94736842105263</v>
      </c>
      <c r="L11" s="477">
        <f t="shared" si="1"/>
        <v>21.052631578947366</v>
      </c>
      <c r="M11" s="477">
        <f t="shared" si="2"/>
        <v>0</v>
      </c>
      <c r="N11" s="481">
        <f t="shared" si="3"/>
        <v>100</v>
      </c>
      <c r="O11" s="476">
        <v>45</v>
      </c>
      <c r="P11" s="477">
        <v>7.5</v>
      </c>
      <c r="Q11" s="477"/>
      <c r="R11" s="478">
        <f t="shared" si="4"/>
        <v>52.5</v>
      </c>
      <c r="S11" s="73">
        <v>2</v>
      </c>
      <c r="T11" s="95">
        <v>33761</v>
      </c>
      <c r="U11" s="85">
        <v>33788</v>
      </c>
      <c r="V11" s="82" t="s">
        <v>1085</v>
      </c>
      <c r="W11" s="225" t="s">
        <v>74</v>
      </c>
      <c r="X11" s="225" t="s">
        <v>11</v>
      </c>
      <c r="Y11" s="83">
        <v>38</v>
      </c>
      <c r="Z11" s="82" t="s">
        <v>1084</v>
      </c>
      <c r="AA11" s="225" t="s">
        <v>17</v>
      </c>
      <c r="AB11" s="225" t="s">
        <v>18</v>
      </c>
      <c r="AC11" s="225">
        <v>7.5</v>
      </c>
      <c r="AD11" s="82" t="s">
        <v>1086</v>
      </c>
      <c r="AE11" s="225" t="s">
        <v>88</v>
      </c>
      <c r="AF11" s="225" t="s">
        <v>11</v>
      </c>
      <c r="AG11" s="83">
        <v>7</v>
      </c>
      <c r="AL11" s="82"/>
      <c r="AO11" s="83"/>
      <c r="AP11" s="82"/>
      <c r="AS11" s="83"/>
      <c r="AW11" s="83"/>
      <c r="BA11" s="84"/>
    </row>
    <row r="12" spans="1:53" s="73" customFormat="1">
      <c r="A12" s="73">
        <v>1993</v>
      </c>
      <c r="B12" s="85"/>
      <c r="C12" s="988" t="s">
        <v>1068</v>
      </c>
      <c r="D12" s="988"/>
      <c r="E12" s="73">
        <v>0</v>
      </c>
      <c r="G12" s="480">
        <v>15</v>
      </c>
      <c r="H12" s="531">
        <v>4</v>
      </c>
      <c r="I12" s="531"/>
      <c r="J12" s="482">
        <v>19</v>
      </c>
      <c r="K12" s="477">
        <f t="shared" si="0"/>
        <v>78.94736842105263</v>
      </c>
      <c r="L12" s="477">
        <f t="shared" si="1"/>
        <v>21.052631578947366</v>
      </c>
      <c r="M12" s="477">
        <f t="shared" si="2"/>
        <v>0</v>
      </c>
      <c r="N12" s="481">
        <f t="shared" si="3"/>
        <v>100</v>
      </c>
      <c r="O12" s="476">
        <v>45</v>
      </c>
      <c r="P12" s="477">
        <v>7.5</v>
      </c>
      <c r="Q12" s="477"/>
      <c r="R12" s="478">
        <f t="shared" si="4"/>
        <v>52.5</v>
      </c>
      <c r="S12" s="73">
        <v>2</v>
      </c>
      <c r="T12" s="95"/>
      <c r="U12" s="85"/>
      <c r="V12" s="82" t="s">
        <v>1085</v>
      </c>
      <c r="W12" s="225" t="s">
        <v>74</v>
      </c>
      <c r="X12" s="225" t="s">
        <v>11</v>
      </c>
      <c r="Y12" s="83">
        <v>38</v>
      </c>
      <c r="Z12" s="225" t="s">
        <v>1084</v>
      </c>
      <c r="AA12" s="225" t="s">
        <v>17</v>
      </c>
      <c r="AB12" s="225" t="s">
        <v>18</v>
      </c>
      <c r="AC12" s="225">
        <v>7.5</v>
      </c>
      <c r="AD12" s="82" t="s">
        <v>1086</v>
      </c>
      <c r="AE12" s="225" t="s">
        <v>88</v>
      </c>
      <c r="AF12" s="225" t="s">
        <v>11</v>
      </c>
      <c r="AG12" s="83">
        <v>7</v>
      </c>
      <c r="AL12" s="82"/>
      <c r="AO12" s="83"/>
      <c r="AP12" s="82"/>
      <c r="AS12" s="83"/>
      <c r="AW12" s="83"/>
      <c r="BA12" s="84"/>
    </row>
    <row r="13" spans="1:53" s="73" customFormat="1">
      <c r="A13" s="73">
        <v>1993</v>
      </c>
      <c r="B13" s="85"/>
      <c r="C13" s="988" t="s">
        <v>1068</v>
      </c>
      <c r="D13" s="988"/>
      <c r="E13" s="73">
        <v>365</v>
      </c>
      <c r="G13" s="480">
        <v>15</v>
      </c>
      <c r="H13" s="531">
        <v>4</v>
      </c>
      <c r="I13" s="531"/>
      <c r="J13" s="482">
        <v>19</v>
      </c>
      <c r="K13" s="477">
        <f t="shared" si="0"/>
        <v>78.94736842105263</v>
      </c>
      <c r="L13" s="477">
        <f t="shared" si="1"/>
        <v>21.052631578947366</v>
      </c>
      <c r="M13" s="477">
        <f t="shared" si="2"/>
        <v>0</v>
      </c>
      <c r="N13" s="481">
        <f t="shared" si="3"/>
        <v>100</v>
      </c>
      <c r="O13" s="476">
        <v>45</v>
      </c>
      <c r="P13" s="477">
        <v>7.5</v>
      </c>
      <c r="Q13" s="477"/>
      <c r="R13" s="478">
        <f t="shared" si="4"/>
        <v>52.5</v>
      </c>
      <c r="S13" s="73">
        <v>2</v>
      </c>
      <c r="T13" s="95"/>
      <c r="U13" s="85"/>
      <c r="V13" s="82" t="s">
        <v>1085</v>
      </c>
      <c r="W13" s="225" t="s">
        <v>74</v>
      </c>
      <c r="X13" s="225" t="s">
        <v>11</v>
      </c>
      <c r="Y13" s="83">
        <v>38</v>
      </c>
      <c r="Z13" s="82" t="s">
        <v>1084</v>
      </c>
      <c r="AA13" s="225" t="s">
        <v>17</v>
      </c>
      <c r="AB13" s="225" t="s">
        <v>18</v>
      </c>
      <c r="AC13" s="225">
        <v>7.5</v>
      </c>
      <c r="AD13" s="82" t="s">
        <v>1086</v>
      </c>
      <c r="AE13" s="225" t="s">
        <v>88</v>
      </c>
      <c r="AF13" s="225" t="s">
        <v>11</v>
      </c>
      <c r="AG13" s="83">
        <v>7</v>
      </c>
      <c r="AL13" s="82"/>
      <c r="AO13" s="83"/>
      <c r="AP13" s="82"/>
      <c r="AS13" s="83"/>
      <c r="AW13" s="83"/>
      <c r="BA13" s="84"/>
    </row>
    <row r="14" spans="1:53" s="73" customFormat="1">
      <c r="A14" s="73">
        <v>1994</v>
      </c>
      <c r="B14" s="85"/>
      <c r="C14" s="988" t="s">
        <v>1068</v>
      </c>
      <c r="D14" s="988"/>
      <c r="E14" s="73">
        <v>16</v>
      </c>
      <c r="G14" s="480">
        <v>15</v>
      </c>
      <c r="H14" s="531">
        <v>4</v>
      </c>
      <c r="I14" s="531"/>
      <c r="J14" s="482">
        <v>19</v>
      </c>
      <c r="K14" s="477">
        <f t="shared" si="0"/>
        <v>78.94736842105263</v>
      </c>
      <c r="L14" s="477">
        <f t="shared" si="1"/>
        <v>21.052631578947366</v>
      </c>
      <c r="M14" s="477">
        <f t="shared" si="2"/>
        <v>0</v>
      </c>
      <c r="N14" s="481">
        <f t="shared" si="3"/>
        <v>100</v>
      </c>
      <c r="O14" s="476">
        <v>45</v>
      </c>
      <c r="P14" s="477">
        <v>7.5</v>
      </c>
      <c r="Q14" s="477"/>
      <c r="R14" s="478">
        <f t="shared" si="4"/>
        <v>52.5</v>
      </c>
      <c r="S14" s="73">
        <v>2</v>
      </c>
      <c r="T14" s="95"/>
      <c r="U14" s="85"/>
      <c r="V14" s="82" t="s">
        <v>1085</v>
      </c>
      <c r="W14" s="225" t="s">
        <v>74</v>
      </c>
      <c r="X14" s="225" t="s">
        <v>11</v>
      </c>
      <c r="Y14" s="83">
        <v>38</v>
      </c>
      <c r="Z14" s="225" t="s">
        <v>1084</v>
      </c>
      <c r="AA14" s="225" t="s">
        <v>17</v>
      </c>
      <c r="AB14" s="225" t="s">
        <v>18</v>
      </c>
      <c r="AC14" s="225">
        <v>7.5</v>
      </c>
      <c r="AD14" s="82" t="s">
        <v>1086</v>
      </c>
      <c r="AE14" s="225" t="s">
        <v>88</v>
      </c>
      <c r="AF14" s="225" t="s">
        <v>11</v>
      </c>
      <c r="AG14" s="83">
        <v>7</v>
      </c>
      <c r="AL14" s="82"/>
      <c r="AO14" s="83"/>
      <c r="AP14" s="82"/>
      <c r="AS14" s="83"/>
      <c r="AW14" s="83"/>
      <c r="BA14" s="84"/>
    </row>
    <row r="15" spans="1:53" s="73" customFormat="1">
      <c r="A15" s="73">
        <v>1994</v>
      </c>
      <c r="B15" s="149">
        <v>34351</v>
      </c>
      <c r="C15" s="988" t="s">
        <v>1068</v>
      </c>
      <c r="D15" s="988"/>
      <c r="E15" s="73">
        <v>349</v>
      </c>
      <c r="F15" s="150">
        <v>0</v>
      </c>
      <c r="G15" s="480">
        <v>15</v>
      </c>
      <c r="H15" s="531">
        <v>3</v>
      </c>
      <c r="I15" s="531"/>
      <c r="J15" s="482">
        <v>19</v>
      </c>
      <c r="K15" s="477">
        <f t="shared" si="0"/>
        <v>78.94736842105263</v>
      </c>
      <c r="L15" s="477">
        <f t="shared" si="1"/>
        <v>15.789473684210526</v>
      </c>
      <c r="M15" s="477">
        <f t="shared" si="2"/>
        <v>0</v>
      </c>
      <c r="N15" s="481">
        <f t="shared" si="3"/>
        <v>94.73684210526315</v>
      </c>
      <c r="O15" s="476">
        <v>45</v>
      </c>
      <c r="P15" s="477">
        <v>7.5</v>
      </c>
      <c r="Q15" s="477"/>
      <c r="R15" s="478">
        <f t="shared" si="4"/>
        <v>52.5</v>
      </c>
      <c r="S15" s="73">
        <v>2</v>
      </c>
      <c r="T15" s="95"/>
      <c r="U15" s="85"/>
      <c r="V15" s="82" t="s">
        <v>1085</v>
      </c>
      <c r="W15" s="225" t="s">
        <v>74</v>
      </c>
      <c r="X15" s="225" t="s">
        <v>11</v>
      </c>
      <c r="Y15" s="83">
        <v>38</v>
      </c>
      <c r="Z15" s="82" t="s">
        <v>1084</v>
      </c>
      <c r="AA15" s="225" t="s">
        <v>17</v>
      </c>
      <c r="AB15" s="225" t="s">
        <v>18</v>
      </c>
      <c r="AC15" s="225">
        <v>7.5</v>
      </c>
      <c r="AD15" s="82" t="s">
        <v>1086</v>
      </c>
      <c r="AE15" s="225" t="s">
        <v>88</v>
      </c>
      <c r="AF15" s="225" t="s">
        <v>11</v>
      </c>
      <c r="AG15" s="83">
        <v>7</v>
      </c>
      <c r="AL15" s="82"/>
      <c r="AO15" s="83"/>
      <c r="AP15" s="82"/>
      <c r="AS15" s="83"/>
      <c r="AW15" s="83"/>
      <c r="BA15" s="84"/>
    </row>
    <row r="16" spans="1:53" s="73" customFormat="1">
      <c r="A16" s="73">
        <v>1995</v>
      </c>
      <c r="B16" s="85"/>
      <c r="C16" s="988" t="s">
        <v>1068</v>
      </c>
      <c r="D16" s="988"/>
      <c r="E16" s="73">
        <v>0</v>
      </c>
      <c r="G16" s="480">
        <v>15</v>
      </c>
      <c r="H16" s="531">
        <v>3</v>
      </c>
      <c r="I16" s="531"/>
      <c r="J16" s="482">
        <v>19</v>
      </c>
      <c r="K16" s="477">
        <f t="shared" si="0"/>
        <v>78.94736842105263</v>
      </c>
      <c r="L16" s="477">
        <f t="shared" si="1"/>
        <v>15.789473684210526</v>
      </c>
      <c r="M16" s="477">
        <f t="shared" si="2"/>
        <v>0</v>
      </c>
      <c r="N16" s="481">
        <f t="shared" si="3"/>
        <v>94.73684210526315</v>
      </c>
      <c r="O16" s="476">
        <v>45</v>
      </c>
      <c r="P16" s="477">
        <v>7.5</v>
      </c>
      <c r="Q16" s="477"/>
      <c r="R16" s="478">
        <f t="shared" si="4"/>
        <v>52.5</v>
      </c>
      <c r="S16" s="73">
        <v>2</v>
      </c>
      <c r="T16" s="95"/>
      <c r="U16" s="85"/>
      <c r="V16" s="82" t="s">
        <v>1085</v>
      </c>
      <c r="W16" s="225" t="s">
        <v>74</v>
      </c>
      <c r="X16" s="225" t="s">
        <v>11</v>
      </c>
      <c r="Y16" s="83">
        <v>38</v>
      </c>
      <c r="Z16" s="225" t="s">
        <v>1084</v>
      </c>
      <c r="AA16" s="225" t="s">
        <v>17</v>
      </c>
      <c r="AB16" s="225" t="s">
        <v>18</v>
      </c>
      <c r="AC16" s="225">
        <v>7.5</v>
      </c>
      <c r="AD16" s="82" t="s">
        <v>1086</v>
      </c>
      <c r="AE16" s="225" t="s">
        <v>88</v>
      </c>
      <c r="AF16" s="225" t="s">
        <v>11</v>
      </c>
      <c r="AG16" s="83">
        <v>7</v>
      </c>
      <c r="AL16" s="82"/>
      <c r="AO16" s="83"/>
      <c r="AP16" s="82"/>
      <c r="AS16" s="83"/>
      <c r="AW16" s="83"/>
      <c r="BA16" s="84"/>
    </row>
    <row r="17" spans="1:53" s="73" customFormat="1">
      <c r="A17" s="73">
        <v>1995</v>
      </c>
      <c r="B17" s="85"/>
      <c r="C17" s="988" t="s">
        <v>1068</v>
      </c>
      <c r="D17" s="988"/>
      <c r="E17" s="73">
        <v>365</v>
      </c>
      <c r="G17" s="480">
        <v>15</v>
      </c>
      <c r="H17" s="531">
        <v>3</v>
      </c>
      <c r="I17" s="531"/>
      <c r="J17" s="482">
        <v>19</v>
      </c>
      <c r="K17" s="477">
        <f t="shared" si="0"/>
        <v>78.94736842105263</v>
      </c>
      <c r="L17" s="477">
        <f t="shared" si="1"/>
        <v>15.789473684210526</v>
      </c>
      <c r="M17" s="477">
        <f t="shared" si="2"/>
        <v>0</v>
      </c>
      <c r="N17" s="481">
        <f t="shared" si="3"/>
        <v>94.73684210526315</v>
      </c>
      <c r="O17" s="476">
        <v>45</v>
      </c>
      <c r="P17" s="477">
        <v>7.5</v>
      </c>
      <c r="Q17" s="477"/>
      <c r="R17" s="478">
        <f t="shared" si="4"/>
        <v>52.5</v>
      </c>
      <c r="S17" s="73">
        <v>2</v>
      </c>
      <c r="T17" s="95"/>
      <c r="U17" s="85"/>
      <c r="V17" s="82" t="s">
        <v>1085</v>
      </c>
      <c r="W17" s="225" t="s">
        <v>74</v>
      </c>
      <c r="X17" s="225" t="s">
        <v>11</v>
      </c>
      <c r="Y17" s="83">
        <v>38</v>
      </c>
      <c r="Z17" s="82" t="s">
        <v>1084</v>
      </c>
      <c r="AA17" s="225" t="s">
        <v>17</v>
      </c>
      <c r="AB17" s="225" t="s">
        <v>18</v>
      </c>
      <c r="AC17" s="225">
        <v>7.5</v>
      </c>
      <c r="AD17" s="82" t="s">
        <v>1086</v>
      </c>
      <c r="AE17" s="225" t="s">
        <v>88</v>
      </c>
      <c r="AF17" s="225" t="s">
        <v>11</v>
      </c>
      <c r="AG17" s="83">
        <v>7</v>
      </c>
      <c r="AL17" s="82"/>
      <c r="AO17" s="83"/>
      <c r="AP17" s="82"/>
      <c r="AS17" s="83"/>
      <c r="AW17" s="83"/>
      <c r="BA17" s="84"/>
    </row>
    <row r="18" spans="1:53" s="73" customFormat="1">
      <c r="A18" s="73">
        <v>1996</v>
      </c>
      <c r="B18" s="85"/>
      <c r="C18" s="988" t="s">
        <v>1068</v>
      </c>
      <c r="D18" s="988"/>
      <c r="E18" s="73">
        <v>206</v>
      </c>
      <c r="G18" s="480">
        <v>15</v>
      </c>
      <c r="H18" s="531">
        <v>3</v>
      </c>
      <c r="I18" s="531"/>
      <c r="J18" s="482">
        <v>19</v>
      </c>
      <c r="K18" s="477">
        <f t="shared" si="0"/>
        <v>78.94736842105263</v>
      </c>
      <c r="L18" s="477">
        <f t="shared" si="1"/>
        <v>15.789473684210526</v>
      </c>
      <c r="M18" s="477">
        <f t="shared" si="2"/>
        <v>0</v>
      </c>
      <c r="N18" s="481">
        <f t="shared" si="3"/>
        <v>94.73684210526315</v>
      </c>
      <c r="O18" s="476">
        <v>45</v>
      </c>
      <c r="P18" s="477">
        <v>7.5</v>
      </c>
      <c r="Q18" s="477"/>
      <c r="R18" s="478">
        <f t="shared" si="4"/>
        <v>52.5</v>
      </c>
      <c r="S18" s="73">
        <v>2</v>
      </c>
      <c r="T18" s="95"/>
      <c r="U18" s="85"/>
      <c r="V18" s="82" t="s">
        <v>1085</v>
      </c>
      <c r="W18" s="225" t="s">
        <v>74</v>
      </c>
      <c r="X18" s="225" t="s">
        <v>11</v>
      </c>
      <c r="Y18" s="83">
        <v>38</v>
      </c>
      <c r="Z18" s="225" t="s">
        <v>1084</v>
      </c>
      <c r="AA18" s="225" t="s">
        <v>17</v>
      </c>
      <c r="AB18" s="225" t="s">
        <v>18</v>
      </c>
      <c r="AC18" s="225">
        <v>7.5</v>
      </c>
      <c r="AD18" s="82" t="s">
        <v>1086</v>
      </c>
      <c r="AE18" s="225" t="s">
        <v>88</v>
      </c>
      <c r="AF18" s="225" t="s">
        <v>11</v>
      </c>
      <c r="AG18" s="83">
        <v>7</v>
      </c>
      <c r="AL18" s="82"/>
      <c r="AO18" s="83"/>
      <c r="AP18" s="82"/>
      <c r="AS18" s="83"/>
      <c r="AW18" s="83"/>
      <c r="BA18" s="84"/>
    </row>
    <row r="19" spans="1:53" s="334" customFormat="1">
      <c r="A19" s="334">
        <v>1996</v>
      </c>
      <c r="B19" s="355">
        <v>35271</v>
      </c>
      <c r="C19" s="992" t="s">
        <v>1069</v>
      </c>
      <c r="D19" s="992"/>
      <c r="E19" s="334">
        <v>160</v>
      </c>
      <c r="F19" s="334">
        <v>1</v>
      </c>
      <c r="G19" s="497">
        <v>12</v>
      </c>
      <c r="H19" s="532">
        <v>4</v>
      </c>
      <c r="I19" s="532"/>
      <c r="J19" s="499">
        <v>16</v>
      </c>
      <c r="K19" s="495">
        <f t="shared" si="0"/>
        <v>75</v>
      </c>
      <c r="L19" s="495">
        <f t="shared" si="1"/>
        <v>25</v>
      </c>
      <c r="M19" s="495">
        <f t="shared" si="2"/>
        <v>0</v>
      </c>
      <c r="N19" s="498">
        <f t="shared" si="3"/>
        <v>100</v>
      </c>
      <c r="O19" s="494">
        <v>40.5</v>
      </c>
      <c r="P19" s="495">
        <v>9</v>
      </c>
      <c r="Q19" s="495"/>
      <c r="R19" s="496">
        <f t="shared" si="4"/>
        <v>49.5</v>
      </c>
      <c r="S19" s="334">
        <v>5</v>
      </c>
      <c r="T19" s="342">
        <v>35217</v>
      </c>
      <c r="U19" s="355">
        <v>35271</v>
      </c>
      <c r="V19" s="343" t="s">
        <v>1085</v>
      </c>
      <c r="W19" s="334" t="s">
        <v>74</v>
      </c>
      <c r="X19" s="334" t="s">
        <v>11</v>
      </c>
      <c r="Y19" s="344">
        <v>34</v>
      </c>
      <c r="Z19" s="343" t="s">
        <v>1084</v>
      </c>
      <c r="AA19" s="334" t="s">
        <v>17</v>
      </c>
      <c r="AB19" s="334" t="s">
        <v>18</v>
      </c>
      <c r="AC19" s="334">
        <v>9</v>
      </c>
      <c r="AD19" s="343" t="s">
        <v>1086</v>
      </c>
      <c r="AE19" s="334" t="s">
        <v>88</v>
      </c>
      <c r="AF19" s="334" t="s">
        <v>11</v>
      </c>
      <c r="AG19" s="344">
        <v>6.5</v>
      </c>
      <c r="AL19" s="343"/>
      <c r="AO19" s="344"/>
      <c r="AP19" s="343"/>
      <c r="AS19" s="344"/>
      <c r="AW19" s="344"/>
      <c r="BA19" s="345"/>
    </row>
    <row r="20" spans="1:53" s="334" customFormat="1">
      <c r="A20" s="334">
        <v>1997</v>
      </c>
      <c r="B20" s="355"/>
      <c r="C20" s="992" t="s">
        <v>1069</v>
      </c>
      <c r="D20" s="992"/>
      <c r="E20" s="334">
        <v>311</v>
      </c>
      <c r="G20" s="497">
        <v>12</v>
      </c>
      <c r="H20" s="532">
        <v>4</v>
      </c>
      <c r="I20" s="532"/>
      <c r="J20" s="499">
        <v>16</v>
      </c>
      <c r="K20" s="495">
        <f t="shared" si="0"/>
        <v>75</v>
      </c>
      <c r="L20" s="495">
        <f t="shared" si="1"/>
        <v>25</v>
      </c>
      <c r="M20" s="495">
        <f t="shared" si="2"/>
        <v>0</v>
      </c>
      <c r="N20" s="498">
        <f t="shared" si="3"/>
        <v>100</v>
      </c>
      <c r="O20" s="494">
        <v>40.5</v>
      </c>
      <c r="P20" s="495">
        <v>9</v>
      </c>
      <c r="Q20" s="495"/>
      <c r="R20" s="496">
        <f t="shared" si="4"/>
        <v>49.5</v>
      </c>
      <c r="S20" s="334">
        <v>5</v>
      </c>
      <c r="T20" s="342"/>
      <c r="U20" s="355"/>
      <c r="V20" s="343" t="s">
        <v>1085</v>
      </c>
      <c r="W20" s="334" t="s">
        <v>74</v>
      </c>
      <c r="X20" s="334" t="s">
        <v>11</v>
      </c>
      <c r="Y20" s="344">
        <v>34</v>
      </c>
      <c r="Z20" s="334" t="s">
        <v>1084</v>
      </c>
      <c r="AA20" s="334" t="s">
        <v>17</v>
      </c>
      <c r="AB20" s="334" t="s">
        <v>18</v>
      </c>
      <c r="AC20" s="334">
        <v>9</v>
      </c>
      <c r="AD20" s="343" t="s">
        <v>1086</v>
      </c>
      <c r="AE20" s="334" t="s">
        <v>88</v>
      </c>
      <c r="AF20" s="334" t="s">
        <v>11</v>
      </c>
      <c r="AG20" s="344">
        <v>6.5</v>
      </c>
      <c r="AL20" s="343"/>
      <c r="AO20" s="344"/>
      <c r="AP20" s="343"/>
      <c r="AS20" s="344"/>
      <c r="AW20" s="344"/>
      <c r="BA20" s="345"/>
    </row>
    <row r="21" spans="1:53" s="334" customFormat="1">
      <c r="A21" s="334">
        <v>1997</v>
      </c>
      <c r="B21" s="445">
        <v>35742</v>
      </c>
      <c r="C21" s="992" t="s">
        <v>1069</v>
      </c>
      <c r="D21" s="992"/>
      <c r="E21" s="334">
        <v>54</v>
      </c>
      <c r="F21" s="441">
        <v>0</v>
      </c>
      <c r="G21" s="497">
        <v>11</v>
      </c>
      <c r="H21" s="532">
        <v>4</v>
      </c>
      <c r="I21" s="532"/>
      <c r="J21" s="499">
        <v>16</v>
      </c>
      <c r="K21" s="495">
        <f t="shared" si="0"/>
        <v>68.75</v>
      </c>
      <c r="L21" s="495">
        <f t="shared" si="1"/>
        <v>25</v>
      </c>
      <c r="M21" s="495">
        <f t="shared" si="2"/>
        <v>0</v>
      </c>
      <c r="N21" s="498">
        <f t="shared" si="3"/>
        <v>93.75</v>
      </c>
      <c r="O21" s="494">
        <v>40.5</v>
      </c>
      <c r="P21" s="495">
        <v>9</v>
      </c>
      <c r="Q21" s="495"/>
      <c r="R21" s="496">
        <f t="shared" si="4"/>
        <v>49.5</v>
      </c>
      <c r="S21" s="334">
        <v>5</v>
      </c>
      <c r="T21" s="342"/>
      <c r="U21" s="355"/>
      <c r="V21" s="343" t="s">
        <v>1085</v>
      </c>
      <c r="W21" s="334" t="s">
        <v>74</v>
      </c>
      <c r="X21" s="334" t="s">
        <v>11</v>
      </c>
      <c r="Y21" s="344">
        <v>34</v>
      </c>
      <c r="Z21" s="343" t="s">
        <v>1084</v>
      </c>
      <c r="AA21" s="334" t="s">
        <v>17</v>
      </c>
      <c r="AB21" s="334" t="s">
        <v>18</v>
      </c>
      <c r="AC21" s="334">
        <v>9</v>
      </c>
      <c r="AD21" s="343" t="s">
        <v>1086</v>
      </c>
      <c r="AE21" s="334" t="s">
        <v>88</v>
      </c>
      <c r="AF21" s="334" t="s">
        <v>11</v>
      </c>
      <c r="AG21" s="344">
        <v>6.5</v>
      </c>
      <c r="AL21" s="343"/>
      <c r="AO21" s="344"/>
      <c r="AP21" s="343"/>
      <c r="AS21" s="344"/>
      <c r="AW21" s="344"/>
      <c r="BA21" s="345"/>
    </row>
    <row r="22" spans="1:53" s="334" customFormat="1">
      <c r="A22" s="334">
        <v>1998</v>
      </c>
      <c r="B22" s="355"/>
      <c r="C22" s="992" t="s">
        <v>1069</v>
      </c>
      <c r="D22" s="992"/>
      <c r="E22" s="334">
        <v>27</v>
      </c>
      <c r="G22" s="497">
        <v>11</v>
      </c>
      <c r="H22" s="532">
        <v>4</v>
      </c>
      <c r="I22" s="532"/>
      <c r="J22" s="499">
        <v>16</v>
      </c>
      <c r="K22" s="495">
        <f t="shared" si="0"/>
        <v>68.75</v>
      </c>
      <c r="L22" s="495">
        <f t="shared" si="1"/>
        <v>25</v>
      </c>
      <c r="M22" s="495">
        <f t="shared" si="2"/>
        <v>0</v>
      </c>
      <c r="N22" s="498">
        <f t="shared" si="3"/>
        <v>93.75</v>
      </c>
      <c r="O22" s="494">
        <v>40.5</v>
      </c>
      <c r="P22" s="495">
        <v>9</v>
      </c>
      <c r="Q22" s="495"/>
      <c r="R22" s="496">
        <f t="shared" si="4"/>
        <v>49.5</v>
      </c>
      <c r="S22" s="334">
        <v>5</v>
      </c>
      <c r="T22" s="342"/>
      <c r="U22" s="355"/>
      <c r="V22" s="343" t="s">
        <v>1085</v>
      </c>
      <c r="W22" s="334" t="s">
        <v>74</v>
      </c>
      <c r="X22" s="334" t="s">
        <v>11</v>
      </c>
      <c r="Y22" s="344">
        <v>34</v>
      </c>
      <c r="Z22" s="334" t="s">
        <v>1084</v>
      </c>
      <c r="AA22" s="334" t="s">
        <v>17</v>
      </c>
      <c r="AB22" s="334" t="s">
        <v>18</v>
      </c>
      <c r="AC22" s="334">
        <v>9</v>
      </c>
      <c r="AD22" s="343" t="s">
        <v>1086</v>
      </c>
      <c r="AE22" s="334" t="s">
        <v>88</v>
      </c>
      <c r="AF22" s="334" t="s">
        <v>11</v>
      </c>
      <c r="AG22" s="344">
        <v>6.5</v>
      </c>
      <c r="AL22" s="343"/>
      <c r="AO22" s="344"/>
      <c r="AP22" s="343"/>
      <c r="AS22" s="344"/>
      <c r="AW22" s="344"/>
      <c r="BA22" s="345"/>
    </row>
    <row r="23" spans="1:53" s="73" customFormat="1">
      <c r="A23" s="73">
        <v>1998</v>
      </c>
      <c r="B23" s="85">
        <v>35823</v>
      </c>
      <c r="C23" s="988" t="s">
        <v>1070</v>
      </c>
      <c r="D23" s="988"/>
      <c r="E23" s="73">
        <v>203</v>
      </c>
      <c r="F23" s="73">
        <v>2</v>
      </c>
      <c r="G23" s="480">
        <v>7</v>
      </c>
      <c r="H23" s="531">
        <v>3</v>
      </c>
      <c r="I23" s="531"/>
      <c r="J23" s="482">
        <v>17</v>
      </c>
      <c r="K23" s="477">
        <f t="shared" si="0"/>
        <v>41.17647058823529</v>
      </c>
      <c r="L23" s="477">
        <f t="shared" si="1"/>
        <v>17.647058823529413</v>
      </c>
      <c r="M23" s="477">
        <f t="shared" si="2"/>
        <v>0</v>
      </c>
      <c r="N23" s="481">
        <f t="shared" si="3"/>
        <v>58.823529411764703</v>
      </c>
      <c r="O23" s="476">
        <v>40.5</v>
      </c>
      <c r="P23" s="477">
        <v>9</v>
      </c>
      <c r="Q23" s="477"/>
      <c r="R23" s="478">
        <f>SUM(O23:Q23)</f>
        <v>49.5</v>
      </c>
      <c r="S23" s="73">
        <v>6</v>
      </c>
      <c r="T23" s="95"/>
      <c r="U23" s="85">
        <v>35823</v>
      </c>
      <c r="V23" s="82" t="s">
        <v>1085</v>
      </c>
      <c r="W23" s="225" t="s">
        <v>74</v>
      </c>
      <c r="X23" s="225" t="s">
        <v>11</v>
      </c>
      <c r="Y23" s="83">
        <v>34</v>
      </c>
      <c r="Z23" s="82" t="s">
        <v>1084</v>
      </c>
      <c r="AA23" s="225" t="s">
        <v>17</v>
      </c>
      <c r="AB23" s="225" t="s">
        <v>18</v>
      </c>
      <c r="AC23" s="225">
        <v>9</v>
      </c>
      <c r="AD23" s="82" t="s">
        <v>1086</v>
      </c>
      <c r="AE23" s="225" t="s">
        <v>88</v>
      </c>
      <c r="AF23" s="225" t="s">
        <v>11</v>
      </c>
      <c r="AG23" s="83">
        <v>6.5</v>
      </c>
      <c r="AL23" s="82"/>
      <c r="AO23" s="83"/>
      <c r="AP23" s="82"/>
      <c r="AS23" s="83"/>
      <c r="AW23" s="83"/>
      <c r="BA23" s="84"/>
    </row>
    <row r="24" spans="1:53" s="334" customFormat="1">
      <c r="A24" s="334">
        <v>1998</v>
      </c>
      <c r="B24" s="355">
        <v>36026</v>
      </c>
      <c r="C24" s="992" t="s">
        <v>1071</v>
      </c>
      <c r="D24" s="992"/>
      <c r="E24" s="334">
        <v>135</v>
      </c>
      <c r="F24" s="334">
        <v>1</v>
      </c>
      <c r="G24" s="497"/>
      <c r="H24" s="532"/>
      <c r="I24" s="532">
        <v>18</v>
      </c>
      <c r="J24" s="499">
        <v>19</v>
      </c>
      <c r="K24" s="495">
        <f t="shared" si="0"/>
        <v>0</v>
      </c>
      <c r="L24" s="495">
        <f t="shared" si="1"/>
        <v>0</v>
      </c>
      <c r="M24" s="495">
        <f t="shared" si="2"/>
        <v>94.73684210526315</v>
      </c>
      <c r="N24" s="498">
        <f t="shared" si="3"/>
        <v>94.73684210526315</v>
      </c>
      <c r="O24" s="494"/>
      <c r="P24" s="495"/>
      <c r="Q24" s="495">
        <v>37</v>
      </c>
      <c r="R24" s="496">
        <f t="shared" si="4"/>
        <v>37</v>
      </c>
      <c r="S24" s="334">
        <v>4</v>
      </c>
      <c r="T24" s="342">
        <v>35966</v>
      </c>
      <c r="U24" s="355">
        <v>36026</v>
      </c>
      <c r="V24" s="343" t="s">
        <v>1087</v>
      </c>
      <c r="W24" s="334" t="s">
        <v>20</v>
      </c>
      <c r="X24" s="334" t="s">
        <v>12</v>
      </c>
      <c r="Y24" s="344">
        <v>37</v>
      </c>
      <c r="AD24" s="343"/>
      <c r="AG24" s="344"/>
      <c r="AL24" s="343"/>
      <c r="AO24" s="344"/>
      <c r="AP24" s="343"/>
      <c r="AS24" s="344"/>
      <c r="AW24" s="344"/>
      <c r="BA24" s="345"/>
    </row>
    <row r="25" spans="1:53" s="334" customFormat="1">
      <c r="A25" s="334">
        <v>1999</v>
      </c>
      <c r="B25" s="355"/>
      <c r="C25" s="992" t="s">
        <v>1071</v>
      </c>
      <c r="D25" s="992"/>
      <c r="E25" s="334">
        <v>200</v>
      </c>
      <c r="G25" s="497"/>
      <c r="H25" s="532"/>
      <c r="I25" s="532">
        <v>18</v>
      </c>
      <c r="J25" s="499">
        <v>19</v>
      </c>
      <c r="K25" s="495">
        <f t="shared" si="0"/>
        <v>0</v>
      </c>
      <c r="L25" s="495">
        <f t="shared" si="1"/>
        <v>0</v>
      </c>
      <c r="M25" s="495">
        <f t="shared" si="2"/>
        <v>94.73684210526315</v>
      </c>
      <c r="N25" s="498">
        <f t="shared" si="3"/>
        <v>94.73684210526315</v>
      </c>
      <c r="O25" s="494"/>
      <c r="P25" s="495"/>
      <c r="Q25" s="495">
        <v>37</v>
      </c>
      <c r="R25" s="496">
        <f t="shared" si="4"/>
        <v>37</v>
      </c>
      <c r="S25" s="334">
        <v>4</v>
      </c>
      <c r="T25" s="342"/>
      <c r="U25" s="355"/>
      <c r="V25" s="343" t="s">
        <v>1087</v>
      </c>
      <c r="W25" s="334" t="s">
        <v>20</v>
      </c>
      <c r="X25" s="334" t="s">
        <v>12</v>
      </c>
      <c r="Y25" s="344">
        <v>37</v>
      </c>
      <c r="AD25" s="343"/>
      <c r="AG25" s="344"/>
      <c r="AL25" s="343"/>
      <c r="AO25" s="344"/>
      <c r="AP25" s="343"/>
      <c r="AS25" s="344"/>
      <c r="AW25" s="344"/>
      <c r="BA25" s="345"/>
    </row>
    <row r="26" spans="1:53" s="334" customFormat="1">
      <c r="A26" s="334">
        <v>1999</v>
      </c>
      <c r="B26" s="445">
        <v>36361</v>
      </c>
      <c r="C26" s="992" t="s">
        <v>1071</v>
      </c>
      <c r="D26" s="992"/>
      <c r="E26" s="334">
        <v>132</v>
      </c>
      <c r="F26" s="441">
        <v>0</v>
      </c>
      <c r="G26" s="497"/>
      <c r="H26" s="532"/>
      <c r="I26" s="532">
        <v>17</v>
      </c>
      <c r="J26" s="499">
        <v>18</v>
      </c>
      <c r="K26" s="495">
        <f>G26/J26*100</f>
        <v>0</v>
      </c>
      <c r="L26" s="495">
        <f>H26/J26*100</f>
        <v>0</v>
      </c>
      <c r="M26" s="495">
        <f>I26/J26*100</f>
        <v>94.444444444444443</v>
      </c>
      <c r="N26" s="498">
        <f>SUM(K26:M26)</f>
        <v>94.444444444444443</v>
      </c>
      <c r="O26" s="494"/>
      <c r="P26" s="495"/>
      <c r="Q26" s="495">
        <v>37</v>
      </c>
      <c r="R26" s="496">
        <f>SUM(O26:Q26)</f>
        <v>37</v>
      </c>
      <c r="S26" s="334">
        <v>4</v>
      </c>
      <c r="T26" s="342"/>
      <c r="U26" s="355"/>
      <c r="V26" s="343" t="s">
        <v>1087</v>
      </c>
      <c r="W26" s="334" t="s">
        <v>20</v>
      </c>
      <c r="X26" s="334" t="s">
        <v>12</v>
      </c>
      <c r="Y26" s="344">
        <v>37</v>
      </c>
      <c r="AD26" s="343"/>
      <c r="AG26" s="344"/>
      <c r="AL26" s="343"/>
      <c r="AO26" s="344"/>
      <c r="AP26" s="343"/>
      <c r="AS26" s="344"/>
      <c r="AW26" s="344"/>
      <c r="BA26" s="345"/>
    </row>
    <row r="27" spans="1:53" s="334" customFormat="1">
      <c r="A27" s="334">
        <v>1999</v>
      </c>
      <c r="B27" s="445">
        <v>36493</v>
      </c>
      <c r="C27" s="992" t="s">
        <v>1071</v>
      </c>
      <c r="D27" s="992"/>
      <c r="E27" s="334">
        <v>33</v>
      </c>
      <c r="F27" s="441">
        <v>0</v>
      </c>
      <c r="G27" s="497"/>
      <c r="H27" s="532"/>
      <c r="I27" s="532">
        <v>16</v>
      </c>
      <c r="J27" s="499">
        <v>17</v>
      </c>
      <c r="K27" s="495">
        <f t="shared" si="0"/>
        <v>0</v>
      </c>
      <c r="L27" s="495">
        <f t="shared" si="1"/>
        <v>0</v>
      </c>
      <c r="M27" s="495">
        <f t="shared" si="2"/>
        <v>94.117647058823522</v>
      </c>
      <c r="N27" s="498">
        <f t="shared" si="3"/>
        <v>94.117647058823522</v>
      </c>
      <c r="O27" s="494"/>
      <c r="P27" s="495"/>
      <c r="Q27" s="495">
        <v>37</v>
      </c>
      <c r="R27" s="496">
        <f t="shared" si="4"/>
        <v>37</v>
      </c>
      <c r="S27" s="334">
        <v>4</v>
      </c>
      <c r="T27" s="342"/>
      <c r="U27" s="355"/>
      <c r="V27" s="343" t="s">
        <v>1087</v>
      </c>
      <c r="W27" s="334" t="s">
        <v>20</v>
      </c>
      <c r="X27" s="334" t="s">
        <v>12</v>
      </c>
      <c r="Y27" s="344">
        <v>37</v>
      </c>
      <c r="AD27" s="343"/>
      <c r="AG27" s="344"/>
      <c r="AL27" s="343"/>
      <c r="AO27" s="344"/>
      <c r="AP27" s="343"/>
      <c r="AS27" s="344"/>
      <c r="AW27" s="344"/>
      <c r="BA27" s="345"/>
    </row>
    <row r="28" spans="1:53" s="334" customFormat="1">
      <c r="A28" s="334">
        <v>2000</v>
      </c>
      <c r="B28" s="355"/>
      <c r="C28" s="992" t="s">
        <v>1071</v>
      </c>
      <c r="D28" s="992"/>
      <c r="E28" s="334">
        <v>0</v>
      </c>
      <c r="G28" s="497"/>
      <c r="H28" s="532"/>
      <c r="I28" s="532">
        <v>16</v>
      </c>
      <c r="J28" s="499">
        <v>17</v>
      </c>
      <c r="K28" s="495">
        <f t="shared" si="0"/>
        <v>0</v>
      </c>
      <c r="L28" s="495">
        <f t="shared" si="1"/>
        <v>0</v>
      </c>
      <c r="M28" s="495">
        <f t="shared" si="2"/>
        <v>94.117647058823522</v>
      </c>
      <c r="N28" s="498">
        <f t="shared" si="3"/>
        <v>94.117647058823522</v>
      </c>
      <c r="O28" s="494"/>
      <c r="P28" s="495"/>
      <c r="Q28" s="495">
        <v>37</v>
      </c>
      <c r="R28" s="496">
        <f t="shared" si="4"/>
        <v>37</v>
      </c>
      <c r="S28" s="334">
        <v>4</v>
      </c>
      <c r="T28" s="342"/>
      <c r="U28" s="355"/>
      <c r="V28" s="343" t="s">
        <v>1087</v>
      </c>
      <c r="W28" s="334" t="s">
        <v>20</v>
      </c>
      <c r="X28" s="334" t="s">
        <v>12</v>
      </c>
      <c r="Y28" s="344">
        <v>37</v>
      </c>
      <c r="AD28" s="343"/>
      <c r="AG28" s="344"/>
      <c r="AL28" s="343"/>
      <c r="AO28" s="344"/>
      <c r="AP28" s="343"/>
      <c r="AS28" s="344"/>
      <c r="AW28" s="344"/>
      <c r="BA28" s="345"/>
    </row>
    <row r="29" spans="1:53" s="334" customFormat="1">
      <c r="A29" s="334">
        <v>2000</v>
      </c>
      <c r="B29" s="355"/>
      <c r="C29" s="992" t="s">
        <v>1071</v>
      </c>
      <c r="D29" s="992"/>
      <c r="E29" s="334">
        <v>366</v>
      </c>
      <c r="G29" s="497"/>
      <c r="H29" s="532"/>
      <c r="I29" s="532">
        <v>16</v>
      </c>
      <c r="J29" s="499">
        <v>17</v>
      </c>
      <c r="K29" s="495">
        <f t="shared" si="0"/>
        <v>0</v>
      </c>
      <c r="L29" s="495">
        <f t="shared" si="1"/>
        <v>0</v>
      </c>
      <c r="M29" s="495">
        <f t="shared" si="2"/>
        <v>94.117647058823522</v>
      </c>
      <c r="N29" s="498">
        <f t="shared" si="3"/>
        <v>94.117647058823522</v>
      </c>
      <c r="O29" s="494"/>
      <c r="P29" s="495"/>
      <c r="Q29" s="495">
        <v>37</v>
      </c>
      <c r="R29" s="496">
        <f t="shared" si="4"/>
        <v>37</v>
      </c>
      <c r="S29" s="334">
        <v>4</v>
      </c>
      <c r="T29" s="342"/>
      <c r="U29" s="355"/>
      <c r="V29" s="343" t="s">
        <v>1087</v>
      </c>
      <c r="W29" s="334" t="s">
        <v>20</v>
      </c>
      <c r="X29" s="334" t="s">
        <v>12</v>
      </c>
      <c r="Y29" s="344">
        <v>37</v>
      </c>
      <c r="AD29" s="343"/>
      <c r="AG29" s="344"/>
      <c r="AL29" s="343"/>
      <c r="AO29" s="344"/>
      <c r="AP29" s="343"/>
      <c r="AS29" s="344"/>
      <c r="AW29" s="344"/>
      <c r="BA29" s="345"/>
    </row>
    <row r="30" spans="1:53" s="334" customFormat="1">
      <c r="A30" s="334">
        <v>2001</v>
      </c>
      <c r="B30" s="355"/>
      <c r="C30" s="992" t="s">
        <v>1071</v>
      </c>
      <c r="D30" s="992"/>
      <c r="E30" s="334">
        <v>0</v>
      </c>
      <c r="G30" s="497"/>
      <c r="H30" s="532"/>
      <c r="I30" s="532">
        <v>16</v>
      </c>
      <c r="J30" s="499">
        <v>17</v>
      </c>
      <c r="K30" s="495">
        <f t="shared" si="0"/>
        <v>0</v>
      </c>
      <c r="L30" s="495">
        <f t="shared" si="1"/>
        <v>0</v>
      </c>
      <c r="M30" s="495">
        <f t="shared" si="2"/>
        <v>94.117647058823522</v>
      </c>
      <c r="N30" s="498">
        <f t="shared" si="3"/>
        <v>94.117647058823522</v>
      </c>
      <c r="O30" s="494"/>
      <c r="P30" s="495"/>
      <c r="Q30" s="495">
        <v>37</v>
      </c>
      <c r="R30" s="496">
        <f t="shared" si="4"/>
        <v>37</v>
      </c>
      <c r="S30" s="334">
        <v>4</v>
      </c>
      <c r="T30" s="342"/>
      <c r="U30" s="355"/>
      <c r="V30" s="343" t="s">
        <v>1087</v>
      </c>
      <c r="W30" s="334" t="s">
        <v>20</v>
      </c>
      <c r="X30" s="334" t="s">
        <v>12</v>
      </c>
      <c r="Y30" s="344">
        <v>37</v>
      </c>
      <c r="AD30" s="343"/>
      <c r="AG30" s="344"/>
      <c r="AL30" s="343"/>
      <c r="AO30" s="344"/>
      <c r="AP30" s="343"/>
      <c r="AS30" s="344"/>
      <c r="AW30" s="344"/>
      <c r="BA30" s="345"/>
    </row>
    <row r="31" spans="1:53" s="334" customFormat="1">
      <c r="A31" s="334">
        <v>2001</v>
      </c>
      <c r="B31" s="355"/>
      <c r="C31" s="992" t="s">
        <v>1071</v>
      </c>
      <c r="D31" s="992"/>
      <c r="E31" s="334">
        <v>365</v>
      </c>
      <c r="G31" s="497"/>
      <c r="H31" s="532"/>
      <c r="I31" s="532">
        <v>16</v>
      </c>
      <c r="J31" s="499">
        <v>17</v>
      </c>
      <c r="K31" s="495">
        <f t="shared" si="0"/>
        <v>0</v>
      </c>
      <c r="L31" s="495">
        <f t="shared" si="1"/>
        <v>0</v>
      </c>
      <c r="M31" s="495">
        <f t="shared" si="2"/>
        <v>94.117647058823522</v>
      </c>
      <c r="N31" s="498">
        <f t="shared" si="3"/>
        <v>94.117647058823522</v>
      </c>
      <c r="O31" s="494"/>
      <c r="P31" s="495"/>
      <c r="Q31" s="495">
        <v>37</v>
      </c>
      <c r="R31" s="496">
        <f t="shared" si="4"/>
        <v>37</v>
      </c>
      <c r="S31" s="334">
        <v>4</v>
      </c>
      <c r="T31" s="342"/>
      <c r="U31" s="355"/>
      <c r="V31" s="343" t="s">
        <v>1087</v>
      </c>
      <c r="W31" s="334" t="s">
        <v>20</v>
      </c>
      <c r="X31" s="334" t="s">
        <v>12</v>
      </c>
      <c r="Y31" s="344">
        <v>37</v>
      </c>
      <c r="AD31" s="343"/>
      <c r="AG31" s="344"/>
      <c r="AL31" s="343"/>
      <c r="AO31" s="344"/>
      <c r="AP31" s="343"/>
      <c r="AS31" s="344"/>
      <c r="AW31" s="344"/>
      <c r="BA31" s="345"/>
    </row>
    <row r="32" spans="1:53" s="334" customFormat="1">
      <c r="A32" s="334">
        <v>2002</v>
      </c>
      <c r="B32" s="335"/>
      <c r="C32" s="992" t="s">
        <v>1071</v>
      </c>
      <c r="D32" s="992"/>
      <c r="E32" s="334">
        <v>195</v>
      </c>
      <c r="G32" s="497"/>
      <c r="H32" s="532"/>
      <c r="I32" s="532">
        <v>16</v>
      </c>
      <c r="J32" s="499">
        <v>17</v>
      </c>
      <c r="K32" s="495">
        <f t="shared" si="0"/>
        <v>0</v>
      </c>
      <c r="L32" s="495">
        <f t="shared" si="1"/>
        <v>0</v>
      </c>
      <c r="M32" s="495">
        <f t="shared" si="2"/>
        <v>94.117647058823522</v>
      </c>
      <c r="N32" s="498">
        <f t="shared" si="3"/>
        <v>94.117647058823522</v>
      </c>
      <c r="O32" s="494"/>
      <c r="P32" s="495"/>
      <c r="Q32" s="495">
        <v>37</v>
      </c>
      <c r="R32" s="496">
        <f t="shared" si="4"/>
        <v>37</v>
      </c>
      <c r="S32" s="334">
        <v>4</v>
      </c>
      <c r="T32" s="342"/>
      <c r="U32" s="355"/>
      <c r="V32" s="343" t="s">
        <v>1087</v>
      </c>
      <c r="W32" s="334" t="s">
        <v>20</v>
      </c>
      <c r="X32" s="334" t="s">
        <v>12</v>
      </c>
      <c r="Y32" s="344">
        <v>37</v>
      </c>
      <c r="AD32" s="343"/>
      <c r="AG32" s="344"/>
      <c r="AL32" s="343"/>
      <c r="AO32" s="344"/>
      <c r="AP32" s="343"/>
      <c r="AS32" s="344"/>
      <c r="AW32" s="344"/>
      <c r="BA32" s="345"/>
    </row>
    <row r="33" spans="1:53" s="73" customFormat="1">
      <c r="A33" s="73">
        <v>2002</v>
      </c>
      <c r="B33" s="121">
        <v>37452</v>
      </c>
      <c r="C33" s="988" t="s">
        <v>1072</v>
      </c>
      <c r="D33" s="988"/>
      <c r="E33" s="73">
        <v>170</v>
      </c>
      <c r="F33" s="73">
        <v>1</v>
      </c>
      <c r="G33" s="480">
        <v>3</v>
      </c>
      <c r="H33" s="531">
        <v>3</v>
      </c>
      <c r="I33" s="531">
        <v>11</v>
      </c>
      <c r="J33" s="482">
        <v>17</v>
      </c>
      <c r="K33" s="477">
        <f t="shared" si="0"/>
        <v>17.647058823529413</v>
      </c>
      <c r="L33" s="477">
        <f t="shared" si="1"/>
        <v>17.647058823529413</v>
      </c>
      <c r="M33" s="477">
        <f t="shared" si="2"/>
        <v>64.705882352941174</v>
      </c>
      <c r="N33" s="481">
        <f t="shared" si="3"/>
        <v>100</v>
      </c>
      <c r="O33" s="476">
        <v>4.5</v>
      </c>
      <c r="P33" s="477">
        <v>11</v>
      </c>
      <c r="Q33" s="477">
        <v>35</v>
      </c>
      <c r="R33" s="478">
        <f t="shared" si="4"/>
        <v>50.5</v>
      </c>
      <c r="S33" s="73">
        <v>2</v>
      </c>
      <c r="T33" s="95">
        <v>37422</v>
      </c>
      <c r="U33" s="85">
        <v>37452</v>
      </c>
      <c r="V33" s="82" t="s">
        <v>1087</v>
      </c>
      <c r="W33" s="225" t="s">
        <v>20</v>
      </c>
      <c r="X33" s="225" t="s">
        <v>12</v>
      </c>
      <c r="Y33" s="83">
        <v>35</v>
      </c>
      <c r="Z33" s="225" t="s">
        <v>1084</v>
      </c>
      <c r="AA33" s="225" t="s">
        <v>17</v>
      </c>
      <c r="AB33" s="225" t="s">
        <v>18</v>
      </c>
      <c r="AC33" s="225">
        <v>11</v>
      </c>
      <c r="AD33" s="82" t="s">
        <v>1088</v>
      </c>
      <c r="AE33" s="225" t="s">
        <v>1089</v>
      </c>
      <c r="AF33" s="225" t="s">
        <v>11</v>
      </c>
      <c r="AG33" s="83">
        <v>4.5</v>
      </c>
      <c r="AL33" s="82"/>
      <c r="AO33" s="83"/>
      <c r="AP33" s="82"/>
      <c r="AS33" s="83"/>
      <c r="AW33" s="83"/>
      <c r="BA33" s="84"/>
    </row>
    <row r="34" spans="1:53" s="73" customFormat="1">
      <c r="A34" s="73">
        <v>2003</v>
      </c>
      <c r="B34" s="121"/>
      <c r="C34" s="988" t="s">
        <v>1072</v>
      </c>
      <c r="D34" s="988"/>
      <c r="E34" s="73">
        <v>159</v>
      </c>
      <c r="G34" s="480">
        <v>3</v>
      </c>
      <c r="H34" s="531">
        <v>3</v>
      </c>
      <c r="I34" s="531">
        <v>11</v>
      </c>
      <c r="J34" s="482">
        <v>17</v>
      </c>
      <c r="K34" s="477">
        <f t="shared" si="0"/>
        <v>17.647058823529413</v>
      </c>
      <c r="L34" s="477">
        <f t="shared" si="1"/>
        <v>17.647058823529413</v>
      </c>
      <c r="M34" s="477">
        <f t="shared" si="2"/>
        <v>64.705882352941174</v>
      </c>
      <c r="N34" s="481">
        <f t="shared" si="3"/>
        <v>100</v>
      </c>
      <c r="O34" s="476">
        <v>4.5</v>
      </c>
      <c r="P34" s="477">
        <v>11</v>
      </c>
      <c r="Q34" s="477">
        <v>35</v>
      </c>
      <c r="R34" s="478">
        <f t="shared" si="4"/>
        <v>50.5</v>
      </c>
      <c r="S34" s="73">
        <v>2</v>
      </c>
      <c r="T34" s="95"/>
      <c r="U34" s="85"/>
      <c r="V34" s="82" t="s">
        <v>1087</v>
      </c>
      <c r="W34" s="225" t="s">
        <v>20</v>
      </c>
      <c r="X34" s="225" t="s">
        <v>12</v>
      </c>
      <c r="Y34" s="83">
        <v>35</v>
      </c>
      <c r="Z34" s="225" t="s">
        <v>1084</v>
      </c>
      <c r="AA34" s="225" t="s">
        <v>17</v>
      </c>
      <c r="AB34" s="225" t="s">
        <v>18</v>
      </c>
      <c r="AC34" s="225">
        <v>11</v>
      </c>
      <c r="AD34" s="82" t="s">
        <v>1088</v>
      </c>
      <c r="AE34" s="225" t="s">
        <v>1089</v>
      </c>
      <c r="AF34" s="225" t="s">
        <v>11</v>
      </c>
      <c r="AG34" s="83">
        <v>4.5</v>
      </c>
      <c r="AL34" s="82"/>
      <c r="AO34" s="83"/>
      <c r="AP34" s="82"/>
      <c r="AS34" s="83"/>
      <c r="AW34" s="83"/>
      <c r="BA34" s="84"/>
    </row>
    <row r="35" spans="1:53" s="73" customFormat="1">
      <c r="A35" s="73">
        <v>2003</v>
      </c>
      <c r="B35" s="154">
        <v>37781</v>
      </c>
      <c r="C35" s="988" t="s">
        <v>1072</v>
      </c>
      <c r="D35" s="988"/>
      <c r="E35" s="73">
        <v>99</v>
      </c>
      <c r="F35" s="150">
        <v>0</v>
      </c>
      <c r="G35" s="480">
        <v>3</v>
      </c>
      <c r="H35" s="531">
        <v>3</v>
      </c>
      <c r="I35" s="531">
        <v>10</v>
      </c>
      <c r="J35" s="482">
        <v>17</v>
      </c>
      <c r="K35" s="477">
        <f>G35/J35*100</f>
        <v>17.647058823529413</v>
      </c>
      <c r="L35" s="477">
        <f>H35/J35*100</f>
        <v>17.647058823529413</v>
      </c>
      <c r="M35" s="477">
        <f>I35/J35*100</f>
        <v>58.82352941176471</v>
      </c>
      <c r="N35" s="481">
        <f>SUM(K35:M35)</f>
        <v>94.117647058823536</v>
      </c>
      <c r="O35" s="476">
        <v>4.5</v>
      </c>
      <c r="P35" s="477">
        <v>11</v>
      </c>
      <c r="Q35" s="477">
        <v>35</v>
      </c>
      <c r="R35" s="478">
        <f>SUM(O35:Q35)</f>
        <v>50.5</v>
      </c>
      <c r="S35" s="73">
        <v>2</v>
      </c>
      <c r="T35" s="95"/>
      <c r="U35" s="85"/>
      <c r="V35" s="82" t="s">
        <v>1087</v>
      </c>
      <c r="W35" s="225" t="s">
        <v>20</v>
      </c>
      <c r="X35" s="225" t="s">
        <v>12</v>
      </c>
      <c r="Y35" s="83">
        <v>35</v>
      </c>
      <c r="Z35" s="225" t="s">
        <v>1084</v>
      </c>
      <c r="AA35" s="225" t="s">
        <v>17</v>
      </c>
      <c r="AB35" s="225" t="s">
        <v>18</v>
      </c>
      <c r="AC35" s="225">
        <v>11</v>
      </c>
      <c r="AD35" s="82" t="s">
        <v>1088</v>
      </c>
      <c r="AE35" s="225" t="s">
        <v>1089</v>
      </c>
      <c r="AF35" s="225" t="s">
        <v>11</v>
      </c>
      <c r="AG35" s="83">
        <v>4.5</v>
      </c>
      <c r="AL35" s="82"/>
      <c r="AO35" s="83"/>
      <c r="AP35" s="82"/>
      <c r="AS35" s="83"/>
      <c r="AW35" s="83"/>
      <c r="BA35" s="84"/>
    </row>
    <row r="36" spans="1:53" s="73" customFormat="1">
      <c r="A36" s="73">
        <v>2003</v>
      </c>
      <c r="B36" s="154">
        <v>37880</v>
      </c>
      <c r="C36" s="988" t="s">
        <v>1072</v>
      </c>
      <c r="D36" s="988"/>
      <c r="E36" s="73">
        <v>107</v>
      </c>
      <c r="F36" s="150">
        <v>0</v>
      </c>
      <c r="G36" s="480">
        <v>3</v>
      </c>
      <c r="H36" s="531">
        <v>3</v>
      </c>
      <c r="I36" s="531">
        <v>9</v>
      </c>
      <c r="J36" s="482">
        <v>17</v>
      </c>
      <c r="K36" s="477">
        <f t="shared" si="0"/>
        <v>17.647058823529413</v>
      </c>
      <c r="L36" s="477">
        <f t="shared" si="1"/>
        <v>17.647058823529413</v>
      </c>
      <c r="M36" s="477">
        <f t="shared" si="2"/>
        <v>52.941176470588239</v>
      </c>
      <c r="N36" s="481">
        <f t="shared" si="3"/>
        <v>88.235294117647072</v>
      </c>
      <c r="O36" s="476">
        <v>4.5</v>
      </c>
      <c r="P36" s="477">
        <v>11</v>
      </c>
      <c r="Q36" s="477">
        <v>35</v>
      </c>
      <c r="R36" s="478">
        <f t="shared" si="4"/>
        <v>50.5</v>
      </c>
      <c r="S36" s="73">
        <v>2</v>
      </c>
      <c r="T36" s="95"/>
      <c r="U36" s="85"/>
      <c r="V36" s="82" t="s">
        <v>1087</v>
      </c>
      <c r="W36" s="225" t="s">
        <v>20</v>
      </c>
      <c r="X36" s="225" t="s">
        <v>12</v>
      </c>
      <c r="Y36" s="83">
        <v>35</v>
      </c>
      <c r="Z36" s="225" t="s">
        <v>1084</v>
      </c>
      <c r="AA36" s="225" t="s">
        <v>17</v>
      </c>
      <c r="AB36" s="225" t="s">
        <v>18</v>
      </c>
      <c r="AC36" s="225">
        <v>11</v>
      </c>
      <c r="AD36" s="82" t="s">
        <v>1088</v>
      </c>
      <c r="AE36" s="225" t="s">
        <v>1089</v>
      </c>
      <c r="AF36" s="225" t="s">
        <v>11</v>
      </c>
      <c r="AG36" s="83">
        <v>4.5</v>
      </c>
      <c r="AL36" s="82"/>
      <c r="AO36" s="83"/>
      <c r="AP36" s="82"/>
      <c r="AS36" s="83"/>
      <c r="AW36" s="83"/>
      <c r="BA36" s="84"/>
    </row>
    <row r="37" spans="1:53" s="73" customFormat="1">
      <c r="A37" s="73">
        <v>2004</v>
      </c>
      <c r="B37" s="121"/>
      <c r="C37" s="988" t="s">
        <v>1072</v>
      </c>
      <c r="D37" s="988"/>
      <c r="E37" s="73">
        <v>216</v>
      </c>
      <c r="G37" s="480">
        <v>3</v>
      </c>
      <c r="H37" s="531">
        <v>3</v>
      </c>
      <c r="I37" s="531">
        <v>9</v>
      </c>
      <c r="J37" s="482">
        <v>17</v>
      </c>
      <c r="K37" s="477">
        <f t="shared" si="0"/>
        <v>17.647058823529413</v>
      </c>
      <c r="L37" s="477">
        <f t="shared" si="1"/>
        <v>17.647058823529413</v>
      </c>
      <c r="M37" s="477">
        <f t="shared" si="2"/>
        <v>52.941176470588239</v>
      </c>
      <c r="N37" s="481">
        <f t="shared" si="3"/>
        <v>88.235294117647072</v>
      </c>
      <c r="O37" s="476">
        <v>4.5</v>
      </c>
      <c r="P37" s="477">
        <v>11</v>
      </c>
      <c r="Q37" s="477">
        <v>35</v>
      </c>
      <c r="R37" s="478">
        <f t="shared" si="4"/>
        <v>50.5</v>
      </c>
      <c r="S37" s="73">
        <v>2</v>
      </c>
      <c r="T37" s="95"/>
      <c r="U37" s="85"/>
      <c r="V37" s="82" t="s">
        <v>1087</v>
      </c>
      <c r="W37" s="225" t="s">
        <v>20</v>
      </c>
      <c r="X37" s="225" t="s">
        <v>12</v>
      </c>
      <c r="Y37" s="83">
        <v>35</v>
      </c>
      <c r="Z37" s="225" t="s">
        <v>1084</v>
      </c>
      <c r="AA37" s="225" t="s">
        <v>17</v>
      </c>
      <c r="AB37" s="225" t="s">
        <v>18</v>
      </c>
      <c r="AC37" s="225">
        <v>11</v>
      </c>
      <c r="AD37" s="82" t="s">
        <v>1088</v>
      </c>
      <c r="AE37" s="225" t="s">
        <v>1089</v>
      </c>
      <c r="AF37" s="225" t="s">
        <v>11</v>
      </c>
      <c r="AG37" s="83">
        <v>4.5</v>
      </c>
      <c r="AL37" s="82"/>
      <c r="AO37" s="83"/>
      <c r="AP37" s="82"/>
      <c r="AS37" s="83"/>
      <c r="AW37" s="83"/>
      <c r="BA37" s="84"/>
    </row>
    <row r="38" spans="1:53" s="334" customFormat="1">
      <c r="A38" s="334">
        <v>2004</v>
      </c>
      <c r="B38" s="335">
        <v>38203</v>
      </c>
      <c r="C38" s="992" t="s">
        <v>1073</v>
      </c>
      <c r="D38" s="992"/>
      <c r="E38" s="334">
        <v>150</v>
      </c>
      <c r="F38" s="334">
        <v>2</v>
      </c>
      <c r="G38" s="497">
        <v>3</v>
      </c>
      <c r="H38" s="532">
        <v>3</v>
      </c>
      <c r="I38" s="532">
        <v>12</v>
      </c>
      <c r="J38" s="499">
        <v>18</v>
      </c>
      <c r="K38" s="495">
        <f t="shared" ref="K38:K52" si="5">G38/J38*100</f>
        <v>16.666666666666664</v>
      </c>
      <c r="L38" s="495">
        <f t="shared" ref="L38:L52" si="6">H38/J38*100</f>
        <v>16.666666666666664</v>
      </c>
      <c r="M38" s="495">
        <f t="shared" ref="M38:M52" si="7">I38/J38*100</f>
        <v>66.666666666666657</v>
      </c>
      <c r="N38" s="498">
        <f t="shared" ref="N38:N58" si="8">SUM(K38:M38)</f>
        <v>99.999999999999986</v>
      </c>
      <c r="O38" s="494">
        <v>4.5</v>
      </c>
      <c r="P38" s="495">
        <v>11</v>
      </c>
      <c r="Q38" s="495">
        <v>35</v>
      </c>
      <c r="R38" s="496">
        <f t="shared" si="4"/>
        <v>50.5</v>
      </c>
      <c r="S38" s="334">
        <v>2</v>
      </c>
      <c r="T38" s="342"/>
      <c r="U38" s="355">
        <v>38203</v>
      </c>
      <c r="V38" s="343" t="s">
        <v>1087</v>
      </c>
      <c r="W38" s="334" t="s">
        <v>20</v>
      </c>
      <c r="X38" s="334" t="s">
        <v>12</v>
      </c>
      <c r="Y38" s="344">
        <v>35</v>
      </c>
      <c r="Z38" s="334" t="s">
        <v>1084</v>
      </c>
      <c r="AA38" s="334" t="s">
        <v>17</v>
      </c>
      <c r="AB38" s="334" t="s">
        <v>18</v>
      </c>
      <c r="AC38" s="334">
        <v>11</v>
      </c>
      <c r="AD38" s="343" t="s">
        <v>1088</v>
      </c>
      <c r="AE38" s="334" t="s">
        <v>1089</v>
      </c>
      <c r="AF38" s="334" t="s">
        <v>11</v>
      </c>
      <c r="AG38" s="344">
        <v>4.5</v>
      </c>
      <c r="AL38" s="343"/>
      <c r="AO38" s="344"/>
      <c r="AP38" s="343"/>
      <c r="AS38" s="344"/>
      <c r="AW38" s="344"/>
      <c r="BA38" s="345"/>
    </row>
    <row r="39" spans="1:53" s="334" customFormat="1">
      <c r="A39" s="334">
        <v>2005</v>
      </c>
      <c r="B39" s="335"/>
      <c r="C39" s="992" t="s">
        <v>1073</v>
      </c>
      <c r="D39" s="992"/>
      <c r="E39" s="334">
        <v>114</v>
      </c>
      <c r="G39" s="497">
        <v>3</v>
      </c>
      <c r="H39" s="532">
        <v>3</v>
      </c>
      <c r="I39" s="532">
        <v>12</v>
      </c>
      <c r="J39" s="499">
        <v>18</v>
      </c>
      <c r="K39" s="495">
        <f t="shared" si="5"/>
        <v>16.666666666666664</v>
      </c>
      <c r="L39" s="495">
        <f t="shared" si="6"/>
        <v>16.666666666666664</v>
      </c>
      <c r="M39" s="495">
        <f t="shared" si="7"/>
        <v>66.666666666666657</v>
      </c>
      <c r="N39" s="498">
        <f t="shared" si="8"/>
        <v>99.999999999999986</v>
      </c>
      <c r="O39" s="494">
        <v>4.5</v>
      </c>
      <c r="P39" s="495">
        <v>11</v>
      </c>
      <c r="Q39" s="495">
        <v>35</v>
      </c>
      <c r="R39" s="496">
        <f t="shared" si="4"/>
        <v>50.5</v>
      </c>
      <c r="S39" s="334">
        <v>2</v>
      </c>
      <c r="T39" s="342"/>
      <c r="U39" s="355"/>
      <c r="V39" s="343" t="s">
        <v>1087</v>
      </c>
      <c r="W39" s="334" t="s">
        <v>20</v>
      </c>
      <c r="X39" s="334" t="s">
        <v>12</v>
      </c>
      <c r="Y39" s="344">
        <v>35</v>
      </c>
      <c r="Z39" s="334" t="s">
        <v>1084</v>
      </c>
      <c r="AA39" s="334" t="s">
        <v>17</v>
      </c>
      <c r="AB39" s="334" t="s">
        <v>18</v>
      </c>
      <c r="AC39" s="334">
        <v>11</v>
      </c>
      <c r="AD39" s="343" t="s">
        <v>1088</v>
      </c>
      <c r="AE39" s="334" t="s">
        <v>1089</v>
      </c>
      <c r="AF39" s="334" t="s">
        <v>11</v>
      </c>
      <c r="AG39" s="344">
        <v>4.5</v>
      </c>
      <c r="AL39" s="343"/>
      <c r="AO39" s="344"/>
      <c r="AP39" s="343"/>
      <c r="AS39" s="344"/>
      <c r="AW39" s="344"/>
      <c r="BA39" s="345"/>
    </row>
    <row r="40" spans="1:53" s="73" customFormat="1">
      <c r="A40" s="73">
        <v>2005</v>
      </c>
      <c r="B40" s="121">
        <v>38467</v>
      </c>
      <c r="C40" s="988" t="s">
        <v>1074</v>
      </c>
      <c r="D40" s="988"/>
      <c r="E40" s="73">
        <v>114</v>
      </c>
      <c r="F40" s="73">
        <v>2</v>
      </c>
      <c r="G40" s="480">
        <v>2</v>
      </c>
      <c r="H40" s="531">
        <v>3</v>
      </c>
      <c r="I40" s="531">
        <v>9</v>
      </c>
      <c r="J40" s="482">
        <v>18</v>
      </c>
      <c r="K40" s="477">
        <f>G40/J40*100</f>
        <v>11.111111111111111</v>
      </c>
      <c r="L40" s="477">
        <f>H40/J40*100</f>
        <v>16.666666666666664</v>
      </c>
      <c r="M40" s="477">
        <f>I40/J40*100</f>
        <v>50</v>
      </c>
      <c r="N40" s="481">
        <f>SUM(K40:M40)</f>
        <v>77.777777777777771</v>
      </c>
      <c r="O40" s="476">
        <v>4.5</v>
      </c>
      <c r="P40" s="477">
        <v>11</v>
      </c>
      <c r="Q40" s="477">
        <v>35</v>
      </c>
      <c r="R40" s="478">
        <f>SUM(O40:Q40)</f>
        <v>50.5</v>
      </c>
      <c r="S40" s="73">
        <v>2</v>
      </c>
      <c r="T40" s="95"/>
      <c r="U40" s="85">
        <v>38467</v>
      </c>
      <c r="V40" s="82" t="s">
        <v>1087</v>
      </c>
      <c r="W40" s="225" t="s">
        <v>20</v>
      </c>
      <c r="X40" s="225" t="s">
        <v>12</v>
      </c>
      <c r="Y40" s="83">
        <v>35</v>
      </c>
      <c r="Z40" s="225" t="s">
        <v>1084</v>
      </c>
      <c r="AA40" s="225" t="s">
        <v>17</v>
      </c>
      <c r="AB40" s="225" t="s">
        <v>18</v>
      </c>
      <c r="AC40" s="225">
        <v>11</v>
      </c>
      <c r="AD40" s="82" t="s">
        <v>1088</v>
      </c>
      <c r="AE40" s="225" t="s">
        <v>1089</v>
      </c>
      <c r="AF40" s="225" t="s">
        <v>11</v>
      </c>
      <c r="AG40" s="83">
        <v>4.5</v>
      </c>
      <c r="AL40" s="82"/>
      <c r="AO40" s="83"/>
      <c r="AP40" s="82"/>
      <c r="AS40" s="83"/>
      <c r="AW40" s="83"/>
      <c r="BA40" s="84"/>
    </row>
    <row r="41" spans="1:53" s="73" customFormat="1">
      <c r="A41" s="73">
        <v>2005</v>
      </c>
      <c r="B41" s="154">
        <v>38581</v>
      </c>
      <c r="C41" s="988" t="s">
        <v>1074</v>
      </c>
      <c r="D41" s="988"/>
      <c r="E41" s="73">
        <v>79</v>
      </c>
      <c r="F41" s="150">
        <v>0</v>
      </c>
      <c r="G41" s="480">
        <v>2</v>
      </c>
      <c r="H41" s="531">
        <v>3</v>
      </c>
      <c r="I41" s="531">
        <v>8</v>
      </c>
      <c r="J41" s="482">
        <v>18</v>
      </c>
      <c r="K41" s="477">
        <f>G41/J41*100</f>
        <v>11.111111111111111</v>
      </c>
      <c r="L41" s="477">
        <f>H41/J41*100</f>
        <v>16.666666666666664</v>
      </c>
      <c r="M41" s="477">
        <f>I41/J41*100</f>
        <v>44.444444444444443</v>
      </c>
      <c r="N41" s="481">
        <f>SUM(K41:M41)</f>
        <v>72.222222222222214</v>
      </c>
      <c r="O41" s="476">
        <v>4.5</v>
      </c>
      <c r="P41" s="477">
        <v>11</v>
      </c>
      <c r="Q41" s="477">
        <v>35</v>
      </c>
      <c r="R41" s="478">
        <f>SUM(O41:Q41)</f>
        <v>50.5</v>
      </c>
      <c r="S41" s="73">
        <v>2</v>
      </c>
      <c r="T41" s="95"/>
      <c r="U41" s="85"/>
      <c r="V41" s="82" t="s">
        <v>1087</v>
      </c>
      <c r="W41" s="225" t="s">
        <v>20</v>
      </c>
      <c r="X41" s="225" t="s">
        <v>12</v>
      </c>
      <c r="Y41" s="83">
        <v>35</v>
      </c>
      <c r="Z41" s="225" t="s">
        <v>1084</v>
      </c>
      <c r="AA41" s="225" t="s">
        <v>17</v>
      </c>
      <c r="AB41" s="225" t="s">
        <v>18</v>
      </c>
      <c r="AC41" s="225">
        <v>11</v>
      </c>
      <c r="AD41" s="82" t="s">
        <v>1088</v>
      </c>
      <c r="AE41" s="225" t="s">
        <v>1089</v>
      </c>
      <c r="AF41" s="225" t="s">
        <v>11</v>
      </c>
      <c r="AG41" s="83">
        <v>4.5</v>
      </c>
      <c r="AL41" s="82"/>
      <c r="AO41" s="83"/>
      <c r="AP41" s="82"/>
      <c r="AS41" s="83"/>
      <c r="AW41" s="83"/>
      <c r="BA41" s="84"/>
    </row>
    <row r="42" spans="1:53" s="73" customFormat="1">
      <c r="A42" s="73">
        <v>2005</v>
      </c>
      <c r="B42" s="154">
        <v>38660</v>
      </c>
      <c r="C42" s="988" t="s">
        <v>1074</v>
      </c>
      <c r="D42" s="988"/>
      <c r="E42" s="73">
        <v>58</v>
      </c>
      <c r="F42" s="150">
        <v>0</v>
      </c>
      <c r="G42" s="480">
        <v>2</v>
      </c>
      <c r="H42" s="531">
        <v>3</v>
      </c>
      <c r="I42" s="531">
        <v>7</v>
      </c>
      <c r="J42" s="482">
        <v>18</v>
      </c>
      <c r="K42" s="477">
        <f t="shared" si="5"/>
        <v>11.111111111111111</v>
      </c>
      <c r="L42" s="477">
        <f t="shared" si="6"/>
        <v>16.666666666666664</v>
      </c>
      <c r="M42" s="477">
        <f t="shared" si="7"/>
        <v>38.888888888888893</v>
      </c>
      <c r="N42" s="481">
        <f t="shared" si="8"/>
        <v>66.666666666666671</v>
      </c>
      <c r="O42" s="476">
        <v>4.5</v>
      </c>
      <c r="P42" s="477">
        <v>11</v>
      </c>
      <c r="Q42" s="477">
        <v>35</v>
      </c>
      <c r="R42" s="478">
        <f t="shared" si="4"/>
        <v>50.5</v>
      </c>
      <c r="S42" s="73">
        <v>2</v>
      </c>
      <c r="T42" s="95"/>
      <c r="U42" s="85"/>
      <c r="V42" s="82" t="s">
        <v>1087</v>
      </c>
      <c r="W42" s="225" t="s">
        <v>20</v>
      </c>
      <c r="X42" s="225" t="s">
        <v>12</v>
      </c>
      <c r="Y42" s="83">
        <v>35</v>
      </c>
      <c r="Z42" s="225" t="s">
        <v>1084</v>
      </c>
      <c r="AA42" s="225" t="s">
        <v>17</v>
      </c>
      <c r="AB42" s="225" t="s">
        <v>18</v>
      </c>
      <c r="AC42" s="225">
        <v>11</v>
      </c>
      <c r="AD42" s="82" t="s">
        <v>1088</v>
      </c>
      <c r="AE42" s="225" t="s">
        <v>1089</v>
      </c>
      <c r="AF42" s="225" t="s">
        <v>11</v>
      </c>
      <c r="AG42" s="83">
        <v>4.5</v>
      </c>
      <c r="AL42" s="82"/>
      <c r="AO42" s="83"/>
      <c r="AP42" s="82"/>
      <c r="AS42" s="83"/>
      <c r="AW42" s="83"/>
      <c r="BA42" s="84"/>
    </row>
    <row r="43" spans="1:53" s="73" customFormat="1">
      <c r="A43" s="73">
        <v>2006</v>
      </c>
      <c r="B43" s="121"/>
      <c r="C43" s="988" t="s">
        <v>1074</v>
      </c>
      <c r="D43" s="988"/>
      <c r="E43" s="73">
        <v>246</v>
      </c>
      <c r="G43" s="480">
        <v>2</v>
      </c>
      <c r="H43" s="531">
        <v>3</v>
      </c>
      <c r="I43" s="531">
        <v>7</v>
      </c>
      <c r="J43" s="482">
        <v>17</v>
      </c>
      <c r="K43" s="477">
        <f t="shared" si="5"/>
        <v>11.76470588235294</v>
      </c>
      <c r="L43" s="477">
        <f t="shared" si="6"/>
        <v>17.647058823529413</v>
      </c>
      <c r="M43" s="477">
        <f t="shared" si="7"/>
        <v>41.17647058823529</v>
      </c>
      <c r="N43" s="481">
        <f t="shared" si="8"/>
        <v>70.588235294117652</v>
      </c>
      <c r="O43" s="476">
        <v>4.5</v>
      </c>
      <c r="P43" s="477">
        <v>11</v>
      </c>
      <c r="Q43" s="477">
        <v>35</v>
      </c>
      <c r="R43" s="478">
        <f t="shared" si="4"/>
        <v>50.5</v>
      </c>
      <c r="S43" s="73">
        <v>2</v>
      </c>
      <c r="T43" s="95"/>
      <c r="U43" s="85"/>
      <c r="V43" s="82" t="s">
        <v>1087</v>
      </c>
      <c r="W43" s="225" t="s">
        <v>20</v>
      </c>
      <c r="X43" s="225" t="s">
        <v>12</v>
      </c>
      <c r="Y43" s="83">
        <v>35</v>
      </c>
      <c r="Z43" s="225" t="s">
        <v>1084</v>
      </c>
      <c r="AA43" s="225" t="s">
        <v>17</v>
      </c>
      <c r="AB43" s="225" t="s">
        <v>18</v>
      </c>
      <c r="AC43" s="225">
        <v>11</v>
      </c>
      <c r="AD43" s="82" t="s">
        <v>1088</v>
      </c>
      <c r="AE43" s="225" t="s">
        <v>1089</v>
      </c>
      <c r="AF43" s="225" t="s">
        <v>11</v>
      </c>
      <c r="AG43" s="83">
        <v>4.5</v>
      </c>
      <c r="AL43" s="82"/>
      <c r="AO43" s="83"/>
      <c r="AP43" s="82"/>
      <c r="AS43" s="83"/>
      <c r="AW43" s="83"/>
      <c r="BA43" s="84"/>
    </row>
    <row r="44" spans="1:53" s="334" customFormat="1">
      <c r="A44" s="334">
        <v>2006</v>
      </c>
      <c r="B44" s="335">
        <v>38964</v>
      </c>
      <c r="C44" s="992" t="s">
        <v>1075</v>
      </c>
      <c r="D44" s="992"/>
      <c r="E44" s="334">
        <v>119</v>
      </c>
      <c r="F44" s="334">
        <v>1</v>
      </c>
      <c r="G44" s="497">
        <v>9</v>
      </c>
      <c r="H44" s="532"/>
      <c r="I44" s="532"/>
      <c r="J44" s="499">
        <v>15</v>
      </c>
      <c r="K44" s="495">
        <f t="shared" si="5"/>
        <v>60</v>
      </c>
      <c r="L44" s="495">
        <f t="shared" si="6"/>
        <v>0</v>
      </c>
      <c r="M44" s="495">
        <f t="shared" si="7"/>
        <v>0</v>
      </c>
      <c r="N44" s="498">
        <f t="shared" si="8"/>
        <v>60</v>
      </c>
      <c r="O44" s="494">
        <v>40.5</v>
      </c>
      <c r="P44" s="495"/>
      <c r="Q44" s="495"/>
      <c r="R44" s="496">
        <f t="shared" si="4"/>
        <v>40.5</v>
      </c>
      <c r="S44" s="334">
        <v>4</v>
      </c>
      <c r="T44" s="342">
        <v>38870</v>
      </c>
      <c r="U44" s="355">
        <v>38964</v>
      </c>
      <c r="V44" s="343" t="s">
        <v>1085</v>
      </c>
      <c r="W44" s="334" t="s">
        <v>74</v>
      </c>
      <c r="X44" s="334" t="s">
        <v>11</v>
      </c>
      <c r="Y44" s="344">
        <v>40.5</v>
      </c>
      <c r="AD44" s="343"/>
      <c r="AG44" s="344"/>
      <c r="AL44" s="343"/>
      <c r="AO44" s="344"/>
      <c r="AP44" s="343"/>
      <c r="AS44" s="344"/>
      <c r="AW44" s="344"/>
      <c r="BA44" s="345"/>
    </row>
    <row r="45" spans="1:53" s="334" customFormat="1">
      <c r="A45" s="334">
        <v>2007</v>
      </c>
      <c r="B45" s="335"/>
      <c r="C45" s="992" t="s">
        <v>1075</v>
      </c>
      <c r="D45" s="992"/>
      <c r="E45" s="334">
        <v>8</v>
      </c>
      <c r="G45" s="497">
        <v>9</v>
      </c>
      <c r="H45" s="532"/>
      <c r="I45" s="532"/>
      <c r="J45" s="499">
        <v>15</v>
      </c>
      <c r="K45" s="495">
        <f t="shared" si="5"/>
        <v>60</v>
      </c>
      <c r="L45" s="495">
        <f t="shared" si="6"/>
        <v>0</v>
      </c>
      <c r="M45" s="495">
        <f t="shared" si="7"/>
        <v>0</v>
      </c>
      <c r="N45" s="498">
        <f t="shared" si="8"/>
        <v>60</v>
      </c>
      <c r="O45" s="494">
        <v>40.5</v>
      </c>
      <c r="P45" s="495"/>
      <c r="Q45" s="495"/>
      <c r="R45" s="496">
        <f t="shared" si="4"/>
        <v>40.5</v>
      </c>
      <c r="S45" s="334">
        <v>4</v>
      </c>
      <c r="T45" s="342"/>
      <c r="U45" s="355"/>
      <c r="V45" s="343" t="s">
        <v>1085</v>
      </c>
      <c r="W45" s="334" t="s">
        <v>74</v>
      </c>
      <c r="X45" s="334" t="s">
        <v>11</v>
      </c>
      <c r="Y45" s="344">
        <v>40.5</v>
      </c>
      <c r="AD45" s="343"/>
      <c r="AG45" s="344"/>
      <c r="AL45" s="343"/>
      <c r="AO45" s="344"/>
      <c r="AP45" s="343"/>
      <c r="AS45" s="344"/>
      <c r="AW45" s="344"/>
      <c r="BA45" s="345"/>
    </row>
    <row r="46" spans="1:53" s="73" customFormat="1">
      <c r="A46" s="73">
        <v>2007</v>
      </c>
      <c r="B46" s="121">
        <v>39091</v>
      </c>
      <c r="C46" s="988" t="s">
        <v>1076</v>
      </c>
      <c r="D46" s="988"/>
      <c r="E46" s="73">
        <v>357</v>
      </c>
      <c r="F46" s="73">
        <v>5</v>
      </c>
      <c r="G46" s="480">
        <v>9</v>
      </c>
      <c r="H46" s="531">
        <v>4</v>
      </c>
      <c r="I46" s="531">
        <v>3</v>
      </c>
      <c r="J46" s="482">
        <v>18</v>
      </c>
      <c r="K46" s="477">
        <f t="shared" si="5"/>
        <v>50</v>
      </c>
      <c r="L46" s="477">
        <f t="shared" si="6"/>
        <v>22.222222222222221</v>
      </c>
      <c r="M46" s="477">
        <f t="shared" si="7"/>
        <v>16.666666666666664</v>
      </c>
      <c r="N46" s="481">
        <f t="shared" si="8"/>
        <v>88.888888888888886</v>
      </c>
      <c r="O46" s="476">
        <v>40.5</v>
      </c>
      <c r="P46" s="477">
        <v>6.5</v>
      </c>
      <c r="Q46" s="477">
        <v>3</v>
      </c>
      <c r="R46" s="478">
        <f t="shared" si="4"/>
        <v>50</v>
      </c>
      <c r="S46" s="73">
        <v>5</v>
      </c>
      <c r="T46" s="95"/>
      <c r="U46" s="85">
        <v>39091</v>
      </c>
      <c r="V46" s="82" t="s">
        <v>1085</v>
      </c>
      <c r="W46" s="225" t="s">
        <v>74</v>
      </c>
      <c r="X46" s="225" t="s">
        <v>11</v>
      </c>
      <c r="Y46" s="83">
        <v>40.5</v>
      </c>
      <c r="Z46" s="225" t="s">
        <v>1084</v>
      </c>
      <c r="AA46" s="225" t="s">
        <v>17</v>
      </c>
      <c r="AB46" s="225" t="s">
        <v>18</v>
      </c>
      <c r="AC46" s="225">
        <v>6.5</v>
      </c>
      <c r="AD46" s="82" t="s">
        <v>1090</v>
      </c>
      <c r="AE46" s="225" t="s">
        <v>218</v>
      </c>
      <c r="AF46" s="225" t="s">
        <v>12</v>
      </c>
      <c r="AG46" s="83">
        <v>3</v>
      </c>
      <c r="AL46" s="82"/>
      <c r="AO46" s="83"/>
      <c r="AP46" s="82"/>
      <c r="AS46" s="83"/>
      <c r="AW46" s="83"/>
      <c r="BA46" s="84"/>
    </row>
    <row r="47" spans="1:53" s="73" customFormat="1">
      <c r="A47" s="73">
        <v>2008</v>
      </c>
      <c r="B47" s="121"/>
      <c r="C47" s="988" t="s">
        <v>1076</v>
      </c>
      <c r="D47" s="988"/>
      <c r="E47" s="73">
        <v>0</v>
      </c>
      <c r="G47" s="480">
        <v>9</v>
      </c>
      <c r="H47" s="531">
        <v>4</v>
      </c>
      <c r="I47" s="531">
        <v>3</v>
      </c>
      <c r="J47" s="482">
        <v>18</v>
      </c>
      <c r="K47" s="477">
        <f t="shared" si="5"/>
        <v>50</v>
      </c>
      <c r="L47" s="477">
        <f t="shared" si="6"/>
        <v>22.222222222222221</v>
      </c>
      <c r="M47" s="477">
        <f t="shared" si="7"/>
        <v>16.666666666666664</v>
      </c>
      <c r="N47" s="481">
        <f t="shared" si="8"/>
        <v>88.888888888888886</v>
      </c>
      <c r="O47" s="476">
        <v>40.5</v>
      </c>
      <c r="P47" s="477">
        <v>6.5</v>
      </c>
      <c r="Q47" s="477">
        <v>3</v>
      </c>
      <c r="R47" s="478">
        <f t="shared" si="4"/>
        <v>50</v>
      </c>
      <c r="S47" s="73">
        <v>5</v>
      </c>
      <c r="T47" s="95"/>
      <c r="U47" s="85"/>
      <c r="V47" s="82" t="s">
        <v>1085</v>
      </c>
      <c r="W47" s="225" t="s">
        <v>74</v>
      </c>
      <c r="X47" s="225" t="s">
        <v>11</v>
      </c>
      <c r="Y47" s="83">
        <v>40.5</v>
      </c>
      <c r="Z47" s="225" t="s">
        <v>1084</v>
      </c>
      <c r="AA47" s="225" t="s">
        <v>17</v>
      </c>
      <c r="AB47" s="225" t="s">
        <v>18</v>
      </c>
      <c r="AC47" s="225">
        <v>6.5</v>
      </c>
      <c r="AD47" s="82" t="s">
        <v>1090</v>
      </c>
      <c r="AE47" s="225" t="s">
        <v>218</v>
      </c>
      <c r="AF47" s="225" t="s">
        <v>12</v>
      </c>
      <c r="AG47" s="83">
        <v>3</v>
      </c>
      <c r="AL47" s="82"/>
      <c r="AO47" s="83"/>
      <c r="AP47" s="82"/>
      <c r="AS47" s="83"/>
      <c r="AW47" s="83"/>
      <c r="BA47" s="84"/>
    </row>
    <row r="48" spans="1:53" s="73" customFormat="1">
      <c r="A48" s="73">
        <v>2008</v>
      </c>
      <c r="B48" s="121"/>
      <c r="C48" s="988" t="s">
        <v>1076</v>
      </c>
      <c r="D48" s="988"/>
      <c r="E48" s="73">
        <v>366</v>
      </c>
      <c r="G48" s="480">
        <v>9</v>
      </c>
      <c r="H48" s="531">
        <v>4</v>
      </c>
      <c r="I48" s="531">
        <v>3</v>
      </c>
      <c r="J48" s="482">
        <v>18</v>
      </c>
      <c r="K48" s="477">
        <f t="shared" si="5"/>
        <v>50</v>
      </c>
      <c r="L48" s="477">
        <f t="shared" si="6"/>
        <v>22.222222222222221</v>
      </c>
      <c r="M48" s="477">
        <f t="shared" si="7"/>
        <v>16.666666666666664</v>
      </c>
      <c r="N48" s="481">
        <f t="shared" si="8"/>
        <v>88.888888888888886</v>
      </c>
      <c r="O48" s="476">
        <v>40.5</v>
      </c>
      <c r="P48" s="477">
        <v>6.5</v>
      </c>
      <c r="Q48" s="477">
        <v>3</v>
      </c>
      <c r="R48" s="478">
        <f t="shared" si="4"/>
        <v>50</v>
      </c>
      <c r="S48" s="73">
        <v>5</v>
      </c>
      <c r="T48" s="95"/>
      <c r="U48" s="85"/>
      <c r="V48" s="82" t="s">
        <v>1085</v>
      </c>
      <c r="W48" s="225" t="s">
        <v>74</v>
      </c>
      <c r="X48" s="225" t="s">
        <v>11</v>
      </c>
      <c r="Y48" s="83">
        <v>40.5</v>
      </c>
      <c r="Z48" s="225" t="s">
        <v>1084</v>
      </c>
      <c r="AA48" s="225" t="s">
        <v>17</v>
      </c>
      <c r="AB48" s="225" t="s">
        <v>18</v>
      </c>
      <c r="AC48" s="225">
        <v>6.5</v>
      </c>
      <c r="AD48" s="82" t="s">
        <v>1090</v>
      </c>
      <c r="AE48" s="225" t="s">
        <v>218</v>
      </c>
      <c r="AF48" s="225" t="s">
        <v>12</v>
      </c>
      <c r="AG48" s="83">
        <v>3</v>
      </c>
      <c r="AL48" s="82"/>
      <c r="AO48" s="83"/>
      <c r="AP48" s="82"/>
      <c r="AS48" s="83"/>
      <c r="AW48" s="83"/>
      <c r="BA48" s="84"/>
    </row>
    <row r="49" spans="1:53" s="73" customFormat="1">
      <c r="A49" s="73">
        <v>2009</v>
      </c>
      <c r="B49" s="121"/>
      <c r="C49" s="988" t="s">
        <v>1076</v>
      </c>
      <c r="D49" s="988"/>
      <c r="E49" s="73">
        <v>127</v>
      </c>
      <c r="G49" s="480">
        <v>9</v>
      </c>
      <c r="H49" s="531">
        <v>4</v>
      </c>
      <c r="I49" s="531">
        <v>3</v>
      </c>
      <c r="J49" s="482">
        <v>18</v>
      </c>
      <c r="K49" s="477">
        <f t="shared" si="5"/>
        <v>50</v>
      </c>
      <c r="L49" s="477">
        <f t="shared" si="6"/>
        <v>22.222222222222221</v>
      </c>
      <c r="M49" s="477">
        <f t="shared" si="7"/>
        <v>16.666666666666664</v>
      </c>
      <c r="N49" s="481">
        <f t="shared" si="8"/>
        <v>88.888888888888886</v>
      </c>
      <c r="O49" s="476">
        <v>40.5</v>
      </c>
      <c r="P49" s="477">
        <v>6.5</v>
      </c>
      <c r="Q49" s="477">
        <v>3</v>
      </c>
      <c r="R49" s="478">
        <f t="shared" si="4"/>
        <v>50</v>
      </c>
      <c r="S49" s="73">
        <v>5</v>
      </c>
      <c r="T49" s="95"/>
      <c r="U49" s="85"/>
      <c r="V49" s="82" t="s">
        <v>1085</v>
      </c>
      <c r="W49" s="225" t="s">
        <v>74</v>
      </c>
      <c r="X49" s="225" t="s">
        <v>11</v>
      </c>
      <c r="Y49" s="83">
        <v>40.5</v>
      </c>
      <c r="Z49" s="225" t="s">
        <v>1084</v>
      </c>
      <c r="AA49" s="225" t="s">
        <v>17</v>
      </c>
      <c r="AB49" s="225" t="s">
        <v>18</v>
      </c>
      <c r="AC49" s="225">
        <v>6.5</v>
      </c>
      <c r="AD49" s="82" t="s">
        <v>1090</v>
      </c>
      <c r="AE49" s="225" t="s">
        <v>218</v>
      </c>
      <c r="AF49" s="225" t="s">
        <v>12</v>
      </c>
      <c r="AG49" s="83">
        <v>3</v>
      </c>
      <c r="AL49" s="82"/>
      <c r="AO49" s="83"/>
      <c r="AP49" s="82"/>
      <c r="AS49" s="83"/>
      <c r="AW49" s="83"/>
      <c r="BA49" s="84"/>
    </row>
    <row r="50" spans="1:53" s="334" customFormat="1">
      <c r="A50" s="334">
        <v>2009</v>
      </c>
      <c r="B50" s="335">
        <v>39941</v>
      </c>
      <c r="C50" s="992" t="s">
        <v>1077</v>
      </c>
      <c r="D50" s="992"/>
      <c r="E50" s="334">
        <v>238</v>
      </c>
      <c r="F50" s="334">
        <v>5</v>
      </c>
      <c r="G50" s="497">
        <v>0</v>
      </c>
      <c r="H50" s="532">
        <v>0</v>
      </c>
      <c r="I50" s="532">
        <v>0</v>
      </c>
      <c r="J50" s="499">
        <v>18</v>
      </c>
      <c r="K50" s="495">
        <f t="shared" si="5"/>
        <v>0</v>
      </c>
      <c r="L50" s="495">
        <f t="shared" si="6"/>
        <v>0</v>
      </c>
      <c r="M50" s="495">
        <f t="shared" si="7"/>
        <v>0</v>
      </c>
      <c r="N50" s="498">
        <f t="shared" si="8"/>
        <v>0</v>
      </c>
      <c r="O50" s="494">
        <v>0</v>
      </c>
      <c r="P50" s="495">
        <v>0</v>
      </c>
      <c r="Q50" s="495">
        <v>0</v>
      </c>
      <c r="R50" s="496">
        <f t="shared" si="4"/>
        <v>0</v>
      </c>
      <c r="S50" s="334">
        <v>7</v>
      </c>
      <c r="T50" s="342"/>
      <c r="U50" s="355">
        <v>39941</v>
      </c>
      <c r="V50" s="438" t="s">
        <v>809</v>
      </c>
      <c r="Y50" s="344"/>
      <c r="AD50" s="343"/>
      <c r="AG50" s="344"/>
      <c r="AL50" s="343"/>
      <c r="AO50" s="344"/>
      <c r="AP50" s="343"/>
      <c r="AS50" s="344"/>
      <c r="AW50" s="344"/>
      <c r="BA50" s="345"/>
    </row>
    <row r="51" spans="1:53" s="334" customFormat="1">
      <c r="A51" s="334">
        <v>2010</v>
      </c>
      <c r="B51" s="335"/>
      <c r="C51" s="992" t="s">
        <v>1077</v>
      </c>
      <c r="D51" s="992"/>
      <c r="E51" s="334">
        <v>193</v>
      </c>
      <c r="G51" s="497">
        <v>0</v>
      </c>
      <c r="H51" s="532">
        <v>0</v>
      </c>
      <c r="I51" s="532">
        <v>0</v>
      </c>
      <c r="J51" s="499">
        <v>18</v>
      </c>
      <c r="K51" s="495">
        <f t="shared" si="5"/>
        <v>0</v>
      </c>
      <c r="L51" s="495">
        <f t="shared" si="6"/>
        <v>0</v>
      </c>
      <c r="M51" s="495">
        <f t="shared" si="7"/>
        <v>0</v>
      </c>
      <c r="N51" s="498">
        <f t="shared" si="8"/>
        <v>0</v>
      </c>
      <c r="O51" s="494">
        <v>0</v>
      </c>
      <c r="P51" s="495">
        <v>0</v>
      </c>
      <c r="Q51" s="495">
        <v>0</v>
      </c>
      <c r="R51" s="496">
        <f t="shared" si="4"/>
        <v>0</v>
      </c>
      <c r="S51" s="334">
        <v>7</v>
      </c>
      <c r="T51" s="342"/>
      <c r="U51" s="355"/>
      <c r="V51" s="438" t="s">
        <v>809</v>
      </c>
      <c r="Y51" s="344"/>
      <c r="AD51" s="343"/>
      <c r="AG51" s="344"/>
      <c r="AL51" s="343"/>
      <c r="AO51" s="344"/>
      <c r="AP51" s="343"/>
      <c r="AS51" s="344"/>
      <c r="AW51" s="344"/>
      <c r="BA51" s="345"/>
    </row>
    <row r="52" spans="1:53" s="73" customFormat="1">
      <c r="A52" s="73">
        <v>2010</v>
      </c>
      <c r="B52" s="121">
        <v>40372</v>
      </c>
      <c r="C52" s="988" t="s">
        <v>1078</v>
      </c>
      <c r="D52" s="988"/>
      <c r="E52" s="73">
        <v>172</v>
      </c>
      <c r="F52" s="73">
        <v>1</v>
      </c>
      <c r="G52" s="480">
        <v>14</v>
      </c>
      <c r="H52" s="531"/>
      <c r="I52" s="531"/>
      <c r="J52" s="482">
        <v>15</v>
      </c>
      <c r="K52" s="477">
        <f t="shared" si="5"/>
        <v>93.333333333333329</v>
      </c>
      <c r="L52" s="477">
        <f t="shared" si="6"/>
        <v>0</v>
      </c>
      <c r="M52" s="477">
        <f t="shared" si="7"/>
        <v>0</v>
      </c>
      <c r="N52" s="481">
        <f t="shared" si="8"/>
        <v>93.333333333333329</v>
      </c>
      <c r="O52" s="476">
        <v>59</v>
      </c>
      <c r="P52" s="477"/>
      <c r="Q52" s="477"/>
      <c r="R52" s="478">
        <f t="shared" si="4"/>
        <v>59</v>
      </c>
      <c r="S52" s="73">
        <v>2</v>
      </c>
      <c r="T52" s="95">
        <v>40327</v>
      </c>
      <c r="U52" s="85">
        <v>40372</v>
      </c>
      <c r="V52" s="82" t="s">
        <v>1085</v>
      </c>
      <c r="W52" s="225" t="s">
        <v>74</v>
      </c>
      <c r="X52" s="225" t="s">
        <v>11</v>
      </c>
      <c r="Y52" s="83">
        <v>26.5</v>
      </c>
      <c r="Z52" s="225" t="s">
        <v>1091</v>
      </c>
      <c r="AA52" s="225" t="s">
        <v>77</v>
      </c>
      <c r="AB52" s="225" t="s">
        <v>11</v>
      </c>
      <c r="AC52" s="225">
        <v>20.5</v>
      </c>
      <c r="AD52" s="82" t="s">
        <v>1092</v>
      </c>
      <c r="AE52" s="225" t="s">
        <v>79</v>
      </c>
      <c r="AF52" s="225" t="s">
        <v>11</v>
      </c>
      <c r="AG52" s="83">
        <v>12</v>
      </c>
      <c r="AL52" s="82"/>
      <c r="AO52" s="83"/>
      <c r="AP52" s="82"/>
      <c r="AS52" s="83"/>
      <c r="AW52" s="83"/>
      <c r="BA52" s="84"/>
    </row>
    <row r="53" spans="1:53" s="73" customFormat="1">
      <c r="A53" s="73">
        <v>2011</v>
      </c>
      <c r="B53" s="121"/>
      <c r="C53" s="988" t="s">
        <v>1078</v>
      </c>
      <c r="D53" s="988"/>
      <c r="E53" s="73">
        <v>110</v>
      </c>
      <c r="G53" s="480">
        <v>14</v>
      </c>
      <c r="H53" s="531"/>
      <c r="I53" s="531"/>
      <c r="J53" s="482">
        <v>15</v>
      </c>
      <c r="K53" s="477">
        <f t="shared" ref="K53:K62" si="9">G53/J53*100</f>
        <v>93.333333333333329</v>
      </c>
      <c r="L53" s="477">
        <f t="shared" ref="L53:L62" si="10">H53/J53*100</f>
        <v>0</v>
      </c>
      <c r="M53" s="477">
        <f t="shared" ref="M53:M62" si="11">I53/J53*100</f>
        <v>0</v>
      </c>
      <c r="N53" s="481">
        <f t="shared" si="8"/>
        <v>93.333333333333329</v>
      </c>
      <c r="O53" s="476">
        <v>59</v>
      </c>
      <c r="P53" s="477"/>
      <c r="Q53" s="477"/>
      <c r="R53" s="478">
        <f t="shared" si="4"/>
        <v>59</v>
      </c>
      <c r="S53" s="73">
        <v>2</v>
      </c>
      <c r="T53" s="95"/>
      <c r="U53" s="85"/>
      <c r="V53" s="82" t="s">
        <v>1085</v>
      </c>
      <c r="W53" s="225" t="s">
        <v>74</v>
      </c>
      <c r="X53" s="225" t="s">
        <v>11</v>
      </c>
      <c r="Y53" s="83">
        <v>26.5</v>
      </c>
      <c r="Z53" s="225" t="s">
        <v>1091</v>
      </c>
      <c r="AA53" s="225" t="s">
        <v>77</v>
      </c>
      <c r="AB53" s="225" t="s">
        <v>11</v>
      </c>
      <c r="AC53" s="225">
        <v>20.5</v>
      </c>
      <c r="AD53" s="82" t="s">
        <v>1092</v>
      </c>
      <c r="AE53" s="225" t="s">
        <v>79</v>
      </c>
      <c r="AF53" s="225" t="s">
        <v>11</v>
      </c>
      <c r="AG53" s="83">
        <v>12</v>
      </c>
      <c r="AL53" s="82"/>
      <c r="AO53" s="83"/>
      <c r="AP53" s="82"/>
      <c r="AS53" s="83"/>
      <c r="AW53" s="83"/>
      <c r="BA53" s="84"/>
    </row>
    <row r="54" spans="1:53" s="73" customFormat="1">
      <c r="A54" s="73">
        <v>2011</v>
      </c>
      <c r="B54" s="154">
        <v>40654</v>
      </c>
      <c r="C54" s="988" t="s">
        <v>1078</v>
      </c>
      <c r="D54" s="988"/>
      <c r="E54" s="73">
        <v>255</v>
      </c>
      <c r="F54" s="150">
        <v>0</v>
      </c>
      <c r="G54" s="480">
        <v>13</v>
      </c>
      <c r="H54" s="531"/>
      <c r="I54" s="531"/>
      <c r="J54" s="482">
        <v>15</v>
      </c>
      <c r="K54" s="477">
        <f t="shared" si="9"/>
        <v>86.666666666666671</v>
      </c>
      <c r="L54" s="477">
        <f t="shared" si="10"/>
        <v>0</v>
      </c>
      <c r="M54" s="477">
        <f t="shared" si="11"/>
        <v>0</v>
      </c>
      <c r="N54" s="481">
        <f>SUM(K54:M54)</f>
        <v>86.666666666666671</v>
      </c>
      <c r="O54" s="476">
        <v>59</v>
      </c>
      <c r="P54" s="477"/>
      <c r="Q54" s="477"/>
      <c r="R54" s="478">
        <f>SUM(O54:Q54)</f>
        <v>59</v>
      </c>
      <c r="S54" s="73">
        <v>2</v>
      </c>
      <c r="T54" s="95"/>
      <c r="U54" s="85"/>
      <c r="V54" s="82" t="s">
        <v>1085</v>
      </c>
      <c r="W54" s="225" t="s">
        <v>74</v>
      </c>
      <c r="X54" s="225" t="s">
        <v>11</v>
      </c>
      <c r="Y54" s="83">
        <v>26.5</v>
      </c>
      <c r="Z54" s="225" t="s">
        <v>1091</v>
      </c>
      <c r="AA54" s="225" t="s">
        <v>77</v>
      </c>
      <c r="AB54" s="225" t="s">
        <v>11</v>
      </c>
      <c r="AC54" s="225">
        <v>20.5</v>
      </c>
      <c r="AD54" s="82" t="s">
        <v>1092</v>
      </c>
      <c r="AE54" s="225" t="s">
        <v>79</v>
      </c>
      <c r="AF54" s="225" t="s">
        <v>11</v>
      </c>
      <c r="AG54" s="83">
        <v>12</v>
      </c>
      <c r="AL54" s="82"/>
      <c r="AO54" s="83"/>
      <c r="AP54" s="82"/>
      <c r="AS54" s="83"/>
      <c r="AW54" s="83"/>
      <c r="BA54" s="84"/>
    </row>
    <row r="55" spans="1:53" s="73" customFormat="1">
      <c r="A55" s="73">
        <v>2012</v>
      </c>
      <c r="B55" s="121"/>
      <c r="C55" s="988" t="s">
        <v>1078</v>
      </c>
      <c r="D55" s="988"/>
      <c r="E55" s="73">
        <v>122</v>
      </c>
      <c r="G55" s="480">
        <v>13</v>
      </c>
      <c r="H55" s="531"/>
      <c r="I55" s="531"/>
      <c r="J55" s="482">
        <v>15</v>
      </c>
      <c r="K55" s="477">
        <f t="shared" si="9"/>
        <v>86.666666666666671</v>
      </c>
      <c r="L55" s="477">
        <f t="shared" si="10"/>
        <v>0</v>
      </c>
      <c r="M55" s="477">
        <f t="shared" si="11"/>
        <v>0</v>
      </c>
      <c r="N55" s="481">
        <f t="shared" si="8"/>
        <v>86.666666666666671</v>
      </c>
      <c r="O55" s="476">
        <v>59</v>
      </c>
      <c r="P55" s="477"/>
      <c r="Q55" s="477"/>
      <c r="R55" s="478">
        <f t="shared" si="4"/>
        <v>59</v>
      </c>
      <c r="S55" s="73">
        <v>2</v>
      </c>
      <c r="T55" s="95"/>
      <c r="U55" s="85"/>
      <c r="V55" s="82" t="s">
        <v>1085</v>
      </c>
      <c r="W55" s="225" t="s">
        <v>74</v>
      </c>
      <c r="X55" s="225" t="s">
        <v>11</v>
      </c>
      <c r="Y55" s="83">
        <v>26.5</v>
      </c>
      <c r="Z55" s="225" t="s">
        <v>1091</v>
      </c>
      <c r="AA55" s="225" t="s">
        <v>77</v>
      </c>
      <c r="AB55" s="225" t="s">
        <v>11</v>
      </c>
      <c r="AC55" s="225">
        <v>20.5</v>
      </c>
      <c r="AD55" s="82" t="s">
        <v>1092</v>
      </c>
      <c r="AE55" s="225" t="s">
        <v>79</v>
      </c>
      <c r="AF55" s="225" t="s">
        <v>11</v>
      </c>
      <c r="AG55" s="83">
        <v>12</v>
      </c>
      <c r="AL55" s="82"/>
      <c r="AO55" s="83"/>
      <c r="AP55" s="82"/>
      <c r="AS55" s="83"/>
      <c r="AW55" s="83"/>
      <c r="BA55" s="84"/>
    </row>
    <row r="56" spans="1:53" s="73" customFormat="1">
      <c r="A56" s="73">
        <v>2012</v>
      </c>
      <c r="B56" s="154">
        <v>41031</v>
      </c>
      <c r="C56" s="988" t="s">
        <v>1078</v>
      </c>
      <c r="D56" s="988"/>
      <c r="E56" s="73">
        <v>224</v>
      </c>
      <c r="F56" s="150">
        <v>0</v>
      </c>
      <c r="G56" s="480">
        <v>12</v>
      </c>
      <c r="H56" s="531"/>
      <c r="I56" s="531"/>
      <c r="J56" s="482">
        <v>15</v>
      </c>
      <c r="K56" s="477">
        <f t="shared" si="9"/>
        <v>80</v>
      </c>
      <c r="L56" s="477">
        <f t="shared" si="10"/>
        <v>0</v>
      </c>
      <c r="M56" s="477">
        <f t="shared" si="11"/>
        <v>0</v>
      </c>
      <c r="N56" s="481">
        <f t="shared" si="8"/>
        <v>80</v>
      </c>
      <c r="O56" s="476">
        <v>59</v>
      </c>
      <c r="P56" s="477"/>
      <c r="Q56" s="477"/>
      <c r="R56" s="478">
        <f t="shared" si="4"/>
        <v>59</v>
      </c>
      <c r="S56" s="73">
        <v>2</v>
      </c>
      <c r="T56" s="95"/>
      <c r="U56" s="85"/>
      <c r="V56" s="82" t="s">
        <v>1085</v>
      </c>
      <c r="W56" s="225" t="s">
        <v>74</v>
      </c>
      <c r="X56" s="225" t="s">
        <v>11</v>
      </c>
      <c r="Y56" s="83">
        <v>26.5</v>
      </c>
      <c r="Z56" s="225" t="s">
        <v>1091</v>
      </c>
      <c r="AA56" s="225" t="s">
        <v>77</v>
      </c>
      <c r="AB56" s="225" t="s">
        <v>11</v>
      </c>
      <c r="AC56" s="225">
        <v>20.5</v>
      </c>
      <c r="AD56" s="82" t="s">
        <v>1092</v>
      </c>
      <c r="AE56" s="225" t="s">
        <v>79</v>
      </c>
      <c r="AF56" s="225" t="s">
        <v>11</v>
      </c>
      <c r="AG56" s="83">
        <v>12</v>
      </c>
      <c r="AL56" s="82"/>
      <c r="AO56" s="83"/>
      <c r="AP56" s="82"/>
      <c r="AS56" s="83"/>
      <c r="AW56" s="83"/>
      <c r="BA56" s="84"/>
    </row>
    <row r="57" spans="1:53" s="73" customFormat="1">
      <c r="A57" s="73">
        <v>2012</v>
      </c>
      <c r="B57" s="154">
        <v>41255</v>
      </c>
      <c r="C57" s="988" t="s">
        <v>1078</v>
      </c>
      <c r="D57" s="988"/>
      <c r="E57" s="73">
        <f>366-E56-E55</f>
        <v>20</v>
      </c>
      <c r="F57" s="150">
        <v>0</v>
      </c>
      <c r="G57" s="480">
        <v>12</v>
      </c>
      <c r="H57" s="531"/>
      <c r="I57" s="531"/>
      <c r="J57" s="482">
        <v>16</v>
      </c>
      <c r="K57" s="477">
        <f t="shared" si="9"/>
        <v>75</v>
      </c>
      <c r="L57" s="477">
        <f t="shared" si="10"/>
        <v>0</v>
      </c>
      <c r="M57" s="477">
        <f t="shared" si="11"/>
        <v>0</v>
      </c>
      <c r="N57" s="481">
        <f t="shared" si="8"/>
        <v>75</v>
      </c>
      <c r="O57" s="476">
        <v>59</v>
      </c>
      <c r="P57" s="477"/>
      <c r="Q57" s="477"/>
      <c r="R57" s="478">
        <f t="shared" si="4"/>
        <v>59</v>
      </c>
      <c r="S57" s="73">
        <v>2</v>
      </c>
      <c r="T57" s="95"/>
      <c r="U57" s="85"/>
      <c r="V57" s="82" t="s">
        <v>1085</v>
      </c>
      <c r="W57" s="225" t="s">
        <v>74</v>
      </c>
      <c r="X57" s="225" t="s">
        <v>11</v>
      </c>
      <c r="Y57" s="83">
        <v>26.5</v>
      </c>
      <c r="Z57" s="225" t="s">
        <v>1091</v>
      </c>
      <c r="AA57" s="225" t="s">
        <v>77</v>
      </c>
      <c r="AB57" s="225" t="s">
        <v>11</v>
      </c>
      <c r="AC57" s="225">
        <v>20.5</v>
      </c>
      <c r="AD57" s="82" t="s">
        <v>1092</v>
      </c>
      <c r="AE57" s="325" t="s">
        <v>79</v>
      </c>
      <c r="AF57" s="325" t="s">
        <v>11</v>
      </c>
      <c r="AG57" s="83">
        <v>12</v>
      </c>
      <c r="AL57" s="82"/>
      <c r="AO57" s="83"/>
      <c r="AP57" s="82"/>
      <c r="AS57" s="83"/>
      <c r="AW57" s="83"/>
      <c r="BA57" s="84"/>
    </row>
    <row r="58" spans="1:53" s="316" customFormat="1">
      <c r="A58" s="316">
        <v>2013</v>
      </c>
      <c r="B58" s="154"/>
      <c r="C58" s="988" t="s">
        <v>1078</v>
      </c>
      <c r="D58" s="988"/>
      <c r="E58" s="316">
        <v>77</v>
      </c>
      <c r="F58" s="150"/>
      <c r="G58" s="480">
        <v>12</v>
      </c>
      <c r="H58" s="531"/>
      <c r="I58" s="531"/>
      <c r="J58" s="482">
        <v>16</v>
      </c>
      <c r="K58" s="477">
        <f t="shared" si="9"/>
        <v>75</v>
      </c>
      <c r="L58" s="477">
        <f t="shared" si="10"/>
        <v>0</v>
      </c>
      <c r="M58" s="477">
        <f t="shared" si="11"/>
        <v>0</v>
      </c>
      <c r="N58" s="481">
        <f t="shared" si="8"/>
        <v>75</v>
      </c>
      <c r="O58" s="476">
        <v>59</v>
      </c>
      <c r="P58" s="477"/>
      <c r="Q58" s="477"/>
      <c r="R58" s="478">
        <f>SUM(O58:Q58)</f>
        <v>59</v>
      </c>
      <c r="S58" s="316">
        <v>2</v>
      </c>
      <c r="T58" s="95"/>
      <c r="U58" s="314"/>
      <c r="V58" s="82" t="s">
        <v>1085</v>
      </c>
      <c r="W58" s="316" t="s">
        <v>74</v>
      </c>
      <c r="X58" s="316" t="s">
        <v>11</v>
      </c>
      <c r="Y58" s="83">
        <v>26.5</v>
      </c>
      <c r="Z58" s="316" t="s">
        <v>1091</v>
      </c>
      <c r="AA58" s="316" t="s">
        <v>77</v>
      </c>
      <c r="AB58" s="316" t="s">
        <v>11</v>
      </c>
      <c r="AC58" s="316">
        <v>20.5</v>
      </c>
      <c r="AD58" s="82" t="s">
        <v>1092</v>
      </c>
      <c r="AE58" s="325" t="s">
        <v>79</v>
      </c>
      <c r="AF58" s="325" t="s">
        <v>11</v>
      </c>
      <c r="AG58" s="83">
        <v>12</v>
      </c>
      <c r="AL58" s="82"/>
      <c r="AO58" s="83"/>
      <c r="AP58" s="82"/>
      <c r="AS58" s="83"/>
      <c r="AW58" s="83"/>
      <c r="BA58" s="84"/>
    </row>
    <row r="59" spans="1:53" s="321" customFormat="1">
      <c r="A59" s="321">
        <v>2013</v>
      </c>
      <c r="B59" s="154">
        <v>41352</v>
      </c>
      <c r="C59" s="988" t="s">
        <v>1078</v>
      </c>
      <c r="D59" s="988"/>
      <c r="E59" s="321">
        <v>113</v>
      </c>
      <c r="F59" s="150">
        <v>0</v>
      </c>
      <c r="G59" s="480">
        <v>11</v>
      </c>
      <c r="H59" s="531"/>
      <c r="I59" s="531"/>
      <c r="J59" s="482">
        <v>16</v>
      </c>
      <c r="K59" s="477">
        <f t="shared" si="9"/>
        <v>68.75</v>
      </c>
      <c r="L59" s="477">
        <f t="shared" si="10"/>
        <v>0</v>
      </c>
      <c r="M59" s="477">
        <f t="shared" si="11"/>
        <v>0</v>
      </c>
      <c r="N59" s="481">
        <f>SUM(K59:M59)</f>
        <v>68.75</v>
      </c>
      <c r="O59" s="476">
        <v>59</v>
      </c>
      <c r="P59" s="477"/>
      <c r="Q59" s="477"/>
      <c r="R59" s="478">
        <f>SUM(O59:Q59)</f>
        <v>59</v>
      </c>
      <c r="S59" s="321">
        <v>2</v>
      </c>
      <c r="T59" s="95"/>
      <c r="U59" s="320"/>
      <c r="V59" s="82" t="s">
        <v>1085</v>
      </c>
      <c r="W59" s="321" t="s">
        <v>74</v>
      </c>
      <c r="X59" s="321" t="s">
        <v>11</v>
      </c>
      <c r="Y59" s="83">
        <v>26.5</v>
      </c>
      <c r="Z59" s="321" t="s">
        <v>1091</v>
      </c>
      <c r="AA59" s="321" t="s">
        <v>77</v>
      </c>
      <c r="AB59" s="321" t="s">
        <v>11</v>
      </c>
      <c r="AC59" s="321">
        <v>20.5</v>
      </c>
      <c r="AD59" s="82" t="s">
        <v>1092</v>
      </c>
      <c r="AE59" s="325" t="s">
        <v>79</v>
      </c>
      <c r="AF59" s="325" t="s">
        <v>11</v>
      </c>
      <c r="AG59" s="83">
        <v>12</v>
      </c>
      <c r="AL59" s="82"/>
      <c r="AO59" s="83"/>
      <c r="AP59" s="82"/>
      <c r="AS59" s="83"/>
      <c r="AW59" s="83"/>
      <c r="BA59" s="84"/>
    </row>
    <row r="60" spans="1:53" s="334" customFormat="1">
      <c r="A60" s="334">
        <v>2013</v>
      </c>
      <c r="B60" s="335">
        <v>41465</v>
      </c>
      <c r="C60" s="992" t="s">
        <v>1267</v>
      </c>
      <c r="D60" s="992"/>
      <c r="E60" s="334">
        <f>365-E59-E58</f>
        <v>175</v>
      </c>
      <c r="F60" s="334">
        <v>2</v>
      </c>
      <c r="G60" s="497"/>
      <c r="H60" s="532">
        <v>1</v>
      </c>
      <c r="I60" s="532"/>
      <c r="J60" s="499">
        <v>15</v>
      </c>
      <c r="K60" s="495">
        <f t="shared" si="9"/>
        <v>0</v>
      </c>
      <c r="L60" s="495">
        <f t="shared" si="10"/>
        <v>6.666666666666667</v>
      </c>
      <c r="M60" s="495">
        <f t="shared" si="11"/>
        <v>0</v>
      </c>
      <c r="N60" s="498">
        <f>SUM(K60:M60)</f>
        <v>6.666666666666667</v>
      </c>
      <c r="O60" s="494">
        <v>0</v>
      </c>
      <c r="P60" s="495">
        <v>0</v>
      </c>
      <c r="Q60" s="495">
        <v>0</v>
      </c>
      <c r="R60" s="496">
        <f>SUM(O60:Q60)</f>
        <v>0</v>
      </c>
      <c r="S60" s="334">
        <v>7</v>
      </c>
      <c r="T60" s="342"/>
      <c r="U60" s="355">
        <v>41465</v>
      </c>
      <c r="V60" s="438" t="s">
        <v>1273</v>
      </c>
      <c r="Y60" s="344"/>
      <c r="AD60" s="343"/>
      <c r="AG60" s="344"/>
      <c r="AL60" s="343"/>
      <c r="AO60" s="344"/>
      <c r="AP60" s="343"/>
      <c r="AS60" s="344"/>
      <c r="AW60" s="344"/>
      <c r="BA60" s="345"/>
    </row>
    <row r="61" spans="1:53" s="526" customFormat="1">
      <c r="A61" s="526">
        <v>2014</v>
      </c>
      <c r="B61" s="335"/>
      <c r="C61" s="992" t="s">
        <v>1267</v>
      </c>
      <c r="D61" s="992"/>
      <c r="E61" s="526">
        <v>28</v>
      </c>
      <c r="G61" s="497"/>
      <c r="H61" s="532">
        <v>1</v>
      </c>
      <c r="I61" s="532"/>
      <c r="J61" s="499">
        <v>15</v>
      </c>
      <c r="K61" s="495">
        <f t="shared" si="9"/>
        <v>0</v>
      </c>
      <c r="L61" s="495">
        <f t="shared" si="10"/>
        <v>6.666666666666667</v>
      </c>
      <c r="M61" s="495">
        <f t="shared" si="11"/>
        <v>0</v>
      </c>
      <c r="N61" s="498">
        <f>SUM(K61:M61)</f>
        <v>6.666666666666667</v>
      </c>
      <c r="O61" s="494">
        <v>0</v>
      </c>
      <c r="P61" s="495">
        <v>0</v>
      </c>
      <c r="Q61" s="495">
        <v>0</v>
      </c>
      <c r="R61" s="496">
        <f>SUM(O61:Q61)</f>
        <v>0</v>
      </c>
      <c r="S61" s="526">
        <v>7</v>
      </c>
      <c r="T61" s="487"/>
      <c r="U61" s="523"/>
      <c r="V61" s="438" t="s">
        <v>1273</v>
      </c>
      <c r="Y61" s="489"/>
      <c r="AD61" s="488"/>
      <c r="AG61" s="489"/>
      <c r="AL61" s="488"/>
      <c r="AO61" s="489"/>
      <c r="AP61" s="488"/>
      <c r="AS61" s="489"/>
      <c r="AW61" s="489"/>
      <c r="BA61" s="490"/>
    </row>
    <row r="62" spans="1:53" s="525" customFormat="1">
      <c r="A62" s="525">
        <v>2014</v>
      </c>
      <c r="B62" s="121">
        <v>41668</v>
      </c>
      <c r="C62" s="988" t="s">
        <v>1298</v>
      </c>
      <c r="D62" s="988"/>
      <c r="E62" s="525">
        <v>337</v>
      </c>
      <c r="F62" s="525">
        <v>1</v>
      </c>
      <c r="G62" s="480">
        <v>6</v>
      </c>
      <c r="H62" s="531">
        <v>3</v>
      </c>
      <c r="I62" s="531">
        <v>8</v>
      </c>
      <c r="J62" s="482">
        <v>17</v>
      </c>
      <c r="K62" s="477">
        <f t="shared" si="9"/>
        <v>35.294117647058826</v>
      </c>
      <c r="L62" s="477">
        <f t="shared" si="10"/>
        <v>17.647058823529413</v>
      </c>
      <c r="M62" s="477">
        <f t="shared" si="11"/>
        <v>47.058823529411761</v>
      </c>
      <c r="N62" s="481">
        <f>SUM(K62:M62)</f>
        <v>100</v>
      </c>
      <c r="O62" s="476">
        <v>23.5</v>
      </c>
      <c r="P62" s="477">
        <v>7</v>
      </c>
      <c r="Q62" s="477">
        <v>25</v>
      </c>
      <c r="R62" s="478">
        <f>SUM(O62:Q62)</f>
        <v>55.5</v>
      </c>
      <c r="S62" s="525">
        <v>2</v>
      </c>
      <c r="T62" s="479">
        <v>41573</v>
      </c>
      <c r="U62" s="522">
        <v>41668</v>
      </c>
      <c r="V62" s="472" t="s">
        <v>1087</v>
      </c>
      <c r="W62" s="525" t="s">
        <v>20</v>
      </c>
      <c r="X62" s="525" t="s">
        <v>12</v>
      </c>
      <c r="Y62" s="473">
        <v>25</v>
      </c>
      <c r="Z62" s="525" t="s">
        <v>897</v>
      </c>
      <c r="AA62" s="525" t="s">
        <v>1324</v>
      </c>
      <c r="AB62" s="525" t="s">
        <v>11</v>
      </c>
      <c r="AC62" s="525">
        <v>23.5</v>
      </c>
      <c r="AD62" s="472" t="s">
        <v>1084</v>
      </c>
      <c r="AE62" s="525" t="s">
        <v>17</v>
      </c>
      <c r="AF62" s="525" t="s">
        <v>18</v>
      </c>
      <c r="AG62" s="473">
        <v>7</v>
      </c>
      <c r="AL62" s="472"/>
      <c r="AO62" s="473"/>
      <c r="AP62" s="472"/>
      <c r="AS62" s="473"/>
      <c r="AW62" s="473"/>
      <c r="BA62" s="474"/>
    </row>
    <row r="63" spans="1:53" s="702" customFormat="1">
      <c r="A63" s="702">
        <v>2015</v>
      </c>
      <c r="B63" s="121"/>
      <c r="C63" s="988" t="s">
        <v>1298</v>
      </c>
      <c r="D63" s="988"/>
      <c r="E63" s="702">
        <v>0</v>
      </c>
      <c r="G63" s="596">
        <v>6</v>
      </c>
      <c r="H63" s="702">
        <v>3</v>
      </c>
      <c r="I63" s="702">
        <v>8</v>
      </c>
      <c r="J63" s="598">
        <v>17</v>
      </c>
      <c r="K63" s="593">
        <f t="shared" ref="K63:K65" si="12">G63/J63*100</f>
        <v>35.294117647058826</v>
      </c>
      <c r="L63" s="593">
        <f t="shared" ref="L63:L65" si="13">H63/J63*100</f>
        <v>17.647058823529413</v>
      </c>
      <c r="M63" s="593">
        <f t="shared" ref="M63:M65" si="14">I63/J63*100</f>
        <v>47.058823529411761</v>
      </c>
      <c r="N63" s="597">
        <f t="shared" ref="N63:N65" si="15">SUM(K63:M63)</f>
        <v>100</v>
      </c>
      <c r="O63" s="592">
        <v>23.5</v>
      </c>
      <c r="P63" s="593">
        <v>7</v>
      </c>
      <c r="Q63" s="593">
        <v>25</v>
      </c>
      <c r="R63" s="594">
        <f t="shared" ref="R63:R65" si="16">SUM(O63:Q63)</f>
        <v>55.5</v>
      </c>
      <c r="S63" s="702">
        <v>2</v>
      </c>
      <c r="T63" s="595"/>
      <c r="U63" s="698"/>
      <c r="V63" s="588" t="s">
        <v>1087</v>
      </c>
      <c r="W63" s="702" t="s">
        <v>20</v>
      </c>
      <c r="X63" s="702" t="s">
        <v>12</v>
      </c>
      <c r="Y63" s="589">
        <v>25</v>
      </c>
      <c r="Z63" s="702" t="s">
        <v>897</v>
      </c>
      <c r="AA63" s="702" t="s">
        <v>1324</v>
      </c>
      <c r="AB63" s="702" t="s">
        <v>11</v>
      </c>
      <c r="AC63" s="702">
        <v>23.5</v>
      </c>
      <c r="AD63" s="588" t="s">
        <v>1084</v>
      </c>
      <c r="AE63" s="702" t="s">
        <v>17</v>
      </c>
      <c r="AF63" s="702" t="s">
        <v>18</v>
      </c>
      <c r="AG63" s="589">
        <v>7</v>
      </c>
      <c r="AL63" s="588"/>
      <c r="AO63" s="589"/>
      <c r="AP63" s="588"/>
      <c r="AS63" s="589"/>
      <c r="AW63" s="589"/>
      <c r="BA63" s="590"/>
    </row>
    <row r="64" spans="1:53" s="702" customFormat="1">
      <c r="A64" s="702">
        <v>2015</v>
      </c>
      <c r="B64" s="121"/>
      <c r="C64" s="988" t="s">
        <v>1298</v>
      </c>
      <c r="D64" s="988"/>
      <c r="E64" s="702">
        <v>365</v>
      </c>
      <c r="G64" s="596">
        <v>6</v>
      </c>
      <c r="H64" s="702">
        <v>3</v>
      </c>
      <c r="I64" s="702">
        <v>8</v>
      </c>
      <c r="J64" s="598">
        <v>17</v>
      </c>
      <c r="K64" s="593">
        <f t="shared" si="12"/>
        <v>35.294117647058826</v>
      </c>
      <c r="L64" s="593">
        <f t="shared" si="13"/>
        <v>17.647058823529413</v>
      </c>
      <c r="M64" s="593">
        <f t="shared" si="14"/>
        <v>47.058823529411761</v>
      </c>
      <c r="N64" s="597">
        <f t="shared" si="15"/>
        <v>100</v>
      </c>
      <c r="O64" s="592">
        <v>23.5</v>
      </c>
      <c r="P64" s="593">
        <v>7</v>
      </c>
      <c r="Q64" s="593">
        <v>25</v>
      </c>
      <c r="R64" s="594">
        <f t="shared" si="16"/>
        <v>55.5</v>
      </c>
      <c r="S64" s="702">
        <v>2</v>
      </c>
      <c r="T64" s="595"/>
      <c r="U64" s="698"/>
      <c r="V64" s="588" t="s">
        <v>1087</v>
      </c>
      <c r="W64" s="702" t="s">
        <v>20</v>
      </c>
      <c r="X64" s="702" t="s">
        <v>12</v>
      </c>
      <c r="Y64" s="589">
        <v>25</v>
      </c>
      <c r="Z64" s="702" t="s">
        <v>897</v>
      </c>
      <c r="AA64" s="702" t="s">
        <v>1324</v>
      </c>
      <c r="AB64" s="702" t="s">
        <v>11</v>
      </c>
      <c r="AC64" s="702">
        <v>23.5</v>
      </c>
      <c r="AD64" s="588" t="s">
        <v>1084</v>
      </c>
      <c r="AE64" s="702" t="s">
        <v>17</v>
      </c>
      <c r="AF64" s="702" t="s">
        <v>18</v>
      </c>
      <c r="AG64" s="589">
        <v>7</v>
      </c>
      <c r="AL64" s="588"/>
      <c r="AO64" s="589"/>
      <c r="AP64" s="588"/>
      <c r="AS64" s="589"/>
      <c r="AW64" s="589"/>
      <c r="BA64" s="590"/>
    </row>
    <row r="65" spans="1:53" s="806" customFormat="1">
      <c r="A65" s="806">
        <v>2016</v>
      </c>
      <c r="B65" s="121"/>
      <c r="C65" s="988" t="s">
        <v>1298</v>
      </c>
      <c r="D65" s="988"/>
      <c r="E65" s="806">
        <v>0</v>
      </c>
      <c r="G65" s="596">
        <v>6</v>
      </c>
      <c r="H65" s="806">
        <v>3</v>
      </c>
      <c r="I65" s="806">
        <v>8</v>
      </c>
      <c r="J65" s="598">
        <v>17</v>
      </c>
      <c r="K65" s="593">
        <f t="shared" si="12"/>
        <v>35.294117647058826</v>
      </c>
      <c r="L65" s="593">
        <f t="shared" si="13"/>
        <v>17.647058823529413</v>
      </c>
      <c r="M65" s="593">
        <f t="shared" si="14"/>
        <v>47.058823529411761</v>
      </c>
      <c r="N65" s="597">
        <f t="shared" si="15"/>
        <v>100</v>
      </c>
      <c r="O65" s="592">
        <v>23.5</v>
      </c>
      <c r="P65" s="593">
        <v>7</v>
      </c>
      <c r="Q65" s="593">
        <v>25</v>
      </c>
      <c r="R65" s="594">
        <f t="shared" si="16"/>
        <v>55.5</v>
      </c>
      <c r="S65" s="806">
        <v>2</v>
      </c>
      <c r="T65" s="595"/>
      <c r="U65" s="803"/>
      <c r="V65" s="588" t="s">
        <v>1087</v>
      </c>
      <c r="W65" s="806" t="s">
        <v>20</v>
      </c>
      <c r="X65" s="806" t="s">
        <v>12</v>
      </c>
      <c r="Y65" s="589">
        <v>25</v>
      </c>
      <c r="Z65" s="806" t="s">
        <v>897</v>
      </c>
      <c r="AA65" s="806" t="s">
        <v>1324</v>
      </c>
      <c r="AB65" s="806" t="s">
        <v>11</v>
      </c>
      <c r="AC65" s="806">
        <v>23.5</v>
      </c>
      <c r="AD65" s="588" t="s">
        <v>1084</v>
      </c>
      <c r="AE65" s="806" t="s">
        <v>17</v>
      </c>
      <c r="AF65" s="806" t="s">
        <v>18</v>
      </c>
      <c r="AG65" s="589">
        <v>7</v>
      </c>
      <c r="AL65" s="588"/>
      <c r="AO65" s="589"/>
      <c r="AP65" s="588"/>
      <c r="AS65" s="589"/>
      <c r="AW65" s="589"/>
      <c r="BA65" s="590"/>
    </row>
    <row r="66" spans="1:53" s="806" customFormat="1">
      <c r="A66" s="806">
        <v>2016</v>
      </c>
      <c r="B66" s="121"/>
      <c r="C66" s="988" t="s">
        <v>1298</v>
      </c>
      <c r="D66" s="988"/>
      <c r="E66" s="806">
        <v>366</v>
      </c>
      <c r="G66" s="596">
        <v>6</v>
      </c>
      <c r="H66" s="806">
        <v>3</v>
      </c>
      <c r="I66" s="806">
        <v>8</v>
      </c>
      <c r="J66" s="598">
        <v>17</v>
      </c>
      <c r="K66" s="593">
        <f t="shared" ref="K66" si="17">G66/J66*100</f>
        <v>35.294117647058826</v>
      </c>
      <c r="L66" s="593">
        <f t="shared" ref="L66" si="18">H66/J66*100</f>
        <v>17.647058823529413</v>
      </c>
      <c r="M66" s="593">
        <f t="shared" ref="M66" si="19">I66/J66*100</f>
        <v>47.058823529411761</v>
      </c>
      <c r="N66" s="597">
        <f t="shared" ref="N66" si="20">SUM(K66:M66)</f>
        <v>100</v>
      </c>
      <c r="O66" s="592">
        <v>23.5</v>
      </c>
      <c r="P66" s="593">
        <v>7</v>
      </c>
      <c r="Q66" s="593">
        <v>25</v>
      </c>
      <c r="R66" s="594">
        <f t="shared" ref="R66" si="21">SUM(O66:Q66)</f>
        <v>55.5</v>
      </c>
      <c r="S66" s="806">
        <v>2</v>
      </c>
      <c r="T66" s="595"/>
      <c r="U66" s="803"/>
      <c r="V66" s="588" t="s">
        <v>1087</v>
      </c>
      <c r="W66" s="806" t="s">
        <v>20</v>
      </c>
      <c r="X66" s="806" t="s">
        <v>12</v>
      </c>
      <c r="Y66" s="589">
        <v>25</v>
      </c>
      <c r="Z66" s="806" t="s">
        <v>897</v>
      </c>
      <c r="AA66" s="806" t="s">
        <v>1324</v>
      </c>
      <c r="AB66" s="806" t="s">
        <v>11</v>
      </c>
      <c r="AC66" s="806">
        <v>23.5</v>
      </c>
      <c r="AD66" s="588" t="s">
        <v>1084</v>
      </c>
      <c r="AE66" s="806" t="s">
        <v>17</v>
      </c>
      <c r="AF66" s="806" t="s">
        <v>18</v>
      </c>
      <c r="AG66" s="589">
        <v>7</v>
      </c>
      <c r="AL66" s="588"/>
      <c r="AO66" s="589"/>
      <c r="AP66" s="588"/>
      <c r="AS66" s="589"/>
      <c r="AW66" s="589"/>
      <c r="BA66" s="590"/>
    </row>
    <row r="67" spans="1:53" s="896" customFormat="1">
      <c r="A67" s="896">
        <v>2017</v>
      </c>
      <c r="B67" s="121"/>
      <c r="C67" s="988" t="s">
        <v>1298</v>
      </c>
      <c r="D67" s="988"/>
      <c r="E67" s="896">
        <v>346</v>
      </c>
      <c r="G67" s="596">
        <v>6</v>
      </c>
      <c r="H67" s="896">
        <v>3</v>
      </c>
      <c r="I67" s="896">
        <v>8</v>
      </c>
      <c r="J67" s="598">
        <v>17</v>
      </c>
      <c r="K67" s="593">
        <f t="shared" ref="K67" si="22">G67/J67*100</f>
        <v>35.294117647058826</v>
      </c>
      <c r="L67" s="593">
        <f t="shared" ref="L67" si="23">H67/J67*100</f>
        <v>17.647058823529413</v>
      </c>
      <c r="M67" s="593">
        <f t="shared" ref="M67" si="24">I67/J67*100</f>
        <v>47.058823529411761</v>
      </c>
      <c r="N67" s="597">
        <f t="shared" ref="N67" si="25">SUM(K67:M67)</f>
        <v>100</v>
      </c>
      <c r="O67" s="592">
        <v>23.5</v>
      </c>
      <c r="P67" s="593">
        <v>7</v>
      </c>
      <c r="Q67" s="593">
        <v>25</v>
      </c>
      <c r="R67" s="594">
        <f t="shared" ref="R67:R68" si="26">SUM(O67:Q67)</f>
        <v>55.5</v>
      </c>
      <c r="S67" s="896">
        <v>2</v>
      </c>
      <c r="T67" s="595"/>
      <c r="U67" s="894"/>
      <c r="V67" s="588" t="s">
        <v>1087</v>
      </c>
      <c r="W67" s="896" t="s">
        <v>20</v>
      </c>
      <c r="X67" s="896" t="s">
        <v>12</v>
      </c>
      <c r="Y67" s="589">
        <v>25</v>
      </c>
      <c r="Z67" s="896" t="s">
        <v>897</v>
      </c>
      <c r="AA67" s="896" t="s">
        <v>1324</v>
      </c>
      <c r="AB67" s="896" t="s">
        <v>11</v>
      </c>
      <c r="AC67" s="896">
        <v>23.5</v>
      </c>
      <c r="AD67" s="588" t="s">
        <v>1084</v>
      </c>
      <c r="AE67" s="896" t="s">
        <v>17</v>
      </c>
      <c r="AF67" s="896" t="s">
        <v>18</v>
      </c>
      <c r="AG67" s="589">
        <v>7</v>
      </c>
      <c r="AL67" s="588"/>
      <c r="AO67" s="589"/>
      <c r="AP67" s="588"/>
      <c r="AS67" s="589"/>
      <c r="AW67" s="589"/>
      <c r="BA67" s="590"/>
    </row>
    <row r="68" spans="1:53" s="902" customFormat="1">
      <c r="A68" s="902">
        <v>2017</v>
      </c>
      <c r="B68" s="335">
        <v>43082</v>
      </c>
      <c r="C68" s="992" t="s">
        <v>1383</v>
      </c>
      <c r="D68" s="992"/>
      <c r="E68" s="902">
        <v>19</v>
      </c>
      <c r="F68" s="902">
        <v>1</v>
      </c>
      <c r="G68" s="642">
        <v>15</v>
      </c>
      <c r="J68" s="644">
        <v>15</v>
      </c>
      <c r="K68" s="640">
        <f t="shared" ref="K68:K69" si="27">G68/J68*100</f>
        <v>100</v>
      </c>
      <c r="L68" s="640">
        <f t="shared" ref="L68:L69" si="28">H68/J68*100</f>
        <v>0</v>
      </c>
      <c r="M68" s="640">
        <f t="shared" ref="M68:M69" si="29">I68/J68*100</f>
        <v>0</v>
      </c>
      <c r="N68" s="643">
        <f t="shared" ref="N68:N69" si="30">SUM(K68:M68)</f>
        <v>100</v>
      </c>
      <c r="O68" s="639">
        <v>39</v>
      </c>
      <c r="P68" s="640">
        <v>0</v>
      </c>
      <c r="Q68" s="640">
        <v>0</v>
      </c>
      <c r="R68" s="641">
        <f t="shared" si="26"/>
        <v>39</v>
      </c>
      <c r="S68" s="902">
        <v>4</v>
      </c>
      <c r="T68" s="487">
        <v>43029</v>
      </c>
      <c r="U68" s="901">
        <v>43082</v>
      </c>
      <c r="V68" s="634" t="s">
        <v>897</v>
      </c>
      <c r="W68" s="902" t="s">
        <v>1324</v>
      </c>
      <c r="X68" s="902" t="s">
        <v>11</v>
      </c>
      <c r="Y68" s="635">
        <v>39</v>
      </c>
      <c r="AD68" s="634"/>
      <c r="AG68" s="635"/>
      <c r="AL68" s="634"/>
      <c r="AO68" s="635"/>
      <c r="AP68" s="634"/>
      <c r="AS68" s="635"/>
      <c r="AW68" s="635"/>
      <c r="BA68" s="636"/>
    </row>
    <row r="69" spans="1:53" s="932" customFormat="1">
      <c r="A69" s="932">
        <v>2018</v>
      </c>
      <c r="B69" s="335"/>
      <c r="C69" s="992" t="s">
        <v>1383</v>
      </c>
      <c r="D69" s="992"/>
      <c r="E69" s="932">
        <v>177</v>
      </c>
      <c r="G69" s="642">
        <v>15</v>
      </c>
      <c r="J69" s="644">
        <v>15</v>
      </c>
      <c r="K69" s="640">
        <f t="shared" si="27"/>
        <v>100</v>
      </c>
      <c r="L69" s="640">
        <f t="shared" si="28"/>
        <v>0</v>
      </c>
      <c r="M69" s="640">
        <f t="shared" si="29"/>
        <v>0</v>
      </c>
      <c r="N69" s="643">
        <f t="shared" si="30"/>
        <v>100</v>
      </c>
      <c r="O69" s="639">
        <v>39</v>
      </c>
      <c r="P69" s="640">
        <v>0</v>
      </c>
      <c r="Q69" s="640">
        <v>0</v>
      </c>
      <c r="R69" s="641">
        <f t="shared" ref="R69:R70" si="31">SUM(O69:Q69)</f>
        <v>39</v>
      </c>
      <c r="S69" s="932">
        <v>4</v>
      </c>
      <c r="T69" s="487"/>
      <c r="U69" s="928"/>
      <c r="V69" s="634" t="s">
        <v>897</v>
      </c>
      <c r="W69" s="932" t="s">
        <v>1324</v>
      </c>
      <c r="X69" s="932" t="s">
        <v>11</v>
      </c>
      <c r="Y69" s="635">
        <v>39</v>
      </c>
      <c r="AD69" s="634"/>
      <c r="AG69" s="635"/>
      <c r="AL69" s="634"/>
      <c r="AO69" s="635"/>
      <c r="AP69" s="634"/>
      <c r="AS69" s="635"/>
      <c r="AW69" s="635"/>
      <c r="BA69" s="636"/>
    </row>
    <row r="70" spans="1:53" s="933" customFormat="1">
      <c r="A70" s="933">
        <v>2018</v>
      </c>
      <c r="B70" s="121">
        <v>43278</v>
      </c>
      <c r="C70" s="1018" t="s">
        <v>1408</v>
      </c>
      <c r="D70" s="1018"/>
      <c r="E70" s="933">
        <v>188</v>
      </c>
      <c r="F70" s="933">
        <v>1</v>
      </c>
      <c r="G70" s="596">
        <v>10</v>
      </c>
      <c r="I70" s="933">
        <v>5</v>
      </c>
      <c r="J70" s="598">
        <v>15</v>
      </c>
      <c r="K70" s="800">
        <f t="shared" ref="K70" si="32">G70/J70*100</f>
        <v>66.666666666666657</v>
      </c>
      <c r="L70" s="800">
        <f t="shared" ref="L70" si="33">H70/J70*100</f>
        <v>0</v>
      </c>
      <c r="M70" s="800">
        <f t="shared" ref="M70" si="34">I70/J70*100</f>
        <v>33.333333333333329</v>
      </c>
      <c r="N70" s="45">
        <f t="shared" ref="N70" si="35">SUM(K70:M70)</f>
        <v>99.999999999999986</v>
      </c>
      <c r="O70" s="592">
        <v>39</v>
      </c>
      <c r="P70" s="593">
        <v>0</v>
      </c>
      <c r="Q70" s="593">
        <v>7.5</v>
      </c>
      <c r="R70" s="594">
        <f t="shared" si="31"/>
        <v>46.5</v>
      </c>
      <c r="S70" s="933">
        <v>5</v>
      </c>
      <c r="T70" s="595"/>
      <c r="U70" s="121">
        <v>43278</v>
      </c>
      <c r="V70" s="588" t="s">
        <v>897</v>
      </c>
      <c r="W70" s="933" t="s">
        <v>1324</v>
      </c>
      <c r="X70" s="933" t="s">
        <v>11</v>
      </c>
      <c r="Y70" s="589">
        <v>39</v>
      </c>
      <c r="Z70" s="933" t="s">
        <v>1087</v>
      </c>
      <c r="AA70" s="933" t="s">
        <v>20</v>
      </c>
      <c r="AB70" s="933" t="s">
        <v>12</v>
      </c>
      <c r="AC70" s="933">
        <v>7.5</v>
      </c>
      <c r="AD70" s="588"/>
      <c r="AG70" s="589"/>
      <c r="AL70" s="588"/>
      <c r="AO70" s="589"/>
      <c r="AP70" s="588"/>
      <c r="AS70" s="589"/>
      <c r="AW70" s="589"/>
      <c r="BA70" s="590"/>
    </row>
    <row r="71" spans="1:53" s="896" customFormat="1">
      <c r="B71" s="121"/>
      <c r="C71" s="988"/>
      <c r="D71" s="988"/>
      <c r="G71" s="596"/>
      <c r="J71" s="598"/>
      <c r="K71" s="593"/>
      <c r="L71" s="593"/>
      <c r="M71" s="593"/>
      <c r="N71" s="597"/>
      <c r="O71" s="592"/>
      <c r="P71" s="593"/>
      <c r="Q71" s="593"/>
      <c r="R71" s="594"/>
      <c r="T71" s="595"/>
      <c r="U71" s="894"/>
      <c r="V71" s="588"/>
      <c r="Y71" s="589"/>
      <c r="AD71" s="588"/>
      <c r="AG71" s="589"/>
      <c r="AL71" s="588"/>
      <c r="AO71" s="589"/>
      <c r="AP71" s="588"/>
      <c r="AS71" s="589"/>
      <c r="AW71" s="589"/>
      <c r="BA71" s="590"/>
    </row>
    <row r="72" spans="1:53" s="896" customFormat="1">
      <c r="B72" s="121"/>
      <c r="C72" s="988"/>
      <c r="D72" s="988"/>
      <c r="G72" s="596"/>
      <c r="J72" s="598"/>
      <c r="K72" s="593"/>
      <c r="L72" s="593"/>
      <c r="M72" s="593"/>
      <c r="N72" s="597"/>
      <c r="O72" s="592"/>
      <c r="P72" s="593"/>
      <c r="Q72" s="593"/>
      <c r="R72" s="594"/>
      <c r="T72" s="595"/>
      <c r="U72" s="894"/>
      <c r="V72" s="588"/>
      <c r="Y72" s="589"/>
      <c r="AD72" s="588"/>
      <c r="AG72" s="589"/>
      <c r="AL72" s="588"/>
      <c r="AO72" s="589"/>
      <c r="AP72" s="588"/>
      <c r="AS72" s="589"/>
      <c r="AW72" s="589"/>
      <c r="BA72" s="590"/>
    </row>
    <row r="74" spans="1:53" s="2" customFormat="1" ht="18" customHeight="1">
      <c r="B74" s="22" t="s">
        <v>1278</v>
      </c>
    </row>
    <row r="75" spans="1:53" s="2" customFormat="1" ht="9" customHeight="1"/>
    <row r="76" spans="1:53" s="364" customFormat="1" ht="9" customHeight="1">
      <c r="A76" s="362"/>
      <c r="B76" s="363" t="s">
        <v>1229</v>
      </c>
      <c r="C76" s="363"/>
      <c r="D76" s="363"/>
      <c r="E76" s="363"/>
      <c r="F76" s="363"/>
      <c r="G76" s="363" t="s">
        <v>1230</v>
      </c>
      <c r="H76" s="363"/>
      <c r="I76" s="363"/>
      <c r="J76" s="363"/>
      <c r="K76" s="363"/>
      <c r="L76" s="363"/>
      <c r="M76" s="363"/>
      <c r="N76" s="363"/>
      <c r="R76" s="982" t="s">
        <v>1231</v>
      </c>
      <c r="S76" s="982"/>
      <c r="T76" s="982"/>
      <c r="U76" s="982"/>
      <c r="V76" s="982"/>
      <c r="W76" s="982"/>
      <c r="X76" s="365"/>
      <c r="Y76" s="365"/>
      <c r="AA76" s="365"/>
      <c r="AB76" s="365"/>
      <c r="AC76" s="365"/>
      <c r="AD76" s="365"/>
    </row>
    <row r="77" spans="1:53" s="369" customFormat="1" ht="9" customHeight="1">
      <c r="A77" s="366"/>
      <c r="B77" s="367" t="s">
        <v>1233</v>
      </c>
      <c r="C77" s="368"/>
      <c r="D77" s="368"/>
      <c r="E77" s="368"/>
      <c r="F77" s="368"/>
      <c r="G77" s="367" t="s">
        <v>1232</v>
      </c>
      <c r="H77" s="368"/>
      <c r="I77" s="368"/>
      <c r="J77" s="368"/>
      <c r="K77" s="368"/>
      <c r="L77" s="368"/>
      <c r="M77" s="368"/>
      <c r="N77" s="368"/>
      <c r="R77" s="370" t="s">
        <v>1234</v>
      </c>
      <c r="S77" s="371"/>
      <c r="T77" s="372"/>
      <c r="U77" s="372"/>
      <c r="V77" s="372"/>
      <c r="W77" s="370" t="s">
        <v>1235</v>
      </c>
      <c r="X77" s="372"/>
      <c r="Y77" s="372"/>
      <c r="AA77" s="372"/>
      <c r="AB77" s="372"/>
      <c r="AC77" s="372"/>
      <c r="AD77" s="372"/>
    </row>
    <row r="78" spans="1:53" s="351" customFormat="1" ht="12" customHeight="1">
      <c r="A78" s="373" t="s">
        <v>3</v>
      </c>
      <c r="B78" s="374" t="s">
        <v>8</v>
      </c>
      <c r="C78" s="374" t="s">
        <v>9</v>
      </c>
      <c r="D78" s="374" t="s">
        <v>10</v>
      </c>
      <c r="E78" s="375" t="s">
        <v>1209</v>
      </c>
      <c r="F78" s="374"/>
      <c r="G78" s="351" t="s">
        <v>3</v>
      </c>
      <c r="H78" s="983" t="s">
        <v>0</v>
      </c>
      <c r="I78" s="983"/>
      <c r="J78" s="983" t="s">
        <v>1</v>
      </c>
      <c r="K78" s="983"/>
      <c r="L78" s="983" t="s">
        <v>2</v>
      </c>
      <c r="M78" s="983"/>
      <c r="N78" s="984" t="s">
        <v>1209</v>
      </c>
      <c r="O78" s="984"/>
      <c r="P78" s="376"/>
      <c r="Q78" s="376"/>
      <c r="R78" s="377" t="s">
        <v>3</v>
      </c>
      <c r="S78" s="378" t="s">
        <v>136</v>
      </c>
      <c r="T78" s="376" t="s">
        <v>134</v>
      </c>
      <c r="U78" s="374" t="s">
        <v>135</v>
      </c>
      <c r="V78" s="376"/>
      <c r="W78" s="379" t="s">
        <v>26</v>
      </c>
    </row>
    <row r="79" spans="1:53">
      <c r="A79" s="1">
        <v>1990</v>
      </c>
      <c r="B79" s="8">
        <f>(K7*($E7/189))</f>
        <v>47.619047619047613</v>
      </c>
      <c r="C79" s="8">
        <f>(L7*($E7/189))</f>
        <v>14.285714285714285</v>
      </c>
      <c r="D79" s="8">
        <f>(M7*($E7/189))</f>
        <v>0</v>
      </c>
      <c r="E79" s="65">
        <f>SUM(B79:D79)</f>
        <v>61.904761904761898</v>
      </c>
      <c r="G79" s="1">
        <v>1990</v>
      </c>
      <c r="H79" s="961">
        <f>(O7/$R7*100*($E7/189))</f>
        <v>75.903614457831324</v>
      </c>
      <c r="I79" s="961"/>
      <c r="J79" s="961">
        <f>(P7/$R7*100*($E7/189))</f>
        <v>24.096385542168676</v>
      </c>
      <c r="K79" s="961"/>
      <c r="L79" s="961">
        <f>(Q7/$R7*100*($E7/189))</f>
        <v>0</v>
      </c>
      <c r="M79" s="961"/>
      <c r="N79" s="959">
        <f>SUM(H79:M79)</f>
        <v>100</v>
      </c>
      <c r="O79" s="959"/>
      <c r="R79" s="1">
        <v>1990</v>
      </c>
      <c r="S79" s="8">
        <f>(O7*($E7/189))</f>
        <v>63</v>
      </c>
      <c r="T79" s="8">
        <f>(P7*($E7/189))</f>
        <v>20</v>
      </c>
      <c r="U79" s="8">
        <f>(Q7*($E7/189))</f>
        <v>0</v>
      </c>
      <c r="W79" s="14">
        <f>SUM(S79:U79)</f>
        <v>83</v>
      </c>
      <c r="Y79" s="72" t="s">
        <v>1152</v>
      </c>
    </row>
    <row r="80" spans="1:53">
      <c r="A80" s="1">
        <v>1991</v>
      </c>
      <c r="B80" s="8">
        <f>(K8*($E8/365))+(K9*($E9/365))</f>
        <v>47.619047619047613</v>
      </c>
      <c r="C80" s="8">
        <f>(L8*($E8/365))+(L9*($E9/365))</f>
        <v>14.285714285714285</v>
      </c>
      <c r="D80" s="8">
        <f>(M8*($E8/365))+(M9*($E9/365))</f>
        <v>0</v>
      </c>
      <c r="E80" s="65">
        <f t="shared" ref="E80:E101" si="36">SUM(B80:D80)</f>
        <v>61.904761904761898</v>
      </c>
      <c r="G80" s="1">
        <v>1991</v>
      </c>
      <c r="H80" s="958">
        <f>(O8/$R8*100*($E8/365))+(O9/$R9*100*($E9/365))</f>
        <v>75.903614457831324</v>
      </c>
      <c r="I80" s="958"/>
      <c r="J80" s="958">
        <f>(P8/$R8*100*($E8/365))+(P9/$R9*100*($E9/365))</f>
        <v>24.096385542168676</v>
      </c>
      <c r="K80" s="958"/>
      <c r="L80" s="958">
        <f>(Q8/$R8*100*($E8/365))+(Q9/$R9*100*($E9/365))</f>
        <v>0</v>
      </c>
      <c r="M80" s="958"/>
      <c r="N80" s="959">
        <f t="shared" ref="N80:N101" si="37">SUM(H80:M80)</f>
        <v>100</v>
      </c>
      <c r="O80" s="959"/>
      <c r="R80" s="1">
        <v>1991</v>
      </c>
      <c r="S80" s="8">
        <f>(O8*($E8/365))+(O9*($E9/365))</f>
        <v>63</v>
      </c>
      <c r="T80" s="8">
        <f>(P8*($E8/365))+(P9*($E9/365))</f>
        <v>20</v>
      </c>
      <c r="U80" s="8">
        <f>(Q8*($E8/365))+(Q9*($E9/365))</f>
        <v>0</v>
      </c>
      <c r="W80" s="14">
        <f t="shared" ref="W80:W101" si="38">SUM(S80:U80)</f>
        <v>83</v>
      </c>
    </row>
    <row r="81" spans="1:23">
      <c r="A81" s="1">
        <v>1992</v>
      </c>
      <c r="B81" s="8">
        <f>(K10*($E10/366))+(K11*($E11/366))</f>
        <v>63.19761151512661</v>
      </c>
      <c r="C81" s="8">
        <f>(L10*($E10/366))+(L11*($E11/366))</f>
        <v>17.650684087267347</v>
      </c>
      <c r="D81" s="8">
        <f>(M10*($E10/366))+(M11*($E11/366))</f>
        <v>0</v>
      </c>
      <c r="E81" s="65">
        <f t="shared" si="36"/>
        <v>80.848295602393961</v>
      </c>
      <c r="G81" s="1">
        <v>1992</v>
      </c>
      <c r="H81" s="958">
        <f>(O10/$R10*100*($E10/366))+(O11/$R11*100*($E11/366))</f>
        <v>80.78214497333596</v>
      </c>
      <c r="I81" s="958"/>
      <c r="J81" s="958">
        <f>(P10/$R10*100*($E10/366))+(P11/$R11*100*($E11/366))</f>
        <v>19.217855026664033</v>
      </c>
      <c r="K81" s="958"/>
      <c r="L81" s="958">
        <f>(Q10/$R10*100*($E10/366))+(Q11/$R11*100*($E11/366))</f>
        <v>0</v>
      </c>
      <c r="M81" s="958"/>
      <c r="N81" s="959">
        <f t="shared" si="37"/>
        <v>100</v>
      </c>
      <c r="O81" s="959"/>
      <c r="R81" s="1">
        <v>1992</v>
      </c>
      <c r="S81" s="8">
        <f>(O10*($E10/366))+(O11*($E11/366))</f>
        <v>54.049180327868854</v>
      </c>
      <c r="T81" s="8">
        <f>(P10*($E10/366))+(P11*($E11/366))</f>
        <v>13.784153005464482</v>
      </c>
      <c r="U81" s="8">
        <f>(Q10*($E10/366))+(Q11*($E11/366))</f>
        <v>0</v>
      </c>
      <c r="W81" s="14">
        <f t="shared" si="38"/>
        <v>67.833333333333343</v>
      </c>
    </row>
    <row r="82" spans="1:23">
      <c r="A82" s="1">
        <v>1993</v>
      </c>
      <c r="B82" s="8">
        <f>(K12*($E12/365))+(K13*($E13/365))</f>
        <v>78.94736842105263</v>
      </c>
      <c r="C82" s="8">
        <f>(L12*($E12/365))+(L13*($E13/365))</f>
        <v>21.052631578947366</v>
      </c>
      <c r="D82" s="8">
        <f>(M12*($E12/365))+(M13*($E13/365))</f>
        <v>0</v>
      </c>
      <c r="E82" s="65">
        <f t="shared" si="36"/>
        <v>100</v>
      </c>
      <c r="G82" s="1">
        <v>1993</v>
      </c>
      <c r="H82" s="958">
        <f>(O12/$R12*100*($E12/365))+(O13/$R13*100*($E13/365))</f>
        <v>85.714285714285708</v>
      </c>
      <c r="I82" s="958"/>
      <c r="J82" s="958">
        <f>(P12/$R12*100*($E12/365))+(P13/$R13*100*($E13/365))</f>
        <v>14.285714285714285</v>
      </c>
      <c r="K82" s="958"/>
      <c r="L82" s="958">
        <f>(Q12/$R12*100*($E12/365))+(Q13/$R13*100*($E13/365))</f>
        <v>0</v>
      </c>
      <c r="M82" s="958"/>
      <c r="N82" s="959">
        <f t="shared" si="37"/>
        <v>100</v>
      </c>
      <c r="O82" s="959"/>
      <c r="R82" s="1">
        <v>1993</v>
      </c>
      <c r="S82" s="8">
        <f>(O12*($E12/365))+(O13*($E13/365))</f>
        <v>45</v>
      </c>
      <c r="T82" s="8">
        <f>(P12*($E12/365))+(P13*($E13/365))</f>
        <v>7.5</v>
      </c>
      <c r="U82" s="8">
        <f>(Q12*($E12/365))+(Q13*($E13/365))</f>
        <v>0</v>
      </c>
      <c r="W82" s="14">
        <f t="shared" si="38"/>
        <v>52.5</v>
      </c>
    </row>
    <row r="83" spans="1:23">
      <c r="A83" s="1">
        <v>1994</v>
      </c>
      <c r="B83" s="8">
        <f>(K14*($E14/365))+(K15*($E15/365))</f>
        <v>78.94736842105263</v>
      </c>
      <c r="C83" s="8">
        <f>(L14*($E14/365))+(L15*($E15/365))</f>
        <v>16.020187454938714</v>
      </c>
      <c r="D83" s="8">
        <f>(M14*($E14/365))+(M15*($E15/365))</f>
        <v>0</v>
      </c>
      <c r="E83" s="65">
        <f t="shared" si="36"/>
        <v>94.967555875991337</v>
      </c>
      <c r="G83" s="1">
        <v>1994</v>
      </c>
      <c r="H83" s="958">
        <f>(O14/$R14*100*($E14/365))+(O15/$R15*100*($E15/365))</f>
        <v>85.714285714285694</v>
      </c>
      <c r="I83" s="958"/>
      <c r="J83" s="958">
        <f>(P14/$R14*100*($E14/365))+(P15/$R15*100*($E15/365))</f>
        <v>14.285714285714285</v>
      </c>
      <c r="K83" s="958"/>
      <c r="L83" s="958">
        <f>(Q14/$R14*100*($E14/365))+(Q15/$R15*100*($E15/365))</f>
        <v>0</v>
      </c>
      <c r="M83" s="958"/>
      <c r="N83" s="959">
        <f t="shared" si="37"/>
        <v>99.999999999999972</v>
      </c>
      <c r="O83" s="959"/>
      <c r="R83" s="1">
        <v>1994</v>
      </c>
      <c r="S83" s="8">
        <f>(O14*($E14/365))+(O15*($E15/365))</f>
        <v>45</v>
      </c>
      <c r="T83" s="8">
        <f>(P14*($E14/365))+(P15*($E15/365))</f>
        <v>7.5</v>
      </c>
      <c r="U83" s="8">
        <f>(Q14*($E14/365))+(Q15*($E15/365))</f>
        <v>0</v>
      </c>
      <c r="W83" s="14">
        <f t="shared" si="38"/>
        <v>52.5</v>
      </c>
    </row>
    <row r="84" spans="1:23">
      <c r="A84" s="1">
        <v>1995</v>
      </c>
      <c r="B84" s="8">
        <f>(K16*($E16/365))+(K17*($E17/365))</f>
        <v>78.94736842105263</v>
      </c>
      <c r="C84" s="8">
        <f>(L16*($E16/365))+(L17*($E17/365))</f>
        <v>15.789473684210526</v>
      </c>
      <c r="D84" s="8">
        <f>(M16*($E16/365))+(M17*($E17/365))</f>
        <v>0</v>
      </c>
      <c r="E84" s="65">
        <f t="shared" si="36"/>
        <v>94.73684210526315</v>
      </c>
      <c r="G84" s="1">
        <v>1995</v>
      </c>
      <c r="H84" s="958">
        <f>(O16/$R16*100*($E16/365))+(O17/$R17*100*($E17/365))</f>
        <v>85.714285714285708</v>
      </c>
      <c r="I84" s="958"/>
      <c r="J84" s="958">
        <f>(P16/$R16*100*($E16/365))+(P17/$R17*100*($E17/365))</f>
        <v>14.285714285714285</v>
      </c>
      <c r="K84" s="958"/>
      <c r="L84" s="958">
        <f>(Q16/$R16*100*($E16/365))+(Q17/$R17*100*($E17/365))</f>
        <v>0</v>
      </c>
      <c r="M84" s="958"/>
      <c r="N84" s="959">
        <f t="shared" si="37"/>
        <v>100</v>
      </c>
      <c r="O84" s="959"/>
      <c r="R84" s="1">
        <v>1995</v>
      </c>
      <c r="S84" s="8">
        <f>(O16*($E16/365))+(O17*($E17/365))</f>
        <v>45</v>
      </c>
      <c r="T84" s="8">
        <f>(P16*($E16/365))+(P17*($E17/365))</f>
        <v>7.5</v>
      </c>
      <c r="U84" s="8">
        <f>(Q16*($E16/365))+(Q17*($E17/365))</f>
        <v>0</v>
      </c>
      <c r="W84" s="14">
        <f t="shared" si="38"/>
        <v>52.5</v>
      </c>
    </row>
    <row r="85" spans="1:23">
      <c r="A85" s="1">
        <v>1996</v>
      </c>
      <c r="B85" s="8">
        <f>(K18*($E18/366))+(K19*($E19/366))</f>
        <v>77.221742881794654</v>
      </c>
      <c r="C85" s="8">
        <f>(L18*($E18/366))+(L19*($E19/366))</f>
        <v>19.815933275812483</v>
      </c>
      <c r="D85" s="8">
        <f>(M18*($E18/366))+(M19*($E19/366))</f>
        <v>0</v>
      </c>
      <c r="E85" s="65">
        <f t="shared" si="36"/>
        <v>97.037676157607137</v>
      </c>
      <c r="G85" s="1">
        <v>1996</v>
      </c>
      <c r="H85" s="958">
        <f>(O18/$R18*100*($E18/366))+(O19/$R19*100*($E19/366))</f>
        <v>84.011070896316795</v>
      </c>
      <c r="I85" s="958"/>
      <c r="J85" s="958">
        <f>(P18/$R18*100*($E18/366))+(P19/$R19*100*($E19/366))</f>
        <v>15.988929103683201</v>
      </c>
      <c r="K85" s="958"/>
      <c r="L85" s="958">
        <f>(Q18/$R18*100*($E18/366))+(Q19/$R19*100*($E19/366))</f>
        <v>0</v>
      </c>
      <c r="M85" s="958"/>
      <c r="N85" s="959">
        <f t="shared" si="37"/>
        <v>100</v>
      </c>
      <c r="O85" s="959"/>
      <c r="R85" s="1">
        <v>1996</v>
      </c>
      <c r="S85" s="8">
        <f>(O18*($E18/366))+(O19*($E19/366))</f>
        <v>43.032786885245898</v>
      </c>
      <c r="T85" s="8">
        <f>(P18*($E18/366))+(P19*($E19/366))</f>
        <v>8.1557377049180317</v>
      </c>
      <c r="U85" s="8">
        <f>(Q18*($E18/366))+(Q19*($E19/366))</f>
        <v>0</v>
      </c>
      <c r="W85" s="14">
        <f t="shared" si="38"/>
        <v>51.188524590163929</v>
      </c>
    </row>
    <row r="86" spans="1:23">
      <c r="A86" s="1">
        <v>1997</v>
      </c>
      <c r="B86" s="8">
        <f>(K20*($E20/365))+(K21*($E21/365))</f>
        <v>74.075342465753423</v>
      </c>
      <c r="C86" s="8">
        <f>(L20*($E20/365))+(L21*($E21/365))</f>
        <v>25.000000000000004</v>
      </c>
      <c r="D86" s="8">
        <f>(M20*($E20/365))+(M21*($E21/365))</f>
        <v>0</v>
      </c>
      <c r="E86" s="65">
        <f t="shared" si="36"/>
        <v>99.075342465753423</v>
      </c>
      <c r="G86" s="1">
        <v>1997</v>
      </c>
      <c r="H86" s="958">
        <f>(O20/$R20*100*($E20/365))+(O21/$R21*100*($E21/365))</f>
        <v>81.818181818181827</v>
      </c>
      <c r="I86" s="958"/>
      <c r="J86" s="958">
        <f>(P20/$R20*100*($E20/365))+(P21/$R21*100*($E21/365))</f>
        <v>18.181818181818183</v>
      </c>
      <c r="K86" s="958"/>
      <c r="L86" s="958">
        <f>(Q20/$R20*100*($E20/365))+(Q21/$R21*100*($E21/365))</f>
        <v>0</v>
      </c>
      <c r="M86" s="958"/>
      <c r="N86" s="959">
        <f t="shared" si="37"/>
        <v>100.00000000000001</v>
      </c>
      <c r="O86" s="959"/>
      <c r="R86" s="1">
        <v>1997</v>
      </c>
      <c r="S86" s="8">
        <f>(O20*($E20/365))+(O21*($E21/365))</f>
        <v>40.5</v>
      </c>
      <c r="T86" s="8">
        <f>(P20*($E20/365))+(P21*($E21/365))</f>
        <v>9</v>
      </c>
      <c r="U86" s="8">
        <f>(Q20*($E20/365))+(Q21*($E21/365))</f>
        <v>0</v>
      </c>
      <c r="W86" s="14">
        <f t="shared" si="38"/>
        <v>49.5</v>
      </c>
    </row>
    <row r="87" spans="1:23">
      <c r="A87" s="1">
        <v>1998</v>
      </c>
      <c r="B87" s="8">
        <f>(K22*($E22/365))+(K23*($E23/365))+(K24*($E24/365))</f>
        <v>27.986502820306207</v>
      </c>
      <c r="C87" s="8">
        <f>(L22*($E22/365))+(L23*($E23/365))+(L24*($E24/365))</f>
        <v>11.663980660757456</v>
      </c>
      <c r="D87" s="8">
        <f>(M22*($E22/365))+(M23*($E23/365))+(M24*($E24/365))</f>
        <v>35.039653929343906</v>
      </c>
      <c r="E87" s="65">
        <f t="shared" si="36"/>
        <v>74.690137410407573</v>
      </c>
      <c r="G87" s="1">
        <v>1998</v>
      </c>
      <c r="H87" s="958">
        <f>(O22/$R22*100*($E22/365))+(O23/$R23*100*($E23/365))+(O24/$R24*100*($E24/365))</f>
        <v>51.556662515566636</v>
      </c>
      <c r="I87" s="958"/>
      <c r="J87" s="958">
        <f>(P22/$R22*100*($E22/365))+(P23/$R23*100*($E23/365))+(P24/$R24*100*($E24/365))</f>
        <v>11.457036114570363</v>
      </c>
      <c r="K87" s="958"/>
      <c r="L87" s="958">
        <f>(Q22/$R22*100*($E22/365))+(Q23/$R23*100*($E23/365))+(Q24/$R24*100*($E24/365))</f>
        <v>36.986301369863014</v>
      </c>
      <c r="M87" s="958"/>
      <c r="N87" s="959">
        <f t="shared" si="37"/>
        <v>100.00000000000001</v>
      </c>
      <c r="O87" s="959"/>
      <c r="R87" s="1">
        <v>1998</v>
      </c>
      <c r="S87" s="8">
        <f>(O22*($E22/365))+(O23*($E23/365))+(O24*($E24/365))</f>
        <v>25.520547945205482</v>
      </c>
      <c r="T87" s="8">
        <f>(P22*($E22/365))+(P23*($E23/365))+(P24*($E24/365))</f>
        <v>5.6712328767123292</v>
      </c>
      <c r="U87" s="8">
        <f>(Q22*($E22/365))+(Q23*($E23/365))+(Q24*($E24/365))</f>
        <v>13.684931506849315</v>
      </c>
      <c r="W87" s="14">
        <f t="shared" si="38"/>
        <v>44.876712328767127</v>
      </c>
    </row>
    <row r="88" spans="1:23">
      <c r="A88" s="1">
        <v>1999</v>
      </c>
      <c r="B88" s="8">
        <f>(K25*($E25/365))+(K26*($E26/365))+(K27*($E27/365))</f>
        <v>0</v>
      </c>
      <c r="C88" s="8">
        <f>(L25*($E25/365))+(L26*($E26/365))+(L27*($E27/365))</f>
        <v>0</v>
      </c>
      <c r="D88" s="8">
        <f>(M25*($E25/365))+(M26*($E26/365))+(M27*($E27/365))</f>
        <v>94.575116275782122</v>
      </c>
      <c r="E88" s="65">
        <f t="shared" si="36"/>
        <v>94.575116275782122</v>
      </c>
      <c r="G88" s="1">
        <v>1999</v>
      </c>
      <c r="H88" s="958">
        <f>(O25/$R25*100*($E25/365))+(O26/$R26*100*($E26/365))+(O27/$R27*100*($E27/365))</f>
        <v>0</v>
      </c>
      <c r="I88" s="958"/>
      <c r="J88" s="958">
        <f>(P25/$R25*100*($E25/365))+(P26/$R26*100*($E26/365))+(P27/$R27*100*($E27/365))</f>
        <v>0</v>
      </c>
      <c r="K88" s="958"/>
      <c r="L88" s="958">
        <f>(Q25/$R25*100*($E25/365))+(Q26/$R26*100*($E26/365))+(Q27/$R27*100*($E27/365))</f>
        <v>100</v>
      </c>
      <c r="M88" s="958"/>
      <c r="N88" s="959">
        <f t="shared" si="37"/>
        <v>100</v>
      </c>
      <c r="O88" s="959"/>
      <c r="R88" s="1">
        <v>1999</v>
      </c>
      <c r="S88" s="8">
        <f>(O25*($E25/365))+(O26*($E26/365))+(O27*($E27/365))</f>
        <v>0</v>
      </c>
      <c r="T88" s="8">
        <f>(P25*($E25/365))+(P26*($E26/365))+(P27*($E27/365))</f>
        <v>0</v>
      </c>
      <c r="U88" s="8">
        <f>(Q25*($E25/365))+(Q26*($E26/365))+(Q27*($E27/365))</f>
        <v>37</v>
      </c>
      <c r="W88" s="14">
        <f t="shared" si="38"/>
        <v>37</v>
      </c>
    </row>
    <row r="89" spans="1:23">
      <c r="A89" s="1">
        <v>2000</v>
      </c>
      <c r="B89" s="8">
        <f>(K28*($E28/366))+(K29*($E29/366))</f>
        <v>0</v>
      </c>
      <c r="C89" s="8">
        <f>(L28*($E28/366))+(L29*($E29/366))</f>
        <v>0</v>
      </c>
      <c r="D89" s="8">
        <f>(M28*($E28/366))+(M29*($E29/366))</f>
        <v>94.117647058823522</v>
      </c>
      <c r="E89" s="65">
        <f t="shared" si="36"/>
        <v>94.117647058823522</v>
      </c>
      <c r="G89" s="1">
        <v>2000</v>
      </c>
      <c r="H89" s="958">
        <f>(O28/$R28*100*($E28/366))+(O29/$R29*100*($E29/366))</f>
        <v>0</v>
      </c>
      <c r="I89" s="958"/>
      <c r="J89" s="958">
        <f>(P28/$R28*100*($E28/366))+(P29/$R29*100*($E29/366))</f>
        <v>0</v>
      </c>
      <c r="K89" s="958"/>
      <c r="L89" s="958">
        <f>(Q28/$R28*100*($E28/366))+(Q29/$R29*100*($E29/366))</f>
        <v>100</v>
      </c>
      <c r="M89" s="958"/>
      <c r="N89" s="959">
        <f t="shared" si="37"/>
        <v>100</v>
      </c>
      <c r="O89" s="959"/>
      <c r="R89" s="1">
        <v>2000</v>
      </c>
      <c r="S89" s="8">
        <f>(O28*($E28/366))+(O29*($E29/366))</f>
        <v>0</v>
      </c>
      <c r="T89" s="8">
        <f>(P28*($E28/366))+(P29*($E29/366))</f>
        <v>0</v>
      </c>
      <c r="U89" s="8">
        <f>(Q28*($E28/366))+(Q29*($E29/366))</f>
        <v>37</v>
      </c>
      <c r="W89" s="14">
        <f t="shared" si="38"/>
        <v>37</v>
      </c>
    </row>
    <row r="90" spans="1:23">
      <c r="A90" s="1">
        <v>2001</v>
      </c>
      <c r="B90" s="8">
        <f>(K30*($E30/365))+(K31*($E31/365))</f>
        <v>0</v>
      </c>
      <c r="C90" s="8">
        <f>(L30*($E30/365))+(L31*($E31/365))</f>
        <v>0</v>
      </c>
      <c r="D90" s="8">
        <f>(M30*($E30/365))+(M31*($E31/365))</f>
        <v>94.117647058823522</v>
      </c>
      <c r="E90" s="65">
        <f t="shared" si="36"/>
        <v>94.117647058823522</v>
      </c>
      <c r="G90" s="1">
        <v>2001</v>
      </c>
      <c r="H90" s="958">
        <f>(O30/$R30*100*($E30/365))+(O31/$R31*100*($E31/365))</f>
        <v>0</v>
      </c>
      <c r="I90" s="958"/>
      <c r="J90" s="958">
        <f>(P30/$R30*100*($E30/365))+(P31/$R31*100*($E31/365))</f>
        <v>0</v>
      </c>
      <c r="K90" s="958"/>
      <c r="L90" s="958">
        <f>(Q30/$R30*100*($E30/365))+(Q31/$R31*100*($E31/365))</f>
        <v>100</v>
      </c>
      <c r="M90" s="958"/>
      <c r="N90" s="959">
        <f t="shared" si="37"/>
        <v>100</v>
      </c>
      <c r="O90" s="959"/>
      <c r="R90" s="1">
        <v>2001</v>
      </c>
      <c r="S90" s="8">
        <f>(O30*($E30/365))+(O31*($E31/365))</f>
        <v>0</v>
      </c>
      <c r="T90" s="8">
        <f>(P30*($E30/365))+(P31*($E31/365))</f>
        <v>0</v>
      </c>
      <c r="U90" s="8">
        <f>(Q30*($E30/365))+(Q31*($E31/365))</f>
        <v>37</v>
      </c>
      <c r="W90" s="14">
        <f t="shared" si="38"/>
        <v>37</v>
      </c>
    </row>
    <row r="91" spans="1:23">
      <c r="A91" s="1">
        <v>2002</v>
      </c>
      <c r="B91" s="8">
        <f>(K32*($E32/365))+(K33*($E33/365))</f>
        <v>8.2191780821917817</v>
      </c>
      <c r="C91" s="8">
        <f>(L32*($E32/365))+(L33*($E33/365))</f>
        <v>8.2191780821917817</v>
      </c>
      <c r="D91" s="8">
        <f>(M32*($E32/365))+(M33*($E33/365))</f>
        <v>80.419016921837226</v>
      </c>
      <c r="E91" s="65">
        <f t="shared" si="36"/>
        <v>96.85737308622079</v>
      </c>
      <c r="G91" s="1">
        <v>2002</v>
      </c>
      <c r="H91" s="958">
        <f>(O32/$R32*100*($E32/365))+(O33/$R33*100*($E33/365))</f>
        <v>4.15027804150278</v>
      </c>
      <c r="I91" s="958"/>
      <c r="J91" s="958">
        <f>(P32/$R32*100*($E32/365))+(P33/$R33*100*($E33/365))</f>
        <v>10.145124101451241</v>
      </c>
      <c r="K91" s="958"/>
      <c r="L91" s="958">
        <f>(Q32/$R32*100*($E32/365))+(Q33/$R33*100*($E33/365))</f>
        <v>85.704597857045968</v>
      </c>
      <c r="M91" s="958"/>
      <c r="N91" s="959">
        <f t="shared" si="37"/>
        <v>99.999999999999986</v>
      </c>
      <c r="O91" s="959"/>
      <c r="R91" s="1">
        <v>2002</v>
      </c>
      <c r="S91" s="8">
        <f>(O32*($E32/365))+(O33*($E33/365))</f>
        <v>2.095890410958904</v>
      </c>
      <c r="T91" s="8">
        <f>(P32*($E32/365))+(P33*($E33/365))</f>
        <v>5.1232876712328768</v>
      </c>
      <c r="U91" s="8">
        <f>(Q32*($E32/365))+(Q33*($E33/365))</f>
        <v>36.06849315068493</v>
      </c>
      <c r="W91" s="14">
        <f t="shared" si="38"/>
        <v>43.287671232876711</v>
      </c>
    </row>
    <row r="92" spans="1:23">
      <c r="A92" s="1">
        <v>2003</v>
      </c>
      <c r="B92" s="8">
        <f>(K34*($E34/365))+(K35*($E35/365))+(K36*($E36/365))</f>
        <v>17.647058823529413</v>
      </c>
      <c r="C92" s="8">
        <f>(L34*($E34/365))+(L35*($E35/365))+(L36*($E36/365))</f>
        <v>17.647058823529413</v>
      </c>
      <c r="D92" s="8">
        <f>(M34*($E34/365))+(M35*($E35/365))+(M36*($E36/365))</f>
        <v>59.661563255439162</v>
      </c>
      <c r="E92" s="65">
        <f t="shared" si="36"/>
        <v>94.955680902497988</v>
      </c>
      <c r="G92" s="1">
        <v>2003</v>
      </c>
      <c r="H92" s="958">
        <f>(O34/$R34*100*($E34/365))+(O35/$R35*100*($E35/365))+(O36/$R36*100*($E36/365))</f>
        <v>8.9108910891089099</v>
      </c>
      <c r="I92" s="958"/>
      <c r="J92" s="958">
        <f>(P34/$R34*100*($E34/365))+(P35/$R35*100*($E35/365))+(P36/$R36*100*($E36/365))</f>
        <v>21.782178217821784</v>
      </c>
      <c r="K92" s="958"/>
      <c r="L92" s="958">
        <f>(Q34/$R34*100*($E34/365))+(Q35/$R35*100*($E35/365))+(Q36/$R36*100*($E36/365))</f>
        <v>69.306930693069305</v>
      </c>
      <c r="M92" s="958"/>
      <c r="N92" s="959">
        <f t="shared" si="37"/>
        <v>100</v>
      </c>
      <c r="O92" s="959"/>
      <c r="R92" s="1">
        <v>2003</v>
      </c>
      <c r="S92" s="8">
        <f>(O34*($E34/365))+(O35*($E35/365))+(O36*($E36/365))</f>
        <v>4.5</v>
      </c>
      <c r="T92" s="8">
        <f>(P34*($E34/365))+(P35*($E35/365))+(P36*($E36/365))</f>
        <v>11</v>
      </c>
      <c r="U92" s="8">
        <f>(Q34*($E34/365))+(Q35*($E35/365))+(Q36*($E36/365))</f>
        <v>35</v>
      </c>
      <c r="W92" s="14">
        <f t="shared" si="38"/>
        <v>50.5</v>
      </c>
    </row>
    <row r="93" spans="1:23">
      <c r="A93" s="1">
        <v>2004</v>
      </c>
      <c r="B93" s="8">
        <f>(K37*($E37/366))+(K38*($E38/366))</f>
        <v>17.245258759241402</v>
      </c>
      <c r="C93" s="8">
        <f>(L37*($E37/366))+(L38*($E38/366))</f>
        <v>17.245258759241402</v>
      </c>
      <c r="D93" s="8">
        <f>(M37*($E37/366))+(M38*($E38/366))</f>
        <v>58.566377370620373</v>
      </c>
      <c r="E93" s="65">
        <f t="shared" si="36"/>
        <v>93.056894889103177</v>
      </c>
      <c r="G93" s="1">
        <v>2004</v>
      </c>
      <c r="H93" s="958">
        <f>(O37/$R37*100*($E37/366))+(O38/$R38*100*($E38/366))</f>
        <v>8.9108910891089099</v>
      </c>
      <c r="I93" s="958"/>
      <c r="J93" s="958">
        <f>(P37/$R37*100*($E37/366))+(P38/$R38*100*($E38/366))</f>
        <v>21.782178217821784</v>
      </c>
      <c r="K93" s="958"/>
      <c r="L93" s="958">
        <f>(Q37/$R37*100*($E37/366))+(Q38/$R38*100*($E38/366))</f>
        <v>69.306930693069305</v>
      </c>
      <c r="M93" s="958"/>
      <c r="N93" s="959">
        <f t="shared" si="37"/>
        <v>100</v>
      </c>
      <c r="O93" s="959"/>
      <c r="R93" s="1">
        <v>2004</v>
      </c>
      <c r="S93" s="8">
        <f>(O37*($E37/366))+(O38*($E38/366))</f>
        <v>4.5</v>
      </c>
      <c r="T93" s="8">
        <f>(P37*($E37/366))+(P38*($E38/366))</f>
        <v>11</v>
      </c>
      <c r="U93" s="8">
        <f>(Q37*($E37/366))+(Q38*($E38/366))</f>
        <v>35</v>
      </c>
      <c r="W93" s="14">
        <f t="shared" si="38"/>
        <v>50.5</v>
      </c>
    </row>
    <row r="94" spans="1:23">
      <c r="A94" s="1">
        <v>2005</v>
      </c>
      <c r="B94" s="8">
        <f>(K39*($E39/365))+(K40*($E40/365))+(K41*($E41/365))+(K42*($E42/365))</f>
        <v>12.84627092846271</v>
      </c>
      <c r="C94" s="8">
        <f>(L39*($E39/365))+(L40*($E40/365))+(L41*($E41/365))+(L42*($E42/365))</f>
        <v>16.666666666666664</v>
      </c>
      <c r="D94" s="8">
        <f>(M39*($E39/365))+(M40*($E40/365))+(M41*($E41/365))+(M42*($E42/365))</f>
        <v>52.237442922374434</v>
      </c>
      <c r="E94" s="65">
        <f>SUM(B94:D94)</f>
        <v>81.7503805175038</v>
      </c>
      <c r="G94" s="1">
        <v>2005</v>
      </c>
      <c r="H94" s="958">
        <f>(O39/$R39*100*($E39/365))+(O40/$R40*100*($E40/365))+(O41/$R41*100*($E41/365))+(O42/$R42*100*($E42/365))</f>
        <v>8.9108910891089099</v>
      </c>
      <c r="I94" s="958"/>
      <c r="J94" s="958">
        <f>(P39/$R39*100*($E39/365))+(P40/$R40*100*($E40/365))+(P41/$R41*100*($E41/365))+(P42/$R42*100*($E42/365))</f>
        <v>21.782178217821784</v>
      </c>
      <c r="K94" s="958"/>
      <c r="L94" s="958">
        <f>(Q39/$R39*100*($E39/365))+(Q40/$R40*100*($E40/365))+(Q41/$R41*100*($E41/365))+(Q42/$R42*100*($E42/365))</f>
        <v>69.306930693069305</v>
      </c>
      <c r="M94" s="958"/>
      <c r="N94" s="959">
        <f t="shared" si="37"/>
        <v>100</v>
      </c>
      <c r="O94" s="959"/>
      <c r="R94" s="1">
        <v>2005</v>
      </c>
      <c r="S94" s="8">
        <f>(O39*($E39/365))+(O40*($E40/365))+(O41*($E41/365))+(O42*($E42/365))</f>
        <v>4.5</v>
      </c>
      <c r="T94" s="8">
        <f>(P39*($E39/365))+(P40*($E40/365))+(P41*($E41/365))+(P42*($E42/365))</f>
        <v>11</v>
      </c>
      <c r="U94" s="8">
        <f>(Q39*($E39/365))+(Q40*($E40/365))+(Q41*($E41/365))+(Q42*($E42/365))</f>
        <v>35</v>
      </c>
      <c r="W94" s="14">
        <f t="shared" si="38"/>
        <v>50.5</v>
      </c>
    </row>
    <row r="95" spans="1:23">
      <c r="A95" s="1">
        <v>2006</v>
      </c>
      <c r="B95" s="8">
        <f>(K43*($E43/365))+(K44*($E44/365))</f>
        <v>27.490733279613213</v>
      </c>
      <c r="C95" s="8">
        <f>(L43*($E43/365))+(L44*($E44/365))</f>
        <v>11.893634165995167</v>
      </c>
      <c r="D95" s="8">
        <f>(M43*($E43/365))+(M44*($E44/365))</f>
        <v>27.751813053988716</v>
      </c>
      <c r="E95" s="65">
        <f t="shared" si="36"/>
        <v>67.136180499597089</v>
      </c>
      <c r="G95" s="1">
        <v>2006</v>
      </c>
      <c r="H95" s="958">
        <f>(O43/$R43*100*($E43/365))+(O44/$R44*100*($E44/365))</f>
        <v>38.608436186084361</v>
      </c>
      <c r="I95" s="958"/>
      <c r="J95" s="958">
        <f>(P43/$R43*100*($E43/365))+(P44/$R44*100*($E44/365))</f>
        <v>14.680591346805915</v>
      </c>
      <c r="K95" s="958"/>
      <c r="L95" s="958">
        <f>(Q43/$R43*100*($E43/365))+(Q44/$R44*100*($E44/365))</f>
        <v>46.710972467109727</v>
      </c>
      <c r="M95" s="958"/>
      <c r="N95" s="959">
        <f t="shared" si="37"/>
        <v>100</v>
      </c>
      <c r="O95" s="959"/>
      <c r="R95" s="1">
        <v>2006</v>
      </c>
      <c r="S95" s="8">
        <f>(O43*($E43/365))+(O44*($E44/365))</f>
        <v>16.236986301369864</v>
      </c>
      <c r="T95" s="8">
        <f>(P43*($E43/365))+(P44*($E44/365))</f>
        <v>7.4136986301369863</v>
      </c>
      <c r="U95" s="8">
        <f>(Q43*($E43/365))+(Q44*($E44/365))</f>
        <v>23.589041095890412</v>
      </c>
      <c r="W95" s="14">
        <f t="shared" si="38"/>
        <v>47.239726027397268</v>
      </c>
    </row>
    <row r="96" spans="1:23">
      <c r="A96" s="1">
        <v>2007</v>
      </c>
      <c r="B96" s="8">
        <f>(K45*($E45/365))+(K46*($E46/365))</f>
        <v>50.219178082191775</v>
      </c>
      <c r="C96" s="8">
        <f>(L45*($E45/365))+(L46*($E46/365))</f>
        <v>21.735159817351597</v>
      </c>
      <c r="D96" s="8">
        <f>(M45*($E45/365))+(M46*($E46/365))</f>
        <v>16.301369863013697</v>
      </c>
      <c r="E96" s="65">
        <f t="shared" si="36"/>
        <v>88.25570776255708</v>
      </c>
      <c r="G96" s="1">
        <v>2007</v>
      </c>
      <c r="H96" s="958">
        <f>(O45/$R45*100*($E45/365))+(O46/$R46*100*($E46/365))</f>
        <v>81.416438356164377</v>
      </c>
      <c r="I96" s="958"/>
      <c r="J96" s="958">
        <f>(P45/$R45*100*($E45/365))+(P46/$R46*100*($E46/365))</f>
        <v>12.715068493150685</v>
      </c>
      <c r="K96" s="958"/>
      <c r="L96" s="958">
        <f>(Q45/$R45*100*($E45/365))+(Q46/$R46*100*($E46/365))</f>
        <v>5.8684931506849312</v>
      </c>
      <c r="M96" s="958"/>
      <c r="N96" s="959">
        <f t="shared" si="37"/>
        <v>99.999999999999986</v>
      </c>
      <c r="O96" s="959"/>
      <c r="R96" s="1">
        <v>2007</v>
      </c>
      <c r="S96" s="8">
        <f>(O45*($E45/365))+(O46*($E46/365))</f>
        <v>40.5</v>
      </c>
      <c r="T96" s="8">
        <f>(P45*($E45/365))+(P46*($E46/365))</f>
        <v>6.3575342465753426</v>
      </c>
      <c r="U96" s="8">
        <f>(Q45*($E45/365))+(Q46*($E46/365))</f>
        <v>2.9342465753424656</v>
      </c>
      <c r="W96" s="14">
        <f t="shared" si="38"/>
        <v>49.791780821917804</v>
      </c>
    </row>
    <row r="97" spans="1:23">
      <c r="A97" s="1">
        <v>2008</v>
      </c>
      <c r="B97" s="8">
        <f>(K47*($E47/366))+(K48*($E48/366))</f>
        <v>50</v>
      </c>
      <c r="C97" s="8">
        <f>(L47*($E47/366))+(L48*($E48/366))</f>
        <v>22.222222222222221</v>
      </c>
      <c r="D97" s="8">
        <f>(M47*($E47/366))+(M48*($E48/366))</f>
        <v>16.666666666666664</v>
      </c>
      <c r="E97" s="65">
        <f t="shared" si="36"/>
        <v>88.888888888888886</v>
      </c>
      <c r="G97" s="1">
        <v>2008</v>
      </c>
      <c r="H97" s="958">
        <f>(O47/$R47*100*($E47/366))+(O48/$R48*100*($E48/366))</f>
        <v>81</v>
      </c>
      <c r="I97" s="958"/>
      <c r="J97" s="958">
        <f>(P47/$R47*100*($E47/366))+(P48/$R48*100*($E48/366))</f>
        <v>13</v>
      </c>
      <c r="K97" s="958"/>
      <c r="L97" s="958">
        <f>(Q47/$R47*100*($E47/366))+(Q48/$R48*100*($E48/366))</f>
        <v>6</v>
      </c>
      <c r="M97" s="958"/>
      <c r="N97" s="959">
        <f t="shared" si="37"/>
        <v>100</v>
      </c>
      <c r="O97" s="959"/>
      <c r="R97" s="1">
        <v>2008</v>
      </c>
      <c r="S97" s="8">
        <f>(O47*($E47/366))+(O48*($E48/366))</f>
        <v>40.5</v>
      </c>
      <c r="T97" s="8">
        <f>(P47*($E47/366))+(P48*($E48/366))</f>
        <v>6.5</v>
      </c>
      <c r="U97" s="8">
        <f>(Q47*($E47/366))+(Q48*($E48/366))</f>
        <v>3</v>
      </c>
      <c r="W97" s="14">
        <f t="shared" si="38"/>
        <v>50</v>
      </c>
    </row>
    <row r="98" spans="1:23">
      <c r="A98" s="1">
        <v>2009</v>
      </c>
      <c r="B98" s="8">
        <f>(K49*($E49/365))+(K50*($E50/365))</f>
        <v>17.397260273972602</v>
      </c>
      <c r="C98" s="8">
        <f>(L49*($E49/365))+(L50*($E50/365))</f>
        <v>7.7321156773211568</v>
      </c>
      <c r="D98" s="8">
        <f>(M49*($E49/365))+(M50*($E50/365))</f>
        <v>5.7990867579908674</v>
      </c>
      <c r="E98" s="65">
        <f t="shared" si="36"/>
        <v>30.928462709284627</v>
      </c>
      <c r="G98" s="1">
        <v>2009</v>
      </c>
      <c r="H98" s="958">
        <f>(O49/$R49*100*($E49/365))</f>
        <v>28.183561643835617</v>
      </c>
      <c r="I98" s="958"/>
      <c r="J98" s="958">
        <f>(P49/$R49*100*($E49/365))</f>
        <v>4.5232876712328771</v>
      </c>
      <c r="K98" s="958"/>
      <c r="L98" s="958">
        <f>(Q49/$R49*100*($E49/365))</f>
        <v>2.0876712328767124</v>
      </c>
      <c r="M98" s="958"/>
      <c r="N98" s="959">
        <f t="shared" si="37"/>
        <v>34.794520547945211</v>
      </c>
      <c r="O98" s="959"/>
      <c r="R98" s="1">
        <v>2009</v>
      </c>
      <c r="S98" s="8">
        <f>(O49*($E49/365))+(O50*($E50/365))</f>
        <v>14.091780821917808</v>
      </c>
      <c r="T98" s="8">
        <f>(P49*($E49/365))+(P50*($E50/365))</f>
        <v>2.2616438356164386</v>
      </c>
      <c r="U98" s="8">
        <f>(Q49*($E49/365))+(Q50*($E50/365))</f>
        <v>1.0438356164383562</v>
      </c>
      <c r="W98" s="14">
        <f t="shared" si="38"/>
        <v>17.397260273972606</v>
      </c>
    </row>
    <row r="99" spans="1:23">
      <c r="A99" s="1">
        <v>2010</v>
      </c>
      <c r="B99" s="8">
        <f>(K51*($E51/365))+(K52*($E52/365))</f>
        <v>43.981735159817347</v>
      </c>
      <c r="C99" s="8">
        <f>(L51*($E51/365))+(L52*($E52/365))</f>
        <v>0</v>
      </c>
      <c r="D99" s="8">
        <f>(M51*($E51/365))+(M52*($E52/365))</f>
        <v>0</v>
      </c>
      <c r="E99" s="65">
        <f t="shared" si="36"/>
        <v>43.981735159817347</v>
      </c>
      <c r="G99" s="1">
        <v>2010</v>
      </c>
      <c r="H99" s="958">
        <f>(O52/$R52*100*($E52/365))</f>
        <v>47.12328767123288</v>
      </c>
      <c r="I99" s="958"/>
      <c r="J99" s="958">
        <f>(P52/$R52*100*($E52/365))</f>
        <v>0</v>
      </c>
      <c r="K99" s="958"/>
      <c r="L99" s="958">
        <f>(Q52/$R52*100*($E52/365))</f>
        <v>0</v>
      </c>
      <c r="M99" s="958"/>
      <c r="N99" s="959">
        <f t="shared" si="37"/>
        <v>47.12328767123288</v>
      </c>
      <c r="O99" s="959"/>
      <c r="R99" s="1">
        <v>2010</v>
      </c>
      <c r="S99" s="8">
        <f>(O51*($E51/365))+(O52*($E52/365))</f>
        <v>27.802739726027397</v>
      </c>
      <c r="T99" s="8">
        <f>(P51*($E51/365))+(P52*($E52/365))</f>
        <v>0</v>
      </c>
      <c r="U99" s="8">
        <f>(Q51*($E51/365))+(Q52*($E52/365))</f>
        <v>0</v>
      </c>
      <c r="W99" s="14">
        <f t="shared" si="38"/>
        <v>27.802739726027397</v>
      </c>
    </row>
    <row r="100" spans="1:23">
      <c r="A100" s="1">
        <v>2011</v>
      </c>
      <c r="B100" s="8">
        <f>(K53*($E53/365))+(K54*($E54/365))</f>
        <v>88.675799086757991</v>
      </c>
      <c r="C100" s="8">
        <f>(L53*($E53/365))+(L54*($E54/365))</f>
        <v>0</v>
      </c>
      <c r="D100" s="8">
        <f>(M53*($E53/365))+(M54*($E54/365))</f>
        <v>0</v>
      </c>
      <c r="E100" s="65">
        <f t="shared" si="36"/>
        <v>88.675799086757991</v>
      </c>
      <c r="G100" s="1">
        <v>2011</v>
      </c>
      <c r="H100" s="958">
        <f>(O53/$R53*100*($E53/365))+(O54/$R54*100*($E54/365))</f>
        <v>100</v>
      </c>
      <c r="I100" s="958"/>
      <c r="J100" s="958">
        <f>(P53/$R53*100*($E53/365))+(P54/$R54*100*($E54/365))</f>
        <v>0</v>
      </c>
      <c r="K100" s="958"/>
      <c r="L100" s="958">
        <f>(Q53/$R53*100*($E53/365))+(Q54/$R54*100*($E54/365))</f>
        <v>0</v>
      </c>
      <c r="M100" s="958"/>
      <c r="N100" s="959">
        <f t="shared" si="37"/>
        <v>100</v>
      </c>
      <c r="O100" s="959"/>
      <c r="R100" s="1">
        <v>2011</v>
      </c>
      <c r="S100" s="8">
        <f>(O53*($E53/365))+(O54*($E54/365))</f>
        <v>59</v>
      </c>
      <c r="T100" s="8">
        <f>(P53*($E53/365))+(P54*($E54/365))</f>
        <v>0</v>
      </c>
      <c r="U100" s="8">
        <f>(Q53*($E53/365))+(Q54*($E54/365))</f>
        <v>0</v>
      </c>
      <c r="W100" s="14">
        <f t="shared" si="38"/>
        <v>59</v>
      </c>
    </row>
    <row r="101" spans="1:23">
      <c r="A101" s="1">
        <v>2012</v>
      </c>
      <c r="B101" s="8">
        <f>(K55*($E55/366))+(K56*($E56/366))+(K57*($E57/366))</f>
        <v>81.948998178506372</v>
      </c>
      <c r="C101" s="8">
        <f>(L55*($E55/366))+(L56*($E56/366))+(L57*($E57/366))</f>
        <v>0</v>
      </c>
      <c r="D101" s="8">
        <f>(M55*($E55/366))+(M56*($E56/366))+(M57*($E57/366))</f>
        <v>0</v>
      </c>
      <c r="E101" s="65">
        <f t="shared" si="36"/>
        <v>81.948998178506372</v>
      </c>
      <c r="G101" s="1">
        <v>2012</v>
      </c>
      <c r="H101" s="958">
        <f>(O55/$R55*100*($E55/366))+(O56/$R56*100*($E56/366))+(O57/$R57*100*($E57/366))</f>
        <v>100</v>
      </c>
      <c r="I101" s="958"/>
      <c r="J101" s="958">
        <f>(P55/$R55*100*($E55/366))+(P56/$R56*100*($E56/366))+(P57/$R57*100*($E57/366))</f>
        <v>0</v>
      </c>
      <c r="K101" s="958"/>
      <c r="L101" s="958">
        <f>(Q55/$R55*100*($E55/366))+(Q56/$R56*100*($E56/366))+(Q57/$R57*100*($E57/366))</f>
        <v>0</v>
      </c>
      <c r="M101" s="958"/>
      <c r="N101" s="959">
        <f t="shared" si="37"/>
        <v>100</v>
      </c>
      <c r="O101" s="959"/>
      <c r="R101" s="1">
        <v>2012</v>
      </c>
      <c r="S101" s="8">
        <f>(O55*($E55/366))+(O56*($E56/366))+(O57*($E57/366))</f>
        <v>59</v>
      </c>
      <c r="T101" s="8">
        <f>(P55*($E55/366))+(P56*($E56/366))+(P57*($E57/366))</f>
        <v>0</v>
      </c>
      <c r="U101" s="8">
        <f>(Q55*($E55/366))+(Q56*($E56/366))+(Q57*($E57/366))</f>
        <v>0</v>
      </c>
      <c r="W101" s="14">
        <f t="shared" si="38"/>
        <v>59</v>
      </c>
    </row>
    <row r="102" spans="1:23">
      <c r="A102" s="1">
        <v>2013</v>
      </c>
      <c r="B102" s="8">
        <f>(K58*($E58/365))+(K59*($E59/365))+(K60*($E60/365))</f>
        <v>37.106164383561641</v>
      </c>
      <c r="C102" s="8">
        <f>(L58*($E58/365))+(L59*($E59/365))+(L60*($E60/365))</f>
        <v>3.1963470319634704</v>
      </c>
      <c r="D102" s="8">
        <f>(M58*($E58/365))+(M59*($E59/365))+(M60*($E60/365))</f>
        <v>0</v>
      </c>
      <c r="E102" s="315">
        <f>SUM(B102:D102)</f>
        <v>40.30251141552511</v>
      </c>
      <c r="G102" s="1">
        <v>2013</v>
      </c>
      <c r="H102" s="958">
        <f>(O58/$R58*100*($E58/365))+(O59/$R59*100*($E59/365))</f>
        <v>52.054794520547944</v>
      </c>
      <c r="I102" s="958"/>
      <c r="J102" s="958">
        <f>(P58/$R58*100*($E58/365))+(P59/$R59*100*($E59/365))</f>
        <v>0</v>
      </c>
      <c r="K102" s="958"/>
      <c r="L102" s="958">
        <f>(Q58/$R58*100*($E58/365))+(Q59/$R59*100*($E59/365))</f>
        <v>0</v>
      </c>
      <c r="M102" s="958"/>
      <c r="N102" s="959">
        <f>SUM(H102:M102)</f>
        <v>52.054794520547944</v>
      </c>
      <c r="O102" s="959"/>
      <c r="R102" s="1">
        <v>2013</v>
      </c>
      <c r="S102" s="8">
        <f>(O58*($E58/365))+(O59*($E59/365))+(O60*($E60/365))</f>
        <v>30.712328767123289</v>
      </c>
      <c r="T102" s="8">
        <f>(P58*($E58/365))+(P59*($E59/365))+(P60*($E60/365))</f>
        <v>0</v>
      </c>
      <c r="U102" s="8">
        <f>(Q58*($E58/365))+(Q59*($E59/365))+(Q60*($E60/365))</f>
        <v>0</v>
      </c>
      <c r="W102" s="14">
        <f>SUM(S102:U102)</f>
        <v>30.712328767123289</v>
      </c>
    </row>
    <row r="103" spans="1:23">
      <c r="A103" s="1">
        <v>2014</v>
      </c>
      <c r="B103" s="8">
        <f>(K61*($E61/365))+(K62*($E62/365))</f>
        <v>32.586623690572118</v>
      </c>
      <c r="C103" s="8">
        <f>(L61*($E61/365))+(L62*($E62/365))</f>
        <v>16.804727370400215</v>
      </c>
      <c r="D103" s="8">
        <f>(M61*($E61/365))+(M62*($E62/365))</f>
        <v>43.448831587429488</v>
      </c>
      <c r="E103" s="524">
        <f>SUM(B103:D103)</f>
        <v>92.840182648401822</v>
      </c>
      <c r="G103" s="1">
        <v>2014</v>
      </c>
      <c r="H103" s="958">
        <f>(O62/$R62*100*($E62/365))</f>
        <v>39.094162655806493</v>
      </c>
      <c r="I103" s="958"/>
      <c r="J103" s="958">
        <f>(P62/$R62*100*($E62/365))</f>
        <v>11.645069727261507</v>
      </c>
      <c r="K103" s="958"/>
      <c r="L103" s="958">
        <f>(Q62/$R62*100*($E62/365))</f>
        <v>41.589534740219669</v>
      </c>
      <c r="M103" s="958"/>
      <c r="N103" s="959">
        <f>SUM(H103:M103)</f>
        <v>92.328767123287662</v>
      </c>
      <c r="O103" s="959"/>
      <c r="R103" s="1">
        <v>2014</v>
      </c>
      <c r="S103" s="8">
        <f>(O61*($E61/365))+(O62*($E62/365))</f>
        <v>21.697260273972603</v>
      </c>
      <c r="T103" s="8">
        <f>(P61*($E61/365))+(P62*($E62/365))</f>
        <v>6.463013698630137</v>
      </c>
      <c r="U103" s="8">
        <f>(Q61*($E61/365))+(Q62*($E62/365))</f>
        <v>23.082191780821919</v>
      </c>
      <c r="W103" s="14">
        <f>SUM(S103:U103)</f>
        <v>51.242465753424653</v>
      </c>
    </row>
    <row r="104" spans="1:23" s="706" customFormat="1">
      <c r="A104" s="706">
        <v>2015</v>
      </c>
      <c r="B104" s="700">
        <f>(K63*($E63/365))+(K64*($E64/365))</f>
        <v>35.294117647058826</v>
      </c>
      <c r="C104" s="700">
        <f>(L63*($E63/365))+(L64*($E64/365))</f>
        <v>17.647058823529413</v>
      </c>
      <c r="D104" s="700">
        <f>(M63*($E63/365))+(M64*($E64/365))</f>
        <v>47.058823529411761</v>
      </c>
      <c r="E104" s="701">
        <f>SUM(B104:D104)</f>
        <v>100</v>
      </c>
      <c r="G104" s="706">
        <v>2015</v>
      </c>
      <c r="H104" s="958">
        <f>(O63/$R63*100*($E63/365))+(O64/$R64*100*($E64/365))</f>
        <v>42.342342342342342</v>
      </c>
      <c r="I104" s="958"/>
      <c r="J104" s="958">
        <f>(P63/$R63*100*($E63/365))+(P64/$R64*100*($E64/365))</f>
        <v>12.612612612612612</v>
      </c>
      <c r="K104" s="958"/>
      <c r="L104" s="958">
        <f>(Q63/$R63*100*($E63/365))+(Q64/$R64*100*($E64/365))</f>
        <v>45.045045045045043</v>
      </c>
      <c r="M104" s="958"/>
      <c r="N104" s="959">
        <f>SUM(H104:M104)</f>
        <v>100</v>
      </c>
      <c r="O104" s="959"/>
      <c r="R104" s="706">
        <v>2015</v>
      </c>
      <c r="S104" s="700">
        <f>(O63*($E63/365))+(O64*($E64/365))</f>
        <v>23.5</v>
      </c>
      <c r="T104" s="700">
        <f>(P63*($E63/365))+(P64*($E64/365))</f>
        <v>7</v>
      </c>
      <c r="U104" s="700">
        <f>(Q63*($E63/365))+(Q64*($E64/365))</f>
        <v>25</v>
      </c>
      <c r="W104" s="705">
        <f>SUM(S104:U104)</f>
        <v>55.5</v>
      </c>
    </row>
    <row r="105" spans="1:23" s="706" customFormat="1">
      <c r="A105" s="810">
        <v>2016</v>
      </c>
      <c r="B105" s="804">
        <f>(K65*($E65/366))+(K66*($E66/366))</f>
        <v>35.294117647058826</v>
      </c>
      <c r="C105" s="804">
        <f>(L65*($E65/366))+(L66*($E66/366))</f>
        <v>17.647058823529413</v>
      </c>
      <c r="D105" s="804">
        <f>(M65*($E65/366))+(M66*($E66/366))</f>
        <v>47.058823529411761</v>
      </c>
      <c r="E105" s="805">
        <f>SUM(B105:D105)</f>
        <v>100</v>
      </c>
      <c r="F105" s="810"/>
      <c r="G105" s="810">
        <v>2016</v>
      </c>
      <c r="H105" s="958">
        <f>(O65/$R65*100*($E65/366))+(O66/$R66*100*($E66/366))</f>
        <v>42.342342342342342</v>
      </c>
      <c r="I105" s="958"/>
      <c r="J105" s="958">
        <f>(P65/$R65*100*($E65/366))+(P66/$R66*100*($E66/366))</f>
        <v>12.612612612612612</v>
      </c>
      <c r="K105" s="958"/>
      <c r="L105" s="958">
        <f>(Q65/$R65*100*($E65/366))+(Q66/$R66*100*($E66/366))</f>
        <v>45.045045045045043</v>
      </c>
      <c r="M105" s="958"/>
      <c r="N105" s="959">
        <f>SUM(H105:M105)</f>
        <v>100</v>
      </c>
      <c r="O105" s="959"/>
      <c r="P105" s="810"/>
      <c r="Q105" s="810"/>
      <c r="R105" s="810">
        <v>2016</v>
      </c>
      <c r="S105" s="804">
        <f>(O65*($E65/366))+(O66*($E66/366))</f>
        <v>23.5</v>
      </c>
      <c r="T105" s="804">
        <f>(P65*($E65/366))+(P66*($E66/366))</f>
        <v>7</v>
      </c>
      <c r="U105" s="804">
        <f>(Q65*($E65/366))+(Q66*($E66/366))</f>
        <v>25</v>
      </c>
      <c r="V105" s="810"/>
      <c r="W105" s="809">
        <f>SUM(S105:U105)</f>
        <v>55.5</v>
      </c>
    </row>
    <row r="106" spans="1:23" s="706" customFormat="1">
      <c r="A106" s="920">
        <v>2017</v>
      </c>
      <c r="B106" s="915">
        <f>(K67*($E67/365))+(K68*($E68/365))</f>
        <v>38.662369057211926</v>
      </c>
      <c r="C106" s="915">
        <f>(L67*($E67/365))+(L68*($E68/365))</f>
        <v>16.728444802578565</v>
      </c>
      <c r="D106" s="915">
        <f t="shared" ref="D106" si="39">(M67*($E67/365))+(M68*($E68/365))</f>
        <v>44.609186140209502</v>
      </c>
      <c r="E106" s="916">
        <f>SUM(B106:D106)</f>
        <v>100</v>
      </c>
      <c r="G106" s="920">
        <v>2017</v>
      </c>
      <c r="H106" s="958">
        <f>(O67/$R67*100*($E67/365))+(O68/$R68*100*($E68/365))</f>
        <v>45.34369986424781</v>
      </c>
      <c r="I106" s="958"/>
      <c r="J106" s="958">
        <f>(P67/$R67*100*($E67/365))+(P68/$R68*100*($E68/365))</f>
        <v>11.956065654695792</v>
      </c>
      <c r="K106" s="958"/>
      <c r="L106" s="958">
        <f>(Q67/$R67*100*($E67/365))+(Q68/$R68*100*($E68/365))</f>
        <v>42.700234481056398</v>
      </c>
      <c r="M106" s="958"/>
      <c r="N106" s="959">
        <f>SUM(H106:M106)</f>
        <v>100</v>
      </c>
      <c r="O106" s="959"/>
      <c r="R106" s="920">
        <v>2017</v>
      </c>
      <c r="S106" s="915">
        <f>(O67*($E67/365))+(O68*($E68/365))</f>
        <v>24.30684931506849</v>
      </c>
      <c r="T106" s="915">
        <f t="shared" ref="T106:U106" si="40">(P67*($E67/365))+(P68*($E68/365))</f>
        <v>6.6356164383561644</v>
      </c>
      <c r="U106" s="915">
        <f t="shared" si="40"/>
        <v>23.698630136986303</v>
      </c>
      <c r="V106" s="920"/>
      <c r="W106" s="918">
        <f>SUM(S106:U106)</f>
        <v>54.641095890410959</v>
      </c>
    </row>
    <row r="107" spans="1:23">
      <c r="A107" s="939">
        <v>2018</v>
      </c>
      <c r="B107" s="930">
        <f>(K69*($E69/365))+(K70*($E70/365))</f>
        <v>82.831050228310488</v>
      </c>
      <c r="C107" s="930">
        <f>(L69*($E69/365))+(L70*($E70/365))</f>
        <v>0</v>
      </c>
      <c r="D107" s="930">
        <f>(M69*($E69/365))+(M70*($E70/365))</f>
        <v>17.168949771689494</v>
      </c>
      <c r="E107" s="931">
        <f t="shared" ref="E107" si="41">SUM(B107:D107)</f>
        <v>99.999999999999986</v>
      </c>
      <c r="F107" s="939"/>
      <c r="G107" s="939">
        <v>2018</v>
      </c>
      <c r="H107" s="958">
        <f>(O69/$R69*100*($E69/365))+(O70/$R70*100*($E70/365))</f>
        <v>91.692443658859929</v>
      </c>
      <c r="I107" s="958"/>
      <c r="J107" s="958">
        <f>(P69/$R69*100*($E69/365))+(P70/$R70*100*($E70/365))</f>
        <v>0</v>
      </c>
      <c r="K107" s="958"/>
      <c r="L107" s="958">
        <f>(Q69/$R69*100*($E69/365))+(Q70/$R70*100*($E70/365))</f>
        <v>8.3075563411400797</v>
      </c>
      <c r="M107" s="958"/>
      <c r="N107" s="959">
        <f t="shared" ref="N107" si="42">SUM(H107:M107)</f>
        <v>100.00000000000001</v>
      </c>
      <c r="O107" s="959"/>
      <c r="P107" s="939"/>
      <c r="Q107" s="939"/>
      <c r="R107" s="939">
        <v>2018</v>
      </c>
      <c r="S107" s="930">
        <f>(O69*($E69/365))+(O70*($E70/365))</f>
        <v>39</v>
      </c>
      <c r="T107" s="930">
        <f>(P69*($E69/365))+(P70*($E70/365))</f>
        <v>0</v>
      </c>
      <c r="U107" s="930">
        <f>(Q69*($E69/365))+(Q70*($E70/365))</f>
        <v>3.8630136986301369</v>
      </c>
      <c r="V107" s="939"/>
      <c r="W107" s="936">
        <f t="shared" ref="W107" si="43">SUM(S107:U107)</f>
        <v>42.863013698630134</v>
      </c>
    </row>
  </sheetData>
  <mergeCells count="209">
    <mergeCell ref="N105:O105"/>
    <mergeCell ref="L90:M90"/>
    <mergeCell ref="J87:K87"/>
    <mergeCell ref="N89:O89"/>
    <mergeCell ref="C61:D61"/>
    <mergeCell ref="C62:D62"/>
    <mergeCell ref="H79:I79"/>
    <mergeCell ref="H80:I80"/>
    <mergeCell ref="H81:I81"/>
    <mergeCell ref="H85:I85"/>
    <mergeCell ref="J85:K85"/>
    <mergeCell ref="J90:K90"/>
    <mergeCell ref="H88:I88"/>
    <mergeCell ref="J88:K88"/>
    <mergeCell ref="J86:K86"/>
    <mergeCell ref="H86:I86"/>
    <mergeCell ref="H87:I87"/>
    <mergeCell ref="J89:K89"/>
    <mergeCell ref="N85:O85"/>
    <mergeCell ref="L84:M84"/>
    <mergeCell ref="J95:K95"/>
    <mergeCell ref="J96:K96"/>
    <mergeCell ref="J97:K97"/>
    <mergeCell ref="J98:K98"/>
    <mergeCell ref="AT4:AW4"/>
    <mergeCell ref="AX4:BA4"/>
    <mergeCell ref="K4:N4"/>
    <mergeCell ref="O4:R4"/>
    <mergeCell ref="Z4:AC4"/>
    <mergeCell ref="AD4:AG4"/>
    <mergeCell ref="AH4:AK4"/>
    <mergeCell ref="AL4:AO4"/>
    <mergeCell ref="AP4:AS4"/>
    <mergeCell ref="V4:Y4"/>
    <mergeCell ref="G3:M3"/>
    <mergeCell ref="O3:Q3"/>
    <mergeCell ref="A4:A5"/>
    <mergeCell ref="B4:B5"/>
    <mergeCell ref="C4:D5"/>
    <mergeCell ref="E4:E5"/>
    <mergeCell ref="F4:F5"/>
    <mergeCell ref="G4:J4"/>
    <mergeCell ref="C6:D6"/>
    <mergeCell ref="C7:D7"/>
    <mergeCell ref="C8:D8"/>
    <mergeCell ref="S4:S5"/>
    <mergeCell ref="T4:T5"/>
    <mergeCell ref="U4:U5"/>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44:D44"/>
    <mergeCell ref="C45:D45"/>
    <mergeCell ref="C46:D46"/>
    <mergeCell ref="C47:D47"/>
    <mergeCell ref="C48:D48"/>
    <mergeCell ref="C36:D36"/>
    <mergeCell ref="C37:D37"/>
    <mergeCell ref="C38:D38"/>
    <mergeCell ref="C39:D39"/>
    <mergeCell ref="C42:D42"/>
    <mergeCell ref="C58:D58"/>
    <mergeCell ref="C49:D49"/>
    <mergeCell ref="C50:D50"/>
    <mergeCell ref="C51:D51"/>
    <mergeCell ref="C52:D52"/>
    <mergeCell ref="C53:D53"/>
    <mergeCell ref="C54:D54"/>
    <mergeCell ref="L83:M83"/>
    <mergeCell ref="C56:D56"/>
    <mergeCell ref="C57:D57"/>
    <mergeCell ref="C55:D55"/>
    <mergeCell ref="C63:D63"/>
    <mergeCell ref="C64:D64"/>
    <mergeCell ref="C65:D65"/>
    <mergeCell ref="C66:D66"/>
    <mergeCell ref="C67:D67"/>
    <mergeCell ref="C68:D68"/>
    <mergeCell ref="C71:D71"/>
    <mergeCell ref="C72:D72"/>
    <mergeCell ref="C69:D69"/>
    <mergeCell ref="C70:D70"/>
    <mergeCell ref="R76:W76"/>
    <mergeCell ref="H78:I78"/>
    <mergeCell ref="J78:K78"/>
    <mergeCell ref="L78:M78"/>
    <mergeCell ref="N78:O78"/>
    <mergeCell ref="C59:D59"/>
    <mergeCell ref="C60:D60"/>
    <mergeCell ref="J83:K83"/>
    <mergeCell ref="J84:K84"/>
    <mergeCell ref="N79:O79"/>
    <mergeCell ref="N80:O80"/>
    <mergeCell ref="N81:O81"/>
    <mergeCell ref="N82:O82"/>
    <mergeCell ref="L79:M79"/>
    <mergeCell ref="L80:M80"/>
    <mergeCell ref="J79:K79"/>
    <mergeCell ref="J80:K80"/>
    <mergeCell ref="J81:K81"/>
    <mergeCell ref="J82:K82"/>
    <mergeCell ref="H82:I82"/>
    <mergeCell ref="H83:I83"/>
    <mergeCell ref="H84:I84"/>
    <mergeCell ref="N83:O83"/>
    <mergeCell ref="N84:O84"/>
    <mergeCell ref="H89:I89"/>
    <mergeCell ref="H90:I90"/>
    <mergeCell ref="H91:I91"/>
    <mergeCell ref="J99:K99"/>
    <mergeCell ref="H99:I99"/>
    <mergeCell ref="H100:I100"/>
    <mergeCell ref="H96:I96"/>
    <mergeCell ref="H97:I97"/>
    <mergeCell ref="H98:I98"/>
    <mergeCell ref="H95:I95"/>
    <mergeCell ref="J91:K91"/>
    <mergeCell ref="J92:K92"/>
    <mergeCell ref="J94:K94"/>
    <mergeCell ref="H94:I94"/>
    <mergeCell ref="J93:K93"/>
    <mergeCell ref="H93:I93"/>
    <mergeCell ref="H92:I92"/>
    <mergeCell ref="N95:O95"/>
    <mergeCell ref="N96:O96"/>
    <mergeCell ref="L99:M99"/>
    <mergeCell ref="N93:O93"/>
    <mergeCell ref="L81:M81"/>
    <mergeCell ref="L82:M82"/>
    <mergeCell ref="N94:O94"/>
    <mergeCell ref="L93:M93"/>
    <mergeCell ref="L94:M94"/>
    <mergeCell ref="L95:M95"/>
    <mergeCell ref="N90:O90"/>
    <mergeCell ref="L91:M91"/>
    <mergeCell ref="N87:O87"/>
    <mergeCell ref="N88:O88"/>
    <mergeCell ref="N91:O91"/>
    <mergeCell ref="N92:O92"/>
    <mergeCell ref="N86:O86"/>
    <mergeCell ref="L85:M85"/>
    <mergeCell ref="L86:M86"/>
    <mergeCell ref="L96:M96"/>
    <mergeCell ref="L87:M87"/>
    <mergeCell ref="L92:M92"/>
    <mergeCell ref="L88:M88"/>
    <mergeCell ref="L89:M89"/>
    <mergeCell ref="N97:O97"/>
    <mergeCell ref="L100:M100"/>
    <mergeCell ref="L98:M98"/>
    <mergeCell ref="J101:K101"/>
    <mergeCell ref="L101:M101"/>
    <mergeCell ref="N101:O101"/>
    <mergeCell ref="L97:M97"/>
    <mergeCell ref="H101:I101"/>
    <mergeCell ref="N99:O99"/>
    <mergeCell ref="N98:O98"/>
    <mergeCell ref="J100:K100"/>
    <mergeCell ref="H107:I107"/>
    <mergeCell ref="J107:K107"/>
    <mergeCell ref="L107:M107"/>
    <mergeCell ref="N107:O107"/>
    <mergeCell ref="H102:I102"/>
    <mergeCell ref="J102:K102"/>
    <mergeCell ref="L102:M102"/>
    <mergeCell ref="N102:O102"/>
    <mergeCell ref="N100:O100"/>
    <mergeCell ref="H104:I104"/>
    <mergeCell ref="J104:K104"/>
    <mergeCell ref="L104:M104"/>
    <mergeCell ref="N104:O104"/>
    <mergeCell ref="H106:I106"/>
    <mergeCell ref="J106:K106"/>
    <mergeCell ref="L106:M106"/>
    <mergeCell ref="N106:O106"/>
    <mergeCell ref="H103:I103"/>
    <mergeCell ref="J103:K103"/>
    <mergeCell ref="L103:M103"/>
    <mergeCell ref="N103:O103"/>
    <mergeCell ref="H105:I105"/>
    <mergeCell ref="J105:K105"/>
    <mergeCell ref="L105:M10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A193"/>
  <sheetViews>
    <sheetView zoomScale="159" zoomScaleNormal="120" workbookViewId="0">
      <pane xSplit="1" ySplit="5" topLeftCell="B117" activePane="bottomRight" state="frozen"/>
      <selection pane="topRight" activeCell="B1" sqref="B1"/>
      <selection pane="bottomLeft" activeCell="A6" sqref="A6"/>
      <selection pane="bottomRight" activeCell="W193" sqref="W19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52</v>
      </c>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78" t="s">
        <v>251</v>
      </c>
      <c r="D6" s="978"/>
      <c r="E6" s="257">
        <v>0</v>
      </c>
      <c r="G6" s="265">
        <v>7</v>
      </c>
      <c r="I6" s="257">
        <v>9</v>
      </c>
      <c r="J6" s="272">
        <v>16</v>
      </c>
      <c r="K6" s="248">
        <f>G6/J6*100</f>
        <v>43.75</v>
      </c>
      <c r="L6" s="248">
        <f>H6/J6*100</f>
        <v>0</v>
      </c>
      <c r="M6" s="248">
        <f>I6/J6*100</f>
        <v>56.25</v>
      </c>
      <c r="N6" s="267">
        <f>SUM(K6:M6)</f>
        <v>100</v>
      </c>
      <c r="O6" s="247">
        <v>13.1</v>
      </c>
      <c r="P6" s="248"/>
      <c r="Q6" s="248">
        <v>40</v>
      </c>
      <c r="R6" s="249">
        <f>SUM(O6:Q6)</f>
        <v>53.1</v>
      </c>
      <c r="S6" s="254">
        <v>2</v>
      </c>
      <c r="T6" s="251"/>
      <c r="U6" s="252"/>
      <c r="V6" s="256" t="s">
        <v>102</v>
      </c>
      <c r="W6" s="257" t="s">
        <v>20</v>
      </c>
      <c r="X6" s="257" t="s">
        <v>12</v>
      </c>
      <c r="Y6" s="258">
        <v>40</v>
      </c>
      <c r="Z6" s="257" t="s">
        <v>103</v>
      </c>
      <c r="AA6" s="257" t="s">
        <v>22</v>
      </c>
      <c r="AB6" s="257" t="s">
        <v>11</v>
      </c>
      <c r="AC6" s="257">
        <v>8</v>
      </c>
      <c r="AD6" s="256" t="s">
        <v>104</v>
      </c>
      <c r="AE6" s="257" t="s">
        <v>100</v>
      </c>
      <c r="AF6" s="257" t="s">
        <v>11</v>
      </c>
      <c r="AG6" s="258">
        <v>5.0999999999999996</v>
      </c>
      <c r="AH6" s="256"/>
      <c r="AL6" s="256"/>
      <c r="AO6" s="258"/>
      <c r="AP6" s="256"/>
      <c r="AS6" s="258"/>
      <c r="AW6" s="258"/>
      <c r="BA6" s="259"/>
    </row>
    <row r="7" spans="1:53" s="257" customFormat="1">
      <c r="A7" s="263">
        <v>1959</v>
      </c>
      <c r="B7" s="252"/>
      <c r="C7" s="978" t="s">
        <v>251</v>
      </c>
      <c r="D7" s="978"/>
      <c r="E7" s="257">
        <v>365</v>
      </c>
      <c r="G7" s="265">
        <v>7</v>
      </c>
      <c r="I7" s="257">
        <v>9</v>
      </c>
      <c r="J7" s="272">
        <v>16</v>
      </c>
      <c r="K7" s="248">
        <f>G7/J7*100</f>
        <v>43.75</v>
      </c>
      <c r="L7" s="248">
        <f>H7/J7*100</f>
        <v>0</v>
      </c>
      <c r="M7" s="248">
        <f>I7/J7*100</f>
        <v>56.25</v>
      </c>
      <c r="N7" s="267">
        <f>SUM(K7:M7)</f>
        <v>100</v>
      </c>
      <c r="O7" s="247">
        <v>13.1</v>
      </c>
      <c r="P7" s="248"/>
      <c r="Q7" s="248">
        <v>40</v>
      </c>
      <c r="R7" s="249">
        <f>SUM(O7:Q7)</f>
        <v>53.1</v>
      </c>
      <c r="S7" s="254">
        <v>2</v>
      </c>
      <c r="T7" s="251"/>
      <c r="U7" s="252"/>
      <c r="V7" s="256" t="s">
        <v>102</v>
      </c>
      <c r="W7" s="257" t="s">
        <v>20</v>
      </c>
      <c r="X7" s="257" t="s">
        <v>12</v>
      </c>
      <c r="Y7" s="258">
        <v>40</v>
      </c>
      <c r="Z7" s="257" t="s">
        <v>103</v>
      </c>
      <c r="AA7" s="257" t="s">
        <v>22</v>
      </c>
      <c r="AB7" s="257" t="s">
        <v>11</v>
      </c>
      <c r="AC7" s="257">
        <v>8</v>
      </c>
      <c r="AD7" s="256" t="s">
        <v>104</v>
      </c>
      <c r="AE7" s="257" t="s">
        <v>100</v>
      </c>
      <c r="AF7" s="257" t="s">
        <v>11</v>
      </c>
      <c r="AG7" s="258">
        <v>5.0999999999999996</v>
      </c>
      <c r="AH7" s="256"/>
      <c r="AL7" s="256"/>
      <c r="AO7" s="258"/>
      <c r="AP7" s="256"/>
      <c r="AS7" s="258"/>
      <c r="AW7" s="258"/>
      <c r="BA7" s="259"/>
    </row>
    <row r="8" spans="1:53" s="73" customFormat="1">
      <c r="A8" s="102">
        <v>1960</v>
      </c>
      <c r="B8" s="85"/>
      <c r="C8" s="966" t="s">
        <v>251</v>
      </c>
      <c r="D8" s="966"/>
      <c r="E8" s="73">
        <v>51</v>
      </c>
      <c r="G8" s="123">
        <v>7</v>
      </c>
      <c r="I8" s="73">
        <v>9</v>
      </c>
      <c r="J8" s="134">
        <v>16</v>
      </c>
      <c r="K8" s="92">
        <f>G8/J8*100</f>
        <v>43.75</v>
      </c>
      <c r="L8" s="92">
        <f>H8/J8*100</f>
        <v>0</v>
      </c>
      <c r="M8" s="92">
        <f>I8/J8*100</f>
        <v>56.25</v>
      </c>
      <c r="N8" s="125">
        <f>SUM(K8:M8)</f>
        <v>100</v>
      </c>
      <c r="O8" s="91">
        <v>13.1</v>
      </c>
      <c r="P8" s="92"/>
      <c r="Q8" s="92">
        <v>40</v>
      </c>
      <c r="R8" s="93">
        <f>SUM(O8:Q8)</f>
        <v>53.1</v>
      </c>
      <c r="S8" s="97">
        <v>2</v>
      </c>
      <c r="T8" s="95"/>
      <c r="U8" s="85"/>
      <c r="V8" s="82" t="s">
        <v>102</v>
      </c>
      <c r="W8" s="73" t="s">
        <v>20</v>
      </c>
      <c r="X8" s="73" t="s">
        <v>12</v>
      </c>
      <c r="Y8" s="83">
        <v>40</v>
      </c>
      <c r="Z8" s="73" t="s">
        <v>103</v>
      </c>
      <c r="AA8" s="73" t="s">
        <v>22</v>
      </c>
      <c r="AB8" s="73" t="s">
        <v>11</v>
      </c>
      <c r="AC8" s="73">
        <v>8</v>
      </c>
      <c r="AD8" s="82" t="s">
        <v>104</v>
      </c>
      <c r="AE8" s="73" t="s">
        <v>100</v>
      </c>
      <c r="AF8" s="73" t="s">
        <v>11</v>
      </c>
      <c r="AG8" s="83">
        <v>5.0999999999999996</v>
      </c>
      <c r="AH8" s="82"/>
      <c r="AL8" s="82"/>
      <c r="AO8" s="83"/>
      <c r="AP8" s="82"/>
      <c r="AS8" s="83"/>
      <c r="AW8" s="83"/>
      <c r="BA8" s="84"/>
    </row>
    <row r="9" spans="1:53" s="334" customFormat="1">
      <c r="A9" s="386">
        <v>1960</v>
      </c>
      <c r="B9" s="355">
        <v>21967</v>
      </c>
      <c r="C9" s="965" t="s">
        <v>252</v>
      </c>
      <c r="D9" s="965"/>
      <c r="E9" s="334">
        <v>271</v>
      </c>
      <c r="F9" s="334">
        <v>3</v>
      </c>
      <c r="G9" s="419">
        <v>7</v>
      </c>
      <c r="I9" s="334">
        <v>8</v>
      </c>
      <c r="J9" s="435">
        <v>15</v>
      </c>
      <c r="K9" s="384">
        <f>G9/J9*100</f>
        <v>46.666666666666664</v>
      </c>
      <c r="L9" s="384">
        <f>H9/J9*100</f>
        <v>0</v>
      </c>
      <c r="M9" s="384">
        <f>I9/J9*100</f>
        <v>53.333333333333336</v>
      </c>
      <c r="N9" s="421">
        <f t="shared" ref="N9:N72" si="0">SUM(K9:M9)</f>
        <v>100</v>
      </c>
      <c r="O9" s="383">
        <v>13.1</v>
      </c>
      <c r="P9" s="384"/>
      <c r="Q9" s="384">
        <v>40</v>
      </c>
      <c r="R9" s="385">
        <f t="shared" ref="R9:R72" si="1">SUM(O9:Q9)</f>
        <v>53.1</v>
      </c>
      <c r="S9" s="388">
        <v>2</v>
      </c>
      <c r="T9" s="342"/>
      <c r="U9" s="355">
        <v>21967</v>
      </c>
      <c r="V9" s="343" t="s">
        <v>102</v>
      </c>
      <c r="W9" s="334" t="s">
        <v>20</v>
      </c>
      <c r="X9" s="334" t="s">
        <v>12</v>
      </c>
      <c r="Y9" s="344">
        <v>40</v>
      </c>
      <c r="Z9" s="334" t="s">
        <v>103</v>
      </c>
      <c r="AA9" s="334" t="s">
        <v>22</v>
      </c>
      <c r="AB9" s="334" t="s">
        <v>11</v>
      </c>
      <c r="AC9" s="334">
        <v>8</v>
      </c>
      <c r="AD9" s="343" t="s">
        <v>104</v>
      </c>
      <c r="AE9" s="334" t="s">
        <v>100</v>
      </c>
      <c r="AF9" s="334" t="s">
        <v>11</v>
      </c>
      <c r="AG9" s="344">
        <v>5.0999999999999996</v>
      </c>
      <c r="AH9" s="343"/>
      <c r="AL9" s="343"/>
      <c r="AO9" s="344"/>
      <c r="AP9" s="343"/>
      <c r="AS9" s="344"/>
      <c r="AW9" s="344"/>
      <c r="BA9" s="345"/>
    </row>
    <row r="10" spans="1:53" s="73" customFormat="1">
      <c r="A10" s="102">
        <v>1960</v>
      </c>
      <c r="B10" s="85">
        <v>22238</v>
      </c>
      <c r="C10" s="966" t="s">
        <v>253</v>
      </c>
      <c r="D10" s="966"/>
      <c r="E10" s="73">
        <v>44</v>
      </c>
      <c r="F10" s="73">
        <v>1</v>
      </c>
      <c r="G10" s="123">
        <v>5</v>
      </c>
      <c r="I10" s="73">
        <v>11</v>
      </c>
      <c r="J10" s="134">
        <v>17</v>
      </c>
      <c r="K10" s="92">
        <f t="shared" ref="K10:K15" si="2">G10/J10*100</f>
        <v>29.411764705882355</v>
      </c>
      <c r="L10" s="92">
        <f t="shared" ref="L10:L15" si="3">H10/J10*100</f>
        <v>0</v>
      </c>
      <c r="M10" s="92">
        <f t="shared" ref="M10:M15" si="4">I10/J10*100</f>
        <v>64.705882352941174</v>
      </c>
      <c r="N10" s="125">
        <f t="shared" si="0"/>
        <v>94.117647058823536</v>
      </c>
      <c r="O10" s="91">
        <v>6.3</v>
      </c>
      <c r="P10" s="92"/>
      <c r="Q10" s="92">
        <v>43.4</v>
      </c>
      <c r="R10" s="93">
        <f t="shared" si="1"/>
        <v>49.699999999999996</v>
      </c>
      <c r="S10" s="97">
        <v>5</v>
      </c>
      <c r="T10" s="95">
        <v>22235</v>
      </c>
      <c r="U10" s="85">
        <v>22238</v>
      </c>
      <c r="V10" s="82" t="s">
        <v>102</v>
      </c>
      <c r="W10" s="73" t="s">
        <v>20</v>
      </c>
      <c r="X10" s="73" t="s">
        <v>12</v>
      </c>
      <c r="Y10" s="83">
        <v>43.4</v>
      </c>
      <c r="Z10" s="73" t="s">
        <v>103</v>
      </c>
      <c r="AA10" s="73" t="s">
        <v>22</v>
      </c>
      <c r="AB10" s="73" t="s">
        <v>11</v>
      </c>
      <c r="AC10" s="73">
        <v>6.3</v>
      </c>
      <c r="AD10" s="82"/>
      <c r="AG10" s="83"/>
      <c r="AL10" s="82"/>
      <c r="AO10" s="83"/>
      <c r="AP10" s="82"/>
      <c r="AS10" s="83"/>
      <c r="AW10" s="83"/>
      <c r="BA10" s="84"/>
    </row>
    <row r="11" spans="1:53" s="73" customFormat="1">
      <c r="A11" s="102">
        <v>1961</v>
      </c>
      <c r="B11" s="85"/>
      <c r="C11" s="966" t="s">
        <v>253</v>
      </c>
      <c r="D11" s="966"/>
      <c r="E11" s="73">
        <v>0</v>
      </c>
      <c r="G11" s="123">
        <v>5</v>
      </c>
      <c r="I11" s="73">
        <v>11</v>
      </c>
      <c r="J11" s="134">
        <v>17</v>
      </c>
      <c r="K11" s="92">
        <f t="shared" si="2"/>
        <v>29.411764705882355</v>
      </c>
      <c r="L11" s="92">
        <f t="shared" si="3"/>
        <v>0</v>
      </c>
      <c r="M11" s="92">
        <f t="shared" si="4"/>
        <v>64.705882352941174</v>
      </c>
      <c r="N11" s="125">
        <f t="shared" si="0"/>
        <v>94.117647058823536</v>
      </c>
      <c r="O11" s="91">
        <v>6.3</v>
      </c>
      <c r="P11" s="92"/>
      <c r="Q11" s="92">
        <v>43.4</v>
      </c>
      <c r="R11" s="93">
        <f t="shared" si="1"/>
        <v>49.699999999999996</v>
      </c>
      <c r="S11" s="97">
        <v>5</v>
      </c>
      <c r="T11" s="95"/>
      <c r="U11" s="85"/>
      <c r="V11" s="82" t="s">
        <v>102</v>
      </c>
      <c r="W11" s="73" t="s">
        <v>20</v>
      </c>
      <c r="X11" s="73" t="s">
        <v>12</v>
      </c>
      <c r="Y11" s="83">
        <v>43.4</v>
      </c>
      <c r="Z11" s="73" t="s">
        <v>103</v>
      </c>
      <c r="AA11" s="73" t="s">
        <v>22</v>
      </c>
      <c r="AB11" s="73" t="s">
        <v>11</v>
      </c>
      <c r="AC11" s="73">
        <v>6.3</v>
      </c>
      <c r="AD11" s="82"/>
      <c r="AG11" s="83"/>
      <c r="AL11" s="82"/>
      <c r="AO11" s="83"/>
      <c r="AP11" s="82"/>
      <c r="AS11" s="83"/>
      <c r="AW11" s="83"/>
      <c r="BA11" s="84"/>
    </row>
    <row r="12" spans="1:53" s="73" customFormat="1">
      <c r="A12" s="102">
        <v>1961</v>
      </c>
      <c r="B12" s="85"/>
      <c r="C12" s="966" t="s">
        <v>253</v>
      </c>
      <c r="D12" s="966"/>
      <c r="E12" s="73">
        <f>365-E11</f>
        <v>365</v>
      </c>
      <c r="G12" s="123">
        <v>5</v>
      </c>
      <c r="I12" s="73">
        <v>11</v>
      </c>
      <c r="J12" s="134">
        <v>17</v>
      </c>
      <c r="K12" s="92">
        <f t="shared" si="2"/>
        <v>29.411764705882355</v>
      </c>
      <c r="L12" s="92">
        <f t="shared" si="3"/>
        <v>0</v>
      </c>
      <c r="M12" s="92">
        <f t="shared" si="4"/>
        <v>64.705882352941174</v>
      </c>
      <c r="N12" s="125">
        <f t="shared" si="0"/>
        <v>94.117647058823536</v>
      </c>
      <c r="O12" s="91">
        <v>6.3</v>
      </c>
      <c r="P12" s="92"/>
      <c r="Q12" s="92">
        <v>43.4</v>
      </c>
      <c r="R12" s="93">
        <f t="shared" si="1"/>
        <v>49.699999999999996</v>
      </c>
      <c r="S12" s="97">
        <v>5</v>
      </c>
      <c r="T12" s="95"/>
      <c r="U12" s="85"/>
      <c r="V12" s="82" t="s">
        <v>102</v>
      </c>
      <c r="W12" s="73" t="s">
        <v>20</v>
      </c>
      <c r="X12" s="73" t="s">
        <v>12</v>
      </c>
      <c r="Y12" s="83">
        <v>43.4</v>
      </c>
      <c r="Z12" s="73" t="s">
        <v>103</v>
      </c>
      <c r="AA12" s="73" t="s">
        <v>22</v>
      </c>
      <c r="AB12" s="73" t="s">
        <v>11</v>
      </c>
      <c r="AC12" s="73">
        <v>6.3</v>
      </c>
      <c r="AD12" s="82"/>
      <c r="AG12" s="83"/>
      <c r="AL12" s="82"/>
      <c r="AO12" s="83"/>
      <c r="AP12" s="82"/>
      <c r="AS12" s="83"/>
      <c r="AW12" s="83"/>
      <c r="BA12" s="84"/>
    </row>
    <row r="13" spans="1:53" s="73" customFormat="1">
      <c r="A13" s="102">
        <v>1962</v>
      </c>
      <c r="B13" s="85"/>
      <c r="C13" s="966" t="s">
        <v>253</v>
      </c>
      <c r="D13" s="966"/>
      <c r="E13" s="73">
        <v>246</v>
      </c>
      <c r="G13" s="123">
        <v>5</v>
      </c>
      <c r="I13" s="73">
        <v>11</v>
      </c>
      <c r="J13" s="134">
        <v>17</v>
      </c>
      <c r="K13" s="92">
        <f t="shared" si="2"/>
        <v>29.411764705882355</v>
      </c>
      <c r="L13" s="92">
        <f t="shared" si="3"/>
        <v>0</v>
      </c>
      <c r="M13" s="92">
        <f t="shared" si="4"/>
        <v>64.705882352941174</v>
      </c>
      <c r="N13" s="125">
        <f t="shared" si="0"/>
        <v>94.117647058823536</v>
      </c>
      <c r="O13" s="91">
        <v>6.3</v>
      </c>
      <c r="P13" s="92"/>
      <c r="Q13" s="92">
        <v>43.4</v>
      </c>
      <c r="R13" s="93">
        <f t="shared" si="1"/>
        <v>49.699999999999996</v>
      </c>
      <c r="S13" s="97">
        <v>5</v>
      </c>
      <c r="T13" s="95"/>
      <c r="U13" s="85"/>
      <c r="V13" s="82" t="s">
        <v>102</v>
      </c>
      <c r="W13" s="73" t="s">
        <v>20</v>
      </c>
      <c r="X13" s="73" t="s">
        <v>12</v>
      </c>
      <c r="Y13" s="83">
        <v>43.4</v>
      </c>
      <c r="Z13" s="73" t="s">
        <v>103</v>
      </c>
      <c r="AA13" s="73" t="s">
        <v>22</v>
      </c>
      <c r="AB13" s="73" t="s">
        <v>11</v>
      </c>
      <c r="AC13" s="73">
        <v>6.3</v>
      </c>
      <c r="AD13" s="82"/>
      <c r="AG13" s="83"/>
      <c r="AL13" s="82"/>
      <c r="AO13" s="83"/>
      <c r="AP13" s="82"/>
      <c r="AS13" s="83"/>
      <c r="AW13" s="83"/>
      <c r="BA13" s="84"/>
    </row>
    <row r="14" spans="1:53" s="334" customFormat="1">
      <c r="A14" s="386">
        <v>1962</v>
      </c>
      <c r="B14" s="355">
        <v>22893</v>
      </c>
      <c r="C14" s="965" t="s">
        <v>254</v>
      </c>
      <c r="D14" s="965"/>
      <c r="E14" s="334">
        <f>365-E13</f>
        <v>119</v>
      </c>
      <c r="F14" s="334">
        <v>3</v>
      </c>
      <c r="G14" s="419">
        <v>5</v>
      </c>
      <c r="I14" s="334">
        <v>11</v>
      </c>
      <c r="J14" s="435">
        <v>17</v>
      </c>
      <c r="K14" s="384">
        <f t="shared" si="2"/>
        <v>29.411764705882355</v>
      </c>
      <c r="L14" s="384">
        <f t="shared" si="3"/>
        <v>0</v>
      </c>
      <c r="M14" s="384">
        <f t="shared" si="4"/>
        <v>64.705882352941174</v>
      </c>
      <c r="N14" s="421">
        <f t="shared" si="0"/>
        <v>94.117647058823536</v>
      </c>
      <c r="O14" s="383">
        <v>6.3</v>
      </c>
      <c r="P14" s="384"/>
      <c r="Q14" s="384">
        <v>43.4</v>
      </c>
      <c r="R14" s="385">
        <f t="shared" si="1"/>
        <v>49.699999999999996</v>
      </c>
      <c r="S14" s="388">
        <v>5</v>
      </c>
      <c r="T14" s="342"/>
      <c r="U14" s="355">
        <v>22893</v>
      </c>
      <c r="V14" s="343" t="s">
        <v>102</v>
      </c>
      <c r="W14" s="334" t="s">
        <v>20</v>
      </c>
      <c r="X14" s="334" t="s">
        <v>12</v>
      </c>
      <c r="Y14" s="344">
        <v>43.4</v>
      </c>
      <c r="Z14" s="334" t="s">
        <v>103</v>
      </c>
      <c r="AA14" s="334" t="s">
        <v>22</v>
      </c>
      <c r="AB14" s="334" t="s">
        <v>11</v>
      </c>
      <c r="AC14" s="334">
        <v>6.3</v>
      </c>
      <c r="AD14" s="343"/>
      <c r="AG14" s="344"/>
      <c r="AL14" s="343"/>
      <c r="AO14" s="344"/>
      <c r="AP14" s="343"/>
      <c r="AS14" s="344"/>
      <c r="AW14" s="344"/>
      <c r="BA14" s="345"/>
    </row>
    <row r="15" spans="1:53" s="334" customFormat="1">
      <c r="A15" s="386">
        <v>1962.6</v>
      </c>
      <c r="B15" s="355"/>
      <c r="C15" s="965" t="s">
        <v>254</v>
      </c>
      <c r="D15" s="965"/>
      <c r="E15" s="334">
        <v>0</v>
      </c>
      <c r="G15" s="419">
        <v>5</v>
      </c>
      <c r="I15" s="334">
        <v>11</v>
      </c>
      <c r="J15" s="435">
        <v>17</v>
      </c>
      <c r="K15" s="384">
        <f t="shared" si="2"/>
        <v>29.411764705882355</v>
      </c>
      <c r="L15" s="384">
        <f t="shared" si="3"/>
        <v>0</v>
      </c>
      <c r="M15" s="384">
        <f t="shared" si="4"/>
        <v>64.705882352941174</v>
      </c>
      <c r="N15" s="421">
        <f t="shared" si="0"/>
        <v>94.117647058823536</v>
      </c>
      <c r="O15" s="383">
        <v>6.3</v>
      </c>
      <c r="P15" s="384"/>
      <c r="Q15" s="384">
        <v>43.4</v>
      </c>
      <c r="R15" s="385">
        <f t="shared" si="1"/>
        <v>49.699999999999996</v>
      </c>
      <c r="S15" s="388">
        <v>5</v>
      </c>
      <c r="T15" s="342"/>
      <c r="U15" s="355"/>
      <c r="V15" s="343" t="s">
        <v>102</v>
      </c>
      <c r="W15" s="334" t="s">
        <v>20</v>
      </c>
      <c r="X15" s="334" t="s">
        <v>12</v>
      </c>
      <c r="Y15" s="344">
        <v>43.4</v>
      </c>
      <c r="Z15" s="334" t="s">
        <v>103</v>
      </c>
      <c r="AA15" s="334" t="s">
        <v>22</v>
      </c>
      <c r="AB15" s="334" t="s">
        <v>11</v>
      </c>
      <c r="AC15" s="334">
        <v>6.3</v>
      </c>
      <c r="AD15" s="343"/>
      <c r="AG15" s="344"/>
      <c r="AL15" s="343"/>
      <c r="AO15" s="344"/>
      <c r="AP15" s="343"/>
      <c r="AS15" s="344"/>
      <c r="AW15" s="344"/>
      <c r="BA15" s="345"/>
    </row>
    <row r="16" spans="1:53" s="334" customFormat="1">
      <c r="A16" s="386">
        <v>1963.05714285714</v>
      </c>
      <c r="B16" s="355"/>
      <c r="C16" s="965" t="s">
        <v>254</v>
      </c>
      <c r="D16" s="965"/>
      <c r="E16" s="334">
        <v>365</v>
      </c>
      <c r="G16" s="419">
        <v>5</v>
      </c>
      <c r="I16" s="334">
        <v>11</v>
      </c>
      <c r="J16" s="435">
        <v>17</v>
      </c>
      <c r="K16" s="384">
        <f>G16/J16*100</f>
        <v>29.411764705882355</v>
      </c>
      <c r="L16" s="384">
        <f>H16/J16*100</f>
        <v>0</v>
      </c>
      <c r="M16" s="384">
        <f>I16/J16*100</f>
        <v>64.705882352941174</v>
      </c>
      <c r="N16" s="421">
        <f t="shared" si="0"/>
        <v>94.117647058823536</v>
      </c>
      <c r="O16" s="383">
        <v>6.3</v>
      </c>
      <c r="P16" s="384"/>
      <c r="Q16" s="384">
        <v>43.4</v>
      </c>
      <c r="R16" s="385">
        <f t="shared" si="1"/>
        <v>49.699999999999996</v>
      </c>
      <c r="S16" s="388">
        <v>5</v>
      </c>
      <c r="T16" s="342"/>
      <c r="U16" s="355"/>
      <c r="V16" s="343" t="s">
        <v>102</v>
      </c>
      <c r="W16" s="334" t="s">
        <v>20</v>
      </c>
      <c r="X16" s="334" t="s">
        <v>12</v>
      </c>
      <c r="Y16" s="344">
        <v>43.4</v>
      </c>
      <c r="Z16" s="334" t="s">
        <v>103</v>
      </c>
      <c r="AA16" s="334" t="s">
        <v>22</v>
      </c>
      <c r="AB16" s="334" t="s">
        <v>11</v>
      </c>
      <c r="AC16" s="334">
        <v>6.3</v>
      </c>
      <c r="AD16" s="343"/>
      <c r="AG16" s="344"/>
      <c r="AL16" s="343"/>
      <c r="AO16" s="344"/>
      <c r="AP16" s="343"/>
      <c r="AS16" s="344"/>
      <c r="AW16" s="344"/>
      <c r="BA16" s="345"/>
    </row>
    <row r="17" spans="1:53" s="334" customFormat="1">
      <c r="A17" s="386">
        <v>1963.5142857142901</v>
      </c>
      <c r="B17" s="355"/>
      <c r="C17" s="965" t="s">
        <v>254</v>
      </c>
      <c r="D17" s="965"/>
      <c r="E17" s="334">
        <v>269</v>
      </c>
      <c r="G17" s="419">
        <v>5</v>
      </c>
      <c r="I17" s="334">
        <v>11</v>
      </c>
      <c r="J17" s="435">
        <v>17</v>
      </c>
      <c r="K17" s="384">
        <f>G17/J17*100</f>
        <v>29.411764705882355</v>
      </c>
      <c r="L17" s="384">
        <f>H17/J17*100</f>
        <v>0</v>
      </c>
      <c r="M17" s="384">
        <f>I17/J17*100</f>
        <v>64.705882352941174</v>
      </c>
      <c r="N17" s="421">
        <f t="shared" si="0"/>
        <v>94.117647058823536</v>
      </c>
      <c r="O17" s="383">
        <v>6.3</v>
      </c>
      <c r="P17" s="384"/>
      <c r="Q17" s="384">
        <v>43.4</v>
      </c>
      <c r="R17" s="385">
        <f t="shared" si="1"/>
        <v>49.699999999999996</v>
      </c>
      <c r="S17" s="388">
        <v>5</v>
      </c>
      <c r="T17" s="342"/>
      <c r="U17" s="355"/>
      <c r="V17" s="343" t="s">
        <v>102</v>
      </c>
      <c r="W17" s="334" t="s">
        <v>20</v>
      </c>
      <c r="X17" s="334" t="s">
        <v>12</v>
      </c>
      <c r="Y17" s="344">
        <v>43.4</v>
      </c>
      <c r="Z17" s="334" t="s">
        <v>103</v>
      </c>
      <c r="AA17" s="334" t="s">
        <v>22</v>
      </c>
      <c r="AB17" s="334" t="s">
        <v>11</v>
      </c>
      <c r="AC17" s="334">
        <v>6.3</v>
      </c>
      <c r="AD17" s="343"/>
      <c r="AG17" s="344"/>
      <c r="AL17" s="343"/>
      <c r="AO17" s="344"/>
      <c r="AP17" s="343"/>
      <c r="AS17" s="344"/>
      <c r="AW17" s="344"/>
      <c r="BA17" s="345"/>
    </row>
    <row r="18" spans="1:53" s="73" customFormat="1">
      <c r="A18" s="102">
        <v>1963.9714285714299</v>
      </c>
      <c r="B18" s="85">
        <v>23646</v>
      </c>
      <c r="C18" s="966" t="s">
        <v>255</v>
      </c>
      <c r="D18" s="966"/>
      <c r="E18" s="73">
        <v>97</v>
      </c>
      <c r="F18" s="73">
        <v>1</v>
      </c>
      <c r="G18" s="123"/>
      <c r="I18" s="73">
        <v>17</v>
      </c>
      <c r="J18" s="134">
        <v>17</v>
      </c>
      <c r="K18" s="92">
        <f>G18/J18*100</f>
        <v>0</v>
      </c>
      <c r="L18" s="92">
        <f>H18/J18*100</f>
        <v>0</v>
      </c>
      <c r="M18" s="92">
        <f>I18/J18*100</f>
        <v>100</v>
      </c>
      <c r="N18" s="125">
        <f t="shared" si="0"/>
        <v>100</v>
      </c>
      <c r="O18" s="91"/>
      <c r="P18" s="92"/>
      <c r="Q18" s="92">
        <v>43.4</v>
      </c>
      <c r="R18" s="93">
        <f t="shared" si="1"/>
        <v>43.4</v>
      </c>
      <c r="S18" s="97">
        <v>4</v>
      </c>
      <c r="T18" s="95">
        <v>23642</v>
      </c>
      <c r="U18" s="85">
        <v>23646</v>
      </c>
      <c r="V18" s="82" t="s">
        <v>102</v>
      </c>
      <c r="W18" s="73" t="s">
        <v>20</v>
      </c>
      <c r="X18" s="73" t="s">
        <v>12</v>
      </c>
      <c r="Y18" s="83">
        <v>43.4</v>
      </c>
      <c r="AD18" s="82"/>
      <c r="AG18" s="83"/>
      <c r="AL18" s="82"/>
      <c r="AO18" s="83"/>
      <c r="AP18" s="82"/>
      <c r="AS18" s="83"/>
      <c r="AW18" s="83"/>
      <c r="BA18" s="84"/>
    </row>
    <row r="19" spans="1:53" s="73" customFormat="1">
      <c r="A19" s="102">
        <v>1965</v>
      </c>
      <c r="B19" s="85"/>
      <c r="C19" s="966" t="s">
        <v>255</v>
      </c>
      <c r="D19" s="966"/>
      <c r="E19" s="73">
        <v>0</v>
      </c>
      <c r="G19" s="123"/>
      <c r="I19" s="73">
        <v>17</v>
      </c>
      <c r="J19" s="134">
        <v>17</v>
      </c>
      <c r="K19" s="92">
        <f t="shared" ref="K19:K24" si="5">G19/J19*100</f>
        <v>0</v>
      </c>
      <c r="L19" s="92">
        <f t="shared" ref="L19:L24" si="6">H19/J19*100</f>
        <v>0</v>
      </c>
      <c r="M19" s="92">
        <f t="shared" ref="M19:M24" si="7">I19/J19*100</f>
        <v>100</v>
      </c>
      <c r="N19" s="125">
        <f t="shared" si="0"/>
        <v>100</v>
      </c>
      <c r="O19" s="91"/>
      <c r="P19" s="92"/>
      <c r="Q19" s="92">
        <v>43.4</v>
      </c>
      <c r="R19" s="93">
        <f t="shared" si="1"/>
        <v>43.4</v>
      </c>
      <c r="S19" s="97">
        <v>4</v>
      </c>
      <c r="T19" s="95"/>
      <c r="U19" s="85"/>
      <c r="V19" s="82" t="s">
        <v>102</v>
      </c>
      <c r="W19" s="73" t="s">
        <v>20</v>
      </c>
      <c r="X19" s="73" t="s">
        <v>12</v>
      </c>
      <c r="Y19" s="83">
        <v>43.4</v>
      </c>
      <c r="AD19" s="82"/>
      <c r="AG19" s="83"/>
      <c r="AL19" s="82"/>
      <c r="AO19" s="83"/>
      <c r="AP19" s="82"/>
      <c r="AS19" s="83"/>
      <c r="AW19" s="83"/>
      <c r="BA19" s="84"/>
    </row>
    <row r="20" spans="1:53" s="73" customFormat="1">
      <c r="A20" s="102">
        <v>1964.88571428572</v>
      </c>
      <c r="B20" s="85"/>
      <c r="C20" s="966" t="s">
        <v>255</v>
      </c>
      <c r="D20" s="966"/>
      <c r="E20" s="73">
        <v>365</v>
      </c>
      <c r="G20" s="123"/>
      <c r="I20" s="73">
        <v>17</v>
      </c>
      <c r="J20" s="134">
        <v>17</v>
      </c>
      <c r="K20" s="92">
        <f t="shared" si="5"/>
        <v>0</v>
      </c>
      <c r="L20" s="92">
        <f t="shared" si="6"/>
        <v>0</v>
      </c>
      <c r="M20" s="92">
        <f t="shared" si="7"/>
        <v>100</v>
      </c>
      <c r="N20" s="125">
        <f t="shared" si="0"/>
        <v>100</v>
      </c>
      <c r="O20" s="91"/>
      <c r="P20" s="92"/>
      <c r="Q20" s="92">
        <v>43.4</v>
      </c>
      <c r="R20" s="93">
        <f t="shared" si="1"/>
        <v>43.4</v>
      </c>
      <c r="S20" s="97">
        <v>4</v>
      </c>
      <c r="T20" s="95"/>
      <c r="U20" s="85"/>
      <c r="V20" s="82" t="s">
        <v>102</v>
      </c>
      <c r="W20" s="73" t="s">
        <v>20</v>
      </c>
      <c r="X20" s="73" t="s">
        <v>12</v>
      </c>
      <c r="Y20" s="83">
        <v>43.4</v>
      </c>
      <c r="AD20" s="82"/>
      <c r="AG20" s="83"/>
      <c r="AL20" s="82"/>
      <c r="AO20" s="83"/>
      <c r="AP20" s="82"/>
      <c r="AS20" s="83"/>
      <c r="AW20" s="83"/>
      <c r="BA20" s="84"/>
    </row>
    <row r="21" spans="1:53" s="73" customFormat="1">
      <c r="A21" s="102">
        <v>1966</v>
      </c>
      <c r="B21" s="85"/>
      <c r="C21" s="966" t="s">
        <v>255</v>
      </c>
      <c r="D21" s="966"/>
      <c r="E21" s="73">
        <v>331</v>
      </c>
      <c r="G21" s="123"/>
      <c r="I21" s="73">
        <v>17</v>
      </c>
      <c r="J21" s="134">
        <v>17</v>
      </c>
      <c r="K21" s="92">
        <f t="shared" si="5"/>
        <v>0</v>
      </c>
      <c r="L21" s="92">
        <f t="shared" si="6"/>
        <v>0</v>
      </c>
      <c r="M21" s="92">
        <f t="shared" si="7"/>
        <v>100</v>
      </c>
      <c r="N21" s="125">
        <f t="shared" si="0"/>
        <v>100</v>
      </c>
      <c r="O21" s="91"/>
      <c r="P21" s="92"/>
      <c r="Q21" s="92">
        <v>43.4</v>
      </c>
      <c r="R21" s="93">
        <f t="shared" si="1"/>
        <v>43.4</v>
      </c>
      <c r="S21" s="97">
        <v>4</v>
      </c>
      <c r="T21" s="95"/>
      <c r="U21" s="85"/>
      <c r="V21" s="82" t="s">
        <v>102</v>
      </c>
      <c r="W21" s="73" t="s">
        <v>20</v>
      </c>
      <c r="X21" s="73" t="s">
        <v>12</v>
      </c>
      <c r="Y21" s="83">
        <v>43.4</v>
      </c>
      <c r="AD21" s="82"/>
      <c r="AG21" s="83"/>
      <c r="AL21" s="82"/>
      <c r="AO21" s="83"/>
      <c r="AP21" s="82"/>
      <c r="AS21" s="83"/>
      <c r="AW21" s="83"/>
      <c r="BA21" s="84"/>
    </row>
    <row r="22" spans="1:53" s="334" customFormat="1">
      <c r="A22" s="386">
        <v>1965.8</v>
      </c>
      <c r="B22" s="355">
        <v>24439</v>
      </c>
      <c r="C22" s="965" t="s">
        <v>256</v>
      </c>
      <c r="D22" s="965"/>
      <c r="E22" s="334">
        <v>34</v>
      </c>
      <c r="F22" s="334">
        <v>1</v>
      </c>
      <c r="G22" s="419"/>
      <c r="I22" s="334">
        <v>19</v>
      </c>
      <c r="J22" s="435">
        <v>19</v>
      </c>
      <c r="K22" s="384">
        <f t="shared" si="5"/>
        <v>0</v>
      </c>
      <c r="L22" s="384">
        <f t="shared" si="6"/>
        <v>0</v>
      </c>
      <c r="M22" s="384">
        <f t="shared" si="7"/>
        <v>100</v>
      </c>
      <c r="N22" s="421">
        <f t="shared" si="0"/>
        <v>100</v>
      </c>
      <c r="O22" s="383"/>
      <c r="P22" s="384"/>
      <c r="Q22" s="384">
        <v>39.4</v>
      </c>
      <c r="R22" s="385">
        <f t="shared" si="1"/>
        <v>39.4</v>
      </c>
      <c r="S22" s="388">
        <v>4</v>
      </c>
      <c r="T22" s="342">
        <v>24433</v>
      </c>
      <c r="U22" s="355">
        <v>24439</v>
      </c>
      <c r="V22" s="343" t="s">
        <v>102</v>
      </c>
      <c r="W22" s="334" t="s">
        <v>20</v>
      </c>
      <c r="X22" s="334" t="s">
        <v>12</v>
      </c>
      <c r="Y22" s="344">
        <v>39.4</v>
      </c>
      <c r="AD22" s="343"/>
      <c r="AG22" s="344"/>
      <c r="AL22" s="343"/>
      <c r="AO22" s="344"/>
      <c r="AP22" s="343"/>
      <c r="AS22" s="344"/>
      <c r="AW22" s="344"/>
      <c r="BA22" s="345"/>
    </row>
    <row r="23" spans="1:53" s="334" customFormat="1">
      <c r="A23" s="386">
        <v>1967</v>
      </c>
      <c r="B23" s="355"/>
      <c r="C23" s="965" t="s">
        <v>256</v>
      </c>
      <c r="D23" s="965"/>
      <c r="E23" s="334">
        <v>0</v>
      </c>
      <c r="G23" s="419"/>
      <c r="I23" s="334">
        <v>19</v>
      </c>
      <c r="J23" s="435">
        <v>19</v>
      </c>
      <c r="K23" s="384">
        <f t="shared" si="5"/>
        <v>0</v>
      </c>
      <c r="L23" s="384">
        <f t="shared" si="6"/>
        <v>0</v>
      </c>
      <c r="M23" s="384">
        <f t="shared" si="7"/>
        <v>100</v>
      </c>
      <c r="N23" s="421">
        <f t="shared" si="0"/>
        <v>100</v>
      </c>
      <c r="O23" s="383"/>
      <c r="P23" s="384"/>
      <c r="Q23" s="384">
        <v>39.4</v>
      </c>
      <c r="R23" s="385">
        <f t="shared" si="1"/>
        <v>39.4</v>
      </c>
      <c r="S23" s="388">
        <v>4</v>
      </c>
      <c r="T23" s="342"/>
      <c r="U23" s="355"/>
      <c r="V23" s="343" t="s">
        <v>102</v>
      </c>
      <c r="W23" s="334" t="s">
        <v>20</v>
      </c>
      <c r="X23" s="334" t="s">
        <v>12</v>
      </c>
      <c r="Y23" s="344">
        <v>39.4</v>
      </c>
      <c r="AD23" s="343"/>
      <c r="AG23" s="344"/>
      <c r="AL23" s="343"/>
      <c r="AO23" s="344"/>
      <c r="AP23" s="343"/>
      <c r="AS23" s="344"/>
      <c r="AW23" s="344"/>
      <c r="BA23" s="345"/>
    </row>
    <row r="24" spans="1:53" s="334" customFormat="1">
      <c r="A24" s="386">
        <v>1966.7142857142901</v>
      </c>
      <c r="B24" s="355"/>
      <c r="C24" s="965" t="s">
        <v>256</v>
      </c>
      <c r="D24" s="965"/>
      <c r="E24" s="334">
        <v>365</v>
      </c>
      <c r="G24" s="419"/>
      <c r="I24" s="334">
        <v>19</v>
      </c>
      <c r="J24" s="435">
        <v>19</v>
      </c>
      <c r="K24" s="384">
        <f t="shared" si="5"/>
        <v>0</v>
      </c>
      <c r="L24" s="384">
        <f t="shared" si="6"/>
        <v>0</v>
      </c>
      <c r="M24" s="384">
        <f t="shared" si="7"/>
        <v>100</v>
      </c>
      <c r="N24" s="421">
        <f t="shared" si="0"/>
        <v>100</v>
      </c>
      <c r="O24" s="383"/>
      <c r="P24" s="384"/>
      <c r="Q24" s="384">
        <v>39.4</v>
      </c>
      <c r="R24" s="385">
        <f t="shared" si="1"/>
        <v>39.4</v>
      </c>
      <c r="S24" s="388">
        <v>4</v>
      </c>
      <c r="T24" s="342"/>
      <c r="U24" s="355"/>
      <c r="V24" s="343" t="s">
        <v>102</v>
      </c>
      <c r="W24" s="334" t="s">
        <v>20</v>
      </c>
      <c r="X24" s="334" t="s">
        <v>12</v>
      </c>
      <c r="Y24" s="344">
        <v>39.4</v>
      </c>
      <c r="AD24" s="343"/>
      <c r="AG24" s="344"/>
      <c r="AL24" s="343"/>
      <c r="AO24" s="344"/>
      <c r="AP24" s="343"/>
      <c r="AS24" s="344"/>
      <c r="AW24" s="344"/>
      <c r="BA24" s="345"/>
    </row>
    <row r="25" spans="1:53" s="334" customFormat="1">
      <c r="A25" s="386">
        <v>1968</v>
      </c>
      <c r="B25" s="355"/>
      <c r="C25" s="965" t="s">
        <v>256</v>
      </c>
      <c r="D25" s="965"/>
      <c r="E25" s="334">
        <v>31</v>
      </c>
      <c r="G25" s="419"/>
      <c r="I25" s="334">
        <v>19</v>
      </c>
      <c r="J25" s="435">
        <v>19</v>
      </c>
      <c r="K25" s="384">
        <f>G25/J25*100</f>
        <v>0</v>
      </c>
      <c r="L25" s="384">
        <f>H25/J25*100</f>
        <v>0</v>
      </c>
      <c r="M25" s="384">
        <f>I25/J25*100</f>
        <v>100</v>
      </c>
      <c r="N25" s="421">
        <f t="shared" si="0"/>
        <v>100</v>
      </c>
      <c r="O25" s="383"/>
      <c r="P25" s="384"/>
      <c r="Q25" s="384">
        <v>39.4</v>
      </c>
      <c r="R25" s="385">
        <f t="shared" si="1"/>
        <v>39.4</v>
      </c>
      <c r="S25" s="388">
        <v>4</v>
      </c>
      <c r="T25" s="342"/>
      <c r="U25" s="355"/>
      <c r="V25" s="343" t="s">
        <v>102</v>
      </c>
      <c r="W25" s="334" t="s">
        <v>20</v>
      </c>
      <c r="X25" s="334" t="s">
        <v>12</v>
      </c>
      <c r="Y25" s="344">
        <v>39.4</v>
      </c>
      <c r="AD25" s="343"/>
      <c r="AG25" s="344"/>
      <c r="AL25" s="343"/>
      <c r="AO25" s="344"/>
      <c r="AP25" s="343"/>
      <c r="AS25" s="344"/>
      <c r="AW25" s="344"/>
      <c r="BA25" s="345"/>
    </row>
    <row r="26" spans="1:53" s="73" customFormat="1">
      <c r="A26" s="102">
        <v>1967.62857142857</v>
      </c>
      <c r="B26" s="85">
        <v>24869</v>
      </c>
      <c r="C26" s="966" t="s">
        <v>257</v>
      </c>
      <c r="D26" s="966"/>
      <c r="E26" s="73">
        <v>335</v>
      </c>
      <c r="F26" s="73">
        <v>5</v>
      </c>
      <c r="G26" s="123">
        <v>17</v>
      </c>
      <c r="J26" s="134">
        <v>17</v>
      </c>
      <c r="K26" s="92">
        <f t="shared" ref="K26:K31" si="8">G26/J26*100</f>
        <v>100</v>
      </c>
      <c r="L26" s="92">
        <f t="shared" ref="L26:L31" si="9">H26/J26*100</f>
        <v>0</v>
      </c>
      <c r="M26" s="92">
        <f t="shared" ref="M26:M31" si="10">I26/J26*100</f>
        <v>0</v>
      </c>
      <c r="N26" s="125">
        <f t="shared" si="0"/>
        <v>100</v>
      </c>
      <c r="O26" s="91">
        <v>55.9</v>
      </c>
      <c r="P26" s="92"/>
      <c r="Q26" s="92"/>
      <c r="R26" s="93">
        <f t="shared" si="1"/>
        <v>55.9</v>
      </c>
      <c r="S26" s="97">
        <v>2</v>
      </c>
      <c r="T26" s="95">
        <v>24860</v>
      </c>
      <c r="U26" s="85">
        <v>24869</v>
      </c>
      <c r="V26" s="82" t="s">
        <v>103</v>
      </c>
      <c r="W26" s="73" t="s">
        <v>22</v>
      </c>
      <c r="X26" s="73" t="s">
        <v>11</v>
      </c>
      <c r="Y26" s="83">
        <v>15.4</v>
      </c>
      <c r="Z26" s="73" t="s">
        <v>72</v>
      </c>
      <c r="AA26" s="73" t="s">
        <v>88</v>
      </c>
      <c r="AB26" s="73" t="s">
        <v>11</v>
      </c>
      <c r="AC26" s="73">
        <v>19.399999999999999</v>
      </c>
      <c r="AD26" s="82" t="s">
        <v>105</v>
      </c>
      <c r="AE26" s="73" t="s">
        <v>74</v>
      </c>
      <c r="AF26" s="73" t="s">
        <v>11</v>
      </c>
      <c r="AG26" s="83">
        <v>21.1</v>
      </c>
      <c r="AL26" s="82"/>
      <c r="AO26" s="83"/>
      <c r="AP26" s="82"/>
      <c r="AS26" s="83"/>
      <c r="AW26" s="83"/>
      <c r="BA26" s="84"/>
    </row>
    <row r="27" spans="1:53" s="73" customFormat="1">
      <c r="A27" s="102">
        <v>1969</v>
      </c>
      <c r="B27" s="85"/>
      <c r="C27" s="966" t="s">
        <v>257</v>
      </c>
      <c r="D27" s="966"/>
      <c r="E27" s="73">
        <v>0</v>
      </c>
      <c r="G27" s="123">
        <v>17</v>
      </c>
      <c r="J27" s="134">
        <v>17</v>
      </c>
      <c r="K27" s="92">
        <f t="shared" si="8"/>
        <v>100</v>
      </c>
      <c r="L27" s="92">
        <f t="shared" si="9"/>
        <v>0</v>
      </c>
      <c r="M27" s="92">
        <f t="shared" si="10"/>
        <v>0</v>
      </c>
      <c r="N27" s="125">
        <f t="shared" si="0"/>
        <v>100</v>
      </c>
      <c r="O27" s="91">
        <v>55.9</v>
      </c>
      <c r="P27" s="92"/>
      <c r="Q27" s="92"/>
      <c r="R27" s="93">
        <f t="shared" si="1"/>
        <v>55.9</v>
      </c>
      <c r="S27" s="97">
        <v>2</v>
      </c>
      <c r="T27" s="95"/>
      <c r="U27" s="85"/>
      <c r="V27" s="82" t="s">
        <v>103</v>
      </c>
      <c r="W27" s="73" t="s">
        <v>22</v>
      </c>
      <c r="X27" s="73" t="s">
        <v>11</v>
      </c>
      <c r="Y27" s="83">
        <v>15.4</v>
      </c>
      <c r="Z27" s="73" t="s">
        <v>72</v>
      </c>
      <c r="AA27" s="73" t="s">
        <v>88</v>
      </c>
      <c r="AB27" s="73" t="s">
        <v>11</v>
      </c>
      <c r="AC27" s="73">
        <v>19.399999999999999</v>
      </c>
      <c r="AD27" s="82" t="s">
        <v>105</v>
      </c>
      <c r="AE27" s="73" t="s">
        <v>74</v>
      </c>
      <c r="AF27" s="73" t="s">
        <v>11</v>
      </c>
      <c r="AG27" s="83">
        <v>21.1</v>
      </c>
      <c r="AL27" s="82"/>
      <c r="AO27" s="83"/>
      <c r="AP27" s="82"/>
      <c r="AS27" s="83"/>
      <c r="AW27" s="83"/>
      <c r="BA27" s="84"/>
    </row>
    <row r="28" spans="1:53" s="73" customFormat="1">
      <c r="A28" s="102">
        <v>1968.5428571428599</v>
      </c>
      <c r="B28" s="85"/>
      <c r="C28" s="966" t="s">
        <v>257</v>
      </c>
      <c r="D28" s="966"/>
      <c r="E28" s="73">
        <v>365</v>
      </c>
      <c r="G28" s="123">
        <v>17</v>
      </c>
      <c r="J28" s="134">
        <v>17</v>
      </c>
      <c r="K28" s="92">
        <f t="shared" si="8"/>
        <v>100</v>
      </c>
      <c r="L28" s="92">
        <f t="shared" si="9"/>
        <v>0</v>
      </c>
      <c r="M28" s="92">
        <f t="shared" si="10"/>
        <v>0</v>
      </c>
      <c r="N28" s="125">
        <f t="shared" si="0"/>
        <v>100</v>
      </c>
      <c r="O28" s="91">
        <v>55.9</v>
      </c>
      <c r="P28" s="92"/>
      <c r="Q28" s="92"/>
      <c r="R28" s="93">
        <f t="shared" si="1"/>
        <v>55.9</v>
      </c>
      <c r="S28" s="97">
        <v>2</v>
      </c>
      <c r="T28" s="95"/>
      <c r="U28" s="85"/>
      <c r="V28" s="82" t="s">
        <v>103</v>
      </c>
      <c r="W28" s="73" t="s">
        <v>22</v>
      </c>
      <c r="X28" s="73" t="s">
        <v>11</v>
      </c>
      <c r="Y28" s="83">
        <v>15.4</v>
      </c>
      <c r="Z28" s="73" t="s">
        <v>72</v>
      </c>
      <c r="AA28" s="73" t="s">
        <v>88</v>
      </c>
      <c r="AB28" s="73" t="s">
        <v>11</v>
      </c>
      <c r="AC28" s="73">
        <v>19.399999999999999</v>
      </c>
      <c r="AD28" s="82" t="s">
        <v>105</v>
      </c>
      <c r="AE28" s="73" t="s">
        <v>74</v>
      </c>
      <c r="AF28" s="73" t="s">
        <v>11</v>
      </c>
      <c r="AG28" s="83">
        <v>21.1</v>
      </c>
      <c r="AL28" s="82"/>
      <c r="AO28" s="83"/>
      <c r="AP28" s="82"/>
      <c r="AS28" s="83"/>
      <c r="AW28" s="83"/>
      <c r="BA28" s="84"/>
    </row>
    <row r="29" spans="1:53" s="73" customFormat="1">
      <c r="A29" s="102">
        <v>1970</v>
      </c>
      <c r="B29" s="85"/>
      <c r="C29" s="966" t="s">
        <v>257</v>
      </c>
      <c r="D29" s="966"/>
      <c r="E29" s="73">
        <v>0</v>
      </c>
      <c r="G29" s="123">
        <v>17</v>
      </c>
      <c r="J29" s="134">
        <v>17</v>
      </c>
      <c r="K29" s="92">
        <f t="shared" si="8"/>
        <v>100</v>
      </c>
      <c r="L29" s="92">
        <f t="shared" si="9"/>
        <v>0</v>
      </c>
      <c r="M29" s="92">
        <f t="shared" si="10"/>
        <v>0</v>
      </c>
      <c r="N29" s="125">
        <f t="shared" si="0"/>
        <v>100</v>
      </c>
      <c r="O29" s="91">
        <v>55.9</v>
      </c>
      <c r="P29" s="92"/>
      <c r="Q29" s="92"/>
      <c r="R29" s="93">
        <f t="shared" si="1"/>
        <v>55.9</v>
      </c>
      <c r="S29" s="97">
        <v>2</v>
      </c>
      <c r="T29" s="95"/>
      <c r="U29" s="85"/>
      <c r="V29" s="82" t="s">
        <v>103</v>
      </c>
      <c r="W29" s="73" t="s">
        <v>22</v>
      </c>
      <c r="X29" s="73" t="s">
        <v>11</v>
      </c>
      <c r="Y29" s="83">
        <v>15.4</v>
      </c>
      <c r="Z29" s="73" t="s">
        <v>72</v>
      </c>
      <c r="AA29" s="73" t="s">
        <v>88</v>
      </c>
      <c r="AB29" s="73" t="s">
        <v>11</v>
      </c>
      <c r="AC29" s="73">
        <v>19.399999999999999</v>
      </c>
      <c r="AD29" s="82" t="s">
        <v>105</v>
      </c>
      <c r="AE29" s="73" t="s">
        <v>74</v>
      </c>
      <c r="AF29" s="73" t="s">
        <v>11</v>
      </c>
      <c r="AG29" s="83">
        <v>21.1</v>
      </c>
      <c r="AL29" s="82"/>
      <c r="AO29" s="83"/>
      <c r="AP29" s="82"/>
      <c r="AS29" s="83"/>
      <c r="AW29" s="83"/>
      <c r="BA29" s="84"/>
    </row>
    <row r="30" spans="1:53" s="73" customFormat="1">
      <c r="A30" s="102">
        <v>1970</v>
      </c>
      <c r="B30" s="85"/>
      <c r="C30" s="966" t="s">
        <v>257</v>
      </c>
      <c r="D30" s="966"/>
      <c r="E30" s="73">
        <v>365</v>
      </c>
      <c r="G30" s="123">
        <v>17</v>
      </c>
      <c r="J30" s="134">
        <v>17</v>
      </c>
      <c r="K30" s="92">
        <f t="shared" si="8"/>
        <v>100</v>
      </c>
      <c r="L30" s="92">
        <f t="shared" si="9"/>
        <v>0</v>
      </c>
      <c r="M30" s="92">
        <f t="shared" si="10"/>
        <v>0</v>
      </c>
      <c r="N30" s="125">
        <f t="shared" si="0"/>
        <v>100</v>
      </c>
      <c r="O30" s="91">
        <v>55.9</v>
      </c>
      <c r="P30" s="92"/>
      <c r="Q30" s="92"/>
      <c r="R30" s="93">
        <f t="shared" si="1"/>
        <v>55.9</v>
      </c>
      <c r="S30" s="97">
        <v>2</v>
      </c>
      <c r="T30" s="95"/>
      <c r="U30" s="85"/>
      <c r="V30" s="82" t="s">
        <v>103</v>
      </c>
      <c r="W30" s="73" t="s">
        <v>22</v>
      </c>
      <c r="X30" s="73" t="s">
        <v>11</v>
      </c>
      <c r="Y30" s="83">
        <v>15.4</v>
      </c>
      <c r="Z30" s="73" t="s">
        <v>72</v>
      </c>
      <c r="AA30" s="73" t="s">
        <v>88</v>
      </c>
      <c r="AB30" s="73" t="s">
        <v>11</v>
      </c>
      <c r="AC30" s="73">
        <v>19.399999999999999</v>
      </c>
      <c r="AD30" s="82" t="s">
        <v>105</v>
      </c>
      <c r="AE30" s="73" t="s">
        <v>74</v>
      </c>
      <c r="AF30" s="73" t="s">
        <v>11</v>
      </c>
      <c r="AG30" s="83">
        <v>21.1</v>
      </c>
      <c r="AL30" s="82"/>
      <c r="AO30" s="83"/>
      <c r="AP30" s="82"/>
      <c r="AS30" s="83"/>
      <c r="AW30" s="83"/>
      <c r="BA30" s="84"/>
    </row>
    <row r="31" spans="1:53" s="73" customFormat="1">
      <c r="A31" s="102">
        <v>1971</v>
      </c>
      <c r="B31" s="85"/>
      <c r="C31" s="966" t="s">
        <v>257</v>
      </c>
      <c r="D31" s="966"/>
      <c r="E31" s="73">
        <v>283</v>
      </c>
      <c r="G31" s="123">
        <v>17</v>
      </c>
      <c r="J31" s="134">
        <v>17</v>
      </c>
      <c r="K31" s="92">
        <f t="shared" si="8"/>
        <v>100</v>
      </c>
      <c r="L31" s="92">
        <f t="shared" si="9"/>
        <v>0</v>
      </c>
      <c r="M31" s="92">
        <f t="shared" si="10"/>
        <v>0</v>
      </c>
      <c r="N31" s="125">
        <f t="shared" si="0"/>
        <v>100</v>
      </c>
      <c r="O31" s="91">
        <v>55.9</v>
      </c>
      <c r="P31" s="92"/>
      <c r="Q31" s="92"/>
      <c r="R31" s="93">
        <f t="shared" si="1"/>
        <v>55.9</v>
      </c>
      <c r="S31" s="97">
        <v>2</v>
      </c>
      <c r="T31" s="95"/>
      <c r="U31" s="85"/>
      <c r="V31" s="82" t="s">
        <v>103</v>
      </c>
      <c r="W31" s="73" t="s">
        <v>22</v>
      </c>
      <c r="X31" s="73" t="s">
        <v>11</v>
      </c>
      <c r="Y31" s="83">
        <v>15.4</v>
      </c>
      <c r="Z31" s="73" t="s">
        <v>72</v>
      </c>
      <c r="AA31" s="73" t="s">
        <v>88</v>
      </c>
      <c r="AB31" s="73" t="s">
        <v>11</v>
      </c>
      <c r="AC31" s="73">
        <v>19.399999999999999</v>
      </c>
      <c r="AD31" s="82" t="s">
        <v>105</v>
      </c>
      <c r="AE31" s="73" t="s">
        <v>74</v>
      </c>
      <c r="AF31" s="73" t="s">
        <v>11</v>
      </c>
      <c r="AG31" s="83">
        <v>21.1</v>
      </c>
      <c r="AL31" s="82"/>
      <c r="AO31" s="83"/>
      <c r="AP31" s="82"/>
      <c r="AS31" s="83"/>
      <c r="AW31" s="83"/>
      <c r="BA31" s="84"/>
    </row>
    <row r="32" spans="1:53" s="334" customFormat="1">
      <c r="A32" s="386">
        <v>1971</v>
      </c>
      <c r="B32" s="355">
        <v>26217</v>
      </c>
      <c r="C32" s="965" t="s">
        <v>258</v>
      </c>
      <c r="D32" s="965"/>
      <c r="E32" s="334">
        <v>82</v>
      </c>
      <c r="F32" s="334">
        <v>1</v>
      </c>
      <c r="G32" s="419"/>
      <c r="I32" s="334">
        <v>17</v>
      </c>
      <c r="J32" s="435">
        <v>18</v>
      </c>
      <c r="K32" s="384">
        <f>G32/J32*100</f>
        <v>0</v>
      </c>
      <c r="L32" s="384">
        <f>H32/J32*100</f>
        <v>0</v>
      </c>
      <c r="M32" s="384">
        <f>I32/J32*100</f>
        <v>94.444444444444443</v>
      </c>
      <c r="N32" s="421">
        <f t="shared" si="0"/>
        <v>94.444444444444443</v>
      </c>
      <c r="O32" s="383"/>
      <c r="P32" s="384"/>
      <c r="Q32" s="384">
        <v>40</v>
      </c>
      <c r="R32" s="385">
        <f t="shared" si="1"/>
        <v>40</v>
      </c>
      <c r="S32" s="388">
        <v>4</v>
      </c>
      <c r="T32" s="342">
        <v>26197</v>
      </c>
      <c r="U32" s="355">
        <v>26217</v>
      </c>
      <c r="V32" s="343" t="s">
        <v>102</v>
      </c>
      <c r="W32" s="334" t="s">
        <v>20</v>
      </c>
      <c r="X32" s="334" t="s">
        <v>12</v>
      </c>
      <c r="Y32" s="344">
        <v>40</v>
      </c>
      <c r="AD32" s="343"/>
      <c r="AG32" s="344"/>
      <c r="AL32" s="343"/>
      <c r="AO32" s="344"/>
      <c r="AP32" s="343"/>
      <c r="AS32" s="344"/>
      <c r="AW32" s="344"/>
      <c r="BA32" s="345"/>
    </row>
    <row r="33" spans="1:53" s="334" customFormat="1">
      <c r="A33" s="386">
        <v>1972</v>
      </c>
      <c r="B33" s="355"/>
      <c r="C33" s="965" t="s">
        <v>258</v>
      </c>
      <c r="D33" s="965"/>
      <c r="E33" s="334">
        <v>278</v>
      </c>
      <c r="G33" s="419"/>
      <c r="I33" s="334">
        <v>17</v>
      </c>
      <c r="J33" s="435">
        <v>18</v>
      </c>
      <c r="K33" s="384">
        <f t="shared" ref="K33:K38" si="11">G33/J33*100</f>
        <v>0</v>
      </c>
      <c r="L33" s="384">
        <f t="shared" ref="L33:L38" si="12">H33/J33*100</f>
        <v>0</v>
      </c>
      <c r="M33" s="384">
        <f t="shared" ref="M33:M38" si="13">I33/J33*100</f>
        <v>94.444444444444443</v>
      </c>
      <c r="N33" s="421">
        <f t="shared" si="0"/>
        <v>94.444444444444443</v>
      </c>
      <c r="O33" s="383"/>
      <c r="P33" s="384"/>
      <c r="Q33" s="384">
        <v>40</v>
      </c>
      <c r="R33" s="385">
        <f t="shared" si="1"/>
        <v>40</v>
      </c>
      <c r="S33" s="388">
        <v>4</v>
      </c>
      <c r="T33" s="342"/>
      <c r="U33" s="355"/>
      <c r="V33" s="343" t="s">
        <v>102</v>
      </c>
      <c r="W33" s="334" t="s">
        <v>20</v>
      </c>
      <c r="X33" s="334" t="s">
        <v>12</v>
      </c>
      <c r="Y33" s="344">
        <v>40</v>
      </c>
      <c r="AD33" s="343"/>
      <c r="AG33" s="344"/>
      <c r="AL33" s="343"/>
      <c r="AO33" s="344"/>
      <c r="AP33" s="343"/>
      <c r="AS33" s="344"/>
      <c r="AW33" s="344"/>
      <c r="BA33" s="345"/>
    </row>
    <row r="34" spans="1:53" s="73" customFormat="1">
      <c r="A34" s="102">
        <v>1972</v>
      </c>
      <c r="B34" s="85">
        <v>26577</v>
      </c>
      <c r="C34" s="966" t="s">
        <v>259</v>
      </c>
      <c r="D34" s="966"/>
      <c r="E34" s="73">
        <v>88</v>
      </c>
      <c r="F34" s="73">
        <v>2</v>
      </c>
      <c r="G34" s="123"/>
      <c r="I34" s="73">
        <v>17</v>
      </c>
      <c r="J34" s="134">
        <v>18</v>
      </c>
      <c r="K34" s="92">
        <f t="shared" si="11"/>
        <v>0</v>
      </c>
      <c r="L34" s="92">
        <f t="shared" si="12"/>
        <v>0</v>
      </c>
      <c r="M34" s="92">
        <f t="shared" si="13"/>
        <v>94.444444444444443</v>
      </c>
      <c r="N34" s="125">
        <f t="shared" si="0"/>
        <v>94.444444444444443</v>
      </c>
      <c r="O34" s="91"/>
      <c r="P34" s="92"/>
      <c r="Q34" s="92">
        <v>40</v>
      </c>
      <c r="R34" s="93">
        <f t="shared" si="1"/>
        <v>40</v>
      </c>
      <c r="S34" s="97">
        <v>4</v>
      </c>
      <c r="T34" s="95"/>
      <c r="U34" s="85">
        <v>26577</v>
      </c>
      <c r="V34" s="82" t="s">
        <v>102</v>
      </c>
      <c r="W34" s="73" t="s">
        <v>20</v>
      </c>
      <c r="X34" s="73" t="s">
        <v>12</v>
      </c>
      <c r="Y34" s="83">
        <v>40</v>
      </c>
      <c r="AD34" s="82"/>
      <c r="AG34" s="83"/>
      <c r="AL34" s="82"/>
      <c r="AO34" s="83"/>
      <c r="AP34" s="82"/>
      <c r="AS34" s="83"/>
      <c r="AW34" s="83"/>
      <c r="BA34" s="84"/>
    </row>
    <row r="35" spans="1:53" s="73" customFormat="1">
      <c r="A35" s="102">
        <v>1973</v>
      </c>
      <c r="B35" s="85"/>
      <c r="C35" s="966" t="s">
        <v>259</v>
      </c>
      <c r="D35" s="966"/>
      <c r="E35" s="73">
        <v>352</v>
      </c>
      <c r="G35" s="123"/>
      <c r="I35" s="73">
        <v>17</v>
      </c>
      <c r="J35" s="134">
        <v>18</v>
      </c>
      <c r="K35" s="92">
        <f t="shared" si="11"/>
        <v>0</v>
      </c>
      <c r="L35" s="92">
        <f t="shared" si="12"/>
        <v>0</v>
      </c>
      <c r="M35" s="92">
        <f t="shared" si="13"/>
        <v>94.444444444444443</v>
      </c>
      <c r="N35" s="125">
        <f t="shared" si="0"/>
        <v>94.444444444444443</v>
      </c>
      <c r="O35" s="91"/>
      <c r="P35" s="92"/>
      <c r="Q35" s="92">
        <v>40</v>
      </c>
      <c r="R35" s="93">
        <f t="shared" si="1"/>
        <v>40</v>
      </c>
      <c r="S35" s="97">
        <v>4</v>
      </c>
      <c r="T35" s="95"/>
      <c r="U35" s="85"/>
      <c r="V35" s="82" t="s">
        <v>102</v>
      </c>
      <c r="W35" s="73" t="s">
        <v>20</v>
      </c>
      <c r="X35" s="73" t="s">
        <v>12</v>
      </c>
      <c r="Y35" s="83">
        <v>40</v>
      </c>
      <c r="AD35" s="82"/>
      <c r="AG35" s="83"/>
      <c r="AL35" s="82"/>
      <c r="AO35" s="83"/>
      <c r="AP35" s="82"/>
      <c r="AS35" s="83"/>
      <c r="AW35" s="83"/>
      <c r="BA35" s="84"/>
    </row>
    <row r="36" spans="1:53" s="334" customFormat="1">
      <c r="A36" s="386">
        <v>1973</v>
      </c>
      <c r="B36" s="355">
        <v>27017</v>
      </c>
      <c r="C36" s="965" t="s">
        <v>260</v>
      </c>
      <c r="D36" s="965"/>
      <c r="E36" s="334">
        <v>13</v>
      </c>
      <c r="F36" s="334">
        <v>1</v>
      </c>
      <c r="G36" s="419">
        <v>12</v>
      </c>
      <c r="J36" s="435">
        <v>12</v>
      </c>
      <c r="K36" s="384">
        <f t="shared" si="11"/>
        <v>100</v>
      </c>
      <c r="L36" s="384">
        <f t="shared" si="12"/>
        <v>0</v>
      </c>
      <c r="M36" s="384">
        <f t="shared" si="13"/>
        <v>0</v>
      </c>
      <c r="N36" s="421">
        <f t="shared" si="0"/>
        <v>100</v>
      </c>
      <c r="O36" s="383">
        <v>12.6</v>
      </c>
      <c r="P36" s="384"/>
      <c r="Q36" s="384"/>
      <c r="R36" s="385">
        <f t="shared" si="1"/>
        <v>12.6</v>
      </c>
      <c r="S36" s="388">
        <v>4</v>
      </c>
      <c r="T36" s="342">
        <v>27002</v>
      </c>
      <c r="U36" s="355">
        <v>27017</v>
      </c>
      <c r="V36" s="343" t="s">
        <v>72</v>
      </c>
      <c r="W36" s="334" t="s">
        <v>88</v>
      </c>
      <c r="X36" s="334" t="s">
        <v>11</v>
      </c>
      <c r="Y36" s="344">
        <v>12.6</v>
      </c>
      <c r="AD36" s="343"/>
      <c r="AG36" s="344"/>
      <c r="AL36" s="343"/>
      <c r="AO36" s="344"/>
      <c r="AP36" s="343"/>
      <c r="AS36" s="344"/>
      <c r="AW36" s="344"/>
      <c r="BA36" s="345"/>
    </row>
    <row r="37" spans="1:53" s="334" customFormat="1">
      <c r="A37" s="386">
        <v>1974</v>
      </c>
      <c r="B37" s="355"/>
      <c r="C37" s="965" t="s">
        <v>260</v>
      </c>
      <c r="D37" s="965"/>
      <c r="E37" s="334">
        <v>0</v>
      </c>
      <c r="G37" s="419">
        <v>12</v>
      </c>
      <c r="J37" s="435">
        <v>12</v>
      </c>
      <c r="K37" s="384">
        <f t="shared" si="11"/>
        <v>100</v>
      </c>
      <c r="L37" s="384">
        <f t="shared" si="12"/>
        <v>0</v>
      </c>
      <c r="M37" s="384">
        <f t="shared" si="13"/>
        <v>0</v>
      </c>
      <c r="N37" s="421">
        <f t="shared" si="0"/>
        <v>100</v>
      </c>
      <c r="O37" s="383">
        <v>12.6</v>
      </c>
      <c r="P37" s="384"/>
      <c r="Q37" s="384"/>
      <c r="R37" s="385">
        <f t="shared" si="1"/>
        <v>12.6</v>
      </c>
      <c r="S37" s="388">
        <v>4</v>
      </c>
      <c r="T37" s="342"/>
      <c r="U37" s="355"/>
      <c r="V37" s="343" t="s">
        <v>72</v>
      </c>
      <c r="W37" s="334" t="s">
        <v>88</v>
      </c>
      <c r="X37" s="334" t="s">
        <v>11</v>
      </c>
      <c r="Y37" s="344">
        <v>12.6</v>
      </c>
      <c r="AD37" s="343"/>
      <c r="AG37" s="344"/>
      <c r="AL37" s="343"/>
      <c r="AO37" s="344"/>
      <c r="AP37" s="343"/>
      <c r="AS37" s="344"/>
      <c r="AW37" s="344"/>
      <c r="BA37" s="345"/>
    </row>
    <row r="38" spans="1:53" s="334" customFormat="1">
      <c r="A38" s="386">
        <v>1974</v>
      </c>
      <c r="B38" s="355"/>
      <c r="C38" s="965" t="s">
        <v>260</v>
      </c>
      <c r="D38" s="965"/>
      <c r="E38" s="334">
        <v>365</v>
      </c>
      <c r="G38" s="419">
        <v>12</v>
      </c>
      <c r="J38" s="435">
        <v>12</v>
      </c>
      <c r="K38" s="384">
        <f t="shared" si="11"/>
        <v>100</v>
      </c>
      <c r="L38" s="384">
        <f t="shared" si="12"/>
        <v>0</v>
      </c>
      <c r="M38" s="384">
        <f t="shared" si="13"/>
        <v>0</v>
      </c>
      <c r="N38" s="421">
        <f t="shared" si="0"/>
        <v>100</v>
      </c>
      <c r="O38" s="383">
        <v>12.6</v>
      </c>
      <c r="P38" s="384"/>
      <c r="Q38" s="384"/>
      <c r="R38" s="385">
        <f t="shared" si="1"/>
        <v>12.6</v>
      </c>
      <c r="S38" s="388">
        <v>4</v>
      </c>
      <c r="T38" s="342"/>
      <c r="U38" s="355"/>
      <c r="V38" s="343" t="s">
        <v>72</v>
      </c>
      <c r="W38" s="334" t="s">
        <v>88</v>
      </c>
      <c r="X38" s="334" t="s">
        <v>11</v>
      </c>
      <c r="Y38" s="344">
        <v>12.6</v>
      </c>
      <c r="AD38" s="343"/>
      <c r="AG38" s="344"/>
      <c r="AL38" s="343"/>
      <c r="AO38" s="344"/>
      <c r="AP38" s="343"/>
      <c r="AS38" s="344"/>
      <c r="AW38" s="344"/>
      <c r="BA38" s="345"/>
    </row>
    <row r="39" spans="1:53" s="334" customFormat="1">
      <c r="A39" s="386">
        <v>1975</v>
      </c>
      <c r="B39" s="355"/>
      <c r="C39" s="965" t="s">
        <v>260</v>
      </c>
      <c r="D39" s="965"/>
      <c r="E39" s="334">
        <v>43</v>
      </c>
      <c r="G39" s="419">
        <v>12</v>
      </c>
      <c r="J39" s="435">
        <v>12</v>
      </c>
      <c r="K39" s="384">
        <f>G39/J39*100</f>
        <v>100</v>
      </c>
      <c r="L39" s="384">
        <f>H39/J39*100</f>
        <v>0</v>
      </c>
      <c r="M39" s="384">
        <f>I39/J39*100</f>
        <v>0</v>
      </c>
      <c r="N39" s="421">
        <f t="shared" si="0"/>
        <v>100</v>
      </c>
      <c r="O39" s="383">
        <v>12.6</v>
      </c>
      <c r="P39" s="384"/>
      <c r="Q39" s="384"/>
      <c r="R39" s="385">
        <f t="shared" si="1"/>
        <v>12.6</v>
      </c>
      <c r="S39" s="388">
        <v>4</v>
      </c>
      <c r="T39" s="342"/>
      <c r="U39" s="355"/>
      <c r="V39" s="343" t="s">
        <v>72</v>
      </c>
      <c r="W39" s="334" t="s">
        <v>88</v>
      </c>
      <c r="X39" s="334" t="s">
        <v>11</v>
      </c>
      <c r="Y39" s="344">
        <v>12.6</v>
      </c>
      <c r="AD39" s="343"/>
      <c r="AG39" s="344"/>
      <c r="AL39" s="343"/>
      <c r="AO39" s="344"/>
      <c r="AP39" s="343"/>
      <c r="AS39" s="344"/>
      <c r="AW39" s="344"/>
      <c r="BA39" s="345"/>
    </row>
    <row r="40" spans="1:53" s="73" customFormat="1">
      <c r="A40" s="102">
        <v>1975</v>
      </c>
      <c r="B40" s="85">
        <v>27438</v>
      </c>
      <c r="C40" s="966" t="s">
        <v>261</v>
      </c>
      <c r="D40" s="966"/>
      <c r="E40" s="73">
        <v>322</v>
      </c>
      <c r="F40" s="73">
        <v>1</v>
      </c>
      <c r="G40" s="123"/>
      <c r="I40" s="73">
        <v>15</v>
      </c>
      <c r="J40" s="134">
        <v>15</v>
      </c>
      <c r="K40" s="92">
        <f t="shared" ref="K40:K45" si="14">G40/J40*100</f>
        <v>0</v>
      </c>
      <c r="L40" s="92">
        <f t="shared" ref="L40:L45" si="15">H40/J40*100</f>
        <v>0</v>
      </c>
      <c r="M40" s="92">
        <f t="shared" ref="M40:M45" si="16">I40/J40*100</f>
        <v>100</v>
      </c>
      <c r="N40" s="125">
        <f t="shared" si="0"/>
        <v>100</v>
      </c>
      <c r="O40" s="91"/>
      <c r="P40" s="92"/>
      <c r="Q40" s="92">
        <v>30.3</v>
      </c>
      <c r="R40" s="93">
        <f t="shared" si="1"/>
        <v>30.3</v>
      </c>
      <c r="S40" s="97">
        <v>4</v>
      </c>
      <c r="T40" s="95">
        <v>27403</v>
      </c>
      <c r="U40" s="85">
        <v>27438</v>
      </c>
      <c r="V40" s="82" t="s">
        <v>102</v>
      </c>
      <c r="W40" s="73" t="s">
        <v>20</v>
      </c>
      <c r="X40" s="73" t="s">
        <v>12</v>
      </c>
      <c r="Y40" s="83">
        <v>30.3</v>
      </c>
      <c r="AD40" s="82"/>
      <c r="AG40" s="83"/>
      <c r="AL40" s="82"/>
      <c r="AO40" s="83"/>
      <c r="AP40" s="82"/>
      <c r="AS40" s="83"/>
      <c r="AW40" s="83"/>
      <c r="BA40" s="84"/>
    </row>
    <row r="41" spans="1:53" s="73" customFormat="1">
      <c r="A41" s="102">
        <v>1976</v>
      </c>
      <c r="B41" s="85"/>
      <c r="C41" s="966" t="s">
        <v>261</v>
      </c>
      <c r="D41" s="966"/>
      <c r="E41" s="73">
        <v>0</v>
      </c>
      <c r="G41" s="123"/>
      <c r="I41" s="73">
        <v>15</v>
      </c>
      <c r="J41" s="134">
        <v>15</v>
      </c>
      <c r="K41" s="92">
        <f t="shared" si="14"/>
        <v>0</v>
      </c>
      <c r="L41" s="92">
        <f t="shared" si="15"/>
        <v>0</v>
      </c>
      <c r="M41" s="92">
        <f t="shared" si="16"/>
        <v>100</v>
      </c>
      <c r="N41" s="125">
        <f t="shared" si="0"/>
        <v>100</v>
      </c>
      <c r="O41" s="91"/>
      <c r="P41" s="92"/>
      <c r="Q41" s="92">
        <v>30.3</v>
      </c>
      <c r="R41" s="93">
        <f t="shared" si="1"/>
        <v>30.3</v>
      </c>
      <c r="S41" s="97">
        <v>4</v>
      </c>
      <c r="T41" s="95"/>
      <c r="U41" s="85"/>
      <c r="V41" s="82" t="s">
        <v>102</v>
      </c>
      <c r="W41" s="73" t="s">
        <v>20</v>
      </c>
      <c r="X41" s="73" t="s">
        <v>12</v>
      </c>
      <c r="Y41" s="83">
        <v>30.3</v>
      </c>
      <c r="AD41" s="82"/>
      <c r="AG41" s="83"/>
      <c r="AL41" s="82"/>
      <c r="AO41" s="83"/>
      <c r="AP41" s="82"/>
      <c r="AS41" s="83"/>
      <c r="AW41" s="83"/>
      <c r="BA41" s="84"/>
    </row>
    <row r="42" spans="1:53" s="73" customFormat="1">
      <c r="A42" s="102">
        <v>1976</v>
      </c>
      <c r="B42" s="85"/>
      <c r="C42" s="966" t="s">
        <v>261</v>
      </c>
      <c r="D42" s="966"/>
      <c r="E42" s="73">
        <v>366</v>
      </c>
      <c r="G42" s="123"/>
      <c r="I42" s="73">
        <v>15</v>
      </c>
      <c r="J42" s="134">
        <v>15</v>
      </c>
      <c r="K42" s="92">
        <f t="shared" si="14"/>
        <v>0</v>
      </c>
      <c r="L42" s="92">
        <f t="shared" si="15"/>
        <v>0</v>
      </c>
      <c r="M42" s="92">
        <f t="shared" si="16"/>
        <v>100</v>
      </c>
      <c r="N42" s="125">
        <f t="shared" si="0"/>
        <v>100</v>
      </c>
      <c r="O42" s="91"/>
      <c r="P42" s="92"/>
      <c r="Q42" s="92">
        <v>30.3</v>
      </c>
      <c r="R42" s="93">
        <f t="shared" si="1"/>
        <v>30.3</v>
      </c>
      <c r="S42" s="97">
        <v>4</v>
      </c>
      <c r="T42" s="95"/>
      <c r="U42" s="85"/>
      <c r="V42" s="82" t="s">
        <v>102</v>
      </c>
      <c r="W42" s="73" t="s">
        <v>20</v>
      </c>
      <c r="X42" s="73" t="s">
        <v>12</v>
      </c>
      <c r="Y42" s="83">
        <v>30.3</v>
      </c>
      <c r="AD42" s="82"/>
      <c r="AG42" s="83"/>
      <c r="AL42" s="82"/>
      <c r="AO42" s="83"/>
      <c r="AP42" s="82"/>
      <c r="AS42" s="83"/>
      <c r="AW42" s="83"/>
      <c r="BA42" s="84"/>
    </row>
    <row r="43" spans="1:53" s="73" customFormat="1">
      <c r="A43" s="102">
        <v>1977</v>
      </c>
      <c r="B43" s="85"/>
      <c r="C43" s="966" t="s">
        <v>261</v>
      </c>
      <c r="D43" s="966"/>
      <c r="E43" s="73">
        <v>55</v>
      </c>
      <c r="G43" s="123"/>
      <c r="I43" s="73">
        <v>15</v>
      </c>
      <c r="J43" s="134">
        <v>15</v>
      </c>
      <c r="K43" s="92">
        <f t="shared" si="14"/>
        <v>0</v>
      </c>
      <c r="L43" s="92">
        <f t="shared" si="15"/>
        <v>0</v>
      </c>
      <c r="M43" s="92">
        <f t="shared" si="16"/>
        <v>100</v>
      </c>
      <c r="N43" s="125">
        <f t="shared" si="0"/>
        <v>100</v>
      </c>
      <c r="O43" s="91"/>
      <c r="P43" s="92"/>
      <c r="Q43" s="92">
        <v>30.3</v>
      </c>
      <c r="R43" s="93">
        <f t="shared" si="1"/>
        <v>30.3</v>
      </c>
      <c r="S43" s="97">
        <v>4</v>
      </c>
      <c r="T43" s="95"/>
      <c r="U43" s="85"/>
      <c r="V43" s="82" t="s">
        <v>102</v>
      </c>
      <c r="W43" s="73" t="s">
        <v>20</v>
      </c>
      <c r="X43" s="73" t="s">
        <v>12</v>
      </c>
      <c r="Y43" s="83">
        <v>30.3</v>
      </c>
      <c r="AD43" s="82"/>
      <c r="AG43" s="83"/>
      <c r="AL43" s="82"/>
      <c r="AO43" s="83"/>
      <c r="AP43" s="82"/>
      <c r="AS43" s="83"/>
      <c r="AW43" s="83"/>
      <c r="BA43" s="84"/>
    </row>
    <row r="44" spans="1:53" s="334" customFormat="1">
      <c r="A44" s="386">
        <v>1977</v>
      </c>
      <c r="B44" s="355">
        <v>28181</v>
      </c>
      <c r="C44" s="965" t="s">
        <v>262</v>
      </c>
      <c r="D44" s="965"/>
      <c r="E44" s="334">
        <v>310</v>
      </c>
      <c r="F44" s="334">
        <v>5</v>
      </c>
      <c r="G44" s="419"/>
      <c r="I44" s="334">
        <v>17</v>
      </c>
      <c r="J44" s="435">
        <v>17</v>
      </c>
      <c r="K44" s="384">
        <f t="shared" si="14"/>
        <v>0</v>
      </c>
      <c r="L44" s="384">
        <f t="shared" si="15"/>
        <v>0</v>
      </c>
      <c r="M44" s="384">
        <f t="shared" si="16"/>
        <v>100</v>
      </c>
      <c r="N44" s="421">
        <f t="shared" si="0"/>
        <v>100</v>
      </c>
      <c r="O44" s="383"/>
      <c r="P44" s="384"/>
      <c r="Q44" s="384">
        <v>37.1</v>
      </c>
      <c r="R44" s="385">
        <f t="shared" si="1"/>
        <v>37.1</v>
      </c>
      <c r="S44" s="388">
        <v>4</v>
      </c>
      <c r="T44" s="342">
        <v>28171</v>
      </c>
      <c r="U44" s="355">
        <v>28181</v>
      </c>
      <c r="V44" s="343" t="s">
        <v>102</v>
      </c>
      <c r="W44" s="334" t="s">
        <v>20</v>
      </c>
      <c r="X44" s="334" t="s">
        <v>12</v>
      </c>
      <c r="Y44" s="344">
        <v>37.1</v>
      </c>
      <c r="AD44" s="343"/>
      <c r="AG44" s="344"/>
      <c r="AL44" s="343"/>
      <c r="AO44" s="344"/>
      <c r="AP44" s="343"/>
      <c r="AS44" s="344"/>
      <c r="AW44" s="344"/>
      <c r="BA44" s="345"/>
    </row>
    <row r="45" spans="1:53" s="334" customFormat="1">
      <c r="A45" s="386">
        <v>1978</v>
      </c>
      <c r="B45" s="355"/>
      <c r="C45" s="965" t="s">
        <v>262</v>
      </c>
      <c r="D45" s="965"/>
      <c r="E45" s="334">
        <v>241</v>
      </c>
      <c r="G45" s="419"/>
      <c r="I45" s="334">
        <v>17</v>
      </c>
      <c r="J45" s="435">
        <v>17</v>
      </c>
      <c r="K45" s="384">
        <f t="shared" si="14"/>
        <v>0</v>
      </c>
      <c r="L45" s="384">
        <f t="shared" si="15"/>
        <v>0</v>
      </c>
      <c r="M45" s="384">
        <f t="shared" si="16"/>
        <v>100</v>
      </c>
      <c r="N45" s="421">
        <f t="shared" si="0"/>
        <v>100</v>
      </c>
      <c r="O45" s="383"/>
      <c r="P45" s="384"/>
      <c r="Q45" s="384">
        <v>37.1</v>
      </c>
      <c r="R45" s="385">
        <f t="shared" si="1"/>
        <v>37.1</v>
      </c>
      <c r="S45" s="388">
        <v>4</v>
      </c>
      <c r="T45" s="342"/>
      <c r="U45" s="355"/>
      <c r="V45" s="343" t="s">
        <v>102</v>
      </c>
      <c r="W45" s="334" t="s">
        <v>20</v>
      </c>
      <c r="X45" s="334" t="s">
        <v>12</v>
      </c>
      <c r="Y45" s="344">
        <v>37.1</v>
      </c>
      <c r="AD45" s="343"/>
      <c r="AG45" s="344"/>
      <c r="AL45" s="343"/>
      <c r="AO45" s="344"/>
      <c r="AP45" s="343"/>
      <c r="AS45" s="344"/>
      <c r="AW45" s="344"/>
      <c r="BA45" s="345"/>
    </row>
    <row r="46" spans="1:53" s="73" customFormat="1">
      <c r="A46" s="102">
        <v>1978</v>
      </c>
      <c r="B46" s="85">
        <v>28732</v>
      </c>
      <c r="C46" s="966" t="s">
        <v>263</v>
      </c>
      <c r="D46" s="966"/>
      <c r="E46" s="73">
        <v>124</v>
      </c>
      <c r="F46" s="73">
        <v>7</v>
      </c>
      <c r="G46" s="123">
        <v>7</v>
      </c>
      <c r="I46" s="73">
        <v>14</v>
      </c>
      <c r="J46" s="134">
        <v>21</v>
      </c>
      <c r="K46" s="92">
        <f t="shared" ref="K46:K51" si="17">G46/J46*100</f>
        <v>33.333333333333329</v>
      </c>
      <c r="L46" s="92">
        <f t="shared" ref="L46:L51" si="18">H46/J46*100</f>
        <v>0</v>
      </c>
      <c r="M46" s="92">
        <f t="shared" ref="M46:M51" si="19">I46/J46*100</f>
        <v>66.666666666666657</v>
      </c>
      <c r="N46" s="125">
        <f t="shared" si="0"/>
        <v>99.999999999999986</v>
      </c>
      <c r="O46" s="91">
        <v>12</v>
      </c>
      <c r="P46" s="92"/>
      <c r="Q46" s="92">
        <v>37.1</v>
      </c>
      <c r="R46" s="93">
        <f t="shared" si="1"/>
        <v>49.1</v>
      </c>
      <c r="S46" s="97">
        <v>5</v>
      </c>
      <c r="T46" s="95"/>
      <c r="U46" s="85">
        <v>28732</v>
      </c>
      <c r="V46" s="82" t="s">
        <v>102</v>
      </c>
      <c r="W46" s="73" t="s">
        <v>20</v>
      </c>
      <c r="X46" s="73" t="s">
        <v>12</v>
      </c>
      <c r="Y46" s="83">
        <v>37.1</v>
      </c>
      <c r="Z46" s="73" t="s">
        <v>72</v>
      </c>
      <c r="AA46" s="73" t="s">
        <v>88</v>
      </c>
      <c r="AB46" s="73" t="s">
        <v>11</v>
      </c>
      <c r="AC46" s="73">
        <v>12</v>
      </c>
      <c r="AD46" s="82"/>
      <c r="AG46" s="83"/>
      <c r="AL46" s="82"/>
      <c r="AO46" s="83"/>
      <c r="AP46" s="82"/>
      <c r="AS46" s="83"/>
      <c r="AW46" s="83"/>
      <c r="BA46" s="84"/>
    </row>
    <row r="47" spans="1:53" s="73" customFormat="1">
      <c r="A47" s="102">
        <v>1979</v>
      </c>
      <c r="B47" s="85"/>
      <c r="C47" s="966" t="s">
        <v>263</v>
      </c>
      <c r="D47" s="966"/>
      <c r="E47" s="73">
        <v>298</v>
      </c>
      <c r="G47" s="123">
        <v>7</v>
      </c>
      <c r="I47" s="73">
        <v>14</v>
      </c>
      <c r="J47" s="134">
        <v>21</v>
      </c>
      <c r="K47" s="92">
        <f t="shared" si="17"/>
        <v>33.333333333333329</v>
      </c>
      <c r="L47" s="92">
        <f t="shared" si="18"/>
        <v>0</v>
      </c>
      <c r="M47" s="92">
        <f t="shared" si="19"/>
        <v>66.666666666666657</v>
      </c>
      <c r="N47" s="125">
        <f t="shared" si="0"/>
        <v>99.999999999999986</v>
      </c>
      <c r="O47" s="91">
        <v>12</v>
      </c>
      <c r="P47" s="92"/>
      <c r="Q47" s="92">
        <v>37.1</v>
      </c>
      <c r="R47" s="93">
        <f t="shared" si="1"/>
        <v>49.1</v>
      </c>
      <c r="S47" s="97">
        <v>5</v>
      </c>
      <c r="T47" s="95"/>
      <c r="U47" s="85"/>
      <c r="V47" s="82" t="s">
        <v>102</v>
      </c>
      <c r="W47" s="73" t="s">
        <v>20</v>
      </c>
      <c r="X47" s="73" t="s">
        <v>12</v>
      </c>
      <c r="Y47" s="83">
        <v>37.1</v>
      </c>
      <c r="Z47" s="73" t="s">
        <v>72</v>
      </c>
      <c r="AA47" s="73" t="s">
        <v>88</v>
      </c>
      <c r="AB47" s="73" t="s">
        <v>11</v>
      </c>
      <c r="AC47" s="73">
        <v>12</v>
      </c>
      <c r="AD47" s="82"/>
      <c r="AG47" s="83"/>
      <c r="AL47" s="82"/>
      <c r="AO47" s="83"/>
      <c r="AP47" s="82"/>
      <c r="AS47" s="83"/>
      <c r="AW47" s="83"/>
      <c r="BA47" s="84"/>
    </row>
    <row r="48" spans="1:53" s="334" customFormat="1">
      <c r="A48" s="386">
        <v>1979</v>
      </c>
      <c r="B48" s="355">
        <v>29154</v>
      </c>
      <c r="C48" s="965" t="s">
        <v>264</v>
      </c>
      <c r="D48" s="965"/>
      <c r="E48" s="334">
        <v>67</v>
      </c>
      <c r="F48" s="334">
        <v>4</v>
      </c>
      <c r="G48" s="419"/>
      <c r="I48" s="334">
        <v>17</v>
      </c>
      <c r="J48" s="435">
        <v>17</v>
      </c>
      <c r="K48" s="384">
        <f t="shared" si="17"/>
        <v>0</v>
      </c>
      <c r="L48" s="384">
        <f t="shared" si="18"/>
        <v>0</v>
      </c>
      <c r="M48" s="384">
        <f t="shared" si="19"/>
        <v>100</v>
      </c>
      <c r="N48" s="421">
        <f t="shared" si="0"/>
        <v>100</v>
      </c>
      <c r="O48" s="383"/>
      <c r="P48" s="384"/>
      <c r="Q48" s="384">
        <v>38.9</v>
      </c>
      <c r="R48" s="385">
        <f t="shared" si="1"/>
        <v>38.9</v>
      </c>
      <c r="S48" s="388">
        <v>4</v>
      </c>
      <c r="T48" s="342">
        <v>29151</v>
      </c>
      <c r="U48" s="355">
        <v>29154</v>
      </c>
      <c r="V48" s="343" t="s">
        <v>102</v>
      </c>
      <c r="W48" s="334" t="s">
        <v>20</v>
      </c>
      <c r="X48" s="334" t="s">
        <v>12</v>
      </c>
      <c r="Y48" s="344">
        <v>38.9</v>
      </c>
      <c r="AD48" s="343"/>
      <c r="AG48" s="344"/>
      <c r="AL48" s="343"/>
      <c r="AO48" s="344"/>
      <c r="AP48" s="343"/>
      <c r="AS48" s="344"/>
      <c r="AW48" s="344"/>
      <c r="BA48" s="345"/>
    </row>
    <row r="49" spans="1:53" s="334" customFormat="1">
      <c r="A49" s="386">
        <v>1980</v>
      </c>
      <c r="B49" s="355"/>
      <c r="C49" s="965" t="s">
        <v>264</v>
      </c>
      <c r="D49" s="965"/>
      <c r="E49" s="334">
        <v>0</v>
      </c>
      <c r="G49" s="419"/>
      <c r="I49" s="334">
        <v>17</v>
      </c>
      <c r="J49" s="435">
        <v>17</v>
      </c>
      <c r="K49" s="384">
        <f t="shared" si="17"/>
        <v>0</v>
      </c>
      <c r="L49" s="384">
        <f t="shared" si="18"/>
        <v>0</v>
      </c>
      <c r="M49" s="384">
        <f t="shared" si="19"/>
        <v>100</v>
      </c>
      <c r="N49" s="421">
        <f t="shared" si="0"/>
        <v>100</v>
      </c>
      <c r="O49" s="383"/>
      <c r="P49" s="384"/>
      <c r="Q49" s="384">
        <v>38.9</v>
      </c>
      <c r="R49" s="385">
        <f t="shared" si="1"/>
        <v>38.9</v>
      </c>
      <c r="S49" s="388">
        <v>4</v>
      </c>
      <c r="T49" s="342"/>
      <c r="U49" s="355"/>
      <c r="V49" s="343" t="s">
        <v>102</v>
      </c>
      <c r="W49" s="334" t="s">
        <v>20</v>
      </c>
      <c r="X49" s="334" t="s">
        <v>12</v>
      </c>
      <c r="Y49" s="344">
        <v>38.9</v>
      </c>
      <c r="AD49" s="343"/>
      <c r="AG49" s="344"/>
      <c r="AL49" s="343"/>
      <c r="AO49" s="344"/>
      <c r="AP49" s="343"/>
      <c r="AS49" s="344"/>
      <c r="AW49" s="344"/>
      <c r="BA49" s="345"/>
    </row>
    <row r="50" spans="1:53" s="334" customFormat="1">
      <c r="A50" s="386">
        <v>1980</v>
      </c>
      <c r="B50" s="355"/>
      <c r="C50" s="965" t="s">
        <v>264</v>
      </c>
      <c r="D50" s="965"/>
      <c r="E50" s="334">
        <v>366</v>
      </c>
      <c r="G50" s="419"/>
      <c r="I50" s="334">
        <v>17</v>
      </c>
      <c r="J50" s="435">
        <v>17</v>
      </c>
      <c r="K50" s="384">
        <f t="shared" si="17"/>
        <v>0</v>
      </c>
      <c r="L50" s="384">
        <f t="shared" si="18"/>
        <v>0</v>
      </c>
      <c r="M50" s="384">
        <f t="shared" si="19"/>
        <v>100</v>
      </c>
      <c r="N50" s="421">
        <f t="shared" si="0"/>
        <v>100</v>
      </c>
      <c r="O50" s="383"/>
      <c r="P50" s="384"/>
      <c r="Q50" s="384">
        <v>38.9</v>
      </c>
      <c r="R50" s="385">
        <f t="shared" si="1"/>
        <v>38.9</v>
      </c>
      <c r="S50" s="388">
        <v>4</v>
      </c>
      <c r="T50" s="342"/>
      <c r="U50" s="355"/>
      <c r="V50" s="343" t="s">
        <v>102</v>
      </c>
      <c r="W50" s="334" t="s">
        <v>20</v>
      </c>
      <c r="X50" s="334" t="s">
        <v>12</v>
      </c>
      <c r="Y50" s="344">
        <v>38.9</v>
      </c>
      <c r="AD50" s="343"/>
      <c r="AG50" s="344"/>
      <c r="AL50" s="343"/>
      <c r="AO50" s="344"/>
      <c r="AP50" s="343"/>
      <c r="AS50" s="344"/>
      <c r="AW50" s="344"/>
      <c r="BA50" s="345"/>
    </row>
    <row r="51" spans="1:53" s="334" customFormat="1">
      <c r="A51" s="386">
        <v>1981</v>
      </c>
      <c r="B51" s="355"/>
      <c r="C51" s="965" t="s">
        <v>264</v>
      </c>
      <c r="D51" s="965"/>
      <c r="E51" s="334">
        <v>364</v>
      </c>
      <c r="G51" s="419"/>
      <c r="I51" s="334">
        <v>17</v>
      </c>
      <c r="J51" s="435">
        <v>17</v>
      </c>
      <c r="K51" s="384">
        <f t="shared" si="17"/>
        <v>0</v>
      </c>
      <c r="L51" s="384">
        <f t="shared" si="18"/>
        <v>0</v>
      </c>
      <c r="M51" s="384">
        <f t="shared" si="19"/>
        <v>100</v>
      </c>
      <c r="N51" s="421">
        <f t="shared" si="0"/>
        <v>100</v>
      </c>
      <c r="O51" s="383"/>
      <c r="P51" s="384"/>
      <c r="Q51" s="384">
        <v>38.9</v>
      </c>
      <c r="R51" s="385">
        <f t="shared" si="1"/>
        <v>38.9</v>
      </c>
      <c r="S51" s="388">
        <v>4</v>
      </c>
      <c r="T51" s="342"/>
      <c r="U51" s="355"/>
      <c r="V51" s="343" t="s">
        <v>102</v>
      </c>
      <c r="W51" s="334" t="s">
        <v>20</v>
      </c>
      <c r="X51" s="334" t="s">
        <v>12</v>
      </c>
      <c r="Y51" s="344">
        <v>38.9</v>
      </c>
      <c r="AD51" s="343"/>
      <c r="AG51" s="344"/>
      <c r="AL51" s="343"/>
      <c r="AO51" s="344"/>
      <c r="AP51" s="343"/>
      <c r="AS51" s="344"/>
      <c r="AW51" s="344"/>
      <c r="BA51" s="345"/>
    </row>
    <row r="52" spans="1:53" s="73" customFormat="1">
      <c r="A52" s="102">
        <v>1981</v>
      </c>
      <c r="B52" s="85">
        <v>29951</v>
      </c>
      <c r="C52" s="966" t="s">
        <v>265</v>
      </c>
      <c r="D52" s="966"/>
      <c r="E52" s="73">
        <v>1</v>
      </c>
      <c r="F52" s="73">
        <v>5</v>
      </c>
      <c r="G52" s="123"/>
      <c r="I52" s="73">
        <v>20</v>
      </c>
      <c r="J52" s="134">
        <v>20</v>
      </c>
      <c r="K52" s="92">
        <f>G52/J52*100</f>
        <v>0</v>
      </c>
      <c r="L52" s="92">
        <f>H52/J52*100</f>
        <v>0</v>
      </c>
      <c r="M52" s="92">
        <f>I52/J52*100</f>
        <v>100</v>
      </c>
      <c r="N52" s="125">
        <f t="shared" si="0"/>
        <v>100</v>
      </c>
      <c r="O52" s="91"/>
      <c r="P52" s="92"/>
      <c r="Q52" s="92">
        <v>33.700000000000003</v>
      </c>
      <c r="R52" s="93">
        <f t="shared" si="1"/>
        <v>33.700000000000003</v>
      </c>
      <c r="S52" s="97">
        <v>4</v>
      </c>
      <c r="T52" s="95">
        <v>29928</v>
      </c>
      <c r="U52" s="85">
        <v>29951</v>
      </c>
      <c r="V52" s="82" t="s">
        <v>102</v>
      </c>
      <c r="W52" s="73" t="s">
        <v>20</v>
      </c>
      <c r="X52" s="73" t="s">
        <v>12</v>
      </c>
      <c r="Y52" s="83">
        <v>33.700000000000003</v>
      </c>
      <c r="AD52" s="82"/>
      <c r="AG52" s="83"/>
      <c r="AL52" s="82"/>
      <c r="AO52" s="83"/>
      <c r="AP52" s="82"/>
      <c r="AS52" s="83"/>
      <c r="AW52" s="83"/>
      <c r="BA52" s="84"/>
    </row>
    <row r="53" spans="1:53" s="73" customFormat="1">
      <c r="A53" s="102">
        <v>1982</v>
      </c>
      <c r="B53" s="85"/>
      <c r="C53" s="966" t="s">
        <v>265</v>
      </c>
      <c r="D53" s="966"/>
      <c r="E53" s="73">
        <v>252</v>
      </c>
      <c r="G53" s="123"/>
      <c r="I53" s="73">
        <v>20</v>
      </c>
      <c r="J53" s="134">
        <v>20</v>
      </c>
      <c r="K53" s="92">
        <f t="shared" ref="K53:K58" si="20">G53/J53*100</f>
        <v>0</v>
      </c>
      <c r="L53" s="92">
        <f t="shared" ref="L53:L58" si="21">H53/J53*100</f>
        <v>0</v>
      </c>
      <c r="M53" s="92">
        <f t="shared" ref="M53:M58" si="22">I53/J53*100</f>
        <v>100</v>
      </c>
      <c r="N53" s="125">
        <f t="shared" si="0"/>
        <v>100</v>
      </c>
      <c r="O53" s="91"/>
      <c r="P53" s="92"/>
      <c r="Q53" s="92">
        <v>33.700000000000003</v>
      </c>
      <c r="R53" s="93">
        <f t="shared" si="1"/>
        <v>33.700000000000003</v>
      </c>
      <c r="S53" s="97">
        <v>4</v>
      </c>
      <c r="T53" s="95"/>
      <c r="U53" s="85"/>
      <c r="V53" s="82" t="s">
        <v>102</v>
      </c>
      <c r="W53" s="73" t="s">
        <v>20</v>
      </c>
      <c r="X53" s="73" t="s">
        <v>12</v>
      </c>
      <c r="Y53" s="83">
        <v>33.700000000000003</v>
      </c>
      <c r="AD53" s="82"/>
      <c r="AG53" s="83"/>
      <c r="AL53" s="82"/>
      <c r="AO53" s="83"/>
      <c r="AP53" s="82"/>
      <c r="AS53" s="83"/>
      <c r="AW53" s="83"/>
      <c r="BA53" s="84"/>
    </row>
    <row r="54" spans="1:53" s="334" customFormat="1">
      <c r="A54" s="386">
        <v>1982</v>
      </c>
      <c r="B54" s="355">
        <v>30204</v>
      </c>
      <c r="C54" s="965" t="s">
        <v>266</v>
      </c>
      <c r="D54" s="965"/>
      <c r="E54" s="334">
        <v>113</v>
      </c>
      <c r="F54" s="334">
        <v>4</v>
      </c>
      <c r="G54" s="419">
        <v>16</v>
      </c>
      <c r="H54" s="334">
        <v>5</v>
      </c>
      <c r="J54" s="435">
        <v>21</v>
      </c>
      <c r="K54" s="384">
        <f t="shared" si="20"/>
        <v>76.19047619047619</v>
      </c>
      <c r="L54" s="384">
        <f t="shared" si="21"/>
        <v>23.809523809523807</v>
      </c>
      <c r="M54" s="384">
        <f t="shared" si="22"/>
        <v>0</v>
      </c>
      <c r="N54" s="421">
        <f t="shared" si="0"/>
        <v>100</v>
      </c>
      <c r="O54" s="383">
        <v>26.9</v>
      </c>
      <c r="P54" s="384">
        <v>8.6</v>
      </c>
      <c r="Q54" s="384"/>
      <c r="R54" s="385">
        <f t="shared" si="1"/>
        <v>35.5</v>
      </c>
      <c r="S54" s="388">
        <v>5</v>
      </c>
      <c r="T54" s="342"/>
      <c r="U54" s="355">
        <v>30204</v>
      </c>
      <c r="V54" s="343" t="s">
        <v>105</v>
      </c>
      <c r="W54" s="334" t="s">
        <v>74</v>
      </c>
      <c r="X54" s="334" t="s">
        <v>11</v>
      </c>
      <c r="Y54" s="344">
        <v>14.9</v>
      </c>
      <c r="Z54" s="334" t="s">
        <v>72</v>
      </c>
      <c r="AA54" s="334" t="s">
        <v>88</v>
      </c>
      <c r="AB54" s="334" t="s">
        <v>11</v>
      </c>
      <c r="AC54" s="334">
        <v>12</v>
      </c>
      <c r="AD54" s="343" t="s">
        <v>106</v>
      </c>
      <c r="AE54" s="334" t="s">
        <v>107</v>
      </c>
      <c r="AF54" s="334" t="s">
        <v>18</v>
      </c>
      <c r="AG54" s="344">
        <v>8.6</v>
      </c>
      <c r="AL54" s="343"/>
      <c r="AO54" s="344"/>
      <c r="AP54" s="343"/>
      <c r="AS54" s="344"/>
      <c r="AW54" s="344"/>
      <c r="BA54" s="345"/>
    </row>
    <row r="55" spans="1:53" s="334" customFormat="1">
      <c r="A55" s="386">
        <v>1983</v>
      </c>
      <c r="B55" s="355"/>
      <c r="C55" s="965" t="s">
        <v>266</v>
      </c>
      <c r="D55" s="965"/>
      <c r="E55" s="334">
        <v>0</v>
      </c>
      <c r="G55" s="419">
        <v>16</v>
      </c>
      <c r="H55" s="334">
        <v>5</v>
      </c>
      <c r="J55" s="435">
        <v>21</v>
      </c>
      <c r="K55" s="384">
        <f t="shared" si="20"/>
        <v>76.19047619047619</v>
      </c>
      <c r="L55" s="384">
        <f t="shared" si="21"/>
        <v>23.809523809523807</v>
      </c>
      <c r="M55" s="384">
        <f t="shared" si="22"/>
        <v>0</v>
      </c>
      <c r="N55" s="421">
        <f t="shared" si="0"/>
        <v>100</v>
      </c>
      <c r="O55" s="383">
        <v>26.9</v>
      </c>
      <c r="P55" s="384">
        <v>8.6</v>
      </c>
      <c r="Q55" s="384"/>
      <c r="R55" s="385">
        <f t="shared" si="1"/>
        <v>35.5</v>
      </c>
      <c r="S55" s="388">
        <v>5</v>
      </c>
      <c r="T55" s="342"/>
      <c r="U55" s="355"/>
      <c r="V55" s="343" t="s">
        <v>105</v>
      </c>
      <c r="W55" s="334" t="s">
        <v>74</v>
      </c>
      <c r="X55" s="334" t="s">
        <v>11</v>
      </c>
      <c r="Y55" s="344">
        <v>14.9</v>
      </c>
      <c r="Z55" s="334" t="s">
        <v>72</v>
      </c>
      <c r="AA55" s="334" t="s">
        <v>88</v>
      </c>
      <c r="AB55" s="334" t="s">
        <v>11</v>
      </c>
      <c r="AC55" s="334">
        <v>12</v>
      </c>
      <c r="AD55" s="343" t="s">
        <v>106</v>
      </c>
      <c r="AE55" s="334" t="s">
        <v>107</v>
      </c>
      <c r="AF55" s="334" t="s">
        <v>18</v>
      </c>
      <c r="AG55" s="344">
        <v>8.6</v>
      </c>
      <c r="AL55" s="343"/>
      <c r="AO55" s="344"/>
      <c r="AP55" s="343"/>
      <c r="AS55" s="344"/>
      <c r="AW55" s="344"/>
      <c r="BA55" s="345"/>
    </row>
    <row r="56" spans="1:53" s="334" customFormat="1">
      <c r="A56" s="386">
        <v>1983</v>
      </c>
      <c r="B56" s="355"/>
      <c r="C56" s="965" t="s">
        <v>266</v>
      </c>
      <c r="D56" s="965"/>
      <c r="E56" s="334">
        <v>365</v>
      </c>
      <c r="G56" s="419">
        <v>16</v>
      </c>
      <c r="H56" s="334">
        <v>5</v>
      </c>
      <c r="J56" s="435">
        <v>21</v>
      </c>
      <c r="K56" s="384">
        <f t="shared" si="20"/>
        <v>76.19047619047619</v>
      </c>
      <c r="L56" s="384">
        <f t="shared" si="21"/>
        <v>23.809523809523807</v>
      </c>
      <c r="M56" s="384">
        <f t="shared" si="22"/>
        <v>0</v>
      </c>
      <c r="N56" s="421">
        <f t="shared" si="0"/>
        <v>100</v>
      </c>
      <c r="O56" s="383">
        <v>26.9</v>
      </c>
      <c r="P56" s="384">
        <v>8.6</v>
      </c>
      <c r="Q56" s="384"/>
      <c r="R56" s="385">
        <f t="shared" si="1"/>
        <v>35.5</v>
      </c>
      <c r="S56" s="388">
        <v>5</v>
      </c>
      <c r="T56" s="342"/>
      <c r="U56" s="355"/>
      <c r="V56" s="343" t="s">
        <v>105</v>
      </c>
      <c r="W56" s="334" t="s">
        <v>74</v>
      </c>
      <c r="X56" s="334" t="s">
        <v>11</v>
      </c>
      <c r="Y56" s="344">
        <v>14.9</v>
      </c>
      <c r="Z56" s="334" t="s">
        <v>72</v>
      </c>
      <c r="AA56" s="334" t="s">
        <v>88</v>
      </c>
      <c r="AB56" s="334" t="s">
        <v>11</v>
      </c>
      <c r="AC56" s="334">
        <v>12</v>
      </c>
      <c r="AD56" s="343" t="s">
        <v>106</v>
      </c>
      <c r="AE56" s="334" t="s">
        <v>107</v>
      </c>
      <c r="AF56" s="334" t="s">
        <v>18</v>
      </c>
      <c r="AG56" s="344">
        <v>8.6</v>
      </c>
      <c r="AL56" s="343"/>
      <c r="AO56" s="344"/>
      <c r="AP56" s="343"/>
      <c r="AS56" s="344"/>
      <c r="AW56" s="344"/>
      <c r="BA56" s="345"/>
    </row>
    <row r="57" spans="1:53" s="334" customFormat="1">
      <c r="A57" s="386">
        <v>1984</v>
      </c>
      <c r="B57" s="355"/>
      <c r="C57" s="965" t="s">
        <v>266</v>
      </c>
      <c r="D57" s="965"/>
      <c r="E57" s="334">
        <v>20</v>
      </c>
      <c r="G57" s="419">
        <v>16</v>
      </c>
      <c r="H57" s="334">
        <v>5</v>
      </c>
      <c r="J57" s="435">
        <v>21</v>
      </c>
      <c r="K57" s="384">
        <f t="shared" si="20"/>
        <v>76.19047619047619</v>
      </c>
      <c r="L57" s="384">
        <f t="shared" si="21"/>
        <v>23.809523809523807</v>
      </c>
      <c r="M57" s="384">
        <f t="shared" si="22"/>
        <v>0</v>
      </c>
      <c r="N57" s="421">
        <f t="shared" si="0"/>
        <v>100</v>
      </c>
      <c r="O57" s="383">
        <v>26.9</v>
      </c>
      <c r="P57" s="384">
        <v>8.6</v>
      </c>
      <c r="Q57" s="384"/>
      <c r="R57" s="385">
        <f t="shared" si="1"/>
        <v>35.5</v>
      </c>
      <c r="S57" s="388">
        <v>5</v>
      </c>
      <c r="T57" s="342"/>
      <c r="U57" s="355"/>
      <c r="V57" s="343" t="s">
        <v>105</v>
      </c>
      <c r="W57" s="334" t="s">
        <v>74</v>
      </c>
      <c r="X57" s="334" t="s">
        <v>11</v>
      </c>
      <c r="Y57" s="344">
        <v>14.9</v>
      </c>
      <c r="Z57" s="334" t="s">
        <v>72</v>
      </c>
      <c r="AA57" s="334" t="s">
        <v>88</v>
      </c>
      <c r="AB57" s="334" t="s">
        <v>11</v>
      </c>
      <c r="AC57" s="334">
        <v>12</v>
      </c>
      <c r="AD57" s="343" t="s">
        <v>106</v>
      </c>
      <c r="AE57" s="334" t="s">
        <v>107</v>
      </c>
      <c r="AF57" s="334" t="s">
        <v>18</v>
      </c>
      <c r="AG57" s="344">
        <v>8.6</v>
      </c>
      <c r="AL57" s="343"/>
      <c r="AO57" s="344"/>
      <c r="AP57" s="343"/>
      <c r="AS57" s="344"/>
      <c r="AW57" s="344"/>
      <c r="BA57" s="345"/>
    </row>
    <row r="58" spans="1:53" s="73" customFormat="1">
      <c r="A58" s="102">
        <v>1984</v>
      </c>
      <c r="B58" s="85">
        <v>30702</v>
      </c>
      <c r="C58" s="966" t="s">
        <v>267</v>
      </c>
      <c r="D58" s="966"/>
      <c r="E58" s="73">
        <v>346</v>
      </c>
      <c r="F58" s="73">
        <v>5</v>
      </c>
      <c r="G58" s="123">
        <v>16</v>
      </c>
      <c r="H58" s="73">
        <v>5</v>
      </c>
      <c r="J58" s="134">
        <v>21</v>
      </c>
      <c r="K58" s="92">
        <f t="shared" si="20"/>
        <v>76.19047619047619</v>
      </c>
      <c r="L58" s="92">
        <f t="shared" si="21"/>
        <v>23.809523809523807</v>
      </c>
      <c r="M58" s="92">
        <f t="shared" si="22"/>
        <v>0</v>
      </c>
      <c r="N58" s="125">
        <f t="shared" si="0"/>
        <v>100</v>
      </c>
      <c r="O58" s="91">
        <v>36.6</v>
      </c>
      <c r="P58" s="92">
        <v>4.5999999999999996</v>
      </c>
      <c r="Q58" s="92"/>
      <c r="R58" s="93">
        <f t="shared" si="1"/>
        <v>41.2</v>
      </c>
      <c r="S58" s="97">
        <v>5</v>
      </c>
      <c r="T58" s="95">
        <v>30691</v>
      </c>
      <c r="U58" s="85">
        <v>30702</v>
      </c>
      <c r="V58" s="82" t="s">
        <v>105</v>
      </c>
      <c r="W58" s="73" t="s">
        <v>74</v>
      </c>
      <c r="X58" s="73" t="s">
        <v>11</v>
      </c>
      <c r="Y58" s="83">
        <v>24</v>
      </c>
      <c r="Z58" s="73" t="s">
        <v>72</v>
      </c>
      <c r="AA58" s="73" t="s">
        <v>88</v>
      </c>
      <c r="AB58" s="73" t="s">
        <v>11</v>
      </c>
      <c r="AC58" s="73">
        <v>12.6</v>
      </c>
      <c r="AD58" s="82" t="s">
        <v>106</v>
      </c>
      <c r="AE58" s="73" t="s">
        <v>107</v>
      </c>
      <c r="AF58" s="73" t="s">
        <v>18</v>
      </c>
      <c r="AG58" s="83">
        <v>4.5999999999999996</v>
      </c>
      <c r="AL58" s="82"/>
      <c r="AO58" s="83"/>
      <c r="AP58" s="82"/>
      <c r="AS58" s="83"/>
      <c r="AW58" s="83"/>
      <c r="BA58" s="84"/>
    </row>
    <row r="59" spans="1:53" s="73" customFormat="1">
      <c r="A59" s="102">
        <v>1985</v>
      </c>
      <c r="B59" s="85"/>
      <c r="C59" s="966" t="s">
        <v>267</v>
      </c>
      <c r="D59" s="966"/>
      <c r="E59" s="73">
        <v>0</v>
      </c>
      <c r="G59" s="123">
        <v>16</v>
      </c>
      <c r="H59" s="73">
        <v>5</v>
      </c>
      <c r="J59" s="134">
        <v>21</v>
      </c>
      <c r="K59" s="92">
        <f>G59/J59*100</f>
        <v>76.19047619047619</v>
      </c>
      <c r="L59" s="92">
        <f>H59/J59*100</f>
        <v>23.809523809523807</v>
      </c>
      <c r="M59" s="92">
        <f>I59/J59*100</f>
        <v>0</v>
      </c>
      <c r="N59" s="125">
        <f t="shared" si="0"/>
        <v>100</v>
      </c>
      <c r="O59" s="91">
        <v>36.6</v>
      </c>
      <c r="P59" s="92">
        <v>4.5999999999999996</v>
      </c>
      <c r="Q59" s="92"/>
      <c r="R59" s="93">
        <f t="shared" si="1"/>
        <v>41.2</v>
      </c>
      <c r="S59" s="97">
        <v>5</v>
      </c>
      <c r="T59" s="95"/>
      <c r="U59" s="85"/>
      <c r="V59" s="82" t="s">
        <v>105</v>
      </c>
      <c r="W59" s="73" t="s">
        <v>74</v>
      </c>
      <c r="X59" s="73" t="s">
        <v>11</v>
      </c>
      <c r="Y59" s="83">
        <v>24</v>
      </c>
      <c r="Z59" s="73" t="s">
        <v>72</v>
      </c>
      <c r="AA59" s="73" t="s">
        <v>88</v>
      </c>
      <c r="AB59" s="73" t="s">
        <v>11</v>
      </c>
      <c r="AC59" s="73">
        <v>12.6</v>
      </c>
      <c r="AD59" s="82" t="s">
        <v>106</v>
      </c>
      <c r="AE59" s="73" t="s">
        <v>107</v>
      </c>
      <c r="AF59" s="73" t="s">
        <v>18</v>
      </c>
      <c r="AG59" s="83">
        <v>4.5999999999999996</v>
      </c>
      <c r="AL59" s="82"/>
      <c r="AO59" s="83"/>
      <c r="AP59" s="82"/>
      <c r="AS59" s="83"/>
      <c r="AW59" s="83"/>
      <c r="BA59" s="84"/>
    </row>
    <row r="60" spans="1:53" s="73" customFormat="1">
      <c r="A60" s="102">
        <v>1985</v>
      </c>
      <c r="B60" s="85"/>
      <c r="C60" s="966" t="s">
        <v>267</v>
      </c>
      <c r="D60" s="966"/>
      <c r="E60" s="73">
        <v>365</v>
      </c>
      <c r="G60" s="123">
        <v>16</v>
      </c>
      <c r="H60" s="73">
        <v>5</v>
      </c>
      <c r="J60" s="134">
        <v>21</v>
      </c>
      <c r="K60" s="92">
        <f t="shared" ref="K60:K65" si="23">G60/J60*100</f>
        <v>76.19047619047619</v>
      </c>
      <c r="L60" s="92">
        <f t="shared" ref="L60:L65" si="24">H60/J60*100</f>
        <v>23.809523809523807</v>
      </c>
      <c r="M60" s="92">
        <f t="shared" ref="M60:M65" si="25">I60/J60*100</f>
        <v>0</v>
      </c>
      <c r="N60" s="125">
        <f t="shared" si="0"/>
        <v>100</v>
      </c>
      <c r="O60" s="91">
        <v>36.6</v>
      </c>
      <c r="P60" s="92">
        <v>4.5999999999999996</v>
      </c>
      <c r="Q60" s="92"/>
      <c r="R60" s="93">
        <f t="shared" si="1"/>
        <v>41.2</v>
      </c>
      <c r="S60" s="97">
        <v>5</v>
      </c>
      <c r="T60" s="95"/>
      <c r="U60" s="85"/>
      <c r="V60" s="82" t="s">
        <v>105</v>
      </c>
      <c r="W60" s="73" t="s">
        <v>74</v>
      </c>
      <c r="X60" s="73" t="s">
        <v>11</v>
      </c>
      <c r="Y60" s="83">
        <v>24</v>
      </c>
      <c r="Z60" s="73" t="s">
        <v>72</v>
      </c>
      <c r="AA60" s="73" t="s">
        <v>88</v>
      </c>
      <c r="AB60" s="73" t="s">
        <v>11</v>
      </c>
      <c r="AC60" s="73">
        <v>12.6</v>
      </c>
      <c r="AD60" s="82" t="s">
        <v>106</v>
      </c>
      <c r="AE60" s="73" t="s">
        <v>107</v>
      </c>
      <c r="AF60" s="73" t="s">
        <v>18</v>
      </c>
      <c r="AG60" s="83">
        <v>4.5999999999999996</v>
      </c>
      <c r="AL60" s="82"/>
      <c r="AO60" s="83"/>
      <c r="AP60" s="82"/>
      <c r="AS60" s="83"/>
      <c r="AW60" s="83"/>
      <c r="BA60" s="84"/>
    </row>
    <row r="61" spans="1:53" s="73" customFormat="1">
      <c r="A61" s="102">
        <v>1986</v>
      </c>
      <c r="B61" s="85"/>
      <c r="C61" s="966" t="s">
        <v>267</v>
      </c>
      <c r="D61" s="966"/>
      <c r="E61" s="73">
        <v>0</v>
      </c>
      <c r="G61" s="123">
        <v>16</v>
      </c>
      <c r="H61" s="73">
        <v>5</v>
      </c>
      <c r="J61" s="134">
        <v>21</v>
      </c>
      <c r="K61" s="92">
        <f t="shared" si="23"/>
        <v>76.19047619047619</v>
      </c>
      <c r="L61" s="92">
        <f t="shared" si="24"/>
        <v>23.809523809523807</v>
      </c>
      <c r="M61" s="92">
        <f t="shared" si="25"/>
        <v>0</v>
      </c>
      <c r="N61" s="125">
        <f t="shared" si="0"/>
        <v>100</v>
      </c>
      <c r="O61" s="91">
        <v>36.6</v>
      </c>
      <c r="P61" s="92">
        <v>4.5999999999999996</v>
      </c>
      <c r="Q61" s="92"/>
      <c r="R61" s="93">
        <f t="shared" si="1"/>
        <v>41.2</v>
      </c>
      <c r="S61" s="97">
        <v>5</v>
      </c>
      <c r="T61" s="95"/>
      <c r="U61" s="85"/>
      <c r="V61" s="82" t="s">
        <v>105</v>
      </c>
      <c r="W61" s="73" t="s">
        <v>74</v>
      </c>
      <c r="X61" s="73" t="s">
        <v>11</v>
      </c>
      <c r="Y61" s="83">
        <v>24</v>
      </c>
      <c r="Z61" s="73" t="s">
        <v>72</v>
      </c>
      <c r="AA61" s="73" t="s">
        <v>88</v>
      </c>
      <c r="AB61" s="73" t="s">
        <v>11</v>
      </c>
      <c r="AC61" s="73">
        <v>12.6</v>
      </c>
      <c r="AD61" s="82" t="s">
        <v>106</v>
      </c>
      <c r="AE61" s="73" t="s">
        <v>107</v>
      </c>
      <c r="AF61" s="73" t="s">
        <v>18</v>
      </c>
      <c r="AG61" s="83">
        <v>4.5999999999999996</v>
      </c>
      <c r="AL61" s="82"/>
      <c r="AO61" s="83"/>
      <c r="AP61" s="82"/>
      <c r="AS61" s="83"/>
      <c r="AW61" s="83"/>
      <c r="BA61" s="84"/>
    </row>
    <row r="62" spans="1:53" s="73" customFormat="1">
      <c r="A62" s="102">
        <v>1986</v>
      </c>
      <c r="B62" s="85"/>
      <c r="C62" s="966" t="s">
        <v>267</v>
      </c>
      <c r="D62" s="966"/>
      <c r="E62" s="73">
        <v>365</v>
      </c>
      <c r="G62" s="123">
        <v>16</v>
      </c>
      <c r="H62" s="73">
        <v>5</v>
      </c>
      <c r="J62" s="134">
        <v>21</v>
      </c>
      <c r="K62" s="92">
        <f t="shared" si="23"/>
        <v>76.19047619047619</v>
      </c>
      <c r="L62" s="92">
        <f t="shared" si="24"/>
        <v>23.809523809523807</v>
      </c>
      <c r="M62" s="92">
        <f t="shared" si="25"/>
        <v>0</v>
      </c>
      <c r="N62" s="125">
        <f t="shared" si="0"/>
        <v>100</v>
      </c>
      <c r="O62" s="91">
        <v>36.6</v>
      </c>
      <c r="P62" s="92">
        <v>4.5999999999999996</v>
      </c>
      <c r="Q62" s="92"/>
      <c r="R62" s="93">
        <f t="shared" si="1"/>
        <v>41.2</v>
      </c>
      <c r="S62" s="97">
        <v>5</v>
      </c>
      <c r="T62" s="95"/>
      <c r="U62" s="85"/>
      <c r="V62" s="82" t="s">
        <v>105</v>
      </c>
      <c r="W62" s="73" t="s">
        <v>74</v>
      </c>
      <c r="X62" s="73" t="s">
        <v>11</v>
      </c>
      <c r="Y62" s="83">
        <v>24</v>
      </c>
      <c r="Z62" s="73" t="s">
        <v>72</v>
      </c>
      <c r="AA62" s="73" t="s">
        <v>88</v>
      </c>
      <c r="AB62" s="73" t="s">
        <v>11</v>
      </c>
      <c r="AC62" s="73">
        <v>12.6</v>
      </c>
      <c r="AD62" s="82" t="s">
        <v>106</v>
      </c>
      <c r="AE62" s="73" t="s">
        <v>107</v>
      </c>
      <c r="AF62" s="73" t="s">
        <v>18</v>
      </c>
      <c r="AG62" s="83">
        <v>4.5999999999999996</v>
      </c>
      <c r="AL62" s="82"/>
      <c r="AO62" s="83"/>
      <c r="AP62" s="82"/>
      <c r="AS62" s="83"/>
      <c r="AW62" s="83"/>
      <c r="BA62" s="84"/>
    </row>
    <row r="63" spans="1:53" s="73" customFormat="1">
      <c r="A63" s="102">
        <v>1987</v>
      </c>
      <c r="B63" s="85"/>
      <c r="C63" s="966" t="s">
        <v>267</v>
      </c>
      <c r="D63" s="966"/>
      <c r="E63" s="73">
        <v>252</v>
      </c>
      <c r="G63" s="123">
        <v>16</v>
      </c>
      <c r="H63" s="73">
        <v>5</v>
      </c>
      <c r="J63" s="134">
        <v>21</v>
      </c>
      <c r="K63" s="92">
        <f t="shared" si="23"/>
        <v>76.19047619047619</v>
      </c>
      <c r="L63" s="92">
        <f t="shared" si="24"/>
        <v>23.809523809523807</v>
      </c>
      <c r="M63" s="92">
        <f t="shared" si="25"/>
        <v>0</v>
      </c>
      <c r="N63" s="125">
        <f t="shared" si="0"/>
        <v>100</v>
      </c>
      <c r="O63" s="91">
        <v>36.6</v>
      </c>
      <c r="P63" s="92">
        <v>4.5999999999999996</v>
      </c>
      <c r="Q63" s="92"/>
      <c r="R63" s="93">
        <f t="shared" si="1"/>
        <v>41.2</v>
      </c>
      <c r="S63" s="97">
        <v>5</v>
      </c>
      <c r="T63" s="95"/>
      <c r="U63" s="85"/>
      <c r="V63" s="82" t="s">
        <v>105</v>
      </c>
      <c r="W63" s="73" t="s">
        <v>74</v>
      </c>
      <c r="X63" s="73" t="s">
        <v>11</v>
      </c>
      <c r="Y63" s="83">
        <v>24</v>
      </c>
      <c r="Z63" s="73" t="s">
        <v>72</v>
      </c>
      <c r="AA63" s="73" t="s">
        <v>88</v>
      </c>
      <c r="AB63" s="73" t="s">
        <v>11</v>
      </c>
      <c r="AC63" s="73">
        <v>12.6</v>
      </c>
      <c r="AD63" s="82" t="s">
        <v>106</v>
      </c>
      <c r="AE63" s="73" t="s">
        <v>107</v>
      </c>
      <c r="AF63" s="73" t="s">
        <v>18</v>
      </c>
      <c r="AG63" s="83">
        <v>4.5999999999999996</v>
      </c>
      <c r="AL63" s="82"/>
      <c r="AO63" s="83"/>
      <c r="AP63" s="82"/>
      <c r="AS63" s="83"/>
      <c r="AW63" s="83"/>
      <c r="BA63" s="84"/>
    </row>
    <row r="64" spans="1:53" s="334" customFormat="1">
      <c r="A64" s="386">
        <v>1987</v>
      </c>
      <c r="B64" s="355">
        <v>32030</v>
      </c>
      <c r="C64" s="965" t="s">
        <v>268</v>
      </c>
      <c r="D64" s="965"/>
      <c r="E64" s="334">
        <v>113</v>
      </c>
      <c r="F64" s="334">
        <v>1</v>
      </c>
      <c r="G64" s="419">
        <v>18</v>
      </c>
      <c r="H64" s="334">
        <v>4</v>
      </c>
      <c r="J64" s="435">
        <v>22</v>
      </c>
      <c r="K64" s="384">
        <f t="shared" si="23"/>
        <v>81.818181818181827</v>
      </c>
      <c r="L64" s="384">
        <f t="shared" si="24"/>
        <v>18.181818181818183</v>
      </c>
      <c r="M64" s="384">
        <f t="shared" si="25"/>
        <v>0</v>
      </c>
      <c r="N64" s="421">
        <f t="shared" si="0"/>
        <v>100.00000000000001</v>
      </c>
      <c r="O64" s="383">
        <v>32.6</v>
      </c>
      <c r="P64" s="384">
        <f>5.1+2.4</f>
        <v>7.5</v>
      </c>
      <c r="Q64" s="384"/>
      <c r="R64" s="385">
        <f t="shared" si="1"/>
        <v>40.1</v>
      </c>
      <c r="S64" s="388">
        <v>5</v>
      </c>
      <c r="T64" s="342">
        <v>32028</v>
      </c>
      <c r="U64" s="355">
        <v>32030</v>
      </c>
      <c r="V64" s="343" t="s">
        <v>105</v>
      </c>
      <c r="W64" s="334" t="s">
        <v>74</v>
      </c>
      <c r="X64" s="334" t="s">
        <v>11</v>
      </c>
      <c r="Y64" s="344">
        <v>21.7</v>
      </c>
      <c r="Z64" s="334" t="s">
        <v>72</v>
      </c>
      <c r="AA64" s="334" t="s">
        <v>88</v>
      </c>
      <c r="AB64" s="334" t="s">
        <v>11</v>
      </c>
      <c r="AC64" s="334">
        <v>10.9</v>
      </c>
      <c r="AD64" s="343" t="s">
        <v>106</v>
      </c>
      <c r="AE64" s="334" t="s">
        <v>107</v>
      </c>
      <c r="AF64" s="334" t="s">
        <v>18</v>
      </c>
      <c r="AG64" s="344">
        <v>5.0999999999999996</v>
      </c>
      <c r="AH64" s="334" t="s">
        <v>271</v>
      </c>
      <c r="AI64" s="334" t="s">
        <v>17</v>
      </c>
      <c r="AJ64" s="334" t="s">
        <v>18</v>
      </c>
      <c r="AK64" s="334">
        <v>2.4</v>
      </c>
      <c r="AL64" s="343"/>
      <c r="AO64" s="344"/>
      <c r="AP64" s="343"/>
      <c r="AS64" s="344"/>
      <c r="AW64" s="344"/>
      <c r="BA64" s="345"/>
    </row>
    <row r="65" spans="1:53" s="334" customFormat="1">
      <c r="A65" s="386">
        <v>1988</v>
      </c>
      <c r="B65" s="355"/>
      <c r="C65" s="965" t="s">
        <v>268</v>
      </c>
      <c r="D65" s="965"/>
      <c r="E65" s="334">
        <v>154</v>
      </c>
      <c r="G65" s="419">
        <v>18</v>
      </c>
      <c r="H65" s="334">
        <v>4</v>
      </c>
      <c r="J65" s="435">
        <v>22</v>
      </c>
      <c r="K65" s="384">
        <f t="shared" si="23"/>
        <v>81.818181818181827</v>
      </c>
      <c r="L65" s="384">
        <f t="shared" si="24"/>
        <v>18.181818181818183</v>
      </c>
      <c r="M65" s="384">
        <f t="shared" si="25"/>
        <v>0</v>
      </c>
      <c r="N65" s="421">
        <f t="shared" si="0"/>
        <v>100.00000000000001</v>
      </c>
      <c r="O65" s="383">
        <v>32.6</v>
      </c>
      <c r="P65" s="384">
        <f>5.1+2.4</f>
        <v>7.5</v>
      </c>
      <c r="Q65" s="384"/>
      <c r="R65" s="385">
        <f t="shared" si="1"/>
        <v>40.1</v>
      </c>
      <c r="S65" s="388">
        <v>5</v>
      </c>
      <c r="T65" s="342"/>
      <c r="U65" s="355"/>
      <c r="V65" s="343" t="s">
        <v>105</v>
      </c>
      <c r="W65" s="334" t="s">
        <v>74</v>
      </c>
      <c r="X65" s="334" t="s">
        <v>11</v>
      </c>
      <c r="Y65" s="344">
        <v>21.7</v>
      </c>
      <c r="Z65" s="334" t="s">
        <v>72</v>
      </c>
      <c r="AA65" s="334" t="s">
        <v>88</v>
      </c>
      <c r="AB65" s="334" t="s">
        <v>11</v>
      </c>
      <c r="AC65" s="334">
        <v>10.9</v>
      </c>
      <c r="AD65" s="343" t="s">
        <v>106</v>
      </c>
      <c r="AE65" s="334" t="s">
        <v>107</v>
      </c>
      <c r="AF65" s="334" t="s">
        <v>18</v>
      </c>
      <c r="AG65" s="344">
        <v>5.0999999999999996</v>
      </c>
      <c r="AH65" s="334" t="s">
        <v>271</v>
      </c>
      <c r="AI65" s="334" t="s">
        <v>17</v>
      </c>
      <c r="AJ65" s="334" t="s">
        <v>18</v>
      </c>
      <c r="AK65" s="334">
        <v>2.4</v>
      </c>
      <c r="AL65" s="343"/>
      <c r="AO65" s="344"/>
      <c r="AP65" s="343"/>
      <c r="AS65" s="344"/>
      <c r="AW65" s="344"/>
      <c r="BA65" s="345"/>
    </row>
    <row r="66" spans="1:53" s="73" customFormat="1">
      <c r="A66" s="102">
        <v>1988</v>
      </c>
      <c r="B66" s="85">
        <v>32297</v>
      </c>
      <c r="C66" s="966" t="s">
        <v>269</v>
      </c>
      <c r="D66" s="966"/>
      <c r="E66" s="73">
        <v>212</v>
      </c>
      <c r="F66" s="73">
        <v>5</v>
      </c>
      <c r="G66" s="123">
        <v>21</v>
      </c>
      <c r="J66" s="134">
        <v>21</v>
      </c>
      <c r="K66" s="92">
        <f>G66/J66*100</f>
        <v>100</v>
      </c>
      <c r="L66" s="92">
        <f>H66/J66*100</f>
        <v>0</v>
      </c>
      <c r="M66" s="92">
        <f>I66/J66*100</f>
        <v>0</v>
      </c>
      <c r="N66" s="125">
        <f t="shared" si="0"/>
        <v>100</v>
      </c>
      <c r="O66" s="91">
        <v>38.299999999999997</v>
      </c>
      <c r="P66" s="92"/>
      <c r="Q66" s="92"/>
      <c r="R66" s="93">
        <f t="shared" si="1"/>
        <v>38.299999999999997</v>
      </c>
      <c r="S66" s="97">
        <v>5</v>
      </c>
      <c r="T66" s="95">
        <v>32273</v>
      </c>
      <c r="U66" s="85">
        <v>32297</v>
      </c>
      <c r="V66" s="82" t="s">
        <v>105</v>
      </c>
      <c r="W66" s="73" t="s">
        <v>74</v>
      </c>
      <c r="X66" s="73" t="s">
        <v>11</v>
      </c>
      <c r="Y66" s="83">
        <v>20</v>
      </c>
      <c r="Z66" s="73" t="s">
        <v>72</v>
      </c>
      <c r="AA66" s="73" t="s">
        <v>88</v>
      </c>
      <c r="AB66" s="73" t="s">
        <v>11</v>
      </c>
      <c r="AC66" s="73">
        <v>12.6</v>
      </c>
      <c r="AD66" s="82" t="s">
        <v>103</v>
      </c>
      <c r="AE66" s="73" t="s">
        <v>22</v>
      </c>
      <c r="AF66" s="73" t="s">
        <v>11</v>
      </c>
      <c r="AG66" s="83">
        <v>5.7</v>
      </c>
      <c r="AL66" s="82"/>
      <c r="AO66" s="83"/>
      <c r="AP66" s="82"/>
      <c r="AS66" s="83"/>
      <c r="AW66" s="83"/>
      <c r="BA66" s="84"/>
    </row>
    <row r="67" spans="1:53" s="73" customFormat="1">
      <c r="A67" s="73">
        <v>1989</v>
      </c>
      <c r="B67" s="85"/>
      <c r="C67" s="966" t="s">
        <v>269</v>
      </c>
      <c r="D67" s="966"/>
      <c r="E67" s="73">
        <v>0</v>
      </c>
      <c r="G67" s="123">
        <v>21</v>
      </c>
      <c r="J67" s="134">
        <v>21</v>
      </c>
      <c r="K67" s="92">
        <f>G67/J67*100</f>
        <v>100</v>
      </c>
      <c r="L67" s="92">
        <f>H67/J67*100</f>
        <v>0</v>
      </c>
      <c r="M67" s="92">
        <f>I67/J67*100</f>
        <v>0</v>
      </c>
      <c r="N67" s="125">
        <f t="shared" si="0"/>
        <v>100</v>
      </c>
      <c r="O67" s="91">
        <v>38.299999999999997</v>
      </c>
      <c r="P67" s="92"/>
      <c r="Q67" s="92"/>
      <c r="R67" s="93">
        <f t="shared" si="1"/>
        <v>38.299999999999997</v>
      </c>
      <c r="S67" s="97">
        <v>5</v>
      </c>
      <c r="T67" s="95"/>
      <c r="U67" s="85"/>
      <c r="V67" s="82" t="s">
        <v>105</v>
      </c>
      <c r="W67" s="73" t="s">
        <v>74</v>
      </c>
      <c r="X67" s="73" t="s">
        <v>11</v>
      </c>
      <c r="Y67" s="83">
        <v>20</v>
      </c>
      <c r="Z67" s="73" t="s">
        <v>72</v>
      </c>
      <c r="AA67" s="73" t="s">
        <v>88</v>
      </c>
      <c r="AB67" s="73" t="s">
        <v>11</v>
      </c>
      <c r="AC67" s="73">
        <v>12.6</v>
      </c>
      <c r="AD67" s="82" t="s">
        <v>103</v>
      </c>
      <c r="AE67" s="73" t="s">
        <v>22</v>
      </c>
      <c r="AF67" s="73" t="s">
        <v>11</v>
      </c>
      <c r="AG67" s="83">
        <v>5.7</v>
      </c>
      <c r="AL67" s="82"/>
      <c r="AO67" s="83"/>
      <c r="AP67" s="82"/>
      <c r="AS67" s="83"/>
      <c r="AW67" s="83"/>
      <c r="BA67" s="84"/>
    </row>
    <row r="68" spans="1:53" s="136" customFormat="1">
      <c r="A68" s="136">
        <v>1989</v>
      </c>
      <c r="B68" s="137"/>
      <c r="C68" s="1000" t="s">
        <v>269</v>
      </c>
      <c r="D68" s="1000"/>
      <c r="E68" s="136">
        <v>365</v>
      </c>
      <c r="G68" s="138">
        <v>21</v>
      </c>
      <c r="J68" s="139">
        <v>21</v>
      </c>
      <c r="K68" s="140">
        <f>G68/J68*100</f>
        <v>100</v>
      </c>
      <c r="L68" s="140">
        <f>H68/J68*100</f>
        <v>0</v>
      </c>
      <c r="M68" s="140">
        <f>I68/J68*100</f>
        <v>0</v>
      </c>
      <c r="N68" s="141">
        <f t="shared" si="0"/>
        <v>100</v>
      </c>
      <c r="O68" s="142">
        <v>38.299999999999997</v>
      </c>
      <c r="P68" s="140"/>
      <c r="Q68" s="140"/>
      <c r="R68" s="143">
        <f t="shared" si="1"/>
        <v>38.299999999999997</v>
      </c>
      <c r="S68" s="144">
        <v>5</v>
      </c>
      <c r="T68" s="145"/>
      <c r="U68" s="137"/>
      <c r="V68" s="146" t="s">
        <v>105</v>
      </c>
      <c r="W68" s="136" t="s">
        <v>74</v>
      </c>
      <c r="X68" s="136" t="s">
        <v>11</v>
      </c>
      <c r="Y68" s="147">
        <v>20</v>
      </c>
      <c r="Z68" s="136" t="s">
        <v>72</v>
      </c>
      <c r="AA68" s="136" t="s">
        <v>88</v>
      </c>
      <c r="AB68" s="136" t="s">
        <v>11</v>
      </c>
      <c r="AC68" s="136">
        <v>12.6</v>
      </c>
      <c r="AD68" s="146" t="s">
        <v>103</v>
      </c>
      <c r="AE68" s="136" t="s">
        <v>22</v>
      </c>
      <c r="AF68" s="136" t="s">
        <v>11</v>
      </c>
      <c r="AG68" s="147">
        <v>5.7</v>
      </c>
      <c r="AL68" s="146"/>
      <c r="AO68" s="147"/>
      <c r="AP68" s="146"/>
      <c r="AS68" s="147"/>
      <c r="AW68" s="147"/>
      <c r="BA68" s="148"/>
    </row>
    <row r="69" spans="1:53" s="73" customFormat="1">
      <c r="A69" s="73">
        <v>1990</v>
      </c>
      <c r="C69" s="966" t="s">
        <v>269</v>
      </c>
      <c r="D69" s="966"/>
      <c r="E69" s="73">
        <v>351</v>
      </c>
      <c r="G69" s="123">
        <v>21</v>
      </c>
      <c r="J69" s="134">
        <v>21</v>
      </c>
      <c r="K69" s="92">
        <v>100</v>
      </c>
      <c r="L69" s="92">
        <v>0</v>
      </c>
      <c r="M69" s="92">
        <v>0</v>
      </c>
      <c r="N69" s="125">
        <f t="shared" si="0"/>
        <v>100</v>
      </c>
      <c r="O69" s="91">
        <v>38.299999999999997</v>
      </c>
      <c r="P69" s="92"/>
      <c r="Q69" s="92"/>
      <c r="R69" s="93">
        <f t="shared" si="1"/>
        <v>38.299999999999997</v>
      </c>
      <c r="S69" s="97">
        <v>5</v>
      </c>
      <c r="T69" s="95"/>
      <c r="U69" s="85"/>
      <c r="V69" s="82" t="s">
        <v>105</v>
      </c>
      <c r="W69" s="73" t="s">
        <v>74</v>
      </c>
      <c r="X69" s="73" t="s">
        <v>11</v>
      </c>
      <c r="Y69" s="83">
        <v>20</v>
      </c>
      <c r="Z69" s="73" t="s">
        <v>72</v>
      </c>
      <c r="AA69" s="73" t="s">
        <v>88</v>
      </c>
      <c r="AB69" s="73" t="s">
        <v>11</v>
      </c>
      <c r="AC69" s="73">
        <v>12.6</v>
      </c>
      <c r="AD69" s="82" t="s">
        <v>103</v>
      </c>
      <c r="AE69" s="73" t="s">
        <v>22</v>
      </c>
      <c r="AF69" s="73" t="s">
        <v>11</v>
      </c>
      <c r="AG69" s="83">
        <v>5.7</v>
      </c>
      <c r="AL69" s="82"/>
      <c r="AO69" s="83"/>
      <c r="AP69" s="82"/>
      <c r="AS69" s="83"/>
      <c r="AW69" s="83"/>
      <c r="BA69" s="84"/>
    </row>
    <row r="70" spans="1:53" s="334" customFormat="1">
      <c r="A70" s="334">
        <v>1990</v>
      </c>
      <c r="B70" s="355">
        <v>33225</v>
      </c>
      <c r="C70" s="965" t="s">
        <v>270</v>
      </c>
      <c r="D70" s="965"/>
      <c r="E70" s="334">
        <f>365-E69</f>
        <v>14</v>
      </c>
      <c r="F70" s="334">
        <v>5</v>
      </c>
      <c r="G70" s="419">
        <v>19</v>
      </c>
      <c r="J70" s="435">
        <v>19</v>
      </c>
      <c r="K70" s="384">
        <f>G70/J70*100</f>
        <v>100</v>
      </c>
      <c r="L70" s="384">
        <f>H70/J70*100</f>
        <v>0</v>
      </c>
      <c r="M70" s="384">
        <f>I70/J70*100</f>
        <v>0</v>
      </c>
      <c r="N70" s="421">
        <f t="shared" si="0"/>
        <v>100</v>
      </c>
      <c r="O70" s="383">
        <v>33.700000000000003</v>
      </c>
      <c r="P70" s="384"/>
      <c r="Q70" s="384"/>
      <c r="R70" s="385">
        <f t="shared" si="1"/>
        <v>33.700000000000003</v>
      </c>
      <c r="S70" s="388">
        <v>5</v>
      </c>
      <c r="T70" s="342">
        <v>33219</v>
      </c>
      <c r="U70" s="355">
        <v>33225</v>
      </c>
      <c r="V70" s="343" t="s">
        <v>105</v>
      </c>
      <c r="W70" s="334" t="s">
        <v>74</v>
      </c>
      <c r="X70" s="334" t="s">
        <v>11</v>
      </c>
      <c r="Y70" s="344">
        <v>17.100000000000001</v>
      </c>
      <c r="Z70" s="334" t="s">
        <v>72</v>
      </c>
      <c r="AA70" s="334" t="s">
        <v>88</v>
      </c>
      <c r="AB70" s="334" t="s">
        <v>11</v>
      </c>
      <c r="AC70" s="334">
        <v>16.600000000000001</v>
      </c>
      <c r="AD70" s="343"/>
      <c r="AG70" s="344"/>
      <c r="AL70" s="343"/>
      <c r="AO70" s="344"/>
      <c r="AP70" s="343"/>
      <c r="AS70" s="344"/>
      <c r="AW70" s="344"/>
      <c r="BA70" s="345"/>
    </row>
    <row r="71" spans="1:53" s="334" customFormat="1">
      <c r="A71" s="334">
        <v>1991</v>
      </c>
      <c r="C71" s="965" t="s">
        <v>270</v>
      </c>
      <c r="D71" s="965"/>
      <c r="E71" s="334">
        <v>0</v>
      </c>
      <c r="G71" s="419">
        <v>19</v>
      </c>
      <c r="J71" s="435">
        <v>19</v>
      </c>
      <c r="K71" s="384">
        <f>G71/J71*100</f>
        <v>100</v>
      </c>
      <c r="L71" s="384">
        <f>H71/J71*100</f>
        <v>0</v>
      </c>
      <c r="M71" s="384">
        <f>I71/J71*100</f>
        <v>0</v>
      </c>
      <c r="N71" s="421">
        <f t="shared" si="0"/>
        <v>100</v>
      </c>
      <c r="O71" s="383">
        <v>33.700000000000003</v>
      </c>
      <c r="P71" s="384"/>
      <c r="Q71" s="384"/>
      <c r="R71" s="385">
        <f t="shared" si="1"/>
        <v>33.700000000000003</v>
      </c>
      <c r="S71" s="388">
        <v>5</v>
      </c>
      <c r="T71" s="342"/>
      <c r="U71" s="355"/>
      <c r="V71" s="343" t="s">
        <v>105</v>
      </c>
      <c r="W71" s="334" t="s">
        <v>74</v>
      </c>
      <c r="X71" s="334" t="s">
        <v>11</v>
      </c>
      <c r="Y71" s="344">
        <v>17.100000000000001</v>
      </c>
      <c r="Z71" s="334" t="s">
        <v>72</v>
      </c>
      <c r="AA71" s="334" t="s">
        <v>88</v>
      </c>
      <c r="AB71" s="334" t="s">
        <v>11</v>
      </c>
      <c r="AC71" s="334">
        <v>16.600000000000001</v>
      </c>
      <c r="AD71" s="343"/>
      <c r="AG71" s="344"/>
      <c r="AL71" s="343"/>
      <c r="AO71" s="344"/>
      <c r="AP71" s="343"/>
      <c r="AS71" s="344"/>
      <c r="AW71" s="344"/>
      <c r="BA71" s="345"/>
    </row>
    <row r="72" spans="1:53" s="334" customFormat="1">
      <c r="A72" s="334">
        <v>1991</v>
      </c>
      <c r="C72" s="965" t="s">
        <v>270</v>
      </c>
      <c r="D72" s="965"/>
      <c r="E72" s="334">
        <f>365-E71</f>
        <v>365</v>
      </c>
      <c r="G72" s="419">
        <v>19</v>
      </c>
      <c r="J72" s="435">
        <v>19</v>
      </c>
      <c r="K72" s="384">
        <f>G72/J72*100</f>
        <v>100</v>
      </c>
      <c r="L72" s="384">
        <f>H72/J72*100</f>
        <v>0</v>
      </c>
      <c r="M72" s="384">
        <f>I72/J72*100</f>
        <v>0</v>
      </c>
      <c r="N72" s="421">
        <f t="shared" si="0"/>
        <v>100</v>
      </c>
      <c r="O72" s="383">
        <v>33.700000000000003</v>
      </c>
      <c r="P72" s="384"/>
      <c r="Q72" s="384"/>
      <c r="R72" s="385">
        <f t="shared" si="1"/>
        <v>33.700000000000003</v>
      </c>
      <c r="S72" s="388">
        <v>5</v>
      </c>
      <c r="T72" s="342"/>
      <c r="U72" s="355"/>
      <c r="V72" s="343" t="s">
        <v>105</v>
      </c>
      <c r="W72" s="334" t="s">
        <v>74</v>
      </c>
      <c r="X72" s="334" t="s">
        <v>11</v>
      </c>
      <c r="Y72" s="344">
        <v>17.100000000000001</v>
      </c>
      <c r="Z72" s="334" t="s">
        <v>72</v>
      </c>
      <c r="AA72" s="334" t="s">
        <v>88</v>
      </c>
      <c r="AB72" s="334" t="s">
        <v>11</v>
      </c>
      <c r="AC72" s="334">
        <v>16.600000000000001</v>
      </c>
      <c r="AD72" s="343"/>
      <c r="AG72" s="344"/>
      <c r="AL72" s="343"/>
      <c r="AO72" s="344"/>
      <c r="AP72" s="343"/>
      <c r="AS72" s="344"/>
      <c r="AW72" s="344"/>
      <c r="BA72" s="345"/>
    </row>
    <row r="73" spans="1:53" s="334" customFormat="1">
      <c r="A73" s="334">
        <v>1992</v>
      </c>
      <c r="C73" s="965" t="s">
        <v>270</v>
      </c>
      <c r="D73" s="965"/>
      <c r="E73" s="334">
        <v>0</v>
      </c>
      <c r="G73" s="419">
        <v>19</v>
      </c>
      <c r="J73" s="435">
        <v>19</v>
      </c>
      <c r="K73" s="384">
        <f>G73/J73*100</f>
        <v>100</v>
      </c>
      <c r="L73" s="384">
        <f>H73/J73*100</f>
        <v>0</v>
      </c>
      <c r="M73" s="384">
        <f>I73/J73*100</f>
        <v>0</v>
      </c>
      <c r="N73" s="421">
        <f t="shared" ref="N73:N116" si="26">SUM(K73:M73)</f>
        <v>100</v>
      </c>
      <c r="O73" s="383">
        <v>33.700000000000003</v>
      </c>
      <c r="P73" s="384"/>
      <c r="Q73" s="384"/>
      <c r="R73" s="385">
        <f t="shared" ref="R73:R116" si="27">SUM(O73:Q73)</f>
        <v>33.700000000000003</v>
      </c>
      <c r="S73" s="388">
        <v>5</v>
      </c>
      <c r="T73" s="342"/>
      <c r="U73" s="355"/>
      <c r="V73" s="343" t="s">
        <v>105</v>
      </c>
      <c r="W73" s="334" t="s">
        <v>74</v>
      </c>
      <c r="X73" s="334" t="s">
        <v>11</v>
      </c>
      <c r="Y73" s="344">
        <v>17.100000000000001</v>
      </c>
      <c r="Z73" s="334" t="s">
        <v>72</v>
      </c>
      <c r="AA73" s="334" t="s">
        <v>88</v>
      </c>
      <c r="AB73" s="334" t="s">
        <v>11</v>
      </c>
      <c r="AC73" s="334">
        <v>16.600000000000001</v>
      </c>
      <c r="AD73" s="343"/>
      <c r="AG73" s="344"/>
      <c r="AL73" s="343"/>
      <c r="AO73" s="344"/>
      <c r="AP73" s="343"/>
      <c r="AS73" s="344"/>
      <c r="AW73" s="344"/>
      <c r="BA73" s="345"/>
    </row>
    <row r="74" spans="1:53" s="334" customFormat="1">
      <c r="A74" s="334">
        <v>1992</v>
      </c>
      <c r="C74" s="965" t="s">
        <v>270</v>
      </c>
      <c r="D74" s="965"/>
      <c r="E74" s="334">
        <v>366</v>
      </c>
      <c r="G74" s="419">
        <v>19</v>
      </c>
      <c r="J74" s="435">
        <v>19</v>
      </c>
      <c r="K74" s="384">
        <f>G74/J74*100</f>
        <v>100</v>
      </c>
      <c r="L74" s="384">
        <f>H74/J74*100</f>
        <v>0</v>
      </c>
      <c r="M74" s="384">
        <f>I74/J74*100</f>
        <v>0</v>
      </c>
      <c r="N74" s="421">
        <f t="shared" si="26"/>
        <v>100</v>
      </c>
      <c r="O74" s="383">
        <v>33.700000000000003</v>
      </c>
      <c r="P74" s="384"/>
      <c r="Q74" s="384"/>
      <c r="R74" s="385">
        <f t="shared" si="27"/>
        <v>33.700000000000003</v>
      </c>
      <c r="S74" s="388">
        <v>5</v>
      </c>
      <c r="T74" s="342"/>
      <c r="U74" s="355"/>
      <c r="V74" s="343" t="s">
        <v>105</v>
      </c>
      <c r="W74" s="334" t="s">
        <v>74</v>
      </c>
      <c r="X74" s="334" t="s">
        <v>11</v>
      </c>
      <c r="Y74" s="344">
        <v>17.100000000000001</v>
      </c>
      <c r="Z74" s="334" t="s">
        <v>72</v>
      </c>
      <c r="AA74" s="334" t="s">
        <v>88</v>
      </c>
      <c r="AB74" s="334" t="s">
        <v>11</v>
      </c>
      <c r="AC74" s="334">
        <v>16.600000000000001</v>
      </c>
      <c r="AD74" s="343"/>
      <c r="AG74" s="344"/>
      <c r="AL74" s="343"/>
      <c r="AO74" s="344"/>
      <c r="AP74" s="343"/>
      <c r="AS74" s="344"/>
      <c r="AW74" s="344"/>
      <c r="BA74" s="345"/>
    </row>
    <row r="75" spans="1:53" s="334" customFormat="1">
      <c r="A75" s="334">
        <v>1993</v>
      </c>
      <c r="C75" s="965" t="s">
        <v>270</v>
      </c>
      <c r="D75" s="965"/>
      <c r="E75" s="334">
        <v>24</v>
      </c>
      <c r="G75" s="419">
        <v>19</v>
      </c>
      <c r="J75" s="435">
        <v>19</v>
      </c>
      <c r="K75" s="384">
        <f t="shared" ref="K75:K100" si="28">G75/J75*100</f>
        <v>100</v>
      </c>
      <c r="L75" s="384">
        <f t="shared" ref="L75:L100" si="29">H75/J75*100</f>
        <v>0</v>
      </c>
      <c r="M75" s="384">
        <f t="shared" ref="M75:M100" si="30">I75/J75*100</f>
        <v>0</v>
      </c>
      <c r="N75" s="421">
        <f t="shared" si="26"/>
        <v>100</v>
      </c>
      <c r="O75" s="383">
        <v>33.700000000000003</v>
      </c>
      <c r="P75" s="384"/>
      <c r="Q75" s="384"/>
      <c r="R75" s="385">
        <f t="shared" si="27"/>
        <v>33.700000000000003</v>
      </c>
      <c r="S75" s="388">
        <v>5</v>
      </c>
      <c r="T75" s="342"/>
      <c r="U75" s="355"/>
      <c r="V75" s="343" t="s">
        <v>105</v>
      </c>
      <c r="W75" s="334" t="s">
        <v>74</v>
      </c>
      <c r="X75" s="334" t="s">
        <v>11</v>
      </c>
      <c r="Y75" s="344">
        <v>17.100000000000001</v>
      </c>
      <c r="Z75" s="334" t="s">
        <v>72</v>
      </c>
      <c r="AA75" s="334" t="s">
        <v>88</v>
      </c>
      <c r="AB75" s="334" t="s">
        <v>11</v>
      </c>
      <c r="AC75" s="334">
        <v>16.600000000000001</v>
      </c>
      <c r="AD75" s="343"/>
      <c r="AG75" s="344"/>
      <c r="AL75" s="343"/>
      <c r="AO75" s="344"/>
      <c r="AP75" s="343"/>
      <c r="AS75" s="344"/>
      <c r="AW75" s="344"/>
      <c r="BA75" s="345"/>
    </row>
    <row r="76" spans="1:53" s="73" customFormat="1">
      <c r="A76" s="73">
        <v>1993</v>
      </c>
      <c r="B76" s="85">
        <v>33994</v>
      </c>
      <c r="C76" s="988" t="s">
        <v>272</v>
      </c>
      <c r="D76" s="988"/>
      <c r="E76" s="73">
        <f>365-E75</f>
        <v>341</v>
      </c>
      <c r="F76" s="73">
        <v>2</v>
      </c>
      <c r="G76" s="123">
        <v>3</v>
      </c>
      <c r="H76" s="73">
        <v>6</v>
      </c>
      <c r="I76" s="73">
        <v>15</v>
      </c>
      <c r="J76" s="134">
        <v>24</v>
      </c>
      <c r="K76" s="92">
        <f t="shared" si="28"/>
        <v>12.5</v>
      </c>
      <c r="L76" s="92">
        <f t="shared" si="29"/>
        <v>25</v>
      </c>
      <c r="M76" s="92">
        <f t="shared" si="30"/>
        <v>62.5</v>
      </c>
      <c r="N76" s="125">
        <f t="shared" si="26"/>
        <v>100</v>
      </c>
      <c r="O76" s="91">
        <v>4</v>
      </c>
      <c r="P76" s="92">
        <v>7.4</v>
      </c>
      <c r="Q76" s="92">
        <v>39.4</v>
      </c>
      <c r="R76" s="93">
        <f t="shared" si="27"/>
        <v>50.8</v>
      </c>
      <c r="S76" s="97">
        <v>2</v>
      </c>
      <c r="T76" s="95"/>
      <c r="U76" s="85">
        <v>33994</v>
      </c>
      <c r="V76" s="82" t="s">
        <v>102</v>
      </c>
      <c r="W76" s="73" t="s">
        <v>20</v>
      </c>
      <c r="X76" s="73" t="s">
        <v>12</v>
      </c>
      <c r="Y76" s="83">
        <v>39.4</v>
      </c>
      <c r="Z76" s="73" t="s">
        <v>103</v>
      </c>
      <c r="AA76" s="73" t="s">
        <v>22</v>
      </c>
      <c r="AB76" s="73" t="s">
        <v>11</v>
      </c>
      <c r="AC76" s="73">
        <v>4</v>
      </c>
      <c r="AD76" s="82" t="s">
        <v>106</v>
      </c>
      <c r="AE76" s="73" t="s">
        <v>107</v>
      </c>
      <c r="AF76" s="73" t="s">
        <v>18</v>
      </c>
      <c r="AG76" s="83">
        <v>5.0999999999999996</v>
      </c>
      <c r="AH76" s="82" t="s">
        <v>271</v>
      </c>
      <c r="AI76" s="73" t="s">
        <v>17</v>
      </c>
      <c r="AJ76" s="73" t="s">
        <v>18</v>
      </c>
      <c r="AK76" s="83">
        <v>2.2999999999999998</v>
      </c>
      <c r="AL76" s="82"/>
      <c r="AO76" s="83"/>
      <c r="AP76" s="82"/>
      <c r="AS76" s="83"/>
      <c r="AW76" s="83"/>
      <c r="BA76" s="84"/>
    </row>
    <row r="77" spans="1:53" s="73" customFormat="1">
      <c r="A77" s="73">
        <v>1994</v>
      </c>
      <c r="C77" s="988" t="s">
        <v>272</v>
      </c>
      <c r="D77" s="988"/>
      <c r="E77" s="73">
        <v>270</v>
      </c>
      <c r="G77" s="123">
        <v>3</v>
      </c>
      <c r="H77" s="73">
        <v>6</v>
      </c>
      <c r="I77" s="73">
        <v>15</v>
      </c>
      <c r="J77" s="134">
        <v>24</v>
      </c>
      <c r="K77" s="92">
        <f t="shared" si="28"/>
        <v>12.5</v>
      </c>
      <c r="L77" s="92">
        <f t="shared" si="29"/>
        <v>25</v>
      </c>
      <c r="M77" s="92">
        <f t="shared" si="30"/>
        <v>62.5</v>
      </c>
      <c r="N77" s="125">
        <f t="shared" si="26"/>
        <v>100</v>
      </c>
      <c r="O77" s="91">
        <v>4</v>
      </c>
      <c r="P77" s="92">
        <v>7.4</v>
      </c>
      <c r="Q77" s="92">
        <v>39.4</v>
      </c>
      <c r="R77" s="93">
        <f t="shared" si="27"/>
        <v>50.8</v>
      </c>
      <c r="S77" s="97">
        <v>2</v>
      </c>
      <c r="T77" s="95"/>
      <c r="U77" s="85"/>
      <c r="V77" s="82" t="s">
        <v>102</v>
      </c>
      <c r="W77" s="73" t="s">
        <v>20</v>
      </c>
      <c r="X77" s="73" t="s">
        <v>12</v>
      </c>
      <c r="Y77" s="83">
        <v>39.4</v>
      </c>
      <c r="Z77" s="73" t="s">
        <v>103</v>
      </c>
      <c r="AA77" s="73" t="s">
        <v>22</v>
      </c>
      <c r="AB77" s="73" t="s">
        <v>11</v>
      </c>
      <c r="AC77" s="73">
        <v>4</v>
      </c>
      <c r="AD77" s="82" t="s">
        <v>106</v>
      </c>
      <c r="AE77" s="73" t="s">
        <v>107</v>
      </c>
      <c r="AF77" s="73" t="s">
        <v>18</v>
      </c>
      <c r="AG77" s="83">
        <v>5.0999999999999996</v>
      </c>
      <c r="AH77" s="82" t="s">
        <v>271</v>
      </c>
      <c r="AI77" s="73" t="s">
        <v>17</v>
      </c>
      <c r="AJ77" s="73" t="s">
        <v>18</v>
      </c>
      <c r="AK77" s="83">
        <v>2.2999999999999998</v>
      </c>
      <c r="AL77" s="82"/>
      <c r="AO77" s="83"/>
      <c r="AP77" s="82"/>
      <c r="AS77" s="83"/>
      <c r="AW77" s="83"/>
      <c r="BA77" s="84"/>
    </row>
    <row r="78" spans="1:53" s="334" customFormat="1">
      <c r="A78" s="334">
        <v>1994</v>
      </c>
      <c r="B78" s="355">
        <v>34604</v>
      </c>
      <c r="C78" s="992" t="s">
        <v>273</v>
      </c>
      <c r="D78" s="992"/>
      <c r="E78" s="334">
        <f>365-E77</f>
        <v>95</v>
      </c>
      <c r="F78" s="334">
        <v>1</v>
      </c>
      <c r="G78" s="419">
        <v>3</v>
      </c>
      <c r="H78" s="334">
        <v>2</v>
      </c>
      <c r="I78" s="334">
        <v>15</v>
      </c>
      <c r="J78" s="435">
        <v>20</v>
      </c>
      <c r="K78" s="384">
        <f t="shared" si="28"/>
        <v>15</v>
      </c>
      <c r="L78" s="384">
        <f t="shared" si="29"/>
        <v>10</v>
      </c>
      <c r="M78" s="384">
        <f t="shared" si="30"/>
        <v>75</v>
      </c>
      <c r="N78" s="421">
        <f t="shared" si="26"/>
        <v>100</v>
      </c>
      <c r="O78" s="383">
        <v>4.5999999999999996</v>
      </c>
      <c r="P78" s="384">
        <v>2.9</v>
      </c>
      <c r="Q78" s="384">
        <v>35.4</v>
      </c>
      <c r="R78" s="385">
        <f t="shared" si="27"/>
        <v>42.9</v>
      </c>
      <c r="S78" s="388">
        <v>5</v>
      </c>
      <c r="T78" s="342">
        <v>34598</v>
      </c>
      <c r="U78" s="355">
        <v>34604</v>
      </c>
      <c r="V78" s="343" t="s">
        <v>102</v>
      </c>
      <c r="W78" s="334" t="s">
        <v>20</v>
      </c>
      <c r="X78" s="334" t="s">
        <v>12</v>
      </c>
      <c r="Y78" s="344">
        <v>35.4</v>
      </c>
      <c r="Z78" s="334" t="s">
        <v>103</v>
      </c>
      <c r="AA78" s="334" t="s">
        <v>22</v>
      </c>
      <c r="AB78" s="334" t="s">
        <v>11</v>
      </c>
      <c r="AC78" s="334">
        <v>4.5999999999999996</v>
      </c>
      <c r="AD78" s="343" t="s">
        <v>106</v>
      </c>
      <c r="AE78" s="334" t="s">
        <v>107</v>
      </c>
      <c r="AF78" s="334" t="s">
        <v>18</v>
      </c>
      <c r="AG78" s="344">
        <v>2.9</v>
      </c>
      <c r="AL78" s="343"/>
      <c r="AO78" s="344"/>
      <c r="AP78" s="343"/>
      <c r="AS78" s="344"/>
      <c r="AW78" s="344"/>
      <c r="BA78" s="345"/>
    </row>
    <row r="79" spans="1:53" s="334" customFormat="1">
      <c r="A79" s="334">
        <v>1995</v>
      </c>
      <c r="C79" s="992" t="s">
        <v>273</v>
      </c>
      <c r="D79" s="992"/>
      <c r="E79" s="334">
        <v>0</v>
      </c>
      <c r="G79" s="419">
        <v>3</v>
      </c>
      <c r="H79" s="334">
        <v>2</v>
      </c>
      <c r="I79" s="334">
        <v>15</v>
      </c>
      <c r="J79" s="435">
        <v>20</v>
      </c>
      <c r="K79" s="384">
        <f t="shared" si="28"/>
        <v>15</v>
      </c>
      <c r="L79" s="384">
        <f t="shared" si="29"/>
        <v>10</v>
      </c>
      <c r="M79" s="384">
        <f t="shared" si="30"/>
        <v>75</v>
      </c>
      <c r="N79" s="421">
        <f t="shared" si="26"/>
        <v>100</v>
      </c>
      <c r="O79" s="383">
        <v>4.5999999999999996</v>
      </c>
      <c r="P79" s="384">
        <v>2.9</v>
      </c>
      <c r="Q79" s="384">
        <v>35.4</v>
      </c>
      <c r="R79" s="385">
        <f t="shared" si="27"/>
        <v>42.9</v>
      </c>
      <c r="S79" s="388">
        <v>5</v>
      </c>
      <c r="T79" s="342"/>
      <c r="U79" s="355"/>
      <c r="V79" s="343" t="s">
        <v>102</v>
      </c>
      <c r="W79" s="334" t="s">
        <v>20</v>
      </c>
      <c r="X79" s="334" t="s">
        <v>12</v>
      </c>
      <c r="Y79" s="344">
        <v>35.4</v>
      </c>
      <c r="Z79" s="334" t="s">
        <v>103</v>
      </c>
      <c r="AA79" s="334" t="s">
        <v>22</v>
      </c>
      <c r="AB79" s="334" t="s">
        <v>11</v>
      </c>
      <c r="AC79" s="334">
        <v>4.5999999999999996</v>
      </c>
      <c r="AD79" s="343" t="s">
        <v>106</v>
      </c>
      <c r="AE79" s="334" t="s">
        <v>107</v>
      </c>
      <c r="AF79" s="334" t="s">
        <v>18</v>
      </c>
      <c r="AG79" s="344">
        <v>2.9</v>
      </c>
      <c r="AL79" s="343"/>
      <c r="AO79" s="344"/>
      <c r="AP79" s="343"/>
      <c r="AS79" s="344"/>
      <c r="AW79" s="344"/>
      <c r="BA79" s="345"/>
    </row>
    <row r="80" spans="1:53" s="334" customFormat="1">
      <c r="A80" s="334">
        <v>1995</v>
      </c>
      <c r="C80" s="992" t="s">
        <v>273</v>
      </c>
      <c r="D80" s="992"/>
      <c r="E80" s="334">
        <f>365-E79</f>
        <v>365</v>
      </c>
      <c r="G80" s="419">
        <v>3</v>
      </c>
      <c r="H80" s="334">
        <v>2</v>
      </c>
      <c r="I80" s="334">
        <v>15</v>
      </c>
      <c r="J80" s="435">
        <v>20</v>
      </c>
      <c r="K80" s="384">
        <f t="shared" si="28"/>
        <v>15</v>
      </c>
      <c r="L80" s="384">
        <f t="shared" si="29"/>
        <v>10</v>
      </c>
      <c r="M80" s="384">
        <f t="shared" si="30"/>
        <v>75</v>
      </c>
      <c r="N80" s="421">
        <f t="shared" si="26"/>
        <v>100</v>
      </c>
      <c r="O80" s="383">
        <v>4.5999999999999996</v>
      </c>
      <c r="P80" s="384">
        <v>2.9</v>
      </c>
      <c r="Q80" s="384">
        <v>35.4</v>
      </c>
      <c r="R80" s="385">
        <f t="shared" si="27"/>
        <v>42.9</v>
      </c>
      <c r="S80" s="388">
        <v>5</v>
      </c>
      <c r="T80" s="342"/>
      <c r="U80" s="355"/>
      <c r="V80" s="343" t="s">
        <v>102</v>
      </c>
      <c r="W80" s="334" t="s">
        <v>20</v>
      </c>
      <c r="X80" s="334" t="s">
        <v>12</v>
      </c>
      <c r="Y80" s="344">
        <v>35.4</v>
      </c>
      <c r="Z80" s="334" t="s">
        <v>103</v>
      </c>
      <c r="AA80" s="334" t="s">
        <v>22</v>
      </c>
      <c r="AB80" s="334" t="s">
        <v>11</v>
      </c>
      <c r="AC80" s="334">
        <v>4.5999999999999996</v>
      </c>
      <c r="AD80" s="343" t="s">
        <v>106</v>
      </c>
      <c r="AE80" s="334" t="s">
        <v>107</v>
      </c>
      <c r="AF80" s="334" t="s">
        <v>18</v>
      </c>
      <c r="AG80" s="344">
        <v>2.9</v>
      </c>
      <c r="AL80" s="343"/>
      <c r="AO80" s="344"/>
      <c r="AP80" s="343"/>
      <c r="AS80" s="344"/>
      <c r="AW80" s="344"/>
      <c r="BA80" s="345"/>
    </row>
    <row r="81" spans="1:53" s="334" customFormat="1">
      <c r="A81" s="334">
        <v>1996</v>
      </c>
      <c r="C81" s="992" t="s">
        <v>273</v>
      </c>
      <c r="D81" s="992"/>
      <c r="E81" s="334">
        <v>364</v>
      </c>
      <c r="G81" s="419">
        <v>3</v>
      </c>
      <c r="H81" s="334">
        <v>2</v>
      </c>
      <c r="I81" s="334">
        <v>15</v>
      </c>
      <c r="J81" s="435">
        <v>20</v>
      </c>
      <c r="K81" s="384">
        <f t="shared" si="28"/>
        <v>15</v>
      </c>
      <c r="L81" s="384">
        <f t="shared" si="29"/>
        <v>10</v>
      </c>
      <c r="M81" s="384">
        <f t="shared" si="30"/>
        <v>75</v>
      </c>
      <c r="N81" s="421">
        <f t="shared" si="26"/>
        <v>100</v>
      </c>
      <c r="O81" s="383">
        <v>4.5999999999999996</v>
      </c>
      <c r="P81" s="384">
        <v>2.9</v>
      </c>
      <c r="Q81" s="384">
        <v>35.4</v>
      </c>
      <c r="R81" s="385">
        <f t="shared" si="27"/>
        <v>42.9</v>
      </c>
      <c r="S81" s="388">
        <v>5</v>
      </c>
      <c r="T81" s="342"/>
      <c r="U81" s="355"/>
      <c r="V81" s="343" t="s">
        <v>102</v>
      </c>
      <c r="W81" s="334" t="s">
        <v>20</v>
      </c>
      <c r="X81" s="334" t="s">
        <v>12</v>
      </c>
      <c r="Y81" s="344">
        <v>35.4</v>
      </c>
      <c r="Z81" s="334" t="s">
        <v>103</v>
      </c>
      <c r="AA81" s="334" t="s">
        <v>22</v>
      </c>
      <c r="AB81" s="334" t="s">
        <v>11</v>
      </c>
      <c r="AC81" s="334">
        <v>4.5999999999999996</v>
      </c>
      <c r="AD81" s="343" t="s">
        <v>106</v>
      </c>
      <c r="AE81" s="334" t="s">
        <v>107</v>
      </c>
      <c r="AF81" s="334" t="s">
        <v>18</v>
      </c>
      <c r="AG81" s="344">
        <v>2.9</v>
      </c>
      <c r="AL81" s="343"/>
      <c r="AO81" s="344"/>
      <c r="AP81" s="343"/>
      <c r="AS81" s="344"/>
      <c r="AW81" s="344"/>
      <c r="BA81" s="345"/>
    </row>
    <row r="82" spans="1:53" s="73" customFormat="1">
      <c r="A82" s="73">
        <v>1996</v>
      </c>
      <c r="B82" s="85">
        <v>35429</v>
      </c>
      <c r="C82" s="988" t="s">
        <v>274</v>
      </c>
      <c r="D82" s="988"/>
      <c r="E82" s="73">
        <v>2</v>
      </c>
      <c r="F82" s="73">
        <v>4</v>
      </c>
      <c r="G82" s="123">
        <v>4</v>
      </c>
      <c r="I82" s="73">
        <v>15</v>
      </c>
      <c r="J82" s="134">
        <v>19</v>
      </c>
      <c r="K82" s="92">
        <f t="shared" si="28"/>
        <v>21.052631578947366</v>
      </c>
      <c r="L82" s="92">
        <f t="shared" si="29"/>
        <v>0</v>
      </c>
      <c r="M82" s="92">
        <f t="shared" si="30"/>
        <v>78.94736842105263</v>
      </c>
      <c r="N82" s="125">
        <f t="shared" si="26"/>
        <v>100</v>
      </c>
      <c r="O82" s="91">
        <v>4.5999999999999996</v>
      </c>
      <c r="P82" s="92"/>
      <c r="Q82" s="92">
        <v>35.4</v>
      </c>
      <c r="R82" s="93">
        <f t="shared" si="27"/>
        <v>40</v>
      </c>
      <c r="S82" s="97">
        <v>5</v>
      </c>
      <c r="T82" s="95"/>
      <c r="U82" s="85">
        <v>35429</v>
      </c>
      <c r="V82" s="82" t="s">
        <v>102</v>
      </c>
      <c r="W82" s="73" t="s">
        <v>20</v>
      </c>
      <c r="X82" s="73" t="s">
        <v>12</v>
      </c>
      <c r="Y82" s="83">
        <v>35.4</v>
      </c>
      <c r="Z82" s="73" t="s">
        <v>103</v>
      </c>
      <c r="AA82" s="73" t="s">
        <v>22</v>
      </c>
      <c r="AB82" s="73" t="s">
        <v>11</v>
      </c>
      <c r="AC82" s="73">
        <v>4.5999999999999996</v>
      </c>
      <c r="AD82" s="82"/>
      <c r="AG82" s="83"/>
      <c r="AL82" s="82"/>
      <c r="AO82" s="83"/>
      <c r="AP82" s="82"/>
      <c r="AS82" s="83"/>
      <c r="AW82" s="83"/>
      <c r="BA82" s="84"/>
    </row>
    <row r="83" spans="1:53" s="73" customFormat="1">
      <c r="A83" s="73">
        <v>1997</v>
      </c>
      <c r="C83" s="988" t="s">
        <v>274</v>
      </c>
      <c r="D83" s="988"/>
      <c r="E83" s="73">
        <v>292</v>
      </c>
      <c r="G83" s="123">
        <v>4</v>
      </c>
      <c r="I83" s="73">
        <v>15</v>
      </c>
      <c r="J83" s="134">
        <v>19</v>
      </c>
      <c r="K83" s="92">
        <f t="shared" si="28"/>
        <v>21.052631578947366</v>
      </c>
      <c r="L83" s="92">
        <f t="shared" si="29"/>
        <v>0</v>
      </c>
      <c r="M83" s="92">
        <f t="shared" si="30"/>
        <v>78.94736842105263</v>
      </c>
      <c r="N83" s="125">
        <f t="shared" si="26"/>
        <v>100</v>
      </c>
      <c r="O83" s="91">
        <v>4.5999999999999996</v>
      </c>
      <c r="P83" s="92"/>
      <c r="Q83" s="92">
        <v>35.4</v>
      </c>
      <c r="R83" s="93">
        <f t="shared" si="27"/>
        <v>40</v>
      </c>
      <c r="S83" s="97">
        <v>5</v>
      </c>
      <c r="T83" s="95"/>
      <c r="U83" s="85"/>
      <c r="V83" s="82" t="s">
        <v>102</v>
      </c>
      <c r="W83" s="73" t="s">
        <v>20</v>
      </c>
      <c r="X83" s="73" t="s">
        <v>12</v>
      </c>
      <c r="Y83" s="83">
        <v>35.4</v>
      </c>
      <c r="Z83" s="73" t="s">
        <v>103</v>
      </c>
      <c r="AA83" s="73" t="s">
        <v>22</v>
      </c>
      <c r="AB83" s="73" t="s">
        <v>11</v>
      </c>
      <c r="AC83" s="73">
        <v>4.5999999999999996</v>
      </c>
      <c r="AD83" s="82"/>
      <c r="AG83" s="83"/>
      <c r="AL83" s="82"/>
      <c r="AO83" s="83"/>
      <c r="AP83" s="82"/>
      <c r="AS83" s="83"/>
      <c r="AW83" s="83"/>
      <c r="BA83" s="84"/>
    </row>
    <row r="84" spans="1:53" s="73" customFormat="1">
      <c r="A84" s="73">
        <v>1997</v>
      </c>
      <c r="B84" s="149">
        <v>35723</v>
      </c>
      <c r="C84" s="988" t="s">
        <v>274</v>
      </c>
      <c r="D84" s="988"/>
      <c r="E84" s="73">
        <f>365-E83</f>
        <v>73</v>
      </c>
      <c r="F84" s="150">
        <v>0</v>
      </c>
      <c r="G84" s="123">
        <v>4</v>
      </c>
      <c r="I84" s="73">
        <v>16</v>
      </c>
      <c r="J84" s="134">
        <v>20</v>
      </c>
      <c r="K84" s="92">
        <f t="shared" si="28"/>
        <v>20</v>
      </c>
      <c r="L84" s="92">
        <f t="shared" si="29"/>
        <v>0</v>
      </c>
      <c r="M84" s="92">
        <f t="shared" si="30"/>
        <v>80</v>
      </c>
      <c r="N84" s="125">
        <f t="shared" si="26"/>
        <v>100</v>
      </c>
      <c r="O84" s="91">
        <v>4.5999999999999996</v>
      </c>
      <c r="P84" s="92"/>
      <c r="Q84" s="92">
        <v>35.4</v>
      </c>
      <c r="R84" s="93">
        <f t="shared" si="27"/>
        <v>40</v>
      </c>
      <c r="S84" s="97">
        <v>5</v>
      </c>
      <c r="T84" s="95"/>
      <c r="U84" s="85"/>
      <c r="V84" s="82" t="s">
        <v>102</v>
      </c>
      <c r="W84" s="73" t="s">
        <v>20</v>
      </c>
      <c r="X84" s="73" t="s">
        <v>12</v>
      </c>
      <c r="Y84" s="83">
        <v>35.4</v>
      </c>
      <c r="Z84" s="73" t="s">
        <v>103</v>
      </c>
      <c r="AA84" s="73" t="s">
        <v>22</v>
      </c>
      <c r="AB84" s="73" t="s">
        <v>11</v>
      </c>
      <c r="AC84" s="73">
        <v>4.5999999999999996</v>
      </c>
      <c r="AD84" s="82"/>
      <c r="AG84" s="83"/>
      <c r="AL84" s="82"/>
      <c r="AO84" s="83"/>
      <c r="AP84" s="82"/>
      <c r="AS84" s="83"/>
      <c r="AW84" s="83"/>
      <c r="BA84" s="84"/>
    </row>
    <row r="85" spans="1:53" s="73" customFormat="1">
      <c r="A85" s="73">
        <v>1998</v>
      </c>
      <c r="C85" s="988" t="s">
        <v>274</v>
      </c>
      <c r="D85" s="988"/>
      <c r="E85" s="73">
        <v>81</v>
      </c>
      <c r="G85" s="123">
        <v>4</v>
      </c>
      <c r="I85" s="73">
        <v>16</v>
      </c>
      <c r="J85" s="134">
        <v>20</v>
      </c>
      <c r="K85" s="92">
        <f t="shared" si="28"/>
        <v>20</v>
      </c>
      <c r="L85" s="92">
        <f t="shared" si="29"/>
        <v>0</v>
      </c>
      <c r="M85" s="92">
        <f t="shared" si="30"/>
        <v>80</v>
      </c>
      <c r="N85" s="125">
        <f t="shared" si="26"/>
        <v>100</v>
      </c>
      <c r="O85" s="91">
        <v>4.5999999999999996</v>
      </c>
      <c r="P85" s="92"/>
      <c r="Q85" s="92">
        <v>35.4</v>
      </c>
      <c r="R85" s="93">
        <f t="shared" si="27"/>
        <v>40</v>
      </c>
      <c r="S85" s="97">
        <v>5</v>
      </c>
      <c r="T85" s="95"/>
      <c r="U85" s="85"/>
      <c r="V85" s="82" t="s">
        <v>102</v>
      </c>
      <c r="W85" s="73" t="s">
        <v>20</v>
      </c>
      <c r="X85" s="73" t="s">
        <v>12</v>
      </c>
      <c r="Y85" s="83">
        <v>35.4</v>
      </c>
      <c r="Z85" s="73" t="s">
        <v>103</v>
      </c>
      <c r="AA85" s="73" t="s">
        <v>22</v>
      </c>
      <c r="AB85" s="73" t="s">
        <v>11</v>
      </c>
      <c r="AC85" s="73">
        <v>4.5999999999999996</v>
      </c>
      <c r="AD85" s="82"/>
      <c r="AG85" s="83"/>
      <c r="AL85" s="82"/>
      <c r="AO85" s="83"/>
      <c r="AP85" s="82"/>
      <c r="AS85" s="83"/>
      <c r="AW85" s="83"/>
      <c r="BA85" s="84"/>
    </row>
    <row r="86" spans="1:53" s="334" customFormat="1">
      <c r="A86" s="334">
        <v>1998</v>
      </c>
      <c r="B86" s="355">
        <v>35877</v>
      </c>
      <c r="C86" s="992" t="s">
        <v>275</v>
      </c>
      <c r="D86" s="992"/>
      <c r="E86" s="334">
        <f>365-E85</f>
        <v>284</v>
      </c>
      <c r="F86" s="334">
        <v>1</v>
      </c>
      <c r="G86" s="419">
        <v>4</v>
      </c>
      <c r="I86" s="334">
        <v>16</v>
      </c>
      <c r="J86" s="435">
        <v>20</v>
      </c>
      <c r="K86" s="384">
        <f t="shared" si="28"/>
        <v>20</v>
      </c>
      <c r="L86" s="384">
        <f t="shared" si="29"/>
        <v>0</v>
      </c>
      <c r="M86" s="384">
        <f t="shared" si="30"/>
        <v>80</v>
      </c>
      <c r="N86" s="421">
        <f t="shared" si="26"/>
        <v>100</v>
      </c>
      <c r="O86" s="383">
        <v>4</v>
      </c>
      <c r="P86" s="384"/>
      <c r="Q86" s="384">
        <v>36</v>
      </c>
      <c r="R86" s="385">
        <f t="shared" si="27"/>
        <v>40</v>
      </c>
      <c r="S86" s="388">
        <v>5</v>
      </c>
      <c r="T86" s="342">
        <v>35865</v>
      </c>
      <c r="U86" s="355">
        <v>35877</v>
      </c>
      <c r="V86" s="343" t="s">
        <v>102</v>
      </c>
      <c r="W86" s="334" t="s">
        <v>20</v>
      </c>
      <c r="X86" s="334" t="s">
        <v>12</v>
      </c>
      <c r="Y86" s="344">
        <v>36</v>
      </c>
      <c r="Z86" s="334" t="s">
        <v>103</v>
      </c>
      <c r="AA86" s="334" t="s">
        <v>22</v>
      </c>
      <c r="AB86" s="334" t="s">
        <v>11</v>
      </c>
      <c r="AC86" s="334">
        <v>4</v>
      </c>
      <c r="AD86" s="343"/>
      <c r="AG86" s="344"/>
      <c r="AL86" s="343"/>
      <c r="AO86" s="344"/>
      <c r="AP86" s="343"/>
      <c r="AS86" s="344"/>
      <c r="AW86" s="344"/>
      <c r="BA86" s="345"/>
    </row>
    <row r="87" spans="1:53" s="334" customFormat="1">
      <c r="A87" s="334">
        <v>1999</v>
      </c>
      <c r="C87" s="992" t="s">
        <v>275</v>
      </c>
      <c r="D87" s="992"/>
      <c r="E87" s="334">
        <v>0</v>
      </c>
      <c r="G87" s="419">
        <v>4</v>
      </c>
      <c r="I87" s="334">
        <v>16</v>
      </c>
      <c r="J87" s="435">
        <v>20</v>
      </c>
      <c r="K87" s="384">
        <f t="shared" si="28"/>
        <v>20</v>
      </c>
      <c r="L87" s="384">
        <f t="shared" si="29"/>
        <v>0</v>
      </c>
      <c r="M87" s="384">
        <f t="shared" si="30"/>
        <v>80</v>
      </c>
      <c r="N87" s="421">
        <f t="shared" si="26"/>
        <v>100</v>
      </c>
      <c r="O87" s="383">
        <v>4</v>
      </c>
      <c r="P87" s="384"/>
      <c r="Q87" s="384">
        <v>36</v>
      </c>
      <c r="R87" s="385">
        <f t="shared" si="27"/>
        <v>40</v>
      </c>
      <c r="S87" s="388">
        <v>5</v>
      </c>
      <c r="T87" s="342"/>
      <c r="U87" s="355"/>
      <c r="V87" s="343" t="s">
        <v>102</v>
      </c>
      <c r="W87" s="334" t="s">
        <v>20</v>
      </c>
      <c r="X87" s="334" t="s">
        <v>12</v>
      </c>
      <c r="Y87" s="344">
        <v>36</v>
      </c>
      <c r="Z87" s="334" t="s">
        <v>103</v>
      </c>
      <c r="AA87" s="334" t="s">
        <v>22</v>
      </c>
      <c r="AB87" s="334" t="s">
        <v>11</v>
      </c>
      <c r="AC87" s="334">
        <v>4</v>
      </c>
      <c r="AD87" s="343"/>
      <c r="AG87" s="344"/>
      <c r="AL87" s="343"/>
      <c r="AO87" s="344"/>
      <c r="AP87" s="343"/>
      <c r="AS87" s="344"/>
      <c r="AW87" s="344"/>
      <c r="BA87" s="345"/>
    </row>
    <row r="88" spans="1:53" s="334" customFormat="1">
      <c r="A88" s="334">
        <v>1999</v>
      </c>
      <c r="C88" s="992" t="s">
        <v>275</v>
      </c>
      <c r="D88" s="992"/>
      <c r="E88" s="334">
        <f>365-E87</f>
        <v>365</v>
      </c>
      <c r="G88" s="419">
        <v>4</v>
      </c>
      <c r="I88" s="334">
        <v>16</v>
      </c>
      <c r="J88" s="435">
        <v>20</v>
      </c>
      <c r="K88" s="384">
        <f t="shared" si="28"/>
        <v>20</v>
      </c>
      <c r="L88" s="384">
        <f t="shared" si="29"/>
        <v>0</v>
      </c>
      <c r="M88" s="384">
        <f t="shared" si="30"/>
        <v>80</v>
      </c>
      <c r="N88" s="421">
        <f t="shared" si="26"/>
        <v>100</v>
      </c>
      <c r="O88" s="383">
        <v>4</v>
      </c>
      <c r="P88" s="384"/>
      <c r="Q88" s="384">
        <v>36</v>
      </c>
      <c r="R88" s="385">
        <f t="shared" si="27"/>
        <v>40</v>
      </c>
      <c r="S88" s="388">
        <v>5</v>
      </c>
      <c r="T88" s="342"/>
      <c r="U88" s="355"/>
      <c r="V88" s="343" t="s">
        <v>102</v>
      </c>
      <c r="W88" s="334" t="s">
        <v>20</v>
      </c>
      <c r="X88" s="334" t="s">
        <v>12</v>
      </c>
      <c r="Y88" s="344">
        <v>36</v>
      </c>
      <c r="Z88" s="334" t="s">
        <v>103</v>
      </c>
      <c r="AA88" s="334" t="s">
        <v>22</v>
      </c>
      <c r="AB88" s="334" t="s">
        <v>11</v>
      </c>
      <c r="AC88" s="334">
        <v>4</v>
      </c>
      <c r="AD88" s="343"/>
      <c r="AG88" s="344"/>
      <c r="AL88" s="343"/>
      <c r="AO88" s="344"/>
      <c r="AP88" s="343"/>
      <c r="AS88" s="344"/>
      <c r="AW88" s="344"/>
      <c r="BA88" s="345"/>
    </row>
    <row r="89" spans="1:53" s="334" customFormat="1">
      <c r="A89" s="334">
        <v>2000</v>
      </c>
      <c r="C89" s="992" t="s">
        <v>275</v>
      </c>
      <c r="D89" s="992"/>
      <c r="E89" s="334">
        <v>0</v>
      </c>
      <c r="G89" s="419">
        <v>4</v>
      </c>
      <c r="I89" s="334">
        <v>16</v>
      </c>
      <c r="J89" s="435">
        <v>20</v>
      </c>
      <c r="K89" s="384">
        <f t="shared" si="28"/>
        <v>20</v>
      </c>
      <c r="L89" s="384">
        <f t="shared" si="29"/>
        <v>0</v>
      </c>
      <c r="M89" s="384">
        <f t="shared" si="30"/>
        <v>80</v>
      </c>
      <c r="N89" s="421">
        <f t="shared" si="26"/>
        <v>100</v>
      </c>
      <c r="O89" s="383">
        <v>4</v>
      </c>
      <c r="P89" s="384"/>
      <c r="Q89" s="384">
        <v>36</v>
      </c>
      <c r="R89" s="385">
        <f t="shared" si="27"/>
        <v>40</v>
      </c>
      <c r="S89" s="388">
        <v>5</v>
      </c>
      <c r="T89" s="342"/>
      <c r="U89" s="355"/>
      <c r="V89" s="343" t="s">
        <v>102</v>
      </c>
      <c r="W89" s="334" t="s">
        <v>20</v>
      </c>
      <c r="X89" s="334" t="s">
        <v>12</v>
      </c>
      <c r="Y89" s="344">
        <v>36</v>
      </c>
      <c r="Z89" s="334" t="s">
        <v>103</v>
      </c>
      <c r="AA89" s="334" t="s">
        <v>22</v>
      </c>
      <c r="AB89" s="334" t="s">
        <v>11</v>
      </c>
      <c r="AC89" s="334">
        <v>4</v>
      </c>
      <c r="AD89" s="343"/>
      <c r="AG89" s="344"/>
      <c r="AL89" s="343"/>
      <c r="AO89" s="344"/>
      <c r="AP89" s="343"/>
      <c r="AS89" s="344"/>
      <c r="AW89" s="344"/>
      <c r="BA89" s="345"/>
    </row>
    <row r="90" spans="1:53" s="334" customFormat="1">
      <c r="A90" s="334">
        <v>2000</v>
      </c>
      <c r="C90" s="992" t="s">
        <v>275</v>
      </c>
      <c r="D90" s="992"/>
      <c r="E90" s="334">
        <v>366</v>
      </c>
      <c r="G90" s="419">
        <v>4</v>
      </c>
      <c r="I90" s="334">
        <v>16</v>
      </c>
      <c r="J90" s="435">
        <v>20</v>
      </c>
      <c r="K90" s="384">
        <f t="shared" si="28"/>
        <v>20</v>
      </c>
      <c r="L90" s="384">
        <f t="shared" si="29"/>
        <v>0</v>
      </c>
      <c r="M90" s="384">
        <f t="shared" si="30"/>
        <v>80</v>
      </c>
      <c r="N90" s="421">
        <f t="shared" si="26"/>
        <v>100</v>
      </c>
      <c r="O90" s="383">
        <v>4</v>
      </c>
      <c r="P90" s="384"/>
      <c r="Q90" s="384">
        <v>36</v>
      </c>
      <c r="R90" s="385">
        <f t="shared" si="27"/>
        <v>40</v>
      </c>
      <c r="S90" s="388">
        <v>5</v>
      </c>
      <c r="T90" s="342"/>
      <c r="U90" s="355"/>
      <c r="V90" s="343" t="s">
        <v>102</v>
      </c>
      <c r="W90" s="334" t="s">
        <v>20</v>
      </c>
      <c r="X90" s="334" t="s">
        <v>12</v>
      </c>
      <c r="Y90" s="344">
        <v>36</v>
      </c>
      <c r="Z90" s="334" t="s">
        <v>103</v>
      </c>
      <c r="AA90" s="334" t="s">
        <v>22</v>
      </c>
      <c r="AB90" s="334" t="s">
        <v>11</v>
      </c>
      <c r="AC90" s="334">
        <v>4</v>
      </c>
      <c r="AD90" s="343"/>
      <c r="AG90" s="344"/>
      <c r="AL90" s="343"/>
      <c r="AO90" s="344"/>
      <c r="AP90" s="343"/>
      <c r="AS90" s="344"/>
      <c r="AW90" s="344"/>
      <c r="BA90" s="345"/>
    </row>
    <row r="91" spans="1:53" s="334" customFormat="1">
      <c r="A91" s="334">
        <v>2001</v>
      </c>
      <c r="C91" s="992" t="s">
        <v>275</v>
      </c>
      <c r="D91" s="992"/>
      <c r="E91" s="334">
        <v>330</v>
      </c>
      <c r="G91" s="419">
        <v>4</v>
      </c>
      <c r="I91" s="334">
        <v>16</v>
      </c>
      <c r="J91" s="435">
        <v>20</v>
      </c>
      <c r="K91" s="384">
        <f t="shared" si="28"/>
        <v>20</v>
      </c>
      <c r="L91" s="384">
        <f t="shared" si="29"/>
        <v>0</v>
      </c>
      <c r="M91" s="384">
        <f t="shared" si="30"/>
        <v>80</v>
      </c>
      <c r="N91" s="421">
        <f t="shared" si="26"/>
        <v>100</v>
      </c>
      <c r="O91" s="383">
        <v>4</v>
      </c>
      <c r="P91" s="384"/>
      <c r="Q91" s="384">
        <v>36</v>
      </c>
      <c r="R91" s="385">
        <f t="shared" si="27"/>
        <v>40</v>
      </c>
      <c r="S91" s="388">
        <v>5</v>
      </c>
      <c r="T91" s="342"/>
      <c r="U91" s="355"/>
      <c r="V91" s="343" t="s">
        <v>102</v>
      </c>
      <c r="W91" s="334" t="s">
        <v>20</v>
      </c>
      <c r="X91" s="334" t="s">
        <v>12</v>
      </c>
      <c r="Y91" s="344">
        <v>36</v>
      </c>
      <c r="Z91" s="334" t="s">
        <v>103</v>
      </c>
      <c r="AA91" s="334" t="s">
        <v>22</v>
      </c>
      <c r="AB91" s="334" t="s">
        <v>11</v>
      </c>
      <c r="AC91" s="334">
        <v>4</v>
      </c>
      <c r="AD91" s="343"/>
      <c r="AG91" s="344"/>
      <c r="AL91" s="343"/>
      <c r="AO91" s="344"/>
      <c r="AP91" s="343"/>
      <c r="AS91" s="344"/>
      <c r="AW91" s="344"/>
      <c r="BA91" s="345"/>
    </row>
    <row r="92" spans="1:53" s="73" customFormat="1">
      <c r="A92" s="73">
        <v>2001</v>
      </c>
      <c r="B92" s="85">
        <v>37222</v>
      </c>
      <c r="C92" s="988" t="s">
        <v>276</v>
      </c>
      <c r="D92" s="988"/>
      <c r="E92" s="73">
        <f>365-E91</f>
        <v>35</v>
      </c>
      <c r="F92" s="73">
        <v>1</v>
      </c>
      <c r="G92" s="123">
        <v>18</v>
      </c>
      <c r="J92" s="134">
        <v>18</v>
      </c>
      <c r="K92" s="92">
        <f t="shared" si="28"/>
        <v>100</v>
      </c>
      <c r="L92" s="92">
        <f t="shared" si="29"/>
        <v>0</v>
      </c>
      <c r="M92" s="92">
        <f t="shared" si="30"/>
        <v>0</v>
      </c>
      <c r="N92" s="125">
        <f t="shared" si="26"/>
        <v>100</v>
      </c>
      <c r="O92" s="91">
        <v>41.1</v>
      </c>
      <c r="P92" s="92"/>
      <c r="Q92" s="92"/>
      <c r="R92" s="93">
        <f t="shared" si="27"/>
        <v>41.1</v>
      </c>
      <c r="S92" s="97">
        <v>5</v>
      </c>
      <c r="T92" s="95">
        <v>37215</v>
      </c>
      <c r="U92" s="85">
        <v>37222</v>
      </c>
      <c r="V92" s="82" t="s">
        <v>72</v>
      </c>
      <c r="W92" s="73" t="s">
        <v>88</v>
      </c>
      <c r="X92" s="73" t="s">
        <v>11</v>
      </c>
      <c r="Y92" s="83">
        <v>32</v>
      </c>
      <c r="Z92" s="73" t="s">
        <v>105</v>
      </c>
      <c r="AA92" s="73" t="s">
        <v>74</v>
      </c>
      <c r="AB92" s="73" t="s">
        <v>11</v>
      </c>
      <c r="AC92" s="73">
        <v>9.1</v>
      </c>
      <c r="AD92" s="82"/>
      <c r="AG92" s="83"/>
      <c r="AL92" s="82"/>
      <c r="AO92" s="83"/>
      <c r="AP92" s="82"/>
      <c r="AS92" s="83"/>
      <c r="AW92" s="83"/>
      <c r="BA92" s="84"/>
    </row>
    <row r="93" spans="1:53" s="73" customFormat="1">
      <c r="A93" s="73">
        <v>2002</v>
      </c>
      <c r="C93" s="988" t="s">
        <v>276</v>
      </c>
      <c r="D93" s="988"/>
      <c r="E93" s="73">
        <v>0</v>
      </c>
      <c r="G93" s="123">
        <v>18</v>
      </c>
      <c r="J93" s="134">
        <v>18</v>
      </c>
      <c r="K93" s="92">
        <f t="shared" si="28"/>
        <v>100</v>
      </c>
      <c r="L93" s="92">
        <f t="shared" si="29"/>
        <v>0</v>
      </c>
      <c r="M93" s="92">
        <f t="shared" si="30"/>
        <v>0</v>
      </c>
      <c r="N93" s="125">
        <f t="shared" si="26"/>
        <v>100</v>
      </c>
      <c r="O93" s="91">
        <v>41.1</v>
      </c>
      <c r="P93" s="92"/>
      <c r="Q93" s="92"/>
      <c r="R93" s="93">
        <f t="shared" si="27"/>
        <v>41.1</v>
      </c>
      <c r="S93" s="97">
        <v>5</v>
      </c>
      <c r="T93" s="95"/>
      <c r="U93" s="85"/>
      <c r="V93" s="82" t="s">
        <v>72</v>
      </c>
      <c r="W93" s="73" t="s">
        <v>88</v>
      </c>
      <c r="X93" s="73" t="s">
        <v>11</v>
      </c>
      <c r="Y93" s="83">
        <v>32</v>
      </c>
      <c r="Z93" s="73" t="s">
        <v>105</v>
      </c>
      <c r="AA93" s="73" t="s">
        <v>74</v>
      </c>
      <c r="AB93" s="73" t="s">
        <v>11</v>
      </c>
      <c r="AC93" s="73">
        <v>9.1</v>
      </c>
      <c r="AD93" s="82"/>
      <c r="AG93" s="83"/>
      <c r="AL93" s="82"/>
      <c r="AO93" s="83"/>
      <c r="AP93" s="82"/>
      <c r="AS93" s="83"/>
      <c r="AW93" s="83"/>
      <c r="BA93" s="84"/>
    </row>
    <row r="94" spans="1:53" s="73" customFormat="1">
      <c r="A94" s="73">
        <v>2002</v>
      </c>
      <c r="C94" s="988" t="s">
        <v>276</v>
      </c>
      <c r="D94" s="988"/>
      <c r="E94" s="73">
        <f>365-E93</f>
        <v>365</v>
      </c>
      <c r="G94" s="123">
        <v>18</v>
      </c>
      <c r="J94" s="134">
        <v>18</v>
      </c>
      <c r="K94" s="92">
        <f t="shared" si="28"/>
        <v>100</v>
      </c>
      <c r="L94" s="92">
        <f t="shared" si="29"/>
        <v>0</v>
      </c>
      <c r="M94" s="92">
        <f t="shared" si="30"/>
        <v>0</v>
      </c>
      <c r="N94" s="125">
        <f t="shared" si="26"/>
        <v>100</v>
      </c>
      <c r="O94" s="91">
        <v>41.1</v>
      </c>
      <c r="P94" s="92"/>
      <c r="Q94" s="92"/>
      <c r="R94" s="93">
        <f t="shared" si="27"/>
        <v>41.1</v>
      </c>
      <c r="S94" s="97">
        <v>5</v>
      </c>
      <c r="T94" s="95"/>
      <c r="U94" s="85"/>
      <c r="V94" s="82" t="s">
        <v>72</v>
      </c>
      <c r="W94" s="73" t="s">
        <v>88</v>
      </c>
      <c r="X94" s="73" t="s">
        <v>11</v>
      </c>
      <c r="Y94" s="83">
        <v>32</v>
      </c>
      <c r="Z94" s="73" t="s">
        <v>105</v>
      </c>
      <c r="AA94" s="73" t="s">
        <v>74</v>
      </c>
      <c r="AB94" s="73" t="s">
        <v>11</v>
      </c>
      <c r="AC94" s="73">
        <v>9.1</v>
      </c>
      <c r="AD94" s="82"/>
      <c r="AG94" s="83"/>
      <c r="AL94" s="82"/>
      <c r="AO94" s="83"/>
      <c r="AP94" s="82"/>
      <c r="AS94" s="83"/>
      <c r="AW94" s="83"/>
      <c r="BA94" s="84"/>
    </row>
    <row r="95" spans="1:53" s="73" customFormat="1">
      <c r="A95" s="73">
        <v>2003</v>
      </c>
      <c r="C95" s="988" t="s">
        <v>276</v>
      </c>
      <c r="D95" s="988"/>
      <c r="E95" s="73">
        <v>0</v>
      </c>
      <c r="G95" s="123">
        <v>18</v>
      </c>
      <c r="J95" s="134">
        <v>18</v>
      </c>
      <c r="K95" s="92">
        <f t="shared" si="28"/>
        <v>100</v>
      </c>
      <c r="L95" s="92">
        <f t="shared" si="29"/>
        <v>0</v>
      </c>
      <c r="M95" s="92">
        <f t="shared" si="30"/>
        <v>0</v>
      </c>
      <c r="N95" s="125">
        <f t="shared" si="26"/>
        <v>100</v>
      </c>
      <c r="O95" s="91">
        <v>41.1</v>
      </c>
      <c r="P95" s="92"/>
      <c r="Q95" s="92"/>
      <c r="R95" s="93">
        <f t="shared" si="27"/>
        <v>41.1</v>
      </c>
      <c r="S95" s="97">
        <v>5</v>
      </c>
      <c r="T95" s="95"/>
      <c r="U95" s="85"/>
      <c r="V95" s="82" t="s">
        <v>72</v>
      </c>
      <c r="W95" s="73" t="s">
        <v>88</v>
      </c>
      <c r="X95" s="73" t="s">
        <v>11</v>
      </c>
      <c r="Y95" s="83">
        <v>32</v>
      </c>
      <c r="Z95" s="73" t="s">
        <v>105</v>
      </c>
      <c r="AA95" s="73" t="s">
        <v>74</v>
      </c>
      <c r="AB95" s="73" t="s">
        <v>11</v>
      </c>
      <c r="AC95" s="73">
        <v>9.1</v>
      </c>
      <c r="AD95" s="82"/>
      <c r="AG95" s="83"/>
      <c r="AL95" s="82"/>
      <c r="AO95" s="83"/>
      <c r="AP95" s="82"/>
      <c r="AS95" s="83"/>
      <c r="AW95" s="83"/>
      <c r="BA95" s="84"/>
    </row>
    <row r="96" spans="1:53" s="73" customFormat="1">
      <c r="A96" s="73">
        <v>2003</v>
      </c>
      <c r="C96" s="988" t="s">
        <v>276</v>
      </c>
      <c r="D96" s="988"/>
      <c r="E96" s="73">
        <f>365-E95</f>
        <v>365</v>
      </c>
      <c r="G96" s="123">
        <v>18</v>
      </c>
      <c r="J96" s="134">
        <v>18</v>
      </c>
      <c r="K96" s="92">
        <f t="shared" si="28"/>
        <v>100</v>
      </c>
      <c r="L96" s="92">
        <f t="shared" si="29"/>
        <v>0</v>
      </c>
      <c r="M96" s="92">
        <f t="shared" si="30"/>
        <v>0</v>
      </c>
      <c r="N96" s="125">
        <f t="shared" si="26"/>
        <v>100</v>
      </c>
      <c r="O96" s="91">
        <v>41.1</v>
      </c>
      <c r="P96" s="92"/>
      <c r="Q96" s="92"/>
      <c r="R96" s="93">
        <f t="shared" si="27"/>
        <v>41.1</v>
      </c>
      <c r="S96" s="97">
        <v>5</v>
      </c>
      <c r="T96" s="95"/>
      <c r="U96" s="85"/>
      <c r="V96" s="82" t="s">
        <v>72</v>
      </c>
      <c r="W96" s="73" t="s">
        <v>88</v>
      </c>
      <c r="X96" s="73" t="s">
        <v>11</v>
      </c>
      <c r="Y96" s="83">
        <v>32</v>
      </c>
      <c r="Z96" s="73" t="s">
        <v>105</v>
      </c>
      <c r="AA96" s="73" t="s">
        <v>74</v>
      </c>
      <c r="AB96" s="73" t="s">
        <v>11</v>
      </c>
      <c r="AC96" s="73">
        <v>9.1</v>
      </c>
      <c r="AD96" s="82"/>
      <c r="AG96" s="83"/>
      <c r="AL96" s="82"/>
      <c r="AO96" s="83"/>
      <c r="AP96" s="82"/>
      <c r="AS96" s="83"/>
      <c r="AW96" s="83"/>
      <c r="BA96" s="84"/>
    </row>
    <row r="97" spans="1:53" s="73" customFormat="1">
      <c r="A97" s="73">
        <v>2004</v>
      </c>
      <c r="C97" s="988" t="s">
        <v>276</v>
      </c>
      <c r="D97" s="988"/>
      <c r="E97" s="73">
        <v>214</v>
      </c>
      <c r="G97" s="123">
        <v>18</v>
      </c>
      <c r="J97" s="134">
        <v>18</v>
      </c>
      <c r="K97" s="92">
        <f t="shared" si="28"/>
        <v>100</v>
      </c>
      <c r="L97" s="92">
        <f t="shared" si="29"/>
        <v>0</v>
      </c>
      <c r="M97" s="92">
        <f t="shared" si="30"/>
        <v>0</v>
      </c>
      <c r="N97" s="125">
        <f t="shared" si="26"/>
        <v>100</v>
      </c>
      <c r="O97" s="91">
        <v>41.1</v>
      </c>
      <c r="P97" s="92"/>
      <c r="Q97" s="92"/>
      <c r="R97" s="93">
        <f t="shared" si="27"/>
        <v>41.1</v>
      </c>
      <c r="S97" s="97">
        <v>5</v>
      </c>
      <c r="T97" s="95"/>
      <c r="U97" s="85"/>
      <c r="V97" s="82" t="s">
        <v>72</v>
      </c>
      <c r="W97" s="73" t="s">
        <v>88</v>
      </c>
      <c r="X97" s="73" t="s">
        <v>11</v>
      </c>
      <c r="Y97" s="83">
        <v>32</v>
      </c>
      <c r="Z97" s="73" t="s">
        <v>105</v>
      </c>
      <c r="AA97" s="73" t="s">
        <v>74</v>
      </c>
      <c r="AB97" s="73" t="s">
        <v>11</v>
      </c>
      <c r="AC97" s="73">
        <v>9.1</v>
      </c>
      <c r="AD97" s="82"/>
      <c r="AG97" s="83"/>
      <c r="AL97" s="82"/>
      <c r="AO97" s="83"/>
      <c r="AP97" s="82"/>
      <c r="AS97" s="83"/>
      <c r="AW97" s="83"/>
      <c r="BA97" s="84"/>
    </row>
    <row r="98" spans="1:53" s="73" customFormat="1">
      <c r="A98" s="73">
        <v>2004</v>
      </c>
      <c r="B98" s="149">
        <v>38201</v>
      </c>
      <c r="C98" s="988" t="s">
        <v>276</v>
      </c>
      <c r="D98" s="988"/>
      <c r="E98" s="73">
        <v>152</v>
      </c>
      <c r="F98" s="150">
        <v>0</v>
      </c>
      <c r="G98" s="123">
        <v>19</v>
      </c>
      <c r="J98" s="134">
        <v>19</v>
      </c>
      <c r="K98" s="92">
        <f t="shared" si="28"/>
        <v>100</v>
      </c>
      <c r="L98" s="92">
        <f t="shared" si="29"/>
        <v>0</v>
      </c>
      <c r="M98" s="92">
        <f t="shared" si="30"/>
        <v>0</v>
      </c>
      <c r="N98" s="125">
        <f t="shared" si="26"/>
        <v>100</v>
      </c>
      <c r="O98" s="91">
        <v>41.1</v>
      </c>
      <c r="P98" s="92"/>
      <c r="Q98" s="92"/>
      <c r="R98" s="93">
        <f t="shared" si="27"/>
        <v>41.1</v>
      </c>
      <c r="S98" s="97">
        <v>5</v>
      </c>
      <c r="T98" s="95"/>
      <c r="U98" s="85"/>
      <c r="V98" s="82" t="s">
        <v>72</v>
      </c>
      <c r="W98" s="73" t="s">
        <v>88</v>
      </c>
      <c r="X98" s="73" t="s">
        <v>11</v>
      </c>
      <c r="Y98" s="83">
        <v>32</v>
      </c>
      <c r="Z98" s="73" t="s">
        <v>105</v>
      </c>
      <c r="AA98" s="73" t="s">
        <v>74</v>
      </c>
      <c r="AB98" s="73" t="s">
        <v>11</v>
      </c>
      <c r="AC98" s="73">
        <v>9.1</v>
      </c>
      <c r="AD98" s="82"/>
      <c r="AG98" s="83"/>
      <c r="AL98" s="82"/>
      <c r="AO98" s="83"/>
      <c r="AP98" s="82"/>
      <c r="AS98" s="83"/>
      <c r="AW98" s="83"/>
      <c r="BA98" s="84"/>
    </row>
    <row r="99" spans="1:53" s="73" customFormat="1">
      <c r="A99" s="73">
        <v>2005</v>
      </c>
      <c r="C99" s="988" t="s">
        <v>276</v>
      </c>
      <c r="D99" s="988"/>
      <c r="E99" s="73">
        <v>48</v>
      </c>
      <c r="G99" s="123">
        <v>19</v>
      </c>
      <c r="J99" s="134">
        <v>19</v>
      </c>
      <c r="K99" s="92">
        <f t="shared" si="28"/>
        <v>100</v>
      </c>
      <c r="L99" s="92">
        <f t="shared" si="29"/>
        <v>0</v>
      </c>
      <c r="M99" s="92">
        <f t="shared" si="30"/>
        <v>0</v>
      </c>
      <c r="N99" s="125">
        <f t="shared" si="26"/>
        <v>100</v>
      </c>
      <c r="O99" s="91">
        <v>41.1</v>
      </c>
      <c r="P99" s="92"/>
      <c r="Q99" s="92"/>
      <c r="R99" s="93">
        <f t="shared" si="27"/>
        <v>41.1</v>
      </c>
      <c r="S99" s="97">
        <v>5</v>
      </c>
      <c r="T99" s="95"/>
      <c r="U99" s="85"/>
      <c r="V99" s="82" t="s">
        <v>72</v>
      </c>
      <c r="W99" s="73" t="s">
        <v>88</v>
      </c>
      <c r="X99" s="73" t="s">
        <v>11</v>
      </c>
      <c r="Y99" s="83">
        <v>32</v>
      </c>
      <c r="Z99" s="73" t="s">
        <v>105</v>
      </c>
      <c r="AA99" s="73" t="s">
        <v>74</v>
      </c>
      <c r="AB99" s="73" t="s">
        <v>11</v>
      </c>
      <c r="AC99" s="73">
        <v>9.1</v>
      </c>
      <c r="AD99" s="82"/>
      <c r="AG99" s="83"/>
      <c r="AL99" s="82"/>
      <c r="AO99" s="83"/>
      <c r="AP99" s="82"/>
      <c r="AS99" s="83"/>
      <c r="AW99" s="83"/>
      <c r="BA99" s="84"/>
    </row>
    <row r="100" spans="1:53" s="334" customFormat="1">
      <c r="A100" s="334">
        <v>2005</v>
      </c>
      <c r="B100" s="355">
        <v>38401</v>
      </c>
      <c r="C100" s="992" t="s">
        <v>277</v>
      </c>
      <c r="D100" s="992"/>
      <c r="E100" s="334">
        <f>365-E99</f>
        <v>317</v>
      </c>
      <c r="F100" s="334">
        <v>1</v>
      </c>
      <c r="G100" s="419">
        <v>19</v>
      </c>
      <c r="J100" s="435">
        <v>19</v>
      </c>
      <c r="K100" s="384">
        <f t="shared" si="28"/>
        <v>100</v>
      </c>
      <c r="L100" s="384">
        <f t="shared" si="29"/>
        <v>0</v>
      </c>
      <c r="M100" s="384">
        <f t="shared" si="30"/>
        <v>0</v>
      </c>
      <c r="N100" s="421">
        <f t="shared" si="26"/>
        <v>100</v>
      </c>
      <c r="O100" s="383">
        <v>40</v>
      </c>
      <c r="P100" s="384"/>
      <c r="Q100" s="384"/>
      <c r="R100" s="385">
        <f t="shared" si="27"/>
        <v>40</v>
      </c>
      <c r="S100" s="388">
        <v>5</v>
      </c>
      <c r="T100" s="342">
        <v>38391</v>
      </c>
      <c r="U100" s="355">
        <v>38401</v>
      </c>
      <c r="V100" s="343" t="s">
        <v>72</v>
      </c>
      <c r="W100" s="334" t="s">
        <v>88</v>
      </c>
      <c r="X100" s="334" t="s">
        <v>11</v>
      </c>
      <c r="Y100" s="344">
        <v>29.7</v>
      </c>
      <c r="Z100" s="334" t="s">
        <v>105</v>
      </c>
      <c r="AA100" s="334" t="s">
        <v>74</v>
      </c>
      <c r="AB100" s="334" t="s">
        <v>11</v>
      </c>
      <c r="AC100" s="334">
        <v>10.3</v>
      </c>
      <c r="AD100" s="343"/>
      <c r="AG100" s="344"/>
      <c r="AL100" s="343"/>
      <c r="AO100" s="344"/>
      <c r="AP100" s="343"/>
      <c r="AS100" s="344"/>
      <c r="AW100" s="344"/>
      <c r="BA100" s="345"/>
    </row>
    <row r="101" spans="1:53" s="334" customFormat="1">
      <c r="A101" s="334">
        <v>2006</v>
      </c>
      <c r="C101" s="992" t="s">
        <v>277</v>
      </c>
      <c r="D101" s="992"/>
      <c r="E101" s="334">
        <v>0</v>
      </c>
      <c r="G101" s="419">
        <v>19</v>
      </c>
      <c r="J101" s="435">
        <v>19</v>
      </c>
      <c r="K101" s="384">
        <f t="shared" ref="K101:K110" si="31">G101/J101*100</f>
        <v>100</v>
      </c>
      <c r="L101" s="384">
        <f t="shared" ref="L101:L110" si="32">H101/J101*100</f>
        <v>0</v>
      </c>
      <c r="M101" s="384">
        <f t="shared" ref="M101:M110" si="33">I101/J101*100</f>
        <v>0</v>
      </c>
      <c r="N101" s="421">
        <f t="shared" si="26"/>
        <v>100</v>
      </c>
      <c r="O101" s="383">
        <v>40</v>
      </c>
      <c r="P101" s="384"/>
      <c r="Q101" s="384"/>
      <c r="R101" s="385">
        <f t="shared" si="27"/>
        <v>40</v>
      </c>
      <c r="S101" s="388">
        <v>5</v>
      </c>
      <c r="T101" s="342"/>
      <c r="U101" s="355"/>
      <c r="V101" s="343" t="s">
        <v>72</v>
      </c>
      <c r="W101" s="334" t="s">
        <v>88</v>
      </c>
      <c r="X101" s="334" t="s">
        <v>11</v>
      </c>
      <c r="Y101" s="344">
        <v>29.7</v>
      </c>
      <c r="Z101" s="334" t="s">
        <v>105</v>
      </c>
      <c r="AA101" s="334" t="s">
        <v>74</v>
      </c>
      <c r="AB101" s="334" t="s">
        <v>11</v>
      </c>
      <c r="AC101" s="334">
        <v>10.3</v>
      </c>
      <c r="AD101" s="343"/>
      <c r="AG101" s="344"/>
      <c r="AL101" s="343"/>
      <c r="AO101" s="344"/>
      <c r="AP101" s="343"/>
      <c r="AS101" s="344"/>
      <c r="AW101" s="344"/>
      <c r="BA101" s="345"/>
    </row>
    <row r="102" spans="1:53" s="334" customFormat="1">
      <c r="A102" s="334">
        <v>2006</v>
      </c>
      <c r="C102" s="992" t="s">
        <v>277</v>
      </c>
      <c r="D102" s="992"/>
      <c r="E102" s="334">
        <v>365</v>
      </c>
      <c r="G102" s="419">
        <v>19</v>
      </c>
      <c r="J102" s="435">
        <v>19</v>
      </c>
      <c r="K102" s="384">
        <f t="shared" si="31"/>
        <v>100</v>
      </c>
      <c r="L102" s="384">
        <f t="shared" si="32"/>
        <v>0</v>
      </c>
      <c r="M102" s="384">
        <f t="shared" si="33"/>
        <v>0</v>
      </c>
      <c r="N102" s="421">
        <f t="shared" si="26"/>
        <v>100</v>
      </c>
      <c r="O102" s="383">
        <v>40</v>
      </c>
      <c r="P102" s="384"/>
      <c r="Q102" s="384"/>
      <c r="R102" s="385">
        <f t="shared" si="27"/>
        <v>40</v>
      </c>
      <c r="S102" s="388">
        <v>5</v>
      </c>
      <c r="T102" s="342"/>
      <c r="U102" s="355"/>
      <c r="V102" s="343" t="s">
        <v>72</v>
      </c>
      <c r="W102" s="334" t="s">
        <v>88</v>
      </c>
      <c r="X102" s="334" t="s">
        <v>11</v>
      </c>
      <c r="Y102" s="344">
        <v>29.7</v>
      </c>
      <c r="Z102" s="334" t="s">
        <v>105</v>
      </c>
      <c r="AA102" s="334" t="s">
        <v>74</v>
      </c>
      <c r="AB102" s="334" t="s">
        <v>11</v>
      </c>
      <c r="AC102" s="334">
        <v>10.3</v>
      </c>
      <c r="AD102" s="343"/>
      <c r="AG102" s="344"/>
      <c r="AL102" s="343"/>
      <c r="AO102" s="344"/>
      <c r="AP102" s="343"/>
      <c r="AS102" s="344"/>
      <c r="AW102" s="344"/>
      <c r="BA102" s="345"/>
    </row>
    <row r="103" spans="1:53" s="334" customFormat="1">
      <c r="A103" s="334">
        <v>2007</v>
      </c>
      <c r="C103" s="992" t="s">
        <v>277</v>
      </c>
      <c r="D103" s="992"/>
      <c r="E103" s="334">
        <f>365-E104</f>
        <v>326</v>
      </c>
      <c r="G103" s="419">
        <v>19</v>
      </c>
      <c r="J103" s="435">
        <v>19</v>
      </c>
      <c r="K103" s="384">
        <f t="shared" si="31"/>
        <v>100</v>
      </c>
      <c r="L103" s="384">
        <f t="shared" si="32"/>
        <v>0</v>
      </c>
      <c r="M103" s="384">
        <f t="shared" si="33"/>
        <v>0</v>
      </c>
      <c r="N103" s="421">
        <f t="shared" si="26"/>
        <v>100</v>
      </c>
      <c r="O103" s="383">
        <v>40</v>
      </c>
      <c r="P103" s="384"/>
      <c r="Q103" s="384"/>
      <c r="R103" s="385">
        <f t="shared" si="27"/>
        <v>40</v>
      </c>
      <c r="S103" s="388">
        <v>5</v>
      </c>
      <c r="T103" s="342"/>
      <c r="U103" s="355"/>
      <c r="V103" s="343" t="s">
        <v>72</v>
      </c>
      <c r="W103" s="334" t="s">
        <v>88</v>
      </c>
      <c r="X103" s="334" t="s">
        <v>11</v>
      </c>
      <c r="Y103" s="344">
        <v>29.7</v>
      </c>
      <c r="Z103" s="334" t="s">
        <v>105</v>
      </c>
      <c r="AA103" s="334" t="s">
        <v>74</v>
      </c>
      <c r="AB103" s="334" t="s">
        <v>11</v>
      </c>
      <c r="AC103" s="334">
        <v>10.3</v>
      </c>
      <c r="AD103" s="343"/>
      <c r="AG103" s="344"/>
      <c r="AL103" s="343"/>
      <c r="AO103" s="344"/>
      <c r="AP103" s="343"/>
      <c r="AS103" s="344"/>
      <c r="AW103" s="344"/>
      <c r="BA103" s="345"/>
    </row>
    <row r="104" spans="1:53" s="73" customFormat="1">
      <c r="A104" s="73">
        <v>2007</v>
      </c>
      <c r="B104" s="85">
        <v>39409</v>
      </c>
      <c r="C104" s="988" t="s">
        <v>278</v>
      </c>
      <c r="D104" s="988"/>
      <c r="E104" s="73">
        <v>39</v>
      </c>
      <c r="F104" s="73">
        <v>1</v>
      </c>
      <c r="G104" s="123">
        <v>19</v>
      </c>
      <c r="J104" s="134">
        <v>19</v>
      </c>
      <c r="K104" s="92">
        <f t="shared" si="31"/>
        <v>100</v>
      </c>
      <c r="L104" s="92">
        <f t="shared" si="32"/>
        <v>0</v>
      </c>
      <c r="M104" s="92">
        <f t="shared" si="33"/>
        <v>0</v>
      </c>
      <c r="N104" s="125">
        <f t="shared" si="26"/>
        <v>100</v>
      </c>
      <c r="O104" s="91">
        <v>36.6</v>
      </c>
      <c r="P104" s="92"/>
      <c r="Q104" s="92"/>
      <c r="R104" s="93">
        <f t="shared" si="27"/>
        <v>36.6</v>
      </c>
      <c r="S104" s="97">
        <v>5</v>
      </c>
      <c r="T104" s="95">
        <v>39399</v>
      </c>
      <c r="U104" s="85">
        <v>39409</v>
      </c>
      <c r="V104" s="82" t="s">
        <v>72</v>
      </c>
      <c r="W104" s="73" t="s">
        <v>88</v>
      </c>
      <c r="X104" s="73" t="s">
        <v>11</v>
      </c>
      <c r="Y104" s="83">
        <v>26.3</v>
      </c>
      <c r="Z104" s="73" t="s">
        <v>105</v>
      </c>
      <c r="AA104" s="73" t="s">
        <v>74</v>
      </c>
      <c r="AB104" s="73" t="s">
        <v>11</v>
      </c>
      <c r="AC104" s="73">
        <v>10.3</v>
      </c>
      <c r="AD104" s="82"/>
      <c r="AG104" s="83"/>
      <c r="AL104" s="82"/>
      <c r="AO104" s="83"/>
      <c r="AP104" s="82"/>
      <c r="AS104" s="83"/>
      <c r="AW104" s="83"/>
      <c r="BA104" s="84"/>
    </row>
    <row r="105" spans="1:53" s="73" customFormat="1">
      <c r="A105" s="73">
        <v>2008</v>
      </c>
      <c r="C105" s="988" t="s">
        <v>278</v>
      </c>
      <c r="D105" s="988"/>
      <c r="E105" s="73">
        <v>0</v>
      </c>
      <c r="G105" s="123">
        <v>19</v>
      </c>
      <c r="J105" s="134">
        <v>19</v>
      </c>
      <c r="K105" s="92">
        <f t="shared" si="31"/>
        <v>100</v>
      </c>
      <c r="L105" s="92">
        <f t="shared" si="32"/>
        <v>0</v>
      </c>
      <c r="M105" s="92">
        <f t="shared" si="33"/>
        <v>0</v>
      </c>
      <c r="N105" s="125">
        <f t="shared" si="26"/>
        <v>100</v>
      </c>
      <c r="O105" s="91">
        <v>36.6</v>
      </c>
      <c r="P105" s="92"/>
      <c r="Q105" s="92"/>
      <c r="R105" s="93">
        <f t="shared" si="27"/>
        <v>36.6</v>
      </c>
      <c r="S105" s="97">
        <v>5</v>
      </c>
      <c r="T105" s="95"/>
      <c r="U105" s="85"/>
      <c r="V105" s="82" t="s">
        <v>72</v>
      </c>
      <c r="W105" s="73" t="s">
        <v>88</v>
      </c>
      <c r="X105" s="73" t="s">
        <v>11</v>
      </c>
      <c r="Y105" s="83">
        <v>26.3</v>
      </c>
      <c r="Z105" s="73" t="s">
        <v>105</v>
      </c>
      <c r="AA105" s="73" t="s">
        <v>74</v>
      </c>
      <c r="AB105" s="73" t="s">
        <v>11</v>
      </c>
      <c r="AC105" s="73">
        <v>10.3</v>
      </c>
      <c r="AD105" s="82"/>
      <c r="AG105" s="83"/>
      <c r="AL105" s="82"/>
      <c r="AO105" s="83"/>
      <c r="AP105" s="82"/>
      <c r="AS105" s="83"/>
      <c r="AW105" s="83"/>
      <c r="BA105" s="84"/>
    </row>
    <row r="106" spans="1:53" s="73" customFormat="1">
      <c r="A106" s="73">
        <v>2008</v>
      </c>
      <c r="C106" s="988" t="s">
        <v>278</v>
      </c>
      <c r="D106" s="988"/>
      <c r="E106" s="73">
        <v>366</v>
      </c>
      <c r="G106" s="123">
        <v>19</v>
      </c>
      <c r="J106" s="134">
        <v>19</v>
      </c>
      <c r="K106" s="92">
        <f t="shared" si="31"/>
        <v>100</v>
      </c>
      <c r="L106" s="92">
        <f t="shared" si="32"/>
        <v>0</v>
      </c>
      <c r="M106" s="92">
        <f t="shared" si="33"/>
        <v>0</v>
      </c>
      <c r="N106" s="125">
        <f t="shared" si="26"/>
        <v>100</v>
      </c>
      <c r="O106" s="91">
        <v>36.6</v>
      </c>
      <c r="P106" s="92"/>
      <c r="Q106" s="92"/>
      <c r="R106" s="93">
        <f t="shared" si="27"/>
        <v>36.6</v>
      </c>
      <c r="S106" s="97">
        <v>5</v>
      </c>
      <c r="T106" s="95"/>
      <c r="U106" s="85"/>
      <c r="V106" s="82" t="s">
        <v>72</v>
      </c>
      <c r="W106" s="73" t="s">
        <v>88</v>
      </c>
      <c r="X106" s="73" t="s">
        <v>11</v>
      </c>
      <c r="Y106" s="83">
        <v>26.3</v>
      </c>
      <c r="Z106" s="73" t="s">
        <v>105</v>
      </c>
      <c r="AA106" s="73" t="s">
        <v>74</v>
      </c>
      <c r="AB106" s="73" t="s">
        <v>11</v>
      </c>
      <c r="AC106" s="73">
        <v>10.3</v>
      </c>
      <c r="AD106" s="82"/>
      <c r="AG106" s="83"/>
      <c r="AL106" s="82"/>
      <c r="AO106" s="83"/>
      <c r="AP106" s="82"/>
      <c r="AS106" s="83"/>
      <c r="AW106" s="83"/>
      <c r="BA106" s="84"/>
    </row>
    <row r="107" spans="1:53" s="73" customFormat="1">
      <c r="A107" s="73">
        <v>2009</v>
      </c>
      <c r="C107" s="988" t="s">
        <v>278</v>
      </c>
      <c r="D107" s="988"/>
      <c r="E107" s="73">
        <v>94</v>
      </c>
      <c r="G107" s="123">
        <v>19</v>
      </c>
      <c r="J107" s="134">
        <v>19</v>
      </c>
      <c r="K107" s="92">
        <f t="shared" si="31"/>
        <v>100</v>
      </c>
      <c r="L107" s="92">
        <f t="shared" si="32"/>
        <v>0</v>
      </c>
      <c r="M107" s="92">
        <f t="shared" si="33"/>
        <v>0</v>
      </c>
      <c r="N107" s="125">
        <f t="shared" si="26"/>
        <v>100</v>
      </c>
      <c r="O107" s="91">
        <v>36.6</v>
      </c>
      <c r="P107" s="92"/>
      <c r="Q107" s="92"/>
      <c r="R107" s="93">
        <f t="shared" si="27"/>
        <v>36.6</v>
      </c>
      <c r="S107" s="97">
        <v>5</v>
      </c>
      <c r="T107" s="95"/>
      <c r="U107" s="85"/>
      <c r="V107" s="82" t="s">
        <v>72</v>
      </c>
      <c r="W107" s="73" t="s">
        <v>88</v>
      </c>
      <c r="X107" s="73" t="s">
        <v>11</v>
      </c>
      <c r="Y107" s="83">
        <v>26.3</v>
      </c>
      <c r="Z107" s="73" t="s">
        <v>105</v>
      </c>
      <c r="AA107" s="73" t="s">
        <v>74</v>
      </c>
      <c r="AB107" s="73" t="s">
        <v>11</v>
      </c>
      <c r="AC107" s="73">
        <v>10.3</v>
      </c>
      <c r="AD107" s="82"/>
      <c r="AG107" s="83"/>
      <c r="AL107" s="82"/>
      <c r="AO107" s="83"/>
      <c r="AP107" s="82"/>
      <c r="AS107" s="83"/>
      <c r="AW107" s="83"/>
      <c r="BA107" s="84"/>
    </row>
    <row r="108" spans="1:53" s="334" customFormat="1">
      <c r="A108" s="334">
        <v>2009</v>
      </c>
      <c r="B108" s="355">
        <v>39908</v>
      </c>
      <c r="C108" s="992" t="s">
        <v>279</v>
      </c>
      <c r="D108" s="992"/>
      <c r="E108" s="334">
        <v>271</v>
      </c>
      <c r="F108" s="334">
        <v>2</v>
      </c>
      <c r="G108" s="419">
        <v>19</v>
      </c>
      <c r="J108" s="435">
        <v>19</v>
      </c>
      <c r="K108" s="384">
        <f t="shared" si="31"/>
        <v>100</v>
      </c>
      <c r="L108" s="384">
        <f t="shared" si="32"/>
        <v>0</v>
      </c>
      <c r="M108" s="384">
        <f t="shared" si="33"/>
        <v>0</v>
      </c>
      <c r="N108" s="421">
        <f t="shared" si="26"/>
        <v>100</v>
      </c>
      <c r="O108" s="383">
        <v>36.6</v>
      </c>
      <c r="P108" s="384"/>
      <c r="Q108" s="384"/>
      <c r="R108" s="385">
        <f t="shared" si="27"/>
        <v>36.6</v>
      </c>
      <c r="S108" s="388">
        <v>5</v>
      </c>
      <c r="T108" s="342"/>
      <c r="U108" s="355">
        <v>39908</v>
      </c>
      <c r="V108" s="343" t="s">
        <v>72</v>
      </c>
      <c r="W108" s="334" t="s">
        <v>88</v>
      </c>
      <c r="X108" s="334" t="s">
        <v>11</v>
      </c>
      <c r="Y108" s="344">
        <v>26.3</v>
      </c>
      <c r="Z108" s="334" t="s">
        <v>105</v>
      </c>
      <c r="AA108" s="334" t="s">
        <v>74</v>
      </c>
      <c r="AB108" s="334" t="s">
        <v>11</v>
      </c>
      <c r="AC108" s="334">
        <v>10.3</v>
      </c>
      <c r="AD108" s="343"/>
      <c r="AG108" s="344"/>
      <c r="AL108" s="343"/>
      <c r="AO108" s="344"/>
      <c r="AP108" s="343"/>
      <c r="AS108" s="344"/>
      <c r="AW108" s="344"/>
      <c r="BA108" s="345"/>
    </row>
    <row r="109" spans="1:53" s="334" customFormat="1">
      <c r="A109" s="334">
        <v>2010</v>
      </c>
      <c r="C109" s="992" t="s">
        <v>279</v>
      </c>
      <c r="D109" s="992"/>
      <c r="E109" s="334">
        <v>0</v>
      </c>
      <c r="G109" s="419">
        <v>19</v>
      </c>
      <c r="J109" s="435">
        <v>19</v>
      </c>
      <c r="K109" s="384">
        <f t="shared" si="31"/>
        <v>100</v>
      </c>
      <c r="L109" s="384">
        <f t="shared" si="32"/>
        <v>0</v>
      </c>
      <c r="M109" s="384">
        <f t="shared" si="33"/>
        <v>0</v>
      </c>
      <c r="N109" s="421">
        <f t="shared" si="26"/>
        <v>100</v>
      </c>
      <c r="O109" s="383">
        <v>36.6</v>
      </c>
      <c r="P109" s="384"/>
      <c r="Q109" s="384"/>
      <c r="R109" s="385">
        <f t="shared" si="27"/>
        <v>36.6</v>
      </c>
      <c r="S109" s="388">
        <v>5</v>
      </c>
      <c r="T109" s="342"/>
      <c r="U109" s="355"/>
      <c r="V109" s="343" t="s">
        <v>72</v>
      </c>
      <c r="W109" s="334" t="s">
        <v>88</v>
      </c>
      <c r="X109" s="334" t="s">
        <v>11</v>
      </c>
      <c r="Y109" s="344">
        <v>26.3</v>
      </c>
      <c r="Z109" s="334" t="s">
        <v>105</v>
      </c>
      <c r="AA109" s="334" t="s">
        <v>74</v>
      </c>
      <c r="AB109" s="334" t="s">
        <v>11</v>
      </c>
      <c r="AC109" s="334">
        <v>10.3</v>
      </c>
      <c r="AD109" s="343"/>
      <c r="AG109" s="344"/>
      <c r="AL109" s="343"/>
      <c r="AO109" s="344"/>
      <c r="AP109" s="343"/>
      <c r="AS109" s="344"/>
      <c r="AW109" s="344"/>
      <c r="BA109" s="345"/>
    </row>
    <row r="110" spans="1:53" s="334" customFormat="1">
      <c r="A110" s="334">
        <v>2010</v>
      </c>
      <c r="C110" s="992" t="s">
        <v>279</v>
      </c>
      <c r="D110" s="992"/>
      <c r="E110" s="334">
        <v>365</v>
      </c>
      <c r="G110" s="419">
        <v>19</v>
      </c>
      <c r="J110" s="435">
        <v>19</v>
      </c>
      <c r="K110" s="384">
        <f t="shared" si="31"/>
        <v>100</v>
      </c>
      <c r="L110" s="384">
        <f t="shared" si="32"/>
        <v>0</v>
      </c>
      <c r="M110" s="384">
        <f t="shared" si="33"/>
        <v>0</v>
      </c>
      <c r="N110" s="421">
        <f t="shared" si="26"/>
        <v>100</v>
      </c>
      <c r="O110" s="383">
        <v>36.6</v>
      </c>
      <c r="P110" s="384"/>
      <c r="Q110" s="384"/>
      <c r="R110" s="385">
        <f t="shared" si="27"/>
        <v>36.6</v>
      </c>
      <c r="S110" s="388">
        <v>5</v>
      </c>
      <c r="T110" s="342"/>
      <c r="U110" s="355"/>
      <c r="V110" s="343" t="s">
        <v>72</v>
      </c>
      <c r="W110" s="334" t="s">
        <v>88</v>
      </c>
      <c r="X110" s="334" t="s">
        <v>11</v>
      </c>
      <c r="Y110" s="344">
        <v>26.3</v>
      </c>
      <c r="Z110" s="334" t="s">
        <v>105</v>
      </c>
      <c r="AA110" s="334" t="s">
        <v>74</v>
      </c>
      <c r="AB110" s="334" t="s">
        <v>11</v>
      </c>
      <c r="AC110" s="334">
        <v>10.3</v>
      </c>
      <c r="AD110" s="343"/>
      <c r="AG110" s="344"/>
      <c r="AL110" s="343"/>
      <c r="AO110" s="344"/>
      <c r="AP110" s="343"/>
      <c r="AS110" s="344"/>
      <c r="AW110" s="344"/>
      <c r="BA110" s="345"/>
    </row>
    <row r="111" spans="1:53" s="334" customFormat="1">
      <c r="A111" s="334">
        <v>2011</v>
      </c>
      <c r="C111" s="992" t="s">
        <v>279</v>
      </c>
      <c r="D111" s="992"/>
      <c r="E111" s="334">
        <v>275</v>
      </c>
      <c r="G111" s="419">
        <v>19</v>
      </c>
      <c r="J111" s="435">
        <v>19</v>
      </c>
      <c r="K111" s="384">
        <f t="shared" ref="K111:K116" si="34">G111/J111*100</f>
        <v>100</v>
      </c>
      <c r="L111" s="384">
        <f t="shared" ref="L111:L116" si="35">H111/J111*100</f>
        <v>0</v>
      </c>
      <c r="M111" s="384">
        <f t="shared" ref="M111:M116" si="36">I111/J111*100</f>
        <v>0</v>
      </c>
      <c r="N111" s="421">
        <f t="shared" si="26"/>
        <v>100</v>
      </c>
      <c r="O111" s="383">
        <v>36.6</v>
      </c>
      <c r="P111" s="384"/>
      <c r="Q111" s="384"/>
      <c r="R111" s="385">
        <f t="shared" si="27"/>
        <v>36.6</v>
      </c>
      <c r="S111" s="388">
        <v>5</v>
      </c>
      <c r="T111" s="342"/>
      <c r="U111" s="355"/>
      <c r="V111" s="343" t="s">
        <v>72</v>
      </c>
      <c r="W111" s="334" t="s">
        <v>88</v>
      </c>
      <c r="X111" s="334" t="s">
        <v>11</v>
      </c>
      <c r="Y111" s="344">
        <v>26.3</v>
      </c>
      <c r="Z111" s="334" t="s">
        <v>105</v>
      </c>
      <c r="AA111" s="334" t="s">
        <v>74</v>
      </c>
      <c r="AB111" s="334" t="s">
        <v>11</v>
      </c>
      <c r="AC111" s="334">
        <v>10.3</v>
      </c>
      <c r="AD111" s="343"/>
      <c r="AG111" s="344"/>
      <c r="AL111" s="343"/>
      <c r="AO111" s="344"/>
      <c r="AP111" s="343"/>
      <c r="AS111" s="344"/>
      <c r="AW111" s="344"/>
      <c r="BA111" s="345"/>
    </row>
    <row r="112" spans="1:53" s="73" customFormat="1">
      <c r="A112" s="73">
        <v>2011</v>
      </c>
      <c r="B112" s="85">
        <v>40819</v>
      </c>
      <c r="C112" s="988" t="s">
        <v>280</v>
      </c>
      <c r="D112" s="988"/>
      <c r="E112" s="73">
        <v>90</v>
      </c>
      <c r="F112" s="73">
        <v>1</v>
      </c>
      <c r="G112" s="123">
        <v>6</v>
      </c>
      <c r="I112" s="73">
        <v>17</v>
      </c>
      <c r="J112" s="134">
        <v>23</v>
      </c>
      <c r="K112" s="92">
        <f t="shared" si="34"/>
        <v>26.086956521739129</v>
      </c>
      <c r="L112" s="92">
        <f t="shared" si="35"/>
        <v>0</v>
      </c>
      <c r="M112" s="92">
        <f t="shared" si="36"/>
        <v>73.91304347826086</v>
      </c>
      <c r="N112" s="125">
        <f t="shared" si="26"/>
        <v>99.999999999999986</v>
      </c>
      <c r="O112" s="91">
        <v>9.6999999999999993</v>
      </c>
      <c r="P112" s="92"/>
      <c r="Q112" s="92">
        <v>34.200000000000003</v>
      </c>
      <c r="R112" s="93">
        <f t="shared" si="27"/>
        <v>43.900000000000006</v>
      </c>
      <c r="S112" s="97">
        <v>5</v>
      </c>
      <c r="T112" s="95">
        <v>40801</v>
      </c>
      <c r="U112" s="85">
        <v>40819</v>
      </c>
      <c r="V112" s="82" t="s">
        <v>102</v>
      </c>
      <c r="W112" s="73" t="s">
        <v>20</v>
      </c>
      <c r="X112" s="73" t="s">
        <v>12</v>
      </c>
      <c r="Y112" s="83">
        <v>25.1</v>
      </c>
      <c r="Z112" s="73" t="s">
        <v>103</v>
      </c>
      <c r="AA112" s="73" t="s">
        <v>22</v>
      </c>
      <c r="AB112" s="73" t="s">
        <v>11</v>
      </c>
      <c r="AC112" s="73">
        <v>9.6999999999999993</v>
      </c>
      <c r="AD112" s="82" t="s">
        <v>281</v>
      </c>
      <c r="AE112" s="73" t="s">
        <v>116</v>
      </c>
      <c r="AF112" s="73" t="s">
        <v>12</v>
      </c>
      <c r="AG112" s="83">
        <v>9.1</v>
      </c>
      <c r="AL112" s="82"/>
      <c r="AO112" s="83"/>
      <c r="AP112" s="82"/>
      <c r="AS112" s="83"/>
      <c r="AW112" s="83"/>
      <c r="BA112" s="84"/>
    </row>
    <row r="113" spans="1:53" s="73" customFormat="1">
      <c r="A113" s="73">
        <v>2012</v>
      </c>
      <c r="C113" s="988" t="s">
        <v>280</v>
      </c>
      <c r="D113" s="988"/>
      <c r="E113" s="73">
        <v>0</v>
      </c>
      <c r="G113" s="123">
        <v>6</v>
      </c>
      <c r="I113" s="73">
        <v>17</v>
      </c>
      <c r="J113" s="134">
        <v>23</v>
      </c>
      <c r="K113" s="92">
        <f t="shared" si="34"/>
        <v>26.086956521739129</v>
      </c>
      <c r="L113" s="92">
        <f t="shared" si="35"/>
        <v>0</v>
      </c>
      <c r="M113" s="92">
        <f t="shared" si="36"/>
        <v>73.91304347826086</v>
      </c>
      <c r="N113" s="125">
        <f t="shared" si="26"/>
        <v>99.999999999999986</v>
      </c>
      <c r="O113" s="91">
        <v>9.6999999999999993</v>
      </c>
      <c r="P113" s="92"/>
      <c r="Q113" s="92">
        <v>34.200000000000003</v>
      </c>
      <c r="R113" s="93">
        <f t="shared" si="27"/>
        <v>43.900000000000006</v>
      </c>
      <c r="S113" s="97">
        <v>5</v>
      </c>
      <c r="T113" s="95"/>
      <c r="U113" s="85"/>
      <c r="V113" s="82" t="s">
        <v>102</v>
      </c>
      <c r="W113" s="73" t="s">
        <v>20</v>
      </c>
      <c r="X113" s="73" t="s">
        <v>12</v>
      </c>
      <c r="Y113" s="83">
        <v>25.1</v>
      </c>
      <c r="Z113" s="73" t="s">
        <v>103</v>
      </c>
      <c r="AA113" s="73" t="s">
        <v>22</v>
      </c>
      <c r="AB113" s="73" t="s">
        <v>11</v>
      </c>
      <c r="AC113" s="73">
        <v>9.6999999999999993</v>
      </c>
      <c r="AD113" s="82" t="s">
        <v>281</v>
      </c>
      <c r="AE113" s="73" t="s">
        <v>116</v>
      </c>
      <c r="AF113" s="73" t="s">
        <v>12</v>
      </c>
      <c r="AG113" s="83">
        <v>9.1</v>
      </c>
      <c r="AL113" s="82"/>
      <c r="AO113" s="83"/>
      <c r="AP113" s="82"/>
      <c r="AS113" s="83"/>
      <c r="AW113" s="83"/>
      <c r="BA113" s="84"/>
    </row>
    <row r="114" spans="1:53" s="73" customFormat="1">
      <c r="A114" s="73">
        <v>2012</v>
      </c>
      <c r="C114" s="988" t="s">
        <v>280</v>
      </c>
      <c r="D114" s="988"/>
      <c r="E114" s="73">
        <v>366</v>
      </c>
      <c r="G114" s="123">
        <v>6</v>
      </c>
      <c r="I114" s="73">
        <v>17</v>
      </c>
      <c r="J114" s="134">
        <v>23</v>
      </c>
      <c r="K114" s="92">
        <f t="shared" si="34"/>
        <v>26.086956521739129</v>
      </c>
      <c r="L114" s="92">
        <f t="shared" si="35"/>
        <v>0</v>
      </c>
      <c r="M114" s="92">
        <f t="shared" si="36"/>
        <v>73.91304347826086</v>
      </c>
      <c r="N114" s="125">
        <f t="shared" si="26"/>
        <v>99.999999999999986</v>
      </c>
      <c r="O114" s="91">
        <v>9.6999999999999993</v>
      </c>
      <c r="P114" s="92"/>
      <c r="Q114" s="92">
        <v>34.200000000000003</v>
      </c>
      <c r="R114" s="93">
        <f t="shared" si="27"/>
        <v>43.900000000000006</v>
      </c>
      <c r="S114" s="97">
        <v>5</v>
      </c>
      <c r="T114" s="95"/>
      <c r="U114" s="85"/>
      <c r="V114" s="82" t="s">
        <v>102</v>
      </c>
      <c r="W114" s="73" t="s">
        <v>20</v>
      </c>
      <c r="X114" s="73" t="s">
        <v>12</v>
      </c>
      <c r="Y114" s="83">
        <v>25.1</v>
      </c>
      <c r="Z114" s="73" t="s">
        <v>103</v>
      </c>
      <c r="AA114" s="73" t="s">
        <v>22</v>
      </c>
      <c r="AB114" s="73" t="s">
        <v>11</v>
      </c>
      <c r="AC114" s="73">
        <v>9.6999999999999993</v>
      </c>
      <c r="AD114" s="82" t="s">
        <v>281</v>
      </c>
      <c r="AE114" s="73" t="s">
        <v>116</v>
      </c>
      <c r="AF114" s="73" t="s">
        <v>12</v>
      </c>
      <c r="AG114" s="83">
        <v>9.1</v>
      </c>
      <c r="AL114" s="82"/>
      <c r="AO114" s="83"/>
      <c r="AP114" s="82"/>
      <c r="AS114" s="83"/>
      <c r="AW114" s="83"/>
      <c r="BA114" s="84"/>
    </row>
    <row r="115" spans="1:53" s="297" customFormat="1">
      <c r="A115" s="297">
        <v>2013</v>
      </c>
      <c r="C115" s="988" t="s">
        <v>280</v>
      </c>
      <c r="D115" s="988"/>
      <c r="E115" s="297">
        <v>220</v>
      </c>
      <c r="G115" s="123">
        <v>6</v>
      </c>
      <c r="I115" s="297">
        <v>17</v>
      </c>
      <c r="J115" s="134">
        <v>23</v>
      </c>
      <c r="K115" s="92">
        <f t="shared" si="34"/>
        <v>26.086956521739129</v>
      </c>
      <c r="L115" s="92">
        <f t="shared" si="35"/>
        <v>0</v>
      </c>
      <c r="M115" s="92">
        <f t="shared" si="36"/>
        <v>73.91304347826086</v>
      </c>
      <c r="N115" s="125">
        <f t="shared" si="26"/>
        <v>99.999999999999986</v>
      </c>
      <c r="O115" s="91">
        <v>9.6999999999999993</v>
      </c>
      <c r="P115" s="92"/>
      <c r="Q115" s="92">
        <v>34.200000000000003</v>
      </c>
      <c r="R115" s="93">
        <f t="shared" si="27"/>
        <v>43.900000000000006</v>
      </c>
      <c r="S115" s="97">
        <v>5</v>
      </c>
      <c r="T115" s="95"/>
      <c r="U115" s="295"/>
      <c r="V115" s="82" t="s">
        <v>102</v>
      </c>
      <c r="W115" s="297" t="s">
        <v>20</v>
      </c>
      <c r="X115" s="297" t="s">
        <v>12</v>
      </c>
      <c r="Y115" s="83">
        <v>25.1</v>
      </c>
      <c r="Z115" s="297" t="s">
        <v>103</v>
      </c>
      <c r="AA115" s="297" t="s">
        <v>22</v>
      </c>
      <c r="AB115" s="297" t="s">
        <v>11</v>
      </c>
      <c r="AC115" s="297">
        <v>9.6999999999999993</v>
      </c>
      <c r="AD115" s="82" t="s">
        <v>281</v>
      </c>
      <c r="AE115" s="297" t="s">
        <v>116</v>
      </c>
      <c r="AF115" s="297" t="s">
        <v>12</v>
      </c>
      <c r="AG115" s="83">
        <v>9.1</v>
      </c>
      <c r="AL115" s="82"/>
      <c r="AO115" s="83"/>
      <c r="AP115" s="82"/>
      <c r="AS115" s="83"/>
      <c r="AW115" s="83"/>
      <c r="BA115" s="84"/>
    </row>
    <row r="116" spans="1:53" s="297" customFormat="1">
      <c r="A116" s="297">
        <v>2013</v>
      </c>
      <c r="B116" s="149">
        <v>41495</v>
      </c>
      <c r="C116" s="988" t="s">
        <v>280</v>
      </c>
      <c r="D116" s="988"/>
      <c r="E116" s="297">
        <f>365-E115</f>
        <v>145</v>
      </c>
      <c r="F116" s="150">
        <v>0</v>
      </c>
      <c r="G116" s="123">
        <v>6</v>
      </c>
      <c r="I116" s="297">
        <v>16</v>
      </c>
      <c r="J116" s="134">
        <v>22</v>
      </c>
      <c r="K116" s="92">
        <f t="shared" si="34"/>
        <v>27.27272727272727</v>
      </c>
      <c r="L116" s="92">
        <f t="shared" si="35"/>
        <v>0</v>
      </c>
      <c r="M116" s="92">
        <f t="shared" si="36"/>
        <v>72.727272727272734</v>
      </c>
      <c r="N116" s="125">
        <f t="shared" si="26"/>
        <v>100</v>
      </c>
      <c r="O116" s="91">
        <v>9.6999999999999993</v>
      </c>
      <c r="P116" s="92"/>
      <c r="Q116" s="92">
        <v>34.200000000000003</v>
      </c>
      <c r="R116" s="93">
        <f t="shared" si="27"/>
        <v>43.900000000000006</v>
      </c>
      <c r="S116" s="97">
        <v>5</v>
      </c>
      <c r="T116" s="95"/>
      <c r="U116" s="295"/>
      <c r="V116" s="82" t="s">
        <v>102</v>
      </c>
      <c r="W116" s="297" t="s">
        <v>20</v>
      </c>
      <c r="X116" s="297" t="s">
        <v>12</v>
      </c>
      <c r="Y116" s="83">
        <v>25.1</v>
      </c>
      <c r="Z116" s="297" t="s">
        <v>103</v>
      </c>
      <c r="AA116" s="297" t="s">
        <v>22</v>
      </c>
      <c r="AB116" s="297" t="s">
        <v>11</v>
      </c>
      <c r="AC116" s="297">
        <v>9.6999999999999993</v>
      </c>
      <c r="AD116" s="82" t="s">
        <v>281</v>
      </c>
      <c r="AE116" s="297" t="s">
        <v>116</v>
      </c>
      <c r="AF116" s="297" t="s">
        <v>12</v>
      </c>
      <c r="AG116" s="83">
        <v>9.1</v>
      </c>
      <c r="AL116" s="82"/>
      <c r="AO116" s="83"/>
      <c r="AP116" s="82"/>
      <c r="AS116" s="83"/>
      <c r="AW116" s="83"/>
      <c r="BA116" s="84"/>
    </row>
    <row r="117" spans="1:53" s="531" customFormat="1">
      <c r="A117" s="531">
        <v>2014</v>
      </c>
      <c r="B117" s="483"/>
      <c r="C117" s="988" t="s">
        <v>280</v>
      </c>
      <c r="D117" s="988"/>
      <c r="E117" s="531">
        <v>33</v>
      </c>
      <c r="F117" s="484"/>
      <c r="G117" s="480">
        <v>6</v>
      </c>
      <c r="I117" s="531">
        <v>16</v>
      </c>
      <c r="J117" s="482">
        <v>22</v>
      </c>
      <c r="K117" s="477">
        <f>G117/J117*100</f>
        <v>27.27272727272727</v>
      </c>
      <c r="L117" s="477">
        <f>H117/J117*100</f>
        <v>0</v>
      </c>
      <c r="M117" s="477">
        <f>I117/J117*100</f>
        <v>72.727272727272734</v>
      </c>
      <c r="N117" s="481">
        <f>SUM(K117:M117)</f>
        <v>100</v>
      </c>
      <c r="O117" s="476">
        <v>9.6999999999999993</v>
      </c>
      <c r="P117" s="477"/>
      <c r="Q117" s="477">
        <v>34.200000000000003</v>
      </c>
      <c r="R117" s="478">
        <f t="shared" ref="R117:R123" si="37">SUM(O117:Q117)</f>
        <v>43.900000000000006</v>
      </c>
      <c r="S117" s="97">
        <v>5</v>
      </c>
      <c r="T117" s="479"/>
      <c r="U117" s="528"/>
      <c r="V117" s="472" t="s">
        <v>102</v>
      </c>
      <c r="W117" s="531" t="s">
        <v>20</v>
      </c>
      <c r="X117" s="531" t="s">
        <v>12</v>
      </c>
      <c r="Y117" s="473">
        <v>25.1</v>
      </c>
      <c r="Z117" s="531" t="s">
        <v>103</v>
      </c>
      <c r="AA117" s="531" t="s">
        <v>22</v>
      </c>
      <c r="AB117" s="531" t="s">
        <v>11</v>
      </c>
      <c r="AC117" s="531">
        <v>9.6999999999999993</v>
      </c>
      <c r="AD117" s="472" t="s">
        <v>281</v>
      </c>
      <c r="AE117" s="531" t="s">
        <v>116</v>
      </c>
      <c r="AF117" s="531" t="s">
        <v>12</v>
      </c>
      <c r="AG117" s="473">
        <v>9.1</v>
      </c>
      <c r="AL117" s="472"/>
      <c r="AO117" s="473"/>
      <c r="AP117" s="472"/>
      <c r="AS117" s="473"/>
      <c r="AW117" s="473"/>
      <c r="BA117" s="474"/>
    </row>
    <row r="118" spans="1:53" s="532" customFormat="1">
      <c r="A118" s="532">
        <v>2014</v>
      </c>
      <c r="B118" s="529">
        <v>41673</v>
      </c>
      <c r="C118" s="992" t="s">
        <v>1299</v>
      </c>
      <c r="D118" s="992"/>
      <c r="E118" s="532">
        <v>211</v>
      </c>
      <c r="F118" s="532">
        <v>4</v>
      </c>
      <c r="G118" s="497">
        <v>7</v>
      </c>
      <c r="I118" s="532">
        <v>13</v>
      </c>
      <c r="J118" s="499">
        <v>20</v>
      </c>
      <c r="K118" s="495">
        <f>G118/J118*100</f>
        <v>35</v>
      </c>
      <c r="L118" s="495">
        <f>H118/J118*100</f>
        <v>0</v>
      </c>
      <c r="M118" s="495">
        <f>I118/J118*100</f>
        <v>65</v>
      </c>
      <c r="N118" s="498">
        <f>SUM(K118:M118)</f>
        <v>100</v>
      </c>
      <c r="O118" s="494">
        <v>9.1</v>
      </c>
      <c r="P118" s="495"/>
      <c r="Q118" s="495">
        <v>26.9</v>
      </c>
      <c r="R118" s="496">
        <f t="shared" si="37"/>
        <v>36</v>
      </c>
      <c r="S118" s="388">
        <v>5</v>
      </c>
      <c r="T118" s="487"/>
      <c r="U118" s="867">
        <v>41673</v>
      </c>
      <c r="V118" s="488" t="s">
        <v>102</v>
      </c>
      <c r="W118" s="532" t="s">
        <v>20</v>
      </c>
      <c r="X118" s="532" t="s">
        <v>12</v>
      </c>
      <c r="Y118" s="489">
        <v>26.9</v>
      </c>
      <c r="Z118" s="532" t="s">
        <v>103</v>
      </c>
      <c r="AA118" s="532" t="s">
        <v>22</v>
      </c>
      <c r="AB118" s="532" t="s">
        <v>11</v>
      </c>
      <c r="AC118" s="532">
        <v>9.1</v>
      </c>
      <c r="AD118" s="488"/>
      <c r="AG118" s="489"/>
      <c r="AL118" s="488"/>
      <c r="AO118" s="489"/>
      <c r="AP118" s="488"/>
      <c r="AS118" s="489"/>
      <c r="AW118" s="489"/>
      <c r="BA118" s="490"/>
    </row>
    <row r="119" spans="1:53" s="532" customFormat="1">
      <c r="A119" s="532">
        <v>2014</v>
      </c>
      <c r="B119" s="502">
        <v>41884</v>
      </c>
      <c r="C119" s="992" t="s">
        <v>1299</v>
      </c>
      <c r="D119" s="992"/>
      <c r="E119" s="532">
        <v>121</v>
      </c>
      <c r="F119" s="501">
        <v>0</v>
      </c>
      <c r="G119" s="497">
        <v>6</v>
      </c>
      <c r="I119" s="532">
        <v>14</v>
      </c>
      <c r="J119" s="499">
        <v>20</v>
      </c>
      <c r="K119" s="495">
        <f>G119/J119*100</f>
        <v>30</v>
      </c>
      <c r="L119" s="495">
        <f>H119/J119*100</f>
        <v>0</v>
      </c>
      <c r="M119" s="495">
        <f>I119/J119*100</f>
        <v>70</v>
      </c>
      <c r="N119" s="498">
        <f>SUM(K119:M119)</f>
        <v>100</v>
      </c>
      <c r="O119" s="494">
        <v>9.1</v>
      </c>
      <c r="P119" s="495"/>
      <c r="Q119" s="495">
        <v>26.9</v>
      </c>
      <c r="R119" s="496">
        <f t="shared" si="37"/>
        <v>36</v>
      </c>
      <c r="S119" s="532">
        <v>5</v>
      </c>
      <c r="T119" s="487"/>
      <c r="U119" s="529"/>
      <c r="V119" s="488" t="s">
        <v>102</v>
      </c>
      <c r="W119" s="532" t="s">
        <v>20</v>
      </c>
      <c r="X119" s="532" t="s">
        <v>12</v>
      </c>
      <c r="Y119" s="489">
        <v>26.9</v>
      </c>
      <c r="Z119" s="532" t="s">
        <v>103</v>
      </c>
      <c r="AA119" s="532" t="s">
        <v>22</v>
      </c>
      <c r="AB119" s="532" t="s">
        <v>11</v>
      </c>
      <c r="AC119" s="532">
        <v>9.1</v>
      </c>
      <c r="AD119" s="488"/>
      <c r="AG119" s="489"/>
      <c r="AL119" s="488"/>
      <c r="AO119" s="489"/>
      <c r="AP119" s="488"/>
      <c r="AS119" s="489"/>
      <c r="AW119" s="489"/>
      <c r="BA119" s="490"/>
    </row>
    <row r="120" spans="1:53" s="703" customFormat="1">
      <c r="A120" s="703">
        <v>2015</v>
      </c>
      <c r="B120" s="502"/>
      <c r="C120" s="992" t="s">
        <v>1299</v>
      </c>
      <c r="D120" s="992"/>
      <c r="E120" s="703">
        <v>178</v>
      </c>
      <c r="F120" s="501"/>
      <c r="G120" s="642">
        <v>6</v>
      </c>
      <c r="I120" s="703">
        <v>14</v>
      </c>
      <c r="J120" s="644">
        <v>20</v>
      </c>
      <c r="K120" s="640">
        <f t="shared" ref="K120:K123" si="38">G120/J120*100</f>
        <v>30</v>
      </c>
      <c r="L120" s="640">
        <f t="shared" ref="L120:L123" si="39">H120/J120*100</f>
        <v>0</v>
      </c>
      <c r="M120" s="640">
        <f t="shared" ref="M120:M123" si="40">I120/J120*100</f>
        <v>70</v>
      </c>
      <c r="N120" s="643">
        <f t="shared" ref="N120:N123" si="41">SUM(K120:M120)</f>
        <v>100</v>
      </c>
      <c r="O120" s="639">
        <v>9.1</v>
      </c>
      <c r="P120" s="640"/>
      <c r="Q120" s="640">
        <v>26.9</v>
      </c>
      <c r="R120" s="641">
        <f t="shared" si="37"/>
        <v>36</v>
      </c>
      <c r="S120" s="703">
        <v>5</v>
      </c>
      <c r="T120" s="487"/>
      <c r="U120" s="699"/>
      <c r="V120" s="634" t="s">
        <v>102</v>
      </c>
      <c r="W120" s="703" t="s">
        <v>20</v>
      </c>
      <c r="X120" s="703" t="s">
        <v>12</v>
      </c>
      <c r="Y120" s="635">
        <v>26.9</v>
      </c>
      <c r="Z120" s="703" t="s">
        <v>103</v>
      </c>
      <c r="AA120" s="703" t="s">
        <v>22</v>
      </c>
      <c r="AB120" s="703" t="s">
        <v>11</v>
      </c>
      <c r="AC120" s="703">
        <v>9.1</v>
      </c>
      <c r="AD120" s="634"/>
      <c r="AG120" s="635"/>
      <c r="AL120" s="634"/>
      <c r="AO120" s="635"/>
      <c r="AP120" s="634"/>
      <c r="AS120" s="635"/>
      <c r="AW120" s="635"/>
      <c r="BA120" s="636"/>
    </row>
    <row r="121" spans="1:53" s="767" customFormat="1">
      <c r="A121" s="767">
        <v>2015</v>
      </c>
      <c r="B121" s="766">
        <v>42183</v>
      </c>
      <c r="C121" s="988" t="s">
        <v>1330</v>
      </c>
      <c r="D121" s="988"/>
      <c r="E121" s="767">
        <v>187</v>
      </c>
      <c r="F121" s="767">
        <v>1</v>
      </c>
      <c r="G121" s="596">
        <v>17</v>
      </c>
      <c r="J121" s="598">
        <v>17</v>
      </c>
      <c r="K121" s="593">
        <f t="shared" si="38"/>
        <v>100</v>
      </c>
      <c r="L121" s="593">
        <f t="shared" si="39"/>
        <v>0</v>
      </c>
      <c r="M121" s="593">
        <f t="shared" si="40"/>
        <v>0</v>
      </c>
      <c r="N121" s="597">
        <f t="shared" si="41"/>
        <v>100</v>
      </c>
      <c r="O121" s="592">
        <v>19.399999999999999</v>
      </c>
      <c r="P121" s="593"/>
      <c r="Q121" s="593"/>
      <c r="R121" s="594">
        <f t="shared" si="37"/>
        <v>19.399999999999999</v>
      </c>
      <c r="S121" s="97">
        <v>4</v>
      </c>
      <c r="T121" s="595">
        <v>42173</v>
      </c>
      <c r="U121" s="766">
        <v>42183</v>
      </c>
      <c r="V121" s="588" t="s">
        <v>72</v>
      </c>
      <c r="W121" s="767" t="s">
        <v>88</v>
      </c>
      <c r="X121" s="767" t="s">
        <v>11</v>
      </c>
      <c r="Y121" s="589">
        <v>19.399999999999999</v>
      </c>
      <c r="AG121" s="589"/>
      <c r="AL121" s="588"/>
      <c r="AO121" s="589"/>
      <c r="AP121" s="588"/>
      <c r="AS121" s="589"/>
      <c r="AW121" s="589"/>
      <c r="BA121" s="590"/>
    </row>
    <row r="122" spans="1:53" s="806" customFormat="1">
      <c r="A122" s="806">
        <v>2016</v>
      </c>
      <c r="B122" s="803"/>
      <c r="C122" s="988" t="s">
        <v>1330</v>
      </c>
      <c r="D122" s="988"/>
      <c r="E122" s="806">
        <v>332</v>
      </c>
      <c r="G122" s="596">
        <v>17</v>
      </c>
      <c r="J122" s="598">
        <v>17</v>
      </c>
      <c r="K122" s="593">
        <f t="shared" si="38"/>
        <v>100</v>
      </c>
      <c r="L122" s="593">
        <f t="shared" si="39"/>
        <v>0</v>
      </c>
      <c r="M122" s="593">
        <f t="shared" si="40"/>
        <v>0</v>
      </c>
      <c r="N122" s="597">
        <f t="shared" si="41"/>
        <v>100</v>
      </c>
      <c r="O122" s="592">
        <v>19.399999999999999</v>
      </c>
      <c r="P122" s="593"/>
      <c r="Q122" s="593"/>
      <c r="R122" s="594">
        <f t="shared" si="37"/>
        <v>19.399999999999999</v>
      </c>
      <c r="S122" s="97">
        <v>4</v>
      </c>
      <c r="T122" s="595"/>
      <c r="U122" s="803"/>
      <c r="V122" s="588" t="s">
        <v>72</v>
      </c>
      <c r="W122" s="806" t="s">
        <v>88</v>
      </c>
      <c r="X122" s="806" t="s">
        <v>11</v>
      </c>
      <c r="Y122" s="589">
        <v>19.399999999999999</v>
      </c>
      <c r="AD122" s="588"/>
      <c r="AG122" s="589"/>
      <c r="AL122" s="588"/>
      <c r="AO122" s="589"/>
      <c r="AP122" s="588"/>
      <c r="AS122" s="589"/>
      <c r="AW122" s="589"/>
      <c r="BA122" s="590"/>
    </row>
    <row r="123" spans="1:53" s="823" customFormat="1">
      <c r="A123" s="823">
        <v>2016</v>
      </c>
      <c r="B123" s="818">
        <v>42702</v>
      </c>
      <c r="C123" s="992" t="s">
        <v>1353</v>
      </c>
      <c r="D123" s="992"/>
      <c r="E123" s="823">
        <v>34</v>
      </c>
      <c r="F123" s="823">
        <v>7</v>
      </c>
      <c r="G123" s="642">
        <v>22</v>
      </c>
      <c r="J123" s="644">
        <v>22</v>
      </c>
      <c r="K123" s="640">
        <f t="shared" si="38"/>
        <v>100</v>
      </c>
      <c r="L123" s="640">
        <f t="shared" si="39"/>
        <v>0</v>
      </c>
      <c r="M123" s="640">
        <f t="shared" si="40"/>
        <v>0</v>
      </c>
      <c r="N123" s="643">
        <f t="shared" si="41"/>
        <v>100</v>
      </c>
      <c r="O123" s="639">
        <v>30.3</v>
      </c>
      <c r="P123" s="640"/>
      <c r="Q123" s="640"/>
      <c r="R123" s="641">
        <f t="shared" si="37"/>
        <v>30.3</v>
      </c>
      <c r="S123" s="388">
        <v>5</v>
      </c>
      <c r="T123" s="487"/>
      <c r="U123" s="818">
        <v>42702</v>
      </c>
      <c r="V123" s="634" t="s">
        <v>72</v>
      </c>
      <c r="W123" s="823" t="s">
        <v>88</v>
      </c>
      <c r="X123" s="823" t="s">
        <v>11</v>
      </c>
      <c r="Y123" s="635">
        <v>19.399999999999999</v>
      </c>
      <c r="Z123" s="823" t="s">
        <v>1354</v>
      </c>
      <c r="AA123" s="823" t="s">
        <v>905</v>
      </c>
      <c r="AB123" s="872" t="s">
        <v>11</v>
      </c>
      <c r="AC123" s="823">
        <v>7.4</v>
      </c>
      <c r="AD123" s="634" t="s">
        <v>105</v>
      </c>
      <c r="AE123" s="823" t="s">
        <v>74</v>
      </c>
      <c r="AF123" s="823" t="s">
        <v>11</v>
      </c>
      <c r="AG123" s="635">
        <v>3.4</v>
      </c>
      <c r="AL123" s="634"/>
      <c r="AO123" s="635"/>
      <c r="AP123" s="634"/>
      <c r="AS123" s="635"/>
      <c r="AW123" s="635"/>
      <c r="BA123" s="636"/>
    </row>
    <row r="124" spans="1:53" s="895" customFormat="1">
      <c r="A124" s="895">
        <v>2017</v>
      </c>
      <c r="B124" s="893"/>
      <c r="C124" s="992" t="s">
        <v>1353</v>
      </c>
      <c r="D124" s="992"/>
      <c r="E124" s="895">
        <v>0</v>
      </c>
      <c r="G124" s="642">
        <v>22</v>
      </c>
      <c r="J124" s="644">
        <v>22</v>
      </c>
      <c r="K124" s="640">
        <f t="shared" ref="K124:K127" si="42">G124/J124*100</f>
        <v>100</v>
      </c>
      <c r="L124" s="640">
        <f t="shared" ref="L124:L127" si="43">H124/J124*100</f>
        <v>0</v>
      </c>
      <c r="M124" s="640">
        <f t="shared" ref="M124:M127" si="44">I124/J124*100</f>
        <v>0</v>
      </c>
      <c r="N124" s="643">
        <f t="shared" ref="N124:N127" si="45">SUM(K124:M124)</f>
        <v>100</v>
      </c>
      <c r="O124" s="639">
        <v>30.3</v>
      </c>
      <c r="P124" s="640"/>
      <c r="Q124" s="640"/>
      <c r="R124" s="641">
        <f t="shared" ref="R124:R127" si="46">SUM(O124:Q124)</f>
        <v>30.3</v>
      </c>
      <c r="S124" s="388">
        <v>5</v>
      </c>
      <c r="T124" s="487"/>
      <c r="U124" s="893"/>
      <c r="V124" s="634" t="s">
        <v>72</v>
      </c>
      <c r="W124" s="895" t="s">
        <v>88</v>
      </c>
      <c r="X124" s="895" t="s">
        <v>11</v>
      </c>
      <c r="Y124" s="635">
        <v>19.399999999999999</v>
      </c>
      <c r="Z124" s="895" t="s">
        <v>1354</v>
      </c>
      <c r="AA124" s="895" t="s">
        <v>905</v>
      </c>
      <c r="AB124" s="895" t="s">
        <v>11</v>
      </c>
      <c r="AC124" s="895">
        <v>7.4</v>
      </c>
      <c r="AD124" s="634" t="s">
        <v>105</v>
      </c>
      <c r="AE124" s="895" t="s">
        <v>74</v>
      </c>
      <c r="AF124" s="895" t="s">
        <v>11</v>
      </c>
      <c r="AG124" s="635">
        <v>3.4</v>
      </c>
    </row>
    <row r="125" spans="1:53" s="895" customFormat="1">
      <c r="A125" s="895">
        <v>2017</v>
      </c>
      <c r="B125" s="893"/>
      <c r="C125" s="992" t="s">
        <v>1353</v>
      </c>
      <c r="D125" s="992"/>
      <c r="E125" s="895">
        <v>365</v>
      </c>
      <c r="G125" s="642">
        <v>22</v>
      </c>
      <c r="J125" s="644">
        <v>22</v>
      </c>
      <c r="K125" s="640">
        <f t="shared" si="42"/>
        <v>100</v>
      </c>
      <c r="L125" s="640">
        <f t="shared" si="43"/>
        <v>0</v>
      </c>
      <c r="M125" s="640">
        <f t="shared" si="44"/>
        <v>0</v>
      </c>
      <c r="N125" s="643">
        <f t="shared" si="45"/>
        <v>100</v>
      </c>
      <c r="O125" s="639">
        <v>30.3</v>
      </c>
      <c r="P125" s="640"/>
      <c r="Q125" s="640"/>
      <c r="R125" s="641">
        <f t="shared" si="46"/>
        <v>30.3</v>
      </c>
      <c r="S125" s="388">
        <v>5</v>
      </c>
      <c r="T125" s="487"/>
      <c r="U125" s="893"/>
      <c r="V125" s="634" t="s">
        <v>72</v>
      </c>
      <c r="W125" s="895" t="s">
        <v>88</v>
      </c>
      <c r="X125" s="895" t="s">
        <v>11</v>
      </c>
      <c r="Y125" s="635">
        <v>19.399999999999999</v>
      </c>
      <c r="Z125" s="895" t="s">
        <v>1354</v>
      </c>
      <c r="AA125" s="895" t="s">
        <v>905</v>
      </c>
      <c r="AB125" s="895" t="s">
        <v>11</v>
      </c>
      <c r="AC125" s="895">
        <v>7.4</v>
      </c>
      <c r="AD125" s="634" t="s">
        <v>105</v>
      </c>
      <c r="AE125" s="895" t="s">
        <v>74</v>
      </c>
      <c r="AF125" s="895" t="s">
        <v>11</v>
      </c>
      <c r="AG125" s="635">
        <v>3.4</v>
      </c>
    </row>
    <row r="126" spans="1:53" s="932" customFormat="1">
      <c r="A126" s="932">
        <v>2018</v>
      </c>
      <c r="B126" s="928"/>
      <c r="C126" s="992" t="s">
        <v>1353</v>
      </c>
      <c r="D126" s="992"/>
      <c r="E126" s="932">
        <v>0</v>
      </c>
      <c r="G126" s="642">
        <v>22</v>
      </c>
      <c r="J126" s="644">
        <v>22</v>
      </c>
      <c r="K126" s="640">
        <f t="shared" si="42"/>
        <v>100</v>
      </c>
      <c r="L126" s="640">
        <f t="shared" si="43"/>
        <v>0</v>
      </c>
      <c r="M126" s="640">
        <f t="shared" si="44"/>
        <v>0</v>
      </c>
      <c r="N126" s="643">
        <f t="shared" si="45"/>
        <v>100</v>
      </c>
      <c r="O126" s="639">
        <v>30.3</v>
      </c>
      <c r="P126" s="640"/>
      <c r="Q126" s="640"/>
      <c r="R126" s="641">
        <f t="shared" si="46"/>
        <v>30.3</v>
      </c>
      <c r="S126" s="388">
        <v>5</v>
      </c>
      <c r="T126" s="487"/>
      <c r="U126" s="928"/>
      <c r="V126" s="634" t="s">
        <v>72</v>
      </c>
      <c r="W126" s="932" t="s">
        <v>88</v>
      </c>
      <c r="X126" s="932" t="s">
        <v>11</v>
      </c>
      <c r="Y126" s="635">
        <v>19.399999999999999</v>
      </c>
      <c r="Z126" s="932" t="s">
        <v>1354</v>
      </c>
      <c r="AA126" s="932" t="s">
        <v>905</v>
      </c>
      <c r="AB126" s="932" t="s">
        <v>11</v>
      </c>
      <c r="AC126" s="932">
        <v>7.4</v>
      </c>
      <c r="AD126" s="634" t="s">
        <v>105</v>
      </c>
      <c r="AE126" s="932" t="s">
        <v>74</v>
      </c>
      <c r="AF126" s="932" t="s">
        <v>11</v>
      </c>
      <c r="AG126" s="635">
        <v>3.4</v>
      </c>
    </row>
    <row r="127" spans="1:53" s="932" customFormat="1">
      <c r="A127" s="932">
        <v>2018</v>
      </c>
      <c r="B127" s="928"/>
      <c r="C127" s="992" t="s">
        <v>1353</v>
      </c>
      <c r="D127" s="992"/>
      <c r="E127" s="932">
        <v>365</v>
      </c>
      <c r="G127" s="642">
        <v>22</v>
      </c>
      <c r="J127" s="644">
        <v>22</v>
      </c>
      <c r="K127" s="640">
        <f t="shared" si="42"/>
        <v>100</v>
      </c>
      <c r="L127" s="640">
        <f t="shared" si="43"/>
        <v>0</v>
      </c>
      <c r="M127" s="640">
        <f t="shared" si="44"/>
        <v>0</v>
      </c>
      <c r="N127" s="643">
        <f t="shared" si="45"/>
        <v>100</v>
      </c>
      <c r="O127" s="639">
        <v>30.3</v>
      </c>
      <c r="P127" s="640"/>
      <c r="Q127" s="640"/>
      <c r="R127" s="641">
        <f t="shared" si="46"/>
        <v>30.3</v>
      </c>
      <c r="S127" s="388">
        <v>5</v>
      </c>
      <c r="T127" s="487"/>
      <c r="U127" s="928"/>
      <c r="V127" s="634" t="s">
        <v>72</v>
      </c>
      <c r="W127" s="932" t="s">
        <v>88</v>
      </c>
      <c r="X127" s="932" t="s">
        <v>11</v>
      </c>
      <c r="Y127" s="635">
        <v>19.399999999999999</v>
      </c>
      <c r="Z127" s="932" t="s">
        <v>1354</v>
      </c>
      <c r="AA127" s="932" t="s">
        <v>905</v>
      </c>
      <c r="AB127" s="932" t="s">
        <v>11</v>
      </c>
      <c r="AC127" s="932">
        <v>7.4</v>
      </c>
      <c r="AD127" s="634" t="s">
        <v>105</v>
      </c>
      <c r="AE127" s="932" t="s">
        <v>74</v>
      </c>
      <c r="AF127" s="932" t="s">
        <v>11</v>
      </c>
      <c r="AG127" s="635">
        <v>3.4</v>
      </c>
    </row>
    <row r="129" spans="1:30" s="2" customFormat="1" ht="18" customHeight="1">
      <c r="B129" s="22" t="s">
        <v>1278</v>
      </c>
    </row>
    <row r="130" spans="1:30" s="2" customFormat="1" ht="9" customHeight="1"/>
    <row r="131" spans="1:30" s="364" customFormat="1" ht="9" customHeight="1">
      <c r="A131" s="362"/>
      <c r="B131" s="363" t="s">
        <v>1229</v>
      </c>
      <c r="C131" s="363"/>
      <c r="D131" s="363"/>
      <c r="E131" s="363"/>
      <c r="F131" s="363"/>
      <c r="G131" s="363" t="s">
        <v>1230</v>
      </c>
      <c r="H131" s="363"/>
      <c r="I131" s="363"/>
      <c r="J131" s="363"/>
      <c r="K131" s="363"/>
      <c r="L131" s="363"/>
      <c r="M131" s="363"/>
      <c r="N131" s="363"/>
      <c r="R131" s="982" t="s">
        <v>1231</v>
      </c>
      <c r="S131" s="982"/>
      <c r="T131" s="982"/>
      <c r="U131" s="982"/>
      <c r="V131" s="982"/>
      <c r="W131" s="982"/>
      <c r="X131" s="365"/>
      <c r="Y131" s="365"/>
      <c r="AA131" s="365"/>
      <c r="AB131" s="365"/>
      <c r="AC131" s="365"/>
      <c r="AD131" s="365"/>
    </row>
    <row r="132" spans="1:30" s="369" customFormat="1" ht="9" customHeight="1">
      <c r="A132" s="366"/>
      <c r="B132" s="367" t="s">
        <v>1233</v>
      </c>
      <c r="C132" s="368"/>
      <c r="D132" s="368"/>
      <c r="E132" s="368"/>
      <c r="F132" s="368"/>
      <c r="G132" s="367" t="s">
        <v>1232</v>
      </c>
      <c r="H132" s="368"/>
      <c r="I132" s="368"/>
      <c r="J132" s="368"/>
      <c r="K132" s="368"/>
      <c r="L132" s="368"/>
      <c r="M132" s="368"/>
      <c r="N132" s="368"/>
      <c r="R132" s="370" t="s">
        <v>1234</v>
      </c>
      <c r="S132" s="371"/>
      <c r="T132" s="372"/>
      <c r="U132" s="372"/>
      <c r="V132" s="372"/>
      <c r="W132" s="370" t="s">
        <v>1235</v>
      </c>
      <c r="X132" s="372"/>
      <c r="Y132" s="372"/>
      <c r="AA132" s="372"/>
      <c r="AB132" s="372"/>
      <c r="AC132" s="372"/>
      <c r="AD132" s="372"/>
    </row>
    <row r="133" spans="1:30" s="351" customFormat="1" ht="12" customHeight="1">
      <c r="A133" s="373" t="s">
        <v>3</v>
      </c>
      <c r="B133" s="374" t="s">
        <v>8</v>
      </c>
      <c r="C133" s="374" t="s">
        <v>9</v>
      </c>
      <c r="D133" s="374" t="s">
        <v>10</v>
      </c>
      <c r="E133" s="375" t="s">
        <v>1209</v>
      </c>
      <c r="F133" s="374"/>
      <c r="G133" s="351" t="s">
        <v>3</v>
      </c>
      <c r="H133" s="983" t="s">
        <v>0</v>
      </c>
      <c r="I133" s="983"/>
      <c r="J133" s="983" t="s">
        <v>1</v>
      </c>
      <c r="K133" s="983"/>
      <c r="L133" s="983" t="s">
        <v>2</v>
      </c>
      <c r="M133" s="983"/>
      <c r="N133" s="984" t="s">
        <v>1209</v>
      </c>
      <c r="O133" s="984"/>
      <c r="P133" s="376"/>
      <c r="Q133" s="376"/>
      <c r="R133" s="377" t="s">
        <v>3</v>
      </c>
      <c r="S133" s="378" t="s">
        <v>136</v>
      </c>
      <c r="T133" s="376" t="s">
        <v>134</v>
      </c>
      <c r="U133" s="374" t="s">
        <v>135</v>
      </c>
      <c r="V133" s="376"/>
      <c r="W133" s="379" t="s">
        <v>26</v>
      </c>
    </row>
    <row r="134" spans="1:30" s="273" customFormat="1">
      <c r="A134" s="273">
        <v>1959</v>
      </c>
      <c r="B134" s="274">
        <f>(K6*($E6/365))+(K7*($E7/365))</f>
        <v>43.75</v>
      </c>
      <c r="C134" s="274">
        <f>(L6*($E6/365))+(L7*($E7/365))</f>
        <v>0</v>
      </c>
      <c r="D134" s="274">
        <f>(M6*($E6/365))+(M7*($E7/365))</f>
        <v>56.25</v>
      </c>
      <c r="E134" s="261">
        <f>B134+C134+D134</f>
        <v>100</v>
      </c>
      <c r="G134" s="273">
        <v>1959</v>
      </c>
      <c r="H134" s="985">
        <f>(O6/$R6*100*($E6/365))+(O7/$R7*100*($E7/365))</f>
        <v>24.670433145009415</v>
      </c>
      <c r="I134" s="985"/>
      <c r="J134" s="985">
        <f>(P6/$R6*100*($E6/365))+(P7/$R7*100*($E7/365))</f>
        <v>0</v>
      </c>
      <c r="K134" s="985"/>
      <c r="L134" s="985">
        <f>(Q6/$R6*100*($E6/365))+(Q7/$R7*100*($E7/365))</f>
        <v>75.329566854990588</v>
      </c>
      <c r="M134" s="985"/>
      <c r="N134" s="1019">
        <f>H134+J134+K134</f>
        <v>24.670433145009415</v>
      </c>
      <c r="O134" s="1019"/>
      <c r="R134" s="273">
        <v>1959</v>
      </c>
      <c r="S134" s="274">
        <f>(O6*($E6/365))+(O7*($E7/365))</f>
        <v>13.1</v>
      </c>
      <c r="T134" s="274">
        <f>(P6*($E6/365))+(P7*($E7/365))</f>
        <v>0</v>
      </c>
      <c r="U134" s="274">
        <f>(Q6*($E6/365))+(Q7*($E7/365))</f>
        <v>40</v>
      </c>
      <c r="V134" s="275"/>
      <c r="W134" s="274">
        <f>S134+T134+U134</f>
        <v>53.1</v>
      </c>
      <c r="X134" s="262"/>
      <c r="Z134" s="262"/>
    </row>
    <row r="135" spans="1:30">
      <c r="A135" s="1">
        <v>1960</v>
      </c>
      <c r="B135" s="7">
        <f>(K8*($E8/366))+(K9*($E9/366))+(K10*($E10/366))</f>
        <v>44.185886103075106</v>
      </c>
      <c r="C135" s="7">
        <f>(L8*($E8/366))+(L9*($E9/366))+(L10*($E10/366))</f>
        <v>0</v>
      </c>
      <c r="D135" s="7">
        <f>(M8*($E8/366))+(M9*($E9/366))+(M10*($E10/366))</f>
        <v>55.106945783777995</v>
      </c>
      <c r="E135" s="33">
        <f t="shared" ref="E135:E164" si="47">SUM(B135:D135)</f>
        <v>99.292831886853094</v>
      </c>
      <c r="G135" s="1">
        <v>1960</v>
      </c>
      <c r="H135" s="958">
        <f>(O8/$R8*100*($E8/366))+(O9/$R9*100*($E9/366))+(O10/$R10*100*($E10/366))</f>
        <v>23.228486206465224</v>
      </c>
      <c r="I135" s="958"/>
      <c r="J135" s="958">
        <f>(P8/$R8*100*($E8/366))+(P9/$R9*100*($E9/366))+(P10/$R10*100*($E10/366))</f>
        <v>0</v>
      </c>
      <c r="K135" s="958"/>
      <c r="L135" s="958">
        <f>(Q8/$R8*100*($E8/366))+(Q9/$R9*100*($E9/366))+(Q10/$R10*100*($E10/366))</f>
        <v>76.77151379353478</v>
      </c>
      <c r="M135" s="958"/>
      <c r="N135" s="959">
        <f t="shared" ref="N135:N175" si="48">SUM(H135:M135)</f>
        <v>100</v>
      </c>
      <c r="O135" s="959"/>
      <c r="R135" s="1">
        <v>1960</v>
      </c>
      <c r="S135" s="7">
        <f>(O8*($E8/366))+(O9*($E9/366))+(O10*($E10/366))</f>
        <v>12.282513661202184</v>
      </c>
      <c r="T135" s="7">
        <f>(P8*($E8/366))+(P9*($E9/366))+(P10*($E10/366))</f>
        <v>0</v>
      </c>
      <c r="U135" s="7">
        <f>(Q8*($E8/366))+(Q9*($E9/366))+(Q10*($E10/366))</f>
        <v>40.40874316939891</v>
      </c>
      <c r="V135" s="12"/>
      <c r="W135" s="7">
        <f>R8*(E8/366) + R9*(E9/366) + R10*(E10/366)</f>
        <v>52.691256830601098</v>
      </c>
      <c r="X135" s="5"/>
      <c r="Z135" s="5"/>
    </row>
    <row r="136" spans="1:30">
      <c r="A136" s="1">
        <v>1961</v>
      </c>
      <c r="B136" s="7">
        <f>(K11*($E11/365))+(K12*($E12/365))</f>
        <v>29.411764705882355</v>
      </c>
      <c r="C136" s="7">
        <f>(L11*($E11/365))+(L12*($E12/365))</f>
        <v>0</v>
      </c>
      <c r="D136" s="7">
        <f>(M11*($E11/365))+(M12*($E12/365))</f>
        <v>64.705882352941174</v>
      </c>
      <c r="E136" s="33">
        <f t="shared" si="47"/>
        <v>94.117647058823536</v>
      </c>
      <c r="G136" s="1">
        <v>1961</v>
      </c>
      <c r="H136" s="958">
        <f>(O11/$R11*100*($E11/365))+(O12/$R12*100*($E12/365))</f>
        <v>12.676056338028168</v>
      </c>
      <c r="I136" s="958"/>
      <c r="J136" s="958">
        <f>(P11/$R11*100*($E11/365))+(P12/$R12*100*($E12/365))</f>
        <v>0</v>
      </c>
      <c r="K136" s="958"/>
      <c r="L136" s="958">
        <f>(Q11/$R11*100*($E11/365))+(Q12/$R12*100*($E12/365))</f>
        <v>87.323943661971839</v>
      </c>
      <c r="M136" s="958"/>
      <c r="N136" s="959">
        <f t="shared" si="48"/>
        <v>100</v>
      </c>
      <c r="O136" s="959"/>
      <c r="R136" s="1">
        <v>1961</v>
      </c>
      <c r="S136" s="7">
        <f>(O11*($E11/365))+(O12*($E12/365))</f>
        <v>6.3</v>
      </c>
      <c r="T136" s="7">
        <f>(P11*($E11/365))+(P12*($E12/365))</f>
        <v>0</v>
      </c>
      <c r="U136" s="7">
        <f>(Q11*($E11/365))+(Q12*($E12/365))</f>
        <v>43.4</v>
      </c>
      <c r="V136" s="12"/>
      <c r="W136" s="7">
        <f>R11*(E11/365) + R12*(E12/365)</f>
        <v>49.699999999999996</v>
      </c>
      <c r="X136" s="5"/>
      <c r="Z136" s="5"/>
    </row>
    <row r="137" spans="1:30">
      <c r="A137" s="1">
        <v>1962</v>
      </c>
      <c r="B137" s="7">
        <f>(K13*($E13/365))+(K14*($E14/365))</f>
        <v>29.411764705882355</v>
      </c>
      <c r="C137" s="7">
        <f>(L13*($E13/365))+(L14*($E14/365))</f>
        <v>0</v>
      </c>
      <c r="D137" s="7">
        <f>(M13*($E13/365))+(M14*($E14/365))</f>
        <v>64.705882352941174</v>
      </c>
      <c r="E137" s="33">
        <f t="shared" si="47"/>
        <v>94.117647058823536</v>
      </c>
      <c r="G137" s="1">
        <v>1962</v>
      </c>
      <c r="H137" s="958">
        <f>(O13/$R13*100*($E13/365))+(O14/$R14*100*($E14/365))</f>
        <v>12.676056338028168</v>
      </c>
      <c r="I137" s="958"/>
      <c r="J137" s="958">
        <f>(P13/$R13*100*($E13/365))+(P14/$R14*100*($E14/365))</f>
        <v>0</v>
      </c>
      <c r="K137" s="958"/>
      <c r="L137" s="958">
        <f>(Q13/$R13*100*($E13/365))+(Q14/$R14*100*($E14/365))</f>
        <v>87.323943661971839</v>
      </c>
      <c r="M137" s="958"/>
      <c r="N137" s="959">
        <f t="shared" si="48"/>
        <v>100</v>
      </c>
      <c r="O137" s="959"/>
      <c r="R137" s="1">
        <v>1962</v>
      </c>
      <c r="S137" s="7">
        <f>(O13*($E13/365))+(O14*($E14/365))</f>
        <v>6.3000000000000007</v>
      </c>
      <c r="T137" s="7">
        <f>(P13*($E13/365))+(P14*($E14/365))</f>
        <v>0</v>
      </c>
      <c r="U137" s="7">
        <f>(Q13*($E13/365))+(Q14*($E14/365))</f>
        <v>43.4</v>
      </c>
      <c r="V137" s="12"/>
      <c r="W137" s="7">
        <f>R13*(E13/365) + R14*(E14/365)</f>
        <v>49.699999999999996</v>
      </c>
      <c r="X137" s="5"/>
      <c r="Z137" s="5"/>
    </row>
    <row r="138" spans="1:30">
      <c r="A138" s="1">
        <v>1963</v>
      </c>
      <c r="B138" s="7">
        <f>(K15*($E15/365))+(K16*($E16/365))</f>
        <v>29.411764705882355</v>
      </c>
      <c r="C138" s="7">
        <f>(L15*($E15/365))+(L16*($E16/365))</f>
        <v>0</v>
      </c>
      <c r="D138" s="7">
        <f>(M15*($E15/365))+(M16*($E16/365))</f>
        <v>64.705882352941174</v>
      </c>
      <c r="E138" s="33">
        <f t="shared" si="47"/>
        <v>94.117647058823536</v>
      </c>
      <c r="G138" s="1">
        <v>1963</v>
      </c>
      <c r="H138" s="958">
        <f>(O15/$R15*100*($E15/365))+(O16/$R16*100*($E16/365))</f>
        <v>12.676056338028168</v>
      </c>
      <c r="I138" s="958"/>
      <c r="J138" s="958">
        <f>(P15/$R15*100*($E15/365))+(P16/$R16*100*($E16/365))</f>
        <v>0</v>
      </c>
      <c r="K138" s="958"/>
      <c r="L138" s="958">
        <f>(Q15/$R15*100*($E15/365))+(Q16/$R16*100*($E16/365))</f>
        <v>87.323943661971839</v>
      </c>
      <c r="M138" s="958"/>
      <c r="N138" s="959">
        <f t="shared" si="48"/>
        <v>100</v>
      </c>
      <c r="O138" s="959"/>
      <c r="R138" s="1">
        <v>1963</v>
      </c>
      <c r="S138" s="7">
        <f>(O15*($E15/365))+(O16*($E16/365))</f>
        <v>6.3</v>
      </c>
      <c r="T138" s="7">
        <f>(P15*($E15/365))+(P16*($E16/365))</f>
        <v>0</v>
      </c>
      <c r="U138" s="7">
        <f>(Q15*($E15/365))+(Q16*($E16/365))</f>
        <v>43.4</v>
      </c>
      <c r="V138" s="12"/>
      <c r="W138" s="7">
        <f>R15*(E15/365) + R16*(E16/365)</f>
        <v>49.699999999999996</v>
      </c>
      <c r="X138" s="5"/>
      <c r="Z138" s="5"/>
    </row>
    <row r="139" spans="1:30">
      <c r="A139" s="1">
        <v>1964</v>
      </c>
      <c r="B139" s="7">
        <f>(K17*($E17/366))+(K18*($E18/366))</f>
        <v>21.616843458694955</v>
      </c>
      <c r="C139" s="7">
        <f>(L17*($E17/366))+(L18*($E18/366))</f>
        <v>0</v>
      </c>
      <c r="D139" s="7">
        <f>(M17*($E17/366))+(M18*($E18/366))</f>
        <v>74.05978784956605</v>
      </c>
      <c r="E139" s="33">
        <f t="shared" si="47"/>
        <v>95.676631308261008</v>
      </c>
      <c r="G139" s="1">
        <v>1964</v>
      </c>
      <c r="H139" s="958">
        <f>(O17/$R17*100*($E17/366))+(O18/$R18*100*($E18/366))</f>
        <v>9.3165550681135993</v>
      </c>
      <c r="I139" s="958"/>
      <c r="J139" s="958">
        <f>(P17/$R17*100*($E17/366))+(P18/$R18*100*($E18/366))</f>
        <v>0</v>
      </c>
      <c r="K139" s="958"/>
      <c r="L139" s="958">
        <f>(Q17/$R17*100*($E17/366))+(Q18/$R18*100*($E18/366))</f>
        <v>90.683444931886413</v>
      </c>
      <c r="M139" s="958"/>
      <c r="N139" s="959">
        <f t="shared" si="48"/>
        <v>100.00000000000001</v>
      </c>
      <c r="O139" s="959"/>
      <c r="R139" s="1">
        <v>1964</v>
      </c>
      <c r="S139" s="7">
        <f>(O17*($E17/366))+(O18*($E18/366))</f>
        <v>4.6303278688524587</v>
      </c>
      <c r="T139" s="7">
        <f>(P17*($E17/366))+(P18*($E18/366))</f>
        <v>0</v>
      </c>
      <c r="U139" s="7">
        <f>(Q17*($E17/366))+(Q18*($E18/366))</f>
        <v>43.400000000000006</v>
      </c>
      <c r="V139" s="12"/>
      <c r="W139" s="7">
        <f>R17*(E17/366) + R18*(E18/366)</f>
        <v>48.03032786885246</v>
      </c>
      <c r="X139" s="5"/>
      <c r="Z139" s="5"/>
    </row>
    <row r="140" spans="1:30">
      <c r="A140" s="1">
        <v>1965</v>
      </c>
      <c r="B140" s="7">
        <f>(K19*($E19/365))+(K20*($E20/365))</f>
        <v>0</v>
      </c>
      <c r="C140" s="7">
        <f>(L19*($E19/365))+(L20*($E20/365))</f>
        <v>0</v>
      </c>
      <c r="D140" s="7">
        <f>(M19*($E19/365))+(M20*($E20/365))</f>
        <v>100</v>
      </c>
      <c r="E140" s="33">
        <f t="shared" si="47"/>
        <v>100</v>
      </c>
      <c r="G140" s="1">
        <v>1965</v>
      </c>
      <c r="H140" s="958">
        <f>(O19/$R19*100*($E19/365))+(O20/$R20*100*($E20/365))</f>
        <v>0</v>
      </c>
      <c r="I140" s="958"/>
      <c r="J140" s="958">
        <f>(P19/$R19*100*($E19/365))+(P20/$R20*100*($E20/365))</f>
        <v>0</v>
      </c>
      <c r="K140" s="958"/>
      <c r="L140" s="958">
        <f>(Q19/$R19*100*($E19/365))+(Q20/$R20*100*($E20/365))</f>
        <v>100</v>
      </c>
      <c r="M140" s="958"/>
      <c r="N140" s="959">
        <f t="shared" si="48"/>
        <v>100</v>
      </c>
      <c r="O140" s="959"/>
      <c r="R140" s="1">
        <v>1965</v>
      </c>
      <c r="S140" s="7">
        <f>(O19*($E19/365))+(O20*($E20/365))</f>
        <v>0</v>
      </c>
      <c r="T140" s="7">
        <f>(P19*($E19/365))+(P20*($E20/365))</f>
        <v>0</v>
      </c>
      <c r="U140" s="7">
        <f>(Q19*($E19/365))+(Q20*($E20/365))</f>
        <v>43.4</v>
      </c>
      <c r="V140" s="12"/>
      <c r="W140" s="7">
        <f>R19*(E19/365) + R20*(E20/365)</f>
        <v>43.4</v>
      </c>
      <c r="X140" s="5"/>
      <c r="Z140" s="5"/>
    </row>
    <row r="141" spans="1:30">
      <c r="A141" s="1">
        <v>1966</v>
      </c>
      <c r="B141" s="7">
        <f>(K21*($E21/365))+(K22*($E22/365))</f>
        <v>0</v>
      </c>
      <c r="C141" s="7">
        <f>(L21*($E21/365))+(L22*($E22/365))</f>
        <v>0</v>
      </c>
      <c r="D141" s="7">
        <f>(M21*($E21/365))+(M22*($E22/365))</f>
        <v>100.00000000000001</v>
      </c>
      <c r="E141" s="33">
        <f t="shared" si="47"/>
        <v>100.00000000000001</v>
      </c>
      <c r="G141" s="1">
        <v>1966</v>
      </c>
      <c r="H141" s="958">
        <f>(O21/$R21*100*($E21/365))+(O22/$R22*100*($E22/365))</f>
        <v>0</v>
      </c>
      <c r="I141" s="958"/>
      <c r="J141" s="958">
        <f>(P21/$R21*100*($E21/365))+(P22/$R22*100*($E22/365))</f>
        <v>0</v>
      </c>
      <c r="K141" s="958"/>
      <c r="L141" s="958">
        <f>(Q21/$R21*100*($E21/365))+(Q22/$R22*100*($E22/365))</f>
        <v>100.00000000000001</v>
      </c>
      <c r="M141" s="958"/>
      <c r="N141" s="959">
        <f t="shared" si="48"/>
        <v>100.00000000000001</v>
      </c>
      <c r="O141" s="959"/>
      <c r="R141" s="1">
        <v>1966</v>
      </c>
      <c r="S141" s="7">
        <f>(O21*($E21/365))+(O22*($E22/365))</f>
        <v>0</v>
      </c>
      <c r="T141" s="7">
        <f>(P21*($E21/365))+(P22*($E22/365))</f>
        <v>0</v>
      </c>
      <c r="U141" s="7">
        <f>(Q21*($E21/365))+(Q22*($E22/365))</f>
        <v>43.027397260273979</v>
      </c>
      <c r="V141" s="12"/>
      <c r="W141" s="7">
        <f>R21*(E21/365) + R22*(E22/365)</f>
        <v>43.027397260273979</v>
      </c>
      <c r="X141" s="5"/>
      <c r="Z141" s="5"/>
    </row>
    <row r="142" spans="1:30">
      <c r="A142" s="1">
        <v>1967</v>
      </c>
      <c r="B142" s="7">
        <f>(K23*($E23/365))+(K24*($E24/365))</f>
        <v>0</v>
      </c>
      <c r="C142" s="7">
        <f>(L23*($E23/365))+(L24*($E24/365))</f>
        <v>0</v>
      </c>
      <c r="D142" s="7">
        <f>(M23*($E23/365))+(M24*($E24/365))</f>
        <v>100</v>
      </c>
      <c r="E142" s="33">
        <f t="shared" si="47"/>
        <v>100</v>
      </c>
      <c r="G142" s="1">
        <v>1967</v>
      </c>
      <c r="H142" s="958">
        <f>(O23/$R23*100*($E23/365))+(O24/$R24*100*($E24/365))</f>
        <v>0</v>
      </c>
      <c r="I142" s="958"/>
      <c r="J142" s="958">
        <f>(P23/$R23*100*($E23/365))+(P24/$R24*100*($E24/365))</f>
        <v>0</v>
      </c>
      <c r="K142" s="958"/>
      <c r="L142" s="958">
        <f>(Q23/$R23*100*($E23/365))+(Q24/$R24*100*($E24/365))</f>
        <v>100</v>
      </c>
      <c r="M142" s="958"/>
      <c r="N142" s="959">
        <f t="shared" si="48"/>
        <v>100</v>
      </c>
      <c r="O142" s="959"/>
      <c r="R142" s="1">
        <v>1967</v>
      </c>
      <c r="S142" s="7">
        <f>(O23*($E23/365))+(O24*($E24/365))</f>
        <v>0</v>
      </c>
      <c r="T142" s="7">
        <f>(P23*($E23/365))+(P24*($E24/365))</f>
        <v>0</v>
      </c>
      <c r="U142" s="7">
        <f>(Q23*($E23/365))+(Q24*($E24/365))</f>
        <v>39.4</v>
      </c>
      <c r="V142" s="12"/>
      <c r="W142" s="7">
        <f>R23*(E23/365) + R24*(E24/365)</f>
        <v>39.4</v>
      </c>
      <c r="X142" s="5"/>
      <c r="Z142" s="5"/>
    </row>
    <row r="143" spans="1:30">
      <c r="A143" s="1">
        <v>1968</v>
      </c>
      <c r="B143" s="7">
        <f>(K25*($E25/366))+(K26*($E26/366))</f>
        <v>91.530054644808743</v>
      </c>
      <c r="C143" s="7">
        <f>(L25*($E25/366))+(L26*($E26/366))</f>
        <v>0</v>
      </c>
      <c r="D143" s="7">
        <f>(M25*($E25/366))+(M26*($E26/366))</f>
        <v>8.4699453551912569</v>
      </c>
      <c r="E143" s="33">
        <f t="shared" si="47"/>
        <v>100</v>
      </c>
      <c r="G143" s="1">
        <v>1968</v>
      </c>
      <c r="H143" s="958">
        <f>(O25/$R25*100*($E25/366))+(O26/$R26*100*($E26/366))</f>
        <v>91.530054644808743</v>
      </c>
      <c r="I143" s="958"/>
      <c r="J143" s="958">
        <f>(P25/$R25*100*($E25/366))+(P26/$R26*100*($E26/366))</f>
        <v>0</v>
      </c>
      <c r="K143" s="958"/>
      <c r="L143" s="958">
        <f>(Q25/$R25*100*($E25/366))+(Q26/$R26*100*($E26/366))</f>
        <v>8.4699453551912569</v>
      </c>
      <c r="M143" s="958"/>
      <c r="N143" s="959">
        <f t="shared" si="48"/>
        <v>100</v>
      </c>
      <c r="O143" s="959"/>
      <c r="R143" s="1">
        <v>1968</v>
      </c>
      <c r="S143" s="7">
        <f>(O25*($E25/366))+(O26*($E26/366))</f>
        <v>51.165300546448087</v>
      </c>
      <c r="T143" s="7">
        <f>(P25*($E25/366))+(P26*($E26/366))</f>
        <v>0</v>
      </c>
      <c r="U143" s="7">
        <f>(Q25*($E25/366))+(Q26*($E26/366))</f>
        <v>3.3371584699453551</v>
      </c>
      <c r="V143" s="12"/>
      <c r="W143" s="7">
        <f>R25*(E25/366) + R26*(E26/366)</f>
        <v>54.502459016393445</v>
      </c>
      <c r="X143" s="5"/>
      <c r="Z143" s="5"/>
    </row>
    <row r="144" spans="1:30">
      <c r="A144" s="1">
        <v>1969</v>
      </c>
      <c r="B144" s="7">
        <f>(K27*($E27/365))+(K28*($E28/365))</f>
        <v>100</v>
      </c>
      <c r="C144" s="7">
        <f>(L27*($E27/365))+(L28*($E28/365))</f>
        <v>0</v>
      </c>
      <c r="D144" s="7">
        <f>(M27*($E27/365))+(M28*($E28/365))</f>
        <v>0</v>
      </c>
      <c r="E144" s="33">
        <f t="shared" si="47"/>
        <v>100</v>
      </c>
      <c r="G144" s="1">
        <v>1969</v>
      </c>
      <c r="H144" s="958">
        <f>(O27/$R27*100*($E27/365))+(O28/$R28*100*($E28/365))</f>
        <v>100</v>
      </c>
      <c r="I144" s="958"/>
      <c r="J144" s="958">
        <f>(P27/$R27*100*($E27/365))+(P28/$R28*100*($E28/365))</f>
        <v>0</v>
      </c>
      <c r="K144" s="958"/>
      <c r="L144" s="958">
        <f>(Q27/$R27*100*($E27/365))+(Q28/$R28*100*($E28/365))</f>
        <v>0</v>
      </c>
      <c r="M144" s="958"/>
      <c r="N144" s="959">
        <f t="shared" si="48"/>
        <v>100</v>
      </c>
      <c r="O144" s="959"/>
      <c r="R144" s="1">
        <v>1969</v>
      </c>
      <c r="S144" s="7">
        <f>(O27*($E27/365))+(O28*($E28/365))</f>
        <v>55.9</v>
      </c>
      <c r="T144" s="7">
        <f>(P27*($E27/365))+(P28*($E28/365))</f>
        <v>0</v>
      </c>
      <c r="U144" s="7">
        <f>(Q27*($E27/365))+(Q28*($E28/365))</f>
        <v>0</v>
      </c>
      <c r="V144" s="12"/>
      <c r="W144" s="7">
        <f>R27*(E27/365) + R28*(E28/365)</f>
        <v>55.9</v>
      </c>
      <c r="X144" s="5"/>
      <c r="Z144" s="5"/>
    </row>
    <row r="145" spans="1:26">
      <c r="A145" s="1">
        <v>1970</v>
      </c>
      <c r="B145" s="7">
        <f>(K29*($E29/365))+(K30*($E30/365))</f>
        <v>100</v>
      </c>
      <c r="C145" s="7">
        <f>(L29*($E29/365))+(L30*($E30/365))</f>
        <v>0</v>
      </c>
      <c r="D145" s="7">
        <f>(M29*($E29/365))+(M30*($E30/365))</f>
        <v>0</v>
      </c>
      <c r="E145" s="33">
        <f t="shared" si="47"/>
        <v>100</v>
      </c>
      <c r="G145" s="1">
        <v>1970</v>
      </c>
      <c r="H145" s="958">
        <f>(O29/$R29*100*($E29/365))+(O30/$R30*100*($E30/365))</f>
        <v>100</v>
      </c>
      <c r="I145" s="958"/>
      <c r="J145" s="958">
        <f>(P29/$R29*100*($E29/365))+(P30/$R30*100*($E30/365))</f>
        <v>0</v>
      </c>
      <c r="K145" s="958"/>
      <c r="L145" s="958">
        <f>(Q29/$R29*100*($E29/365))+(Q30/$R30*100*($E30/365))</f>
        <v>0</v>
      </c>
      <c r="M145" s="958"/>
      <c r="N145" s="959">
        <f t="shared" si="48"/>
        <v>100</v>
      </c>
      <c r="O145" s="959"/>
      <c r="R145" s="1">
        <v>1970</v>
      </c>
      <c r="S145" s="7">
        <f>(O29*($E29/365))+(O30*($E30/365))</f>
        <v>55.9</v>
      </c>
      <c r="T145" s="7">
        <f>(P29*($E29/365))+(P30*($E30/365))</f>
        <v>0</v>
      </c>
      <c r="U145" s="7">
        <f>(Q29*($E29/365))+(Q30*($E30/365))</f>
        <v>0</v>
      </c>
      <c r="V145" s="12"/>
      <c r="W145" s="7">
        <f>R29*(E29/365) + R30*(E30/365)</f>
        <v>55.9</v>
      </c>
      <c r="X145" s="5"/>
      <c r="Z145" s="5"/>
    </row>
    <row r="146" spans="1:26">
      <c r="A146" s="1">
        <v>1971</v>
      </c>
      <c r="B146" s="7">
        <f>(K31*($E31/365))+(K32*($E32/365))</f>
        <v>77.534246575342465</v>
      </c>
      <c r="C146" s="7">
        <f>(L31*($E31/365))+(L32*($E32/365))</f>
        <v>0</v>
      </c>
      <c r="D146" s="7">
        <f>(M31*($E31/365))+(M32*($E32/365))</f>
        <v>21.217656012176558</v>
      </c>
      <c r="E146" s="33">
        <f t="shared" si="47"/>
        <v>98.751902587519027</v>
      </c>
      <c r="G146" s="1">
        <v>1971</v>
      </c>
      <c r="H146" s="958">
        <f>(O31/$R31*100*($E31/365))+(O32/$R32*100*($E32/365))</f>
        <v>77.534246575342465</v>
      </c>
      <c r="I146" s="958"/>
      <c r="J146" s="958">
        <f>(P31/$R31*100*($E31/365))+(P32/$R32*100*($E32/365))</f>
        <v>0</v>
      </c>
      <c r="K146" s="958"/>
      <c r="L146" s="958">
        <f>(Q31/$R31*100*($E31/365))+(Q32/$R32*100*($E32/365))</f>
        <v>22.465753424657535</v>
      </c>
      <c r="M146" s="958"/>
      <c r="N146" s="959">
        <f t="shared" si="48"/>
        <v>100</v>
      </c>
      <c r="O146" s="959"/>
      <c r="R146" s="1">
        <v>1971</v>
      </c>
      <c r="S146" s="7">
        <f>(O31*($E31/365))+(O32*($E32/365))</f>
        <v>43.341643835616438</v>
      </c>
      <c r="T146" s="7">
        <f>(P31*($E31/365))+(P32*($E32/365))</f>
        <v>0</v>
      </c>
      <c r="U146" s="7">
        <f>(Q31*($E31/365))+(Q32*($E32/365))</f>
        <v>8.9863013698630141</v>
      </c>
      <c r="V146" s="12"/>
      <c r="W146" s="7">
        <f>R31*(E31/365) + R32*(E32/365)</f>
        <v>52.327945205479452</v>
      </c>
      <c r="X146" s="5"/>
      <c r="Z146" s="5"/>
    </row>
    <row r="147" spans="1:26">
      <c r="A147" s="1">
        <v>1972</v>
      </c>
      <c r="B147" s="7">
        <f>(K33*($E33/366))+(K34*($E34/366))</f>
        <v>0</v>
      </c>
      <c r="C147" s="7">
        <f>(L33*($E33/366))+(L34*($E34/366))</f>
        <v>0</v>
      </c>
      <c r="D147" s="7">
        <f>(M33*($E33/366))+(M34*($E34/366))</f>
        <v>94.444444444444429</v>
      </c>
      <c r="E147" s="33">
        <f t="shared" si="47"/>
        <v>94.444444444444429</v>
      </c>
      <c r="G147" s="1">
        <v>1972</v>
      </c>
      <c r="H147" s="958">
        <f>(O33/$R33*100*($E33/366))+(O34/$R34*100*($E34/366))</f>
        <v>0</v>
      </c>
      <c r="I147" s="958"/>
      <c r="J147" s="958">
        <f>(P33/$R33*100*($E33/366))+(P34/$R34*100*($E34/366))</f>
        <v>0</v>
      </c>
      <c r="K147" s="958"/>
      <c r="L147" s="958">
        <f>(Q33/$R33*100*($E33/366))+(Q34/$R34*100*($E34/366))</f>
        <v>99.999999999999986</v>
      </c>
      <c r="M147" s="958"/>
      <c r="N147" s="959">
        <f t="shared" si="48"/>
        <v>99.999999999999986</v>
      </c>
      <c r="O147" s="959"/>
      <c r="R147" s="1">
        <v>1972</v>
      </c>
      <c r="S147" s="7">
        <f>(O33*($E33/366))+(O34*($E34/366))</f>
        <v>0</v>
      </c>
      <c r="T147" s="7">
        <f>(P33*($E33/366))+(P34*($E34/366))</f>
        <v>0</v>
      </c>
      <c r="U147" s="7">
        <f>(Q33*($E33/366))+(Q34*($E34/366))</f>
        <v>40</v>
      </c>
      <c r="V147" s="12"/>
      <c r="W147" s="7">
        <f>R33*(E33/366) + R34*(E34/366)</f>
        <v>40</v>
      </c>
      <c r="X147" s="5"/>
      <c r="Z147" s="5"/>
    </row>
    <row r="148" spans="1:26">
      <c r="A148" s="1">
        <v>1973</v>
      </c>
      <c r="B148" s="7">
        <f>(K35*($E35/365))+(K36*($E36/365))</f>
        <v>3.5616438356164384</v>
      </c>
      <c r="C148" s="7">
        <f>(L35*($E35/365))+(L36*($E36/365))</f>
        <v>0</v>
      </c>
      <c r="D148" s="7">
        <f>(M35*($E35/365))+(M36*($E36/365))</f>
        <v>91.080669710806703</v>
      </c>
      <c r="E148" s="33">
        <f t="shared" si="47"/>
        <v>94.642313546423139</v>
      </c>
      <c r="G148" s="1">
        <v>1973</v>
      </c>
      <c r="H148" s="958">
        <f>(O35/$R35*100*($E35/365))+(O36/$R36*100*($E36/365))</f>
        <v>3.5616438356164384</v>
      </c>
      <c r="I148" s="958"/>
      <c r="J148" s="958">
        <f>(P35/$R35*100*($E35/365))+(P36/$R36*100*($E36/365))</f>
        <v>0</v>
      </c>
      <c r="K148" s="958"/>
      <c r="L148" s="958">
        <f>(Q35/$R35*100*($E35/365))+(Q36/$R36*100*($E36/365))</f>
        <v>96.438356164383563</v>
      </c>
      <c r="M148" s="958"/>
      <c r="N148" s="959">
        <f t="shared" si="48"/>
        <v>100</v>
      </c>
      <c r="O148" s="959"/>
      <c r="R148" s="1">
        <v>1973</v>
      </c>
      <c r="S148" s="7">
        <f>(O35*($E35/365))+(O36*($E36/365))</f>
        <v>0.44876712328767121</v>
      </c>
      <c r="T148" s="7">
        <f>(P35*($E35/365))+(P36*($E36/365))</f>
        <v>0</v>
      </c>
      <c r="U148" s="7">
        <f>(Q35*($E35/365))+(Q36*($E36/365))</f>
        <v>38.575342465753423</v>
      </c>
      <c r="V148" s="12"/>
      <c r="W148" s="7">
        <f>R35*(E35/365) + R36*(E36/365)</f>
        <v>39.024109589041096</v>
      </c>
      <c r="X148" s="5"/>
      <c r="Z148" s="5"/>
    </row>
    <row r="149" spans="1:26">
      <c r="A149" s="1">
        <v>1974</v>
      </c>
      <c r="B149" s="7">
        <f>(K37*($E37/365))+(K38*($E38/365))</f>
        <v>100</v>
      </c>
      <c r="C149" s="7">
        <f>(L37*($E37/365))+(L38*($E38/365))</f>
        <v>0</v>
      </c>
      <c r="D149" s="7">
        <f>(M37*($E37/365))+(M38*($E38/365))</f>
        <v>0</v>
      </c>
      <c r="E149" s="33">
        <f t="shared" si="47"/>
        <v>100</v>
      </c>
      <c r="G149" s="1">
        <v>1974</v>
      </c>
      <c r="H149" s="958">
        <f>(O37/$R37*100*($E37/365))+(O38/$R38*100*($E38/365))</f>
        <v>100</v>
      </c>
      <c r="I149" s="958"/>
      <c r="J149" s="958">
        <f>(P37/$R37*100*($E37/365))+(P38/$R38*100*($E38/365))</f>
        <v>0</v>
      </c>
      <c r="K149" s="958"/>
      <c r="L149" s="958">
        <f>(Q37/$R37*100*($E37/365))+(Q38/$R38*100*($E38/365))</f>
        <v>0</v>
      </c>
      <c r="M149" s="958"/>
      <c r="N149" s="959">
        <f t="shared" si="48"/>
        <v>100</v>
      </c>
      <c r="O149" s="959"/>
      <c r="R149" s="1">
        <v>1974</v>
      </c>
      <c r="S149" s="7">
        <f>(O37*($E37/365))+(O38*($E38/365))</f>
        <v>12.6</v>
      </c>
      <c r="T149" s="7">
        <f>(P37*($E37/365))+(P38*($E38/365))</f>
        <v>0</v>
      </c>
      <c r="U149" s="7">
        <f>(Q37*($E37/365))+(Q38*($E38/365))</f>
        <v>0</v>
      </c>
      <c r="V149" s="12"/>
      <c r="W149" s="7">
        <f>R37*(E37/365) + R38*(E38/365)</f>
        <v>12.6</v>
      </c>
      <c r="X149" s="5"/>
      <c r="Z149" s="5"/>
    </row>
    <row r="150" spans="1:26">
      <c r="A150" s="1">
        <v>1975</v>
      </c>
      <c r="B150" s="7">
        <f>(K39*($E39/365))+(K40*($E40/365))</f>
        <v>11.78082191780822</v>
      </c>
      <c r="C150" s="7">
        <f>(L39*($E39/365))+(L40*($E40/365))</f>
        <v>0</v>
      </c>
      <c r="D150" s="7">
        <f>(M39*($E39/365))+(M40*($E40/365))</f>
        <v>88.219178082191789</v>
      </c>
      <c r="E150" s="33">
        <f t="shared" si="47"/>
        <v>100.00000000000001</v>
      </c>
      <c r="G150" s="1">
        <v>1975</v>
      </c>
      <c r="H150" s="958">
        <f>(O39/$R39*100*($E39/365))+(O40/$R40*100*($E40/365))</f>
        <v>11.78082191780822</v>
      </c>
      <c r="I150" s="958"/>
      <c r="J150" s="958">
        <f>(P39/$R39*100*($E39/365))+(P40/$R40*100*($E40/365))</f>
        <v>0</v>
      </c>
      <c r="K150" s="958"/>
      <c r="L150" s="958">
        <f>(Q39/$R39*100*($E39/365))+(Q40/$R40*100*($E40/365))</f>
        <v>88.219178082191789</v>
      </c>
      <c r="M150" s="958"/>
      <c r="N150" s="959">
        <f t="shared" si="48"/>
        <v>100.00000000000001</v>
      </c>
      <c r="O150" s="959"/>
      <c r="R150" s="1">
        <v>1975</v>
      </c>
      <c r="S150" s="7">
        <f>(O39*($E39/365))+(O40*($E40/365))</f>
        <v>1.4843835616438357</v>
      </c>
      <c r="T150" s="7">
        <f>(P39*($E39/365))+(P40*($E40/365))</f>
        <v>0</v>
      </c>
      <c r="U150" s="7">
        <f>(Q39*($E39/365))+(Q40*($E40/365))</f>
        <v>26.730410958904113</v>
      </c>
      <c r="V150" s="12"/>
      <c r="W150" s="7">
        <f>R39*(E39/365) + R40*(E40/365)</f>
        <v>28.214794520547947</v>
      </c>
      <c r="X150" s="5"/>
      <c r="Z150" s="5"/>
    </row>
    <row r="151" spans="1:26">
      <c r="A151" s="1">
        <v>1976</v>
      </c>
      <c r="B151" s="7">
        <f>(K41*($E41/366))+(K42*($E42/366))</f>
        <v>0</v>
      </c>
      <c r="C151" s="7">
        <f>(L41*($E41/366))+(L42*($E42/366))</f>
        <v>0</v>
      </c>
      <c r="D151" s="7">
        <f>(M41*($E41/366))+(M42*($E42/366))</f>
        <v>100</v>
      </c>
      <c r="E151" s="33">
        <f t="shared" si="47"/>
        <v>100</v>
      </c>
      <c r="G151" s="1">
        <v>1976</v>
      </c>
      <c r="H151" s="958">
        <f>(O41/$R41*100*($E41/366))+(O42/$R42*100*($E42/366))</f>
        <v>0</v>
      </c>
      <c r="I151" s="958"/>
      <c r="J151" s="958">
        <f>(P41/$R41*100*($E41/366))+(P42/$R42*100*($E42/366))</f>
        <v>0</v>
      </c>
      <c r="K151" s="958"/>
      <c r="L151" s="958">
        <f>(Q41/$R41*100*($E41/366))+(Q42/$R42*100*($E42/366))</f>
        <v>100</v>
      </c>
      <c r="M151" s="958"/>
      <c r="N151" s="959">
        <f t="shared" si="48"/>
        <v>100</v>
      </c>
      <c r="O151" s="959"/>
      <c r="R151" s="1">
        <v>1976</v>
      </c>
      <c r="S151" s="7">
        <f>(O41*($E41/366))+(O42*($E42/366))</f>
        <v>0</v>
      </c>
      <c r="T151" s="7">
        <f>(P41*($E41/366))+(P42*($E42/366))</f>
        <v>0</v>
      </c>
      <c r="U151" s="7">
        <f>(Q41*($E41/366))+(Q42*($E42/366))</f>
        <v>30.3</v>
      </c>
      <c r="V151" s="12"/>
      <c r="W151" s="7">
        <f>R41*(E41/366) + R42*(E42/366)</f>
        <v>30.3</v>
      </c>
      <c r="X151" s="5"/>
      <c r="Z151" s="5"/>
    </row>
    <row r="152" spans="1:26">
      <c r="A152" s="1">
        <v>1977</v>
      </c>
      <c r="B152" s="7">
        <f>(K43*($E43/365))+(K44*($E44/365))</f>
        <v>0</v>
      </c>
      <c r="C152" s="7">
        <f>(L43*($E43/365))+(L44*($E44/365))</f>
        <v>0</v>
      </c>
      <c r="D152" s="7">
        <f>(M43*($E43/365))+(M44*($E44/365))</f>
        <v>100</v>
      </c>
      <c r="E152" s="33">
        <f t="shared" si="47"/>
        <v>100</v>
      </c>
      <c r="G152" s="1">
        <v>1977</v>
      </c>
      <c r="H152" s="958">
        <f>(O43/$R43*100*($E43/365))+(O44/$R44*100*($E44/365))</f>
        <v>0</v>
      </c>
      <c r="I152" s="958"/>
      <c r="J152" s="958">
        <f>(P43/$R43*100*($E43/365))+(P44/$R44*100*($E44/365))</f>
        <v>0</v>
      </c>
      <c r="K152" s="958"/>
      <c r="L152" s="958">
        <f>(Q43/$R43*100*($E43/365))+(Q44/$R44*100*($E44/365))</f>
        <v>100</v>
      </c>
      <c r="M152" s="958"/>
      <c r="N152" s="959">
        <f t="shared" si="48"/>
        <v>100</v>
      </c>
      <c r="O152" s="959"/>
      <c r="R152" s="1">
        <v>1977</v>
      </c>
      <c r="S152" s="7">
        <f>(O43*($E43/365))+(O44*($E44/365))</f>
        <v>0</v>
      </c>
      <c r="T152" s="7">
        <f>(P43*($E43/365))+(P44*($E44/365))</f>
        <v>0</v>
      </c>
      <c r="U152" s="7">
        <f>(Q43*($E43/365))+(Q44*($E44/365))</f>
        <v>36.075342465753423</v>
      </c>
      <c r="V152" s="12"/>
      <c r="W152" s="7">
        <f>R43*(E43/365) + R44*(E44/365)</f>
        <v>36.075342465753423</v>
      </c>
      <c r="X152" s="5"/>
      <c r="Z152" s="5"/>
    </row>
    <row r="153" spans="1:26">
      <c r="A153" s="1">
        <v>1978</v>
      </c>
      <c r="B153" s="7">
        <f>(K45*($E45/365))+(K46*($E46/365))</f>
        <v>11.324200913242008</v>
      </c>
      <c r="C153" s="7">
        <f>(L45*($E45/365))+(L46*($E46/365))</f>
        <v>0</v>
      </c>
      <c r="D153" s="7">
        <f>(M45*($E45/365))+(M46*($E46/365))</f>
        <v>88.675799086757991</v>
      </c>
      <c r="E153" s="33">
        <f t="shared" si="47"/>
        <v>100</v>
      </c>
      <c r="G153" s="1">
        <v>1978</v>
      </c>
      <c r="H153" s="958">
        <f>(O45/$R45*100*($E45/365))+(O46/$R46*100*($E46/365))</f>
        <v>8.302876433334264</v>
      </c>
      <c r="I153" s="958"/>
      <c r="J153" s="958">
        <f>(P45/$R45*100*($E45/365))+(P46/$R46*100*($E46/365))</f>
        <v>0</v>
      </c>
      <c r="K153" s="958"/>
      <c r="L153" s="958">
        <f>(Q45/$R45*100*($E45/365))+(Q46/$R46*100*($E46/365))</f>
        <v>91.697123566665738</v>
      </c>
      <c r="M153" s="958"/>
      <c r="N153" s="959">
        <f t="shared" si="48"/>
        <v>100</v>
      </c>
      <c r="O153" s="959"/>
      <c r="R153" s="1">
        <v>1978</v>
      </c>
      <c r="S153" s="7">
        <f>(O45*($E45/365))+(O46*($E46/365))</f>
        <v>4.0767123287671234</v>
      </c>
      <c r="T153" s="7">
        <f>(P45*($E45/365))+(P46*($E46/365))</f>
        <v>0</v>
      </c>
      <c r="U153" s="7">
        <f>(Q45*($E45/365))+(Q46*($E46/365))</f>
        <v>37.099999999999994</v>
      </c>
      <c r="V153" s="12"/>
      <c r="W153" s="7">
        <f>R45*(E45/365) + R46*(E46/365)</f>
        <v>41.176712328767124</v>
      </c>
      <c r="X153" s="5"/>
      <c r="Z153" s="5"/>
    </row>
    <row r="154" spans="1:26">
      <c r="A154" s="1">
        <v>1979</v>
      </c>
      <c r="B154" s="7">
        <f>(K47*($E47/365))+(K48*($E48/365))</f>
        <v>27.214611872146115</v>
      </c>
      <c r="C154" s="7">
        <f>(L47*($E47/365))+(L48*($E48/365))</f>
        <v>0</v>
      </c>
      <c r="D154" s="7">
        <f>(M47*($E47/365))+(M48*($E48/365))</f>
        <v>72.785388127853878</v>
      </c>
      <c r="E154" s="33">
        <f t="shared" si="47"/>
        <v>100</v>
      </c>
      <c r="G154" s="1">
        <v>1979</v>
      </c>
      <c r="H154" s="958">
        <f>(O47/$R47*100*($E47/365))+(O48/$R48*100*($E48/365))</f>
        <v>19.953686912367825</v>
      </c>
      <c r="I154" s="958"/>
      <c r="J154" s="958">
        <f>(P47/$R47*100*($E47/365))+(P48/$R48*100*($E48/365))</f>
        <v>0</v>
      </c>
      <c r="K154" s="958"/>
      <c r="L154" s="958">
        <f>(Q47/$R47*100*($E47/365))+(Q48/$R48*100*($E48/365))</f>
        <v>80.046313087632171</v>
      </c>
      <c r="M154" s="958"/>
      <c r="N154" s="959">
        <f t="shared" si="48"/>
        <v>100</v>
      </c>
      <c r="O154" s="959"/>
      <c r="R154" s="1">
        <v>1979</v>
      </c>
      <c r="S154" s="7">
        <f>(O47*($E47/365))+(O48*($E48/365))</f>
        <v>9.7972602739726025</v>
      </c>
      <c r="T154" s="7">
        <f>(P47*($E47/365))+(P48*($E48/365))</f>
        <v>0</v>
      </c>
      <c r="U154" s="7">
        <f>(Q47*($E47/365))+(Q48*($E48/365))</f>
        <v>37.430410958904112</v>
      </c>
      <c r="V154" s="12"/>
      <c r="W154" s="7">
        <f>R47*(E47/365) + R48*(E48/365)</f>
        <v>47.227671232876709</v>
      </c>
      <c r="X154" s="5"/>
      <c r="Z154" s="5"/>
    </row>
    <row r="155" spans="1:26">
      <c r="A155" s="1">
        <v>1980</v>
      </c>
      <c r="B155" s="7">
        <f>(K49*($E49/366))+(K50*($E50/366))</f>
        <v>0</v>
      </c>
      <c r="C155" s="7">
        <f>(L49*($E49/366))+(L50*($E50/366))</f>
        <v>0</v>
      </c>
      <c r="D155" s="7">
        <f>(M49*($E49/366))+(M50*($E50/366))</f>
        <v>100</v>
      </c>
      <c r="E155" s="33">
        <f t="shared" si="47"/>
        <v>100</v>
      </c>
      <c r="G155" s="1">
        <v>1980</v>
      </c>
      <c r="H155" s="958">
        <f>(O49/$R49*100*($E49/366))+(O50/$R50*100*($E50/366))</f>
        <v>0</v>
      </c>
      <c r="I155" s="958"/>
      <c r="J155" s="958">
        <f>(P49/$R49*100*($E49/366))+(P50/$R50*100*($E50/366))</f>
        <v>0</v>
      </c>
      <c r="K155" s="958"/>
      <c r="L155" s="958">
        <f>(Q49/$R49*100*($E49/366))+(Q50/$R50*100*($E50/366))</f>
        <v>100</v>
      </c>
      <c r="M155" s="958"/>
      <c r="N155" s="959">
        <f t="shared" si="48"/>
        <v>100</v>
      </c>
      <c r="O155" s="959"/>
      <c r="R155" s="1">
        <v>1980</v>
      </c>
      <c r="S155" s="7">
        <f>(O49*($E49/366))+(O50*($E50/366))</f>
        <v>0</v>
      </c>
      <c r="T155" s="7">
        <f>(P49*($E49/366))+(P50*($E50/366))</f>
        <v>0</v>
      </c>
      <c r="U155" s="7">
        <f>(Q49*($E49/366))+(Q50*($E50/366))</f>
        <v>38.9</v>
      </c>
      <c r="V155" s="12"/>
      <c r="W155" s="7">
        <f>R49*(E49/366) + R50*(E50/366)</f>
        <v>38.9</v>
      </c>
      <c r="X155" s="5"/>
      <c r="Z155" s="5"/>
    </row>
    <row r="156" spans="1:26">
      <c r="A156" s="1">
        <v>1981</v>
      </c>
      <c r="B156" s="7">
        <f>(K51*($E51/365))+(K52*($E52/365))</f>
        <v>0</v>
      </c>
      <c r="C156" s="7">
        <f>(L51*($E51/365))+(L52*($E52/365))</f>
        <v>0</v>
      </c>
      <c r="D156" s="7">
        <f>(M51*($E51/365))+(M52*($E52/365))</f>
        <v>100.00000000000001</v>
      </c>
      <c r="E156" s="33">
        <f t="shared" si="47"/>
        <v>100.00000000000001</v>
      </c>
      <c r="G156" s="1">
        <v>1981</v>
      </c>
      <c r="H156" s="958">
        <f>(O51/$R51*100*($E51/365))+(O52/$R52*100*($E52/365))</f>
        <v>0</v>
      </c>
      <c r="I156" s="958"/>
      <c r="J156" s="958">
        <f>(P51/$R51*100*($E51/365))+(P52/$R52*100*($E52/365))</f>
        <v>0</v>
      </c>
      <c r="K156" s="958"/>
      <c r="L156" s="958">
        <f>(Q51/$R51*100*($E51/365))+(Q52/$R52*100*($E52/365))</f>
        <v>100.00000000000001</v>
      </c>
      <c r="M156" s="958"/>
      <c r="N156" s="959">
        <f t="shared" si="48"/>
        <v>100.00000000000001</v>
      </c>
      <c r="O156" s="959"/>
      <c r="R156" s="1">
        <v>1981</v>
      </c>
      <c r="S156" s="7">
        <f>(O51*($E51/365))+(O52*($E52/365))</f>
        <v>0</v>
      </c>
      <c r="T156" s="7">
        <f>(P51*($E51/365))+(P52*($E52/365))</f>
        <v>0</v>
      </c>
      <c r="U156" s="7">
        <f>(Q51*($E51/365))+(Q52*($E52/365))</f>
        <v>38.88575342465753</v>
      </c>
      <c r="V156" s="12"/>
      <c r="W156" s="7">
        <f>R51*(E51/365) + R52*(E52/365)</f>
        <v>38.88575342465753</v>
      </c>
      <c r="X156" s="5"/>
      <c r="Z156" s="5"/>
    </row>
    <row r="157" spans="1:26">
      <c r="A157" s="1">
        <v>1982</v>
      </c>
      <c r="B157" s="7">
        <f>(K53*($E53/365))+(K54*($E54/365))</f>
        <v>23.587736464448792</v>
      </c>
      <c r="C157" s="7">
        <f>(L53*($E53/365))+(L54*($E54/365))</f>
        <v>7.3711676451402468</v>
      </c>
      <c r="D157" s="7">
        <f>(M53*($E53/365))+(M54*($E54/365))</f>
        <v>69.041095890410958</v>
      </c>
      <c r="E157" s="33">
        <f t="shared" si="47"/>
        <v>100</v>
      </c>
      <c r="G157" s="1">
        <v>1982</v>
      </c>
      <c r="H157" s="958">
        <f>(O53/$R53*100*($E53/365))+(O54/$R54*100*($E54/365))</f>
        <v>23.459000578815356</v>
      </c>
      <c r="I157" s="958"/>
      <c r="J157" s="958">
        <f>(P53/$R53*100*($E53/365))+(P54/$R54*100*($E54/365))</f>
        <v>7.4999035307736834</v>
      </c>
      <c r="K157" s="958"/>
      <c r="L157" s="958">
        <f>(Q53/$R53*100*($E53/365))+(Q54/$R54*100*($E54/365))</f>
        <v>69.041095890410958</v>
      </c>
      <c r="M157" s="958"/>
      <c r="N157" s="959">
        <f t="shared" si="48"/>
        <v>100</v>
      </c>
      <c r="O157" s="959"/>
      <c r="R157" s="1">
        <v>1982</v>
      </c>
      <c r="S157" s="7">
        <f>(O53*($E53/365))+(O54*($E54/365))</f>
        <v>8.3279452054794518</v>
      </c>
      <c r="T157" s="7">
        <f>(P53*($E53/365))+(P54*($E54/365))</f>
        <v>2.6624657534246574</v>
      </c>
      <c r="U157" s="7">
        <f>(Q53*($E53/365))+(Q54*($E54/365))</f>
        <v>23.266849315068498</v>
      </c>
      <c r="V157" s="12"/>
      <c r="W157" s="7">
        <f>R53*(E53/365) + R54*(E54/365)</f>
        <v>34.257260273972605</v>
      </c>
      <c r="X157" s="5"/>
      <c r="Z157" s="5"/>
    </row>
    <row r="158" spans="1:26">
      <c r="A158" s="1">
        <v>1983</v>
      </c>
      <c r="B158" s="7">
        <f>(K55*($E55/365))+(K56*($E56/365))</f>
        <v>76.19047619047619</v>
      </c>
      <c r="C158" s="7">
        <f>(L55*($E55/365))+(L56*($E56/365))</f>
        <v>23.809523809523807</v>
      </c>
      <c r="D158" s="7">
        <f>(M55*($E55/365))+(M56*($E56/365))</f>
        <v>0</v>
      </c>
      <c r="E158" s="33">
        <f t="shared" si="47"/>
        <v>100</v>
      </c>
      <c r="G158" s="1">
        <v>1983</v>
      </c>
      <c r="H158" s="958">
        <f>(O55/$R55*100*($E55/365))+(O56/$R56*100*($E56/365))</f>
        <v>75.774647887323937</v>
      </c>
      <c r="I158" s="958"/>
      <c r="J158" s="958">
        <f>(P55/$R55*100*($E55/365))+(P56/$R56*100*($E56/365))</f>
        <v>24.225352112676056</v>
      </c>
      <c r="K158" s="958"/>
      <c r="L158" s="958">
        <f>(Q55/$R55*100*($E55/365))+(Q56/$R56*100*($E56/365))</f>
        <v>0</v>
      </c>
      <c r="M158" s="958"/>
      <c r="N158" s="959">
        <f t="shared" si="48"/>
        <v>100</v>
      </c>
      <c r="O158" s="959"/>
      <c r="R158" s="1">
        <v>1983</v>
      </c>
      <c r="S158" s="7">
        <f>(O55*($E55/365))+(O56*($E56/365))</f>
        <v>26.9</v>
      </c>
      <c r="T158" s="7">
        <f>(P55*($E55/365))+(P56*($E56/365))</f>
        <v>8.6</v>
      </c>
      <c r="U158" s="7">
        <f>(Q55*($E55/365))+(Q56*($E56/365))</f>
        <v>0</v>
      </c>
      <c r="V158" s="12"/>
      <c r="W158" s="7">
        <f>R55*(E55/365) + R56*(E56/365)</f>
        <v>35.5</v>
      </c>
      <c r="X158" s="5"/>
      <c r="Z158" s="5"/>
    </row>
    <row r="159" spans="1:26">
      <c r="A159" s="1">
        <v>1984</v>
      </c>
      <c r="B159" s="7">
        <f>(K57*($E57/366))+(K58*($E58/366))</f>
        <v>76.19047619047619</v>
      </c>
      <c r="C159" s="7">
        <f>(L57*($E57/366))+(L58*($E58/366))</f>
        <v>23.80952380952381</v>
      </c>
      <c r="D159" s="7">
        <f>(M57*($E57/366))+(M58*($E58/366))</f>
        <v>0</v>
      </c>
      <c r="E159" s="33">
        <f t="shared" si="47"/>
        <v>100</v>
      </c>
      <c r="G159" s="1">
        <v>1984</v>
      </c>
      <c r="H159" s="958">
        <f>(O57/$R57*100*($E57/366))+(O58/$R58*100*($E58/366))</f>
        <v>88.121273665655679</v>
      </c>
      <c r="I159" s="958"/>
      <c r="J159" s="958">
        <f>(P57/$R57*100*($E57/366))+(P58/$R58*100*($E58/366))</f>
        <v>11.878726334344332</v>
      </c>
      <c r="K159" s="958"/>
      <c r="L159" s="958">
        <f>(Q57/$R57*100*($E57/366))+(Q58/$R58*100*($E58/366))</f>
        <v>0</v>
      </c>
      <c r="M159" s="958"/>
      <c r="N159" s="959">
        <f t="shared" si="48"/>
        <v>100.00000000000001</v>
      </c>
      <c r="O159" s="959"/>
      <c r="R159" s="1">
        <v>1984</v>
      </c>
      <c r="S159" s="7">
        <f>(O57*($E57/366))+(O58*($E58/366))</f>
        <v>36.069945355191258</v>
      </c>
      <c r="T159" s="7">
        <f>(P57*($E57/366))+(P58*($E58/366))</f>
        <v>4.8185792349726775</v>
      </c>
      <c r="U159" s="7">
        <f>(Q57*($E57/366))+(Q58*($E58/366))</f>
        <v>0</v>
      </c>
      <c r="V159" s="12"/>
      <c r="W159" s="7">
        <f>R57*(E57/366) + R58*(E58/366)</f>
        <v>40.888524590163939</v>
      </c>
      <c r="X159" s="5"/>
      <c r="Z159" s="5"/>
    </row>
    <row r="160" spans="1:26">
      <c r="A160" s="1">
        <v>1985</v>
      </c>
      <c r="B160" s="7">
        <f>(K59*($E59/365))+(K60*($E60/365))</f>
        <v>76.19047619047619</v>
      </c>
      <c r="C160" s="7">
        <f>(L59*($E59/365))+(L60*($E60/365))</f>
        <v>23.809523809523807</v>
      </c>
      <c r="D160" s="7">
        <f>(M59*($E59/365))+(M60*($E60/365))</f>
        <v>0</v>
      </c>
      <c r="E160" s="33">
        <f t="shared" si="47"/>
        <v>100</v>
      </c>
      <c r="G160" s="1">
        <v>1985</v>
      </c>
      <c r="H160" s="958">
        <f>(O59/$R59*100*($E59/365))+(O60/$R60*100*($E60/365))</f>
        <v>88.834951456310677</v>
      </c>
      <c r="I160" s="958"/>
      <c r="J160" s="958">
        <f>(P59/$R59*100*($E59/365))+(P60/$R60*100*($E60/365))</f>
        <v>11.165048543689318</v>
      </c>
      <c r="K160" s="958"/>
      <c r="L160" s="958">
        <f>(Q59/$R59*100*($E59/365))+(Q60/$R60*100*($E60/365))</f>
        <v>0</v>
      </c>
      <c r="M160" s="958"/>
      <c r="N160" s="959">
        <f t="shared" si="48"/>
        <v>100</v>
      </c>
      <c r="O160" s="959"/>
      <c r="R160" s="1">
        <v>1985</v>
      </c>
      <c r="S160" s="7">
        <f>(O59*($E59/365))+(O60*($E60/365))</f>
        <v>36.6</v>
      </c>
      <c r="T160" s="7">
        <f>(P59*($E59/365))+(P60*($E60/365))</f>
        <v>4.5999999999999996</v>
      </c>
      <c r="U160" s="7">
        <f>(Q59*($E59/365))+(Q60*($E60/365))</f>
        <v>0</v>
      </c>
      <c r="V160" s="12"/>
      <c r="W160" s="7">
        <f>R59*(E59/365) + R60*(E60/365)</f>
        <v>41.2</v>
      </c>
      <c r="X160" s="5"/>
      <c r="Z160" s="5"/>
    </row>
    <row r="161" spans="1:26">
      <c r="A161" s="1">
        <v>1986</v>
      </c>
      <c r="B161" s="7">
        <f>(K61*($E61/365))+(K62*($E62/365))</f>
        <v>76.19047619047619</v>
      </c>
      <c r="C161" s="7">
        <f>(L61*($E61/365))+(L62*($E62/365))</f>
        <v>23.809523809523807</v>
      </c>
      <c r="D161" s="7">
        <f>(M61*($E61/365))+(M62*($E62/365))</f>
        <v>0</v>
      </c>
      <c r="E161" s="33">
        <f t="shared" si="47"/>
        <v>100</v>
      </c>
      <c r="G161" s="1">
        <v>1986</v>
      </c>
      <c r="H161" s="958">
        <f>(O61/$R61*100*($E61/365))+(O62/$R62*100*($E62/365))</f>
        <v>88.834951456310677</v>
      </c>
      <c r="I161" s="958"/>
      <c r="J161" s="958">
        <f>(P61/$R61*100*($E61/365))+(P62/$R62*100*($E62/365))</f>
        <v>11.165048543689318</v>
      </c>
      <c r="K161" s="958"/>
      <c r="L161" s="958">
        <f>(Q61/$R61*100*($E61/365))+(Q62/$R62*100*($E62/365))</f>
        <v>0</v>
      </c>
      <c r="M161" s="958"/>
      <c r="N161" s="959">
        <f t="shared" si="48"/>
        <v>100</v>
      </c>
      <c r="O161" s="959"/>
      <c r="R161" s="1">
        <v>1986</v>
      </c>
      <c r="S161" s="7">
        <f>(O61*($E61/365))+(O62*($E62/365))</f>
        <v>36.6</v>
      </c>
      <c r="T161" s="7">
        <f>(P61*($E61/365))+(P62*($E62/365))</f>
        <v>4.5999999999999996</v>
      </c>
      <c r="U161" s="7">
        <f>(Q61*($E61/365))+(Q62*($E62/365))</f>
        <v>0</v>
      </c>
      <c r="V161" s="12"/>
      <c r="W161" s="7">
        <f>R61*(E61/365) + R62*(E62/365)</f>
        <v>41.2</v>
      </c>
      <c r="X161" s="5"/>
      <c r="Z161" s="5"/>
    </row>
    <row r="162" spans="1:26" ht="9" customHeight="1">
      <c r="A162" s="1">
        <v>1987</v>
      </c>
      <c r="B162" s="7">
        <f>(K63*($E63/365))+(K64*($E64/365))</f>
        <v>77.932752179327537</v>
      </c>
      <c r="C162" s="7">
        <f>(L63*($E63/365))+(L64*($E64/365))</f>
        <v>22.067247820672478</v>
      </c>
      <c r="D162" s="7">
        <f>(M63*($E63/365))+(M64*($E64/365))</f>
        <v>0</v>
      </c>
      <c r="E162" s="33">
        <f t="shared" si="47"/>
        <v>100.00000000000001</v>
      </c>
      <c r="G162" s="2">
        <v>1987</v>
      </c>
      <c r="H162" s="958">
        <f>(O63/$R63*100*($E63/365))+(O64/$R64*100*($E64/365))</f>
        <v>86.50120940500193</v>
      </c>
      <c r="I162" s="958"/>
      <c r="J162" s="958">
        <f>(P63/$R63*100*($E63/365))+(P64/$R64*100*($E64/365))</f>
        <v>13.498790594998074</v>
      </c>
      <c r="K162" s="958"/>
      <c r="L162" s="958">
        <f>(Q63/$R63*100*($E63/365))+(Q64/$R64*100*($E64/365))</f>
        <v>0</v>
      </c>
      <c r="M162" s="958"/>
      <c r="N162" s="959">
        <f t="shared" si="48"/>
        <v>100</v>
      </c>
      <c r="O162" s="959"/>
      <c r="R162" s="1">
        <v>1987</v>
      </c>
      <c r="S162" s="7">
        <f>(O63*($E63/365))+(O64*($E64/365))</f>
        <v>35.361643835616441</v>
      </c>
      <c r="T162" s="7">
        <f>(P63*($E63/365))+(P64*($E64/365))</f>
        <v>5.4978082191780828</v>
      </c>
      <c r="U162" s="7">
        <f>(Q63*($E63/365))+(Q64*($E64/365))</f>
        <v>0</v>
      </c>
      <c r="V162" s="12"/>
      <c r="W162" s="7">
        <f>R63*(E63/365) + R64*(E64/365)</f>
        <v>40.859452054794524</v>
      </c>
      <c r="X162" s="5"/>
      <c r="Z162" s="5"/>
    </row>
    <row r="163" spans="1:26" ht="9" customHeight="1">
      <c r="A163" s="1">
        <v>1988</v>
      </c>
      <c r="B163" s="7">
        <f>(K65*($E65/366))+(K66*($E66/366))</f>
        <v>92.349726775956285</v>
      </c>
      <c r="C163" s="7">
        <f>(L65*($E65/366))+(L66*($E66/366))</f>
        <v>7.6502732240437172</v>
      </c>
      <c r="D163" s="7">
        <f>(M65*($E65/366))+(M66*($E66/366))</f>
        <v>0</v>
      </c>
      <c r="E163" s="33">
        <f t="shared" si="47"/>
        <v>100</v>
      </c>
      <c r="G163" s="2">
        <v>1988</v>
      </c>
      <c r="H163" s="958">
        <f>(O65/$R65*100*($E65/366))+(O66/$R66*100*($E66/366))</f>
        <v>92.130329912922605</v>
      </c>
      <c r="I163" s="958"/>
      <c r="J163" s="958">
        <f>(P65/$R65*100*($E65/366))+(P66/$R66*100*($E66/366))</f>
        <v>7.8696700870773881</v>
      </c>
      <c r="K163" s="958"/>
      <c r="L163" s="958">
        <f>(Q65/$R65*100*($E65/366))+(Q66/$R66*100*($E66/366))</f>
        <v>0</v>
      </c>
      <c r="M163" s="958"/>
      <c r="N163" s="959">
        <f t="shared" si="48"/>
        <v>100</v>
      </c>
      <c r="O163" s="959"/>
      <c r="R163" s="1">
        <v>1988</v>
      </c>
      <c r="S163" s="7">
        <f>(O65*($E65/366))+(O66*($E66/366))</f>
        <v>35.901639344262293</v>
      </c>
      <c r="T163" s="7">
        <f>(P65*($E65/366))+(P66*($E66/366))</f>
        <v>3.1557377049180331</v>
      </c>
      <c r="U163" s="7">
        <f>(Q65*($E65/366))+(Q66*($E66/366))</f>
        <v>0</v>
      </c>
      <c r="V163" s="12"/>
      <c r="W163" s="7">
        <f>R65*(E65/366) + R66*(E66/366)</f>
        <v>39.057377049180332</v>
      </c>
      <c r="X163" s="5"/>
      <c r="Z163" s="5"/>
    </row>
    <row r="164" spans="1:26" s="4" customFormat="1" ht="9" customHeight="1">
      <c r="A164" s="4">
        <v>1989</v>
      </c>
      <c r="B164" s="11">
        <f>(K67*($E67/365))+(K68*($E68/365))</f>
        <v>100</v>
      </c>
      <c r="C164" s="11">
        <f>(L67*($E67/365))+(L68*($E68/365))</f>
        <v>0</v>
      </c>
      <c r="D164" s="11">
        <f>(M67*($E67/365))+(M68*($E68/365))</f>
        <v>0</v>
      </c>
      <c r="E164" s="32">
        <f t="shared" si="47"/>
        <v>100</v>
      </c>
      <c r="G164" s="4">
        <v>1989</v>
      </c>
      <c r="H164" s="960">
        <f>(O67/$R67*100*($E67/365))+(O68/$R68*100*($E68/365))</f>
        <v>100</v>
      </c>
      <c r="I164" s="960"/>
      <c r="J164" s="960">
        <f>(P67/$R67*100*($E67/365))+(P68/$R68*100*($E68/365))</f>
        <v>0</v>
      </c>
      <c r="K164" s="960"/>
      <c r="L164" s="960">
        <f>(Q67/$R67*100*($E67/365))+(Q68/$R68*100*($E68/365))</f>
        <v>0</v>
      </c>
      <c r="M164" s="960"/>
      <c r="N164" s="987">
        <f t="shared" si="48"/>
        <v>100</v>
      </c>
      <c r="O164" s="987"/>
      <c r="R164" s="4">
        <v>1989</v>
      </c>
      <c r="S164" s="11">
        <f>(O67*($E67/365))+(O68*($E68/365))</f>
        <v>38.299999999999997</v>
      </c>
      <c r="T164" s="11">
        <f>(P67*($E67/365))+(P68*($E68/365))</f>
        <v>0</v>
      </c>
      <c r="U164" s="11">
        <f>(Q67*($E67/365))+(Q68*($E68/365))</f>
        <v>0</v>
      </c>
      <c r="V164" s="27"/>
      <c r="W164" s="11">
        <f>R67*(E67/365) + R68*(E68/365)</f>
        <v>38.299999999999997</v>
      </c>
      <c r="X164" s="19"/>
      <c r="Z164" s="19"/>
    </row>
    <row r="165" spans="1:26" ht="9" customHeight="1">
      <c r="A165" s="1">
        <v>1990</v>
      </c>
      <c r="B165" s="8">
        <f>(K69*($E69/365))+(K70*($E70/365))</f>
        <v>100.00000000000001</v>
      </c>
      <c r="C165" s="8">
        <f>(L69*($E69/365))+(L70*($E70/365))</f>
        <v>0</v>
      </c>
      <c r="D165" s="8">
        <f>(M69*($E69/365))+(M70*($E70/365))</f>
        <v>0</v>
      </c>
      <c r="E165" s="33">
        <f>SUM(B165:D165)</f>
        <v>100.00000000000001</v>
      </c>
      <c r="G165" s="1">
        <v>1990</v>
      </c>
      <c r="H165" s="958">
        <f>(O69/$R69*100*($E69/365))+(O70/$R70*100*($E70/365))</f>
        <v>100.00000000000001</v>
      </c>
      <c r="I165" s="958"/>
      <c r="J165" s="958">
        <f>(P69/$R69*100*($E69/365))+(P70/$R70*100*($E70/365))</f>
        <v>0</v>
      </c>
      <c r="K165" s="958"/>
      <c r="L165" s="958">
        <f>(Q69/$R69*100*($E69/365))+(Q70/$R70*100*($E70/365))</f>
        <v>0</v>
      </c>
      <c r="M165" s="958"/>
      <c r="N165" s="959">
        <f t="shared" si="48"/>
        <v>100.00000000000001</v>
      </c>
      <c r="O165" s="959"/>
      <c r="R165" s="1">
        <v>1990</v>
      </c>
      <c r="S165" s="8">
        <f>(O69*($E69/365))+(O70*($E70/365))</f>
        <v>38.123561643835615</v>
      </c>
      <c r="T165" s="8">
        <f>(P69*($E69/365))+(P70*($E70/365))</f>
        <v>0</v>
      </c>
      <c r="U165" s="8">
        <f>(Q69*($E69/365))+(Q70*($E70/365))</f>
        <v>0</v>
      </c>
      <c r="V165" s="12"/>
      <c r="W165" s="7">
        <f>R69*(E69/365) + R70*(E70/365)</f>
        <v>38.123561643835615</v>
      </c>
      <c r="X165" s="5"/>
      <c r="Z165" s="5"/>
    </row>
    <row r="166" spans="1:26" ht="9" customHeight="1">
      <c r="A166" s="1">
        <v>1991</v>
      </c>
      <c r="B166" s="8">
        <f>(K71*($E71/365))+(K72*($E72/365))</f>
        <v>100</v>
      </c>
      <c r="C166" s="8">
        <f>(L71*($E71/365))+(L72*($E72/365))</f>
        <v>0</v>
      </c>
      <c r="D166" s="8">
        <f>(M71*($E71/365))+(M72*($E72/365))</f>
        <v>0</v>
      </c>
      <c r="E166" s="33">
        <f t="shared" ref="E166:E187" si="49">SUM(B166:D166)</f>
        <v>100</v>
      </c>
      <c r="G166" s="1">
        <v>1991</v>
      </c>
      <c r="H166" s="958">
        <f>(O71/$R71*100*($E71/365))+(O72/$R72*100*($E72/365))</f>
        <v>100</v>
      </c>
      <c r="I166" s="958"/>
      <c r="J166" s="958">
        <f>(P71/$R71*100*($E71/365))+(P72/$R72*100*($E72/365))</f>
        <v>0</v>
      </c>
      <c r="K166" s="958"/>
      <c r="L166" s="958">
        <f>(Q71/$R71*100*($E71/365))+(Q72/$R72*100*($E72/365))</f>
        <v>0</v>
      </c>
      <c r="M166" s="958"/>
      <c r="N166" s="959">
        <f t="shared" si="48"/>
        <v>100</v>
      </c>
      <c r="O166" s="959"/>
      <c r="R166" s="1">
        <v>1991</v>
      </c>
      <c r="S166" s="8">
        <f>(O71*($E71/365))+(O72*($E72/365))</f>
        <v>33.700000000000003</v>
      </c>
      <c r="T166" s="8">
        <f>(P71*($E71/365))+(P72*($E72/365))</f>
        <v>0</v>
      </c>
      <c r="U166" s="8">
        <f>(Q71*($E71/365))+(Q72*($E72/365))</f>
        <v>0</v>
      </c>
      <c r="V166" s="12"/>
      <c r="W166" s="7">
        <f>R71*(E71/365) + R72*(E72/365)</f>
        <v>33.700000000000003</v>
      </c>
      <c r="X166" s="5"/>
      <c r="Z166" s="5"/>
    </row>
    <row r="167" spans="1:26" ht="9" customHeight="1">
      <c r="A167" s="1">
        <v>1992</v>
      </c>
      <c r="B167" s="8">
        <f>(K73*($E73/366))+(K74*($E74/366))</f>
        <v>100</v>
      </c>
      <c r="C167" s="8">
        <f>(L73*($E73/366))+(L74*($E74/366))</f>
        <v>0</v>
      </c>
      <c r="D167" s="8">
        <f>(M73*($E73/366))+(M74*($E74/366))</f>
        <v>0</v>
      </c>
      <c r="E167" s="33">
        <f t="shared" si="49"/>
        <v>100</v>
      </c>
      <c r="G167" s="1">
        <v>1992</v>
      </c>
      <c r="H167" s="958">
        <f>(O73/$R73*100*($E73/366))+(O74/$R74*100*($E74/366))</f>
        <v>100</v>
      </c>
      <c r="I167" s="958"/>
      <c r="J167" s="958">
        <f>(P73/$R73*100*($E73/366))+(P74/$R74*100*($E74/366))</f>
        <v>0</v>
      </c>
      <c r="K167" s="958"/>
      <c r="L167" s="958">
        <f>(Q73/$R73*100*($E73/366))+(Q74/$R74*100*($E74/366))</f>
        <v>0</v>
      </c>
      <c r="M167" s="958"/>
      <c r="N167" s="959">
        <f t="shared" si="48"/>
        <v>100</v>
      </c>
      <c r="O167" s="959"/>
      <c r="R167" s="1">
        <v>1992</v>
      </c>
      <c r="S167" s="8">
        <f>(O73*($E73/366))+(O74*($E74/366))</f>
        <v>33.700000000000003</v>
      </c>
      <c r="T167" s="8">
        <f>(P73*($E73/366))+(P74*($E74/366))</f>
        <v>0</v>
      </c>
      <c r="U167" s="8">
        <f>(Q73*($E73/366))+(Q74*($E74/366))</f>
        <v>0</v>
      </c>
      <c r="V167" s="12"/>
      <c r="W167" s="7">
        <f>R73*(E73/366) + R74*(E74/366)</f>
        <v>33.700000000000003</v>
      </c>
      <c r="X167" s="5"/>
      <c r="Z167" s="5"/>
    </row>
    <row r="168" spans="1:26" ht="9" customHeight="1">
      <c r="A168" s="1">
        <v>1993</v>
      </c>
      <c r="B168" s="8">
        <f>(K75*($E75/365))+(K76*($E76/365))</f>
        <v>18.253424657534246</v>
      </c>
      <c r="C168" s="8">
        <f>(L75*($E75/365))+(L76*($E76/365))</f>
        <v>23.356164383561644</v>
      </c>
      <c r="D168" s="8">
        <f>(M75*($E75/365))+(M76*($E76/365))</f>
        <v>58.390410958904113</v>
      </c>
      <c r="E168" s="33">
        <f t="shared" si="49"/>
        <v>100</v>
      </c>
      <c r="G168" s="1">
        <v>1993</v>
      </c>
      <c r="H168" s="958">
        <f>(O75/$R75*100*($E75/365))+(O76/$R76*100*($E76/365))</f>
        <v>13.931614712544494</v>
      </c>
      <c r="I168" s="958"/>
      <c r="J168" s="958">
        <f>(P75/$R75*100*($E75/365))+(P76/$R76*100*($E76/365))</f>
        <v>13.60910365656348</v>
      </c>
      <c r="K168" s="958"/>
      <c r="L168" s="958">
        <f>(Q75/$R75*100*($E75/365))+(Q76/$R76*100*($E76/365))</f>
        <v>72.459281630892036</v>
      </c>
      <c r="M168" s="958"/>
      <c r="N168" s="959">
        <f t="shared" si="48"/>
        <v>100.00000000000001</v>
      </c>
      <c r="O168" s="959"/>
      <c r="R168" s="1">
        <v>1993</v>
      </c>
      <c r="S168" s="8">
        <f>(O75*($E75/365))+(O76*($E76/365))</f>
        <v>5.9528767123287674</v>
      </c>
      <c r="T168" s="8">
        <f>(P75*($E75/365))+(P76*($E76/365))</f>
        <v>6.9134246575342475</v>
      </c>
      <c r="U168" s="8">
        <f>(Q75*($E75/365))+(Q76*($E76/365))</f>
        <v>36.809315068493149</v>
      </c>
      <c r="V168" s="12"/>
      <c r="W168" s="7">
        <f>R75*(E75/365) + R76*(E76/365)</f>
        <v>49.675616438356165</v>
      </c>
      <c r="X168" s="5"/>
      <c r="Z168" s="5"/>
    </row>
    <row r="169" spans="1:26" ht="9" customHeight="1">
      <c r="A169" s="1">
        <v>1994</v>
      </c>
      <c r="B169" s="8">
        <f>(K77*($E77/365))+(K78*($E78/365))</f>
        <v>13.150684931506849</v>
      </c>
      <c r="C169" s="8">
        <f>(L77*($E77/365))+(L78*($E78/365))</f>
        <v>21.095890410958905</v>
      </c>
      <c r="D169" s="8">
        <f>(M77*($E77/365))+(M78*($E78/365))</f>
        <v>65.753424657534254</v>
      </c>
      <c r="E169" s="33">
        <f t="shared" si="49"/>
        <v>100</v>
      </c>
      <c r="G169" s="1">
        <v>1994</v>
      </c>
      <c r="H169" s="958">
        <f>(O77/$R77*100*($E77/365))+(O78/$R78*100*($E78/365))</f>
        <v>8.6154308784014297</v>
      </c>
      <c r="I169" s="958"/>
      <c r="J169" s="958">
        <f>(P77/$R77*100*($E77/365))+(P78/$R78*100*($E78/365))</f>
        <v>12.534964406391438</v>
      </c>
      <c r="K169" s="958"/>
      <c r="L169" s="958">
        <f>(Q77/$R77*100*($E77/365))+(Q78/$R78*100*($E78/365))</f>
        <v>78.849604715207121</v>
      </c>
      <c r="M169" s="958"/>
      <c r="N169" s="959">
        <f t="shared" si="48"/>
        <v>99.999999999999986</v>
      </c>
      <c r="O169" s="959"/>
      <c r="R169" s="1">
        <v>1994</v>
      </c>
      <c r="S169" s="8">
        <f>(O77*($E77/365))+(O78*($E78/365))</f>
        <v>4.1561643835616433</v>
      </c>
      <c r="T169" s="8">
        <f>(P77*($E77/365))+(P78*($E78/365))</f>
        <v>6.2287671232876711</v>
      </c>
      <c r="U169" s="8">
        <f>(Q77*($E77/365))+(Q78*($E78/365))</f>
        <v>38.358904109589034</v>
      </c>
      <c r="V169" s="12"/>
      <c r="W169" s="7">
        <f>R77*(E77/365) + R78*(E78/365)</f>
        <v>48.743835616438346</v>
      </c>
      <c r="X169" s="5"/>
      <c r="Z169" s="5"/>
    </row>
    <row r="170" spans="1:26" ht="9" customHeight="1">
      <c r="A170" s="1">
        <v>1995</v>
      </c>
      <c r="B170" s="8">
        <f>(K79*($E79/365))+(K80*($E80/365))</f>
        <v>15</v>
      </c>
      <c r="C170" s="8">
        <f>(L79*($E79/365))+(L80*($E80/365))</f>
        <v>10</v>
      </c>
      <c r="D170" s="8">
        <f>(M79*($E79/365))+(M80*($E80/365))</f>
        <v>75</v>
      </c>
      <c r="E170" s="33">
        <f t="shared" si="49"/>
        <v>100</v>
      </c>
      <c r="G170" s="1">
        <v>1995</v>
      </c>
      <c r="H170" s="958">
        <f>(O79/$R79*100*($E79/365))+(O80/$R80*100*($E80/365))</f>
        <v>10.722610722610721</v>
      </c>
      <c r="I170" s="958"/>
      <c r="J170" s="958">
        <f>(P79/$R79*100*($E79/365))+(P80/$R80*100*($E80/365))</f>
        <v>6.7599067599067597</v>
      </c>
      <c r="K170" s="958"/>
      <c r="L170" s="958">
        <f>(Q79/$R79*100*($E79/365))+(Q80/$R80*100*($E80/365))</f>
        <v>82.51748251748252</v>
      </c>
      <c r="M170" s="958"/>
      <c r="N170" s="959">
        <f t="shared" si="48"/>
        <v>100</v>
      </c>
      <c r="O170" s="959"/>
      <c r="R170" s="1">
        <v>1995</v>
      </c>
      <c r="S170" s="8">
        <f>(O79*($E79/365))+(O80*($E80/365))</f>
        <v>4.5999999999999996</v>
      </c>
      <c r="T170" s="8">
        <f>(P79*($E79/365))+(P80*($E80/365))</f>
        <v>2.9</v>
      </c>
      <c r="U170" s="8">
        <f>(Q79*($E79/365))+(Q80*($E80/365))</f>
        <v>35.4</v>
      </c>
      <c r="V170" s="12"/>
      <c r="W170" s="7">
        <f>R79*(E79/365) + R80*(E80/365)</f>
        <v>42.9</v>
      </c>
      <c r="X170" s="5"/>
      <c r="Z170" s="5"/>
    </row>
    <row r="171" spans="1:26" ht="9" customHeight="1">
      <c r="A171" s="1">
        <v>1996</v>
      </c>
      <c r="B171" s="8">
        <f>(K81*($E81/366))+(K82*($E82/366))</f>
        <v>15.033074489502443</v>
      </c>
      <c r="C171" s="8">
        <f>(L81*($E81/366))+(L82*($E82/366))</f>
        <v>9.9453551912568301</v>
      </c>
      <c r="D171" s="8">
        <f>(M81*($E81/366))+(M82*($E82/366))</f>
        <v>75.021570319240723</v>
      </c>
      <c r="E171" s="33">
        <f t="shared" si="49"/>
        <v>100</v>
      </c>
      <c r="G171" s="1">
        <v>1996</v>
      </c>
      <c r="H171" s="958">
        <f>(O81/$R81*100*($E81/366))+(O82/$R82*100*($E82/366))</f>
        <v>10.726858751448914</v>
      </c>
      <c r="I171" s="958"/>
      <c r="J171" s="958">
        <f>(P81/$R81*100*($E81/366))+(P82/$R82*100*($E82/366))</f>
        <v>6.722967378705083</v>
      </c>
      <c r="K171" s="958"/>
      <c r="L171" s="958">
        <f>(Q81/$R81*100*($E81/366))+(Q82/$R82*100*($E82/366))</f>
        <v>82.550173869845992</v>
      </c>
      <c r="M171" s="958"/>
      <c r="N171" s="959">
        <f t="shared" si="48"/>
        <v>99.999999999999986</v>
      </c>
      <c r="O171" s="959"/>
      <c r="R171" s="1">
        <v>1996</v>
      </c>
      <c r="S171" s="8">
        <f>(O81*($E81/366))+(O82*($E82/366))</f>
        <v>4.5999999999999996</v>
      </c>
      <c r="T171" s="8">
        <f>(P81*($E81/366))+(P82*($E82/366))</f>
        <v>2.8841530054644808</v>
      </c>
      <c r="U171" s="8">
        <f>(Q81*($E81/366))+(Q82*($E82/366))</f>
        <v>35.4</v>
      </c>
      <c r="V171" s="12"/>
      <c r="W171" s="7">
        <f>R81*(E81/366) + R82*(E82/366)</f>
        <v>42.884153005464483</v>
      </c>
      <c r="X171" s="5"/>
      <c r="Z171" s="5"/>
    </row>
    <row r="172" spans="1:26" ht="9" customHeight="1">
      <c r="A172" s="1">
        <v>1997</v>
      </c>
      <c r="B172" s="8">
        <f>(K83*($E83/365))+(K84*($E84/365))</f>
        <v>20.842105263157894</v>
      </c>
      <c r="C172" s="8">
        <f>(L83*($E83/365))+(L84*($E84/365))</f>
        <v>0</v>
      </c>
      <c r="D172" s="8">
        <f>(M83*($E83/365))+(M84*($E84/365))</f>
        <v>79.15789473684211</v>
      </c>
      <c r="E172" s="33">
        <f t="shared" si="49"/>
        <v>100</v>
      </c>
      <c r="G172" s="1">
        <v>1997</v>
      </c>
      <c r="H172" s="958">
        <f>(O83/$R83*100*($E83/365))+(O84/$R84*100*($E84/365))</f>
        <v>11.500000000000002</v>
      </c>
      <c r="I172" s="958"/>
      <c r="J172" s="958">
        <f>(P83/$R83*100*($E83/365))+(P84/$R84*100*($E84/365))</f>
        <v>0</v>
      </c>
      <c r="K172" s="958"/>
      <c r="L172" s="958">
        <f>(Q83/$R83*100*($E83/365))+(Q84/$R84*100*($E84/365))</f>
        <v>88.5</v>
      </c>
      <c r="M172" s="958"/>
      <c r="N172" s="959">
        <f t="shared" si="48"/>
        <v>100</v>
      </c>
      <c r="O172" s="959"/>
      <c r="R172" s="1">
        <v>1997</v>
      </c>
      <c r="S172" s="8">
        <f>(O83*($E83/365))+(O84*($E84/365))</f>
        <v>4.5999999999999996</v>
      </c>
      <c r="T172" s="8">
        <f>(P83*($E83/365))+(P84*($E84/365))</f>
        <v>0</v>
      </c>
      <c r="U172" s="8">
        <f>(Q83*($E83/365))+(Q84*($E84/365))</f>
        <v>35.4</v>
      </c>
      <c r="V172" s="12"/>
      <c r="W172" s="7">
        <f>R83*(E83/365) + R84*(E84/365)</f>
        <v>40</v>
      </c>
      <c r="X172" s="5"/>
      <c r="Z172" s="5"/>
    </row>
    <row r="173" spans="1:26" ht="9" customHeight="1">
      <c r="A173" s="1">
        <v>1998</v>
      </c>
      <c r="B173" s="8">
        <f>(K85*($E85/365))+(K86*($E86/365))</f>
        <v>20</v>
      </c>
      <c r="C173" s="8">
        <f>(L85*($E85/365))+(L86*($E86/365))</f>
        <v>0</v>
      </c>
      <c r="D173" s="8">
        <f>(M85*($E85/365))+(M86*($E86/365))</f>
        <v>80</v>
      </c>
      <c r="E173" s="33">
        <f t="shared" si="49"/>
        <v>100</v>
      </c>
      <c r="G173" s="1">
        <v>1998</v>
      </c>
      <c r="H173" s="958">
        <f>(O85/$R85*100*($E85/365))+(O86/$R86*100*($E86/365))</f>
        <v>10.332876712328767</v>
      </c>
      <c r="I173" s="958"/>
      <c r="J173" s="958">
        <f>(P85/$R85*100*($E85/365))+(P86/$R86*100*($E86/365))</f>
        <v>0</v>
      </c>
      <c r="K173" s="958"/>
      <c r="L173" s="958">
        <f>(Q85/$R85*100*($E85/365))+(Q86/$R86*100*($E86/365))</f>
        <v>89.667123287671231</v>
      </c>
      <c r="M173" s="958"/>
      <c r="N173" s="959">
        <f t="shared" si="48"/>
        <v>100</v>
      </c>
      <c r="O173" s="959"/>
      <c r="R173" s="1">
        <v>1998</v>
      </c>
      <c r="S173" s="8">
        <f>(O85*($E85/365))+(O86*($E86/365))</f>
        <v>4.1331506849315067</v>
      </c>
      <c r="T173" s="8">
        <f>(P85*($E85/365))+(P86*($E86/365))</f>
        <v>0</v>
      </c>
      <c r="U173" s="8">
        <f>(Q85*($E85/365))+(Q86*($E86/365))</f>
        <v>35.866849315068492</v>
      </c>
      <c r="V173" s="12"/>
      <c r="W173" s="7">
        <f>R85*(E85/365) + R86*(E86/365)</f>
        <v>40</v>
      </c>
      <c r="X173" s="5"/>
      <c r="Z173" s="5"/>
    </row>
    <row r="174" spans="1:26" ht="9" customHeight="1">
      <c r="A174" s="1">
        <v>1999</v>
      </c>
      <c r="B174" s="8">
        <f>(K87*($E87/365))+(K88*($E88/365))</f>
        <v>20</v>
      </c>
      <c r="C174" s="8">
        <f>(L87*($E87/365))+(L88*($E88/365))</f>
        <v>0</v>
      </c>
      <c r="D174" s="8">
        <f>(M87*($E87/365))+(M88*($E88/365))</f>
        <v>80</v>
      </c>
      <c r="E174" s="33">
        <f t="shared" si="49"/>
        <v>100</v>
      </c>
      <c r="G174" s="1">
        <v>1999</v>
      </c>
      <c r="H174" s="958">
        <f>(O87/$R87*100*($E87/365))+(O88/$R88*100*($E88/365))</f>
        <v>10</v>
      </c>
      <c r="I174" s="958"/>
      <c r="J174" s="958">
        <f>(P87/$R87*100*($E87/365))+(P88/$R88*100*($E88/365))</f>
        <v>0</v>
      </c>
      <c r="K174" s="958"/>
      <c r="L174" s="958">
        <f>(Q87/$R87*100*($E87/365))+(Q88/$R88*100*($E88/365))</f>
        <v>90</v>
      </c>
      <c r="M174" s="958"/>
      <c r="N174" s="959">
        <f t="shared" si="48"/>
        <v>100</v>
      </c>
      <c r="O174" s="959"/>
      <c r="R174" s="1">
        <v>1999</v>
      </c>
      <c r="S174" s="8">
        <f>(O87*($E87/365))+(O88*($E88/365))</f>
        <v>4</v>
      </c>
      <c r="T174" s="8">
        <f>(P87*($E87/365))+(P88*($E88/365))</f>
        <v>0</v>
      </c>
      <c r="U174" s="8">
        <f>(Q87*($E87/365))+(Q88*($E88/365))</f>
        <v>36</v>
      </c>
      <c r="V174" s="12"/>
      <c r="W174" s="7">
        <f>R87*(E87/365) + R88*(E88/365)</f>
        <v>40</v>
      </c>
      <c r="X174" s="5"/>
      <c r="Z174" s="5"/>
    </row>
    <row r="175" spans="1:26" ht="9" customHeight="1">
      <c r="A175" s="1">
        <v>2000</v>
      </c>
      <c r="B175" s="8">
        <f>(K89*($E89/366))+(K90*($E90/366))</f>
        <v>20</v>
      </c>
      <c r="C175" s="8">
        <f>(L89*($E89/366))+(L90*($E90/366))</f>
        <v>0</v>
      </c>
      <c r="D175" s="8">
        <f>(M89*($E89/366))+(M90*($E90/366))</f>
        <v>80</v>
      </c>
      <c r="E175" s="33">
        <f t="shared" si="49"/>
        <v>100</v>
      </c>
      <c r="G175" s="1">
        <v>2000</v>
      </c>
      <c r="H175" s="958">
        <f>(O89/$R89*100*($E89/366))+(O90/$R90*100*($E90/366))</f>
        <v>10</v>
      </c>
      <c r="I175" s="958"/>
      <c r="J175" s="958">
        <f>(P89/$R89*100*($E89/366))+(P90/$R90*100*($E90/366))</f>
        <v>0</v>
      </c>
      <c r="K175" s="958"/>
      <c r="L175" s="958">
        <f>(Q89/$R89*100*($E89/366))+(Q90/$R90*100*($E90/366))</f>
        <v>90</v>
      </c>
      <c r="M175" s="958"/>
      <c r="N175" s="959">
        <f t="shared" si="48"/>
        <v>100</v>
      </c>
      <c r="O175" s="959"/>
      <c r="R175" s="1">
        <v>2000</v>
      </c>
      <c r="S175" s="8">
        <f>(O89*($E89/366))+(O90*($E90/366))</f>
        <v>4</v>
      </c>
      <c r="T175" s="8">
        <f>(P89*($E89/366))+(P90*($E90/366))</f>
        <v>0</v>
      </c>
      <c r="U175" s="8">
        <f>(Q89*($E89/366))+(Q90*($E90/366))</f>
        <v>36</v>
      </c>
      <c r="V175" s="12"/>
      <c r="W175" s="7">
        <f>R89*(E89/366) + R90*(E90/366)</f>
        <v>40</v>
      </c>
      <c r="X175" s="5"/>
      <c r="Z175" s="5"/>
    </row>
    <row r="176" spans="1:26" ht="9" customHeight="1">
      <c r="A176" s="1">
        <v>2001</v>
      </c>
      <c r="B176" s="8">
        <f>(K91*($E91/365))+(K92*($E92/365))</f>
        <v>27.671232876712324</v>
      </c>
      <c r="C176" s="8">
        <f>(L91*($E91/365))+(L92*($E92/365))</f>
        <v>0</v>
      </c>
      <c r="D176" s="8">
        <f>(M91*($E91/365))+(M92*($E92/365))</f>
        <v>72.328767123287662</v>
      </c>
      <c r="E176" s="33">
        <f t="shared" si="49"/>
        <v>99.999999999999986</v>
      </c>
      <c r="G176" s="1">
        <v>2001</v>
      </c>
      <c r="H176" s="958">
        <f>(O91/$R91*100*($E91/365))+(O92/$R92*100*($E92/365))</f>
        <v>18.630136986301366</v>
      </c>
      <c r="I176" s="958"/>
      <c r="J176" s="958">
        <f>(P91/$R91*100*($E91/365))+(P92/$R92*100*($E92/365))</f>
        <v>0</v>
      </c>
      <c r="K176" s="958"/>
      <c r="L176" s="958">
        <f>(Q91/$R91*100*($E91/365))+(Q92/$R92*100*($E92/365))</f>
        <v>81.36986301369862</v>
      </c>
      <c r="M176" s="958"/>
      <c r="N176" s="959">
        <f>SUM(H176:M176)</f>
        <v>99.999999999999986</v>
      </c>
      <c r="O176" s="959"/>
      <c r="R176" s="1">
        <v>2001</v>
      </c>
      <c r="S176" s="8">
        <f>(O91*($E91/365))+(O92*($E92/365))</f>
        <v>7.5575342465753419</v>
      </c>
      <c r="T176" s="8">
        <f>(P91*($E91/365))+(P92*($E92/365))</f>
        <v>0</v>
      </c>
      <c r="U176" s="8">
        <f>(Q91*($E91/365))+(Q92*($E92/365))</f>
        <v>32.547945205479451</v>
      </c>
      <c r="V176" s="12"/>
      <c r="W176" s="7">
        <f>R91*(E91/365) + R92*(E92/365)</f>
        <v>40.105479452054787</v>
      </c>
      <c r="X176" s="5"/>
      <c r="Z176" s="5"/>
    </row>
    <row r="177" spans="1:26" ht="9" customHeight="1">
      <c r="A177" s="1">
        <v>2002</v>
      </c>
      <c r="B177" s="8">
        <f>(K93*($E93/365))+(K94*($E94/365))</f>
        <v>100</v>
      </c>
      <c r="C177" s="8">
        <f>(L93*($E93/365))+(L94*($E94/365))</f>
        <v>0</v>
      </c>
      <c r="D177" s="8">
        <f>(M93*($E93/365))+(M94*($E94/365))</f>
        <v>0</v>
      </c>
      <c r="E177" s="33">
        <f t="shared" si="49"/>
        <v>100</v>
      </c>
      <c r="G177" s="1">
        <v>2002</v>
      </c>
      <c r="H177" s="958">
        <f>(O93/$R93*100*($E93/365))+(O94/$R94*100*($E94/365))</f>
        <v>100</v>
      </c>
      <c r="I177" s="958"/>
      <c r="J177" s="958">
        <f>(P93/$R93*100*($E93/365))+(P94/$R94*100*($E94/365))</f>
        <v>0</v>
      </c>
      <c r="K177" s="958"/>
      <c r="L177" s="958">
        <f>(Q93/$R93*100*($E93/365))+(Q94/$R94*100*($E94/365))</f>
        <v>0</v>
      </c>
      <c r="M177" s="958"/>
      <c r="N177" s="959">
        <f t="shared" ref="N177:N187" si="50">SUM(H177:M177)</f>
        <v>100</v>
      </c>
      <c r="O177" s="959"/>
      <c r="R177" s="1">
        <v>2002</v>
      </c>
      <c r="S177" s="8">
        <f>(O93*($E93/365))+(O94*($E94/365))</f>
        <v>41.1</v>
      </c>
      <c r="T177" s="8">
        <f>(P93*($E93/365))+(P94*($E94/365))</f>
        <v>0</v>
      </c>
      <c r="U177" s="8">
        <f>(Q93*($E93/365))+(Q94*($E94/365))</f>
        <v>0</v>
      </c>
      <c r="V177" s="12"/>
      <c r="W177" s="7">
        <f>R93*(E93/365) + R94*(E94/365)</f>
        <v>41.1</v>
      </c>
      <c r="X177" s="5"/>
      <c r="Z177" s="5"/>
    </row>
    <row r="178" spans="1:26" ht="9" customHeight="1">
      <c r="A178" s="1">
        <v>2003</v>
      </c>
      <c r="B178" s="8">
        <f>(K95*($E95/365))+(K96*($E96/365))</f>
        <v>100</v>
      </c>
      <c r="C178" s="8">
        <f>(L95*($E95/365))+(L96*($E96/365))</f>
        <v>0</v>
      </c>
      <c r="D178" s="8">
        <f>(M95*($E95/365))+(M96*($E96/365))</f>
        <v>0</v>
      </c>
      <c r="E178" s="33">
        <f t="shared" si="49"/>
        <v>100</v>
      </c>
      <c r="G178" s="1">
        <v>2003</v>
      </c>
      <c r="H178" s="958">
        <f>(O95/$R95*100*($E95/365))+(O96/$R96*100*($E96/365))</f>
        <v>100</v>
      </c>
      <c r="I178" s="958"/>
      <c r="J178" s="958">
        <f>(P95/$R95*100*($E95/365))+(P96/$R96*100*($E96/365))</f>
        <v>0</v>
      </c>
      <c r="K178" s="958"/>
      <c r="L178" s="958">
        <f>(Q95/$R95*100*($E95/365))+(Q96/$R96*100*($E96/365))</f>
        <v>0</v>
      </c>
      <c r="M178" s="958"/>
      <c r="N178" s="959">
        <f t="shared" si="50"/>
        <v>100</v>
      </c>
      <c r="O178" s="959"/>
      <c r="R178" s="1">
        <v>2003</v>
      </c>
      <c r="S178" s="8">
        <f>(O95*($E95/365))+(O96*($E96/365))</f>
        <v>41.1</v>
      </c>
      <c r="T178" s="8">
        <f>(P95*($E95/365))+(P96*($E96/365))</f>
        <v>0</v>
      </c>
      <c r="U178" s="8">
        <f>(Q95*($E95/365))+(Q96*($E96/365))</f>
        <v>0</v>
      </c>
      <c r="V178" s="12"/>
      <c r="W178" s="7">
        <f>R95*(E95/365) + R96*(E96/365)</f>
        <v>41.1</v>
      </c>
      <c r="X178" s="5"/>
      <c r="Z178" s="5"/>
    </row>
    <row r="179" spans="1:26" ht="9" customHeight="1">
      <c r="A179" s="1">
        <v>2004</v>
      </c>
      <c r="B179" s="8">
        <f>(K97*($E97/366))+(K98*($E98/366))</f>
        <v>100</v>
      </c>
      <c r="C179" s="8">
        <f>(L97*($E97/366))+(L98*($E98/366))</f>
        <v>0</v>
      </c>
      <c r="D179" s="8">
        <f>(M97*($E97/366))+(M98*($E98/366))</f>
        <v>0</v>
      </c>
      <c r="E179" s="33">
        <f t="shared" si="49"/>
        <v>100</v>
      </c>
      <c r="G179" s="1">
        <v>2004</v>
      </c>
      <c r="H179" s="958">
        <f>(O97/$R97*100*($E97/366))+(O98/$R98*100*($E98/366))</f>
        <v>100</v>
      </c>
      <c r="I179" s="958"/>
      <c r="J179" s="958">
        <f>(P97/$R97*100*($E97/366))+(P98/$R98*100*($E98/366))</f>
        <v>0</v>
      </c>
      <c r="K179" s="958"/>
      <c r="L179" s="958">
        <f>(Q97/$R97*100*($E97/366))+(Q98/$R98*100*($E98/366))</f>
        <v>0</v>
      </c>
      <c r="M179" s="958"/>
      <c r="N179" s="959">
        <f t="shared" si="50"/>
        <v>100</v>
      </c>
      <c r="O179" s="959"/>
      <c r="R179" s="1">
        <v>2004</v>
      </c>
      <c r="S179" s="8">
        <f>(O97*($E97/366))+(O98*($E98/366))</f>
        <v>41.1</v>
      </c>
      <c r="T179" s="8">
        <f>(P97*($E97/366))+(P98*($E98/366))</f>
        <v>0</v>
      </c>
      <c r="U179" s="8">
        <f>(Q97*($E97/366))+(Q98*($E98/366))</f>
        <v>0</v>
      </c>
      <c r="V179" s="12"/>
      <c r="W179" s="7">
        <f>R97*(E97/366) + R98*(E98/366)</f>
        <v>41.1</v>
      </c>
      <c r="X179" s="5"/>
      <c r="Z179" s="5"/>
    </row>
    <row r="180" spans="1:26" ht="9" customHeight="1">
      <c r="A180" s="1">
        <v>2005</v>
      </c>
      <c r="B180" s="8">
        <f>(K99*($E99/365))+(K100*($E100/365))</f>
        <v>100</v>
      </c>
      <c r="C180" s="8">
        <f>(L99*($E99/365))+(L100*($E100/365))</f>
        <v>0</v>
      </c>
      <c r="D180" s="8">
        <f>(M99*($E99/365))+(M100*($E100/365))</f>
        <v>0</v>
      </c>
      <c r="E180" s="33">
        <f t="shared" si="49"/>
        <v>100</v>
      </c>
      <c r="G180" s="1">
        <v>2005</v>
      </c>
      <c r="H180" s="958">
        <f>(O99/$R99*100*($E99/365))+(O100/$R100*100*($E100/365))</f>
        <v>100</v>
      </c>
      <c r="I180" s="958"/>
      <c r="J180" s="958">
        <f>(P99/$R99*100*($E99/365))+(P100/$R100*100*($E100/365))</f>
        <v>0</v>
      </c>
      <c r="K180" s="958"/>
      <c r="L180" s="958">
        <f>(Q99/$R99*100*($E99/365))+(Q100/$R100*100*($E100/365))</f>
        <v>0</v>
      </c>
      <c r="M180" s="958"/>
      <c r="N180" s="959">
        <f t="shared" si="50"/>
        <v>100</v>
      </c>
      <c r="O180" s="959"/>
      <c r="R180" s="1">
        <v>2005</v>
      </c>
      <c r="S180" s="8">
        <f>(O99*($E99/365))+(O100*($E100/365))</f>
        <v>40.144657534246576</v>
      </c>
      <c r="T180" s="8">
        <f>(P99*($E99/365))+(P100*($E100/365))</f>
        <v>0</v>
      </c>
      <c r="U180" s="8">
        <f>(Q99*($E99/365))+(Q100*($E100/365))</f>
        <v>0</v>
      </c>
      <c r="V180" s="12"/>
      <c r="W180" s="7">
        <f>R99*(E99/365) + R100*(E100/365)</f>
        <v>40.144657534246576</v>
      </c>
      <c r="X180" s="5"/>
      <c r="Z180" s="5"/>
    </row>
    <row r="181" spans="1:26" ht="9" customHeight="1">
      <c r="A181" s="1">
        <v>2006</v>
      </c>
      <c r="B181" s="8">
        <f>(K101*($E101/365))+(K102*($E102/365))</f>
        <v>100</v>
      </c>
      <c r="C181" s="8">
        <f>(L101*($E101/365))+(L102*($E102/365))</f>
        <v>0</v>
      </c>
      <c r="D181" s="8">
        <f>(M101*($E101/365))+(M102*($E102/365))</f>
        <v>0</v>
      </c>
      <c r="E181" s="33">
        <f t="shared" si="49"/>
        <v>100</v>
      </c>
      <c r="G181" s="1">
        <v>2006</v>
      </c>
      <c r="H181" s="958">
        <f>(O101/$R101*100*($E101/365))+(O102/$R102*100*($E102/365))</f>
        <v>100</v>
      </c>
      <c r="I181" s="958"/>
      <c r="J181" s="958">
        <f>(P101/$R101*100*($E101/365))+(P102/$R102*100*($E102/365))</f>
        <v>0</v>
      </c>
      <c r="K181" s="958"/>
      <c r="L181" s="958">
        <f>(Q101/$R101*100*($E101/365))+(Q102/$R102*100*($E102/365))</f>
        <v>0</v>
      </c>
      <c r="M181" s="958"/>
      <c r="N181" s="959">
        <f t="shared" si="50"/>
        <v>100</v>
      </c>
      <c r="O181" s="959"/>
      <c r="R181" s="1">
        <v>2006</v>
      </c>
      <c r="S181" s="8">
        <f>(O101*($E101/365))+(O102*($E102/365))</f>
        <v>40</v>
      </c>
      <c r="T181" s="8">
        <f>(P101*($E101/365))+(P102*($E102/365))</f>
        <v>0</v>
      </c>
      <c r="U181" s="8">
        <f>(Q101*($E101/365))+(Q102*($E102/365))</f>
        <v>0</v>
      </c>
      <c r="V181" s="12"/>
      <c r="W181" s="7">
        <f>R101*(E101/365) + R102*(E102/365)</f>
        <v>40</v>
      </c>
      <c r="X181" s="5"/>
      <c r="Z181" s="5"/>
    </row>
    <row r="182" spans="1:26" ht="9" customHeight="1">
      <c r="A182" s="1">
        <v>2007</v>
      </c>
      <c r="B182" s="8">
        <f>(K103*($E103/365))+(K104*($E104/365))</f>
        <v>100</v>
      </c>
      <c r="C182" s="8">
        <f>(L103*($E103/365))+(L104*($E104/365))</f>
        <v>0</v>
      </c>
      <c r="D182" s="8">
        <f>(M103*($E103/365))+(M104*($E104/365))</f>
        <v>0</v>
      </c>
      <c r="E182" s="33">
        <f t="shared" si="49"/>
        <v>100</v>
      </c>
      <c r="G182" s="1">
        <v>2007</v>
      </c>
      <c r="H182" s="958">
        <f>(O103/$R103*100*($E103/365))+(O104/$R104*100*($E104/365))</f>
        <v>100</v>
      </c>
      <c r="I182" s="958"/>
      <c r="J182" s="958">
        <f>(P103/$R103*100*($E103/365))+(P104/$R104*100*($E104/365))</f>
        <v>0</v>
      </c>
      <c r="K182" s="958"/>
      <c r="L182" s="958">
        <f>(Q103/$R103*100*($E103/365))+(Q104/$R104*100*($E104/365))</f>
        <v>0</v>
      </c>
      <c r="M182" s="958"/>
      <c r="N182" s="959">
        <f t="shared" si="50"/>
        <v>100</v>
      </c>
      <c r="O182" s="959"/>
      <c r="R182" s="1">
        <v>2007</v>
      </c>
      <c r="S182" s="8">
        <f>(O103*($E103/365))+(O104*($E104/365))</f>
        <v>39.636712328767125</v>
      </c>
      <c r="T182" s="8">
        <f>(P103*($E103/365))+(P104*($E104/365))</f>
        <v>0</v>
      </c>
      <c r="U182" s="8">
        <f>(Q103*($E103/365))+(Q104*($E104/365))</f>
        <v>0</v>
      </c>
      <c r="V182" s="12"/>
      <c r="W182" s="7">
        <f>R103*(E103/365) + R104*(E104/365)</f>
        <v>39.636712328767125</v>
      </c>
      <c r="X182" s="5"/>
      <c r="Z182" s="5"/>
    </row>
    <row r="183" spans="1:26" ht="9" customHeight="1">
      <c r="A183" s="1">
        <v>2008</v>
      </c>
      <c r="B183" s="7">
        <f>(K105*($E105/366))+(K106*($E106/366))</f>
        <v>100</v>
      </c>
      <c r="C183" s="7">
        <f>(L105*($E105/366))+(L106*($E106/366))</f>
        <v>0</v>
      </c>
      <c r="D183" s="7">
        <f>(M105*($E105/366))+(M106*($E106/366))</f>
        <v>0</v>
      </c>
      <c r="E183" s="33">
        <f t="shared" si="49"/>
        <v>100</v>
      </c>
      <c r="G183" s="1">
        <v>2008</v>
      </c>
      <c r="H183" s="958">
        <f>(O105/$R105*100*($E105/366))+(O106/$R106*100*($E106/366))</f>
        <v>100</v>
      </c>
      <c r="I183" s="958"/>
      <c r="J183" s="958">
        <f>(P105/$R105*100*($E105/366))+(P106/$R106*100*($E106/366))</f>
        <v>0</v>
      </c>
      <c r="K183" s="958"/>
      <c r="L183" s="958">
        <f>(Q105/$R105*100*($E105/366))+(Q106/$R106*100*($E106/366))</f>
        <v>0</v>
      </c>
      <c r="M183" s="958"/>
      <c r="N183" s="959">
        <f t="shared" si="50"/>
        <v>100</v>
      </c>
      <c r="O183" s="959"/>
      <c r="R183" s="1">
        <v>2008</v>
      </c>
      <c r="S183" s="7">
        <f>(O105*($E105/366))+(O106*($E106/366))</f>
        <v>36.6</v>
      </c>
      <c r="T183" s="7">
        <f>(P105*($E105/366))+(P106*($E106/366))</f>
        <v>0</v>
      </c>
      <c r="U183" s="7">
        <f>(Q105*($E105/366))+(Q106*($E106/366))</f>
        <v>0</v>
      </c>
      <c r="V183" s="12"/>
      <c r="W183" s="7">
        <f>R105*(E105/366) + R106*(E106/366)</f>
        <v>36.6</v>
      </c>
      <c r="X183" s="5"/>
      <c r="Z183" s="5"/>
    </row>
    <row r="184" spans="1:26" ht="9" customHeight="1">
      <c r="A184" s="1">
        <v>2009</v>
      </c>
      <c r="B184" s="7">
        <f>(K107*($E107/365))+(K108*($E108/365))</f>
        <v>100</v>
      </c>
      <c r="C184" s="7">
        <f>(L107*($E107/365))+(L108*($E108/365))</f>
        <v>0</v>
      </c>
      <c r="D184" s="7">
        <f>(M107*($E107/365))+(M108*($E108/365))</f>
        <v>0</v>
      </c>
      <c r="E184" s="33">
        <f t="shared" si="49"/>
        <v>100</v>
      </c>
      <c r="G184" s="1">
        <v>2009</v>
      </c>
      <c r="H184" s="958">
        <f>(O107/$R107*100*($E107/365))+(O108/$R108*100*($E108/365))</f>
        <v>100</v>
      </c>
      <c r="I184" s="958"/>
      <c r="J184" s="958">
        <f>(P107/$R107*100*($E107/365))+(P108/$R108*100*($E108/365))</f>
        <v>0</v>
      </c>
      <c r="K184" s="958"/>
      <c r="L184" s="958">
        <f>(Q107/$R107*100*($E107/365))+(Q108/$R108*100*($E108/365))</f>
        <v>0</v>
      </c>
      <c r="M184" s="958"/>
      <c r="N184" s="959">
        <f t="shared" si="50"/>
        <v>100</v>
      </c>
      <c r="O184" s="959"/>
      <c r="R184" s="1">
        <v>2009</v>
      </c>
      <c r="S184" s="7">
        <f>(O107*($E107/365))+(O108*($E108/365))</f>
        <v>36.6</v>
      </c>
      <c r="T184" s="7">
        <f>(P107*($E107/365))+(P108*($E108/365))</f>
        <v>0</v>
      </c>
      <c r="U184" s="7">
        <f>(Q107*($E107/365))+(Q108*($E108/365))</f>
        <v>0</v>
      </c>
      <c r="V184" s="12"/>
      <c r="W184" s="7">
        <f>R107*(E107/365) + R108*(E108/365)</f>
        <v>36.6</v>
      </c>
      <c r="X184" s="5"/>
      <c r="Z184" s="5"/>
    </row>
    <row r="185" spans="1:26" ht="9" customHeight="1">
      <c r="A185" s="1">
        <v>2010</v>
      </c>
      <c r="B185" s="7">
        <f>(K109*($E109/365))+(K110*($E110/365))</f>
        <v>100</v>
      </c>
      <c r="C185" s="7">
        <f>(L109*($E109/365))+(L110*($E110/365))</f>
        <v>0</v>
      </c>
      <c r="D185" s="7">
        <f>(M109*($E109/365))+(M110*($E110/365))</f>
        <v>0</v>
      </c>
      <c r="E185" s="33">
        <f t="shared" si="49"/>
        <v>100</v>
      </c>
      <c r="G185" s="1">
        <v>2010</v>
      </c>
      <c r="H185" s="958">
        <f>(O109/$R109*100*($E109/365))+(O110/$R110*100*($E110/365))</f>
        <v>100</v>
      </c>
      <c r="I185" s="958"/>
      <c r="J185" s="958">
        <f>(P109/$R109*100*($E109/365))+(P110/$R110*100*($E110/365))</f>
        <v>0</v>
      </c>
      <c r="K185" s="958"/>
      <c r="L185" s="958">
        <f>(Q109/$R109*100*($E109/365))+(Q110/$R110*100*($E110/365))</f>
        <v>0</v>
      </c>
      <c r="M185" s="958"/>
      <c r="N185" s="959">
        <f t="shared" si="50"/>
        <v>100</v>
      </c>
      <c r="O185" s="959"/>
      <c r="R185" s="1">
        <v>2010</v>
      </c>
      <c r="S185" s="7">
        <f>(O109*($E109/365))+(O110*($E110/365))</f>
        <v>36.6</v>
      </c>
      <c r="T185" s="7">
        <f>(P109*($E109/365))+(P110*($E110/365))</f>
        <v>0</v>
      </c>
      <c r="U185" s="7">
        <f>(Q109*($E109/365))+(Q110*($E110/365))</f>
        <v>0</v>
      </c>
      <c r="V185" s="12"/>
      <c r="W185" s="7">
        <f>R109*(E109/365) + R110*(E110/365)</f>
        <v>36.6</v>
      </c>
      <c r="X185" s="5"/>
      <c r="Z185" s="5"/>
    </row>
    <row r="186" spans="1:26" ht="9" customHeight="1">
      <c r="A186" s="1">
        <v>2011</v>
      </c>
      <c r="B186" s="7">
        <f>(K111*($E111/365))+(K112*($E112/365))</f>
        <v>81.774865991661713</v>
      </c>
      <c r="C186" s="7">
        <f>(L111*($E111/365))+(L112*($E112/365))</f>
        <v>0</v>
      </c>
      <c r="D186" s="7">
        <f>(M111*($E111/365))+(M112*($E112/365))</f>
        <v>18.225134008338294</v>
      </c>
      <c r="E186" s="33">
        <f t="shared" si="49"/>
        <v>100</v>
      </c>
      <c r="G186" s="1">
        <v>2011</v>
      </c>
      <c r="H186" s="958">
        <f>(O111/$R111*100*($E111/365))+(O112/$R112*100*($E112/365))</f>
        <v>80.790713639342215</v>
      </c>
      <c r="I186" s="958"/>
      <c r="J186" s="958">
        <f>(P111/$R111*100*($E111/365))+(P112/$R112*100*($E112/365))</f>
        <v>0</v>
      </c>
      <c r="K186" s="958"/>
      <c r="L186" s="958">
        <f>(Q111/$R111*100*($E111/365))+(Q112/$R112*100*($E112/365))</f>
        <v>19.209286360657785</v>
      </c>
      <c r="M186" s="958"/>
      <c r="N186" s="959">
        <f t="shared" si="50"/>
        <v>100</v>
      </c>
      <c r="O186" s="959"/>
      <c r="R186" s="1">
        <v>2011</v>
      </c>
      <c r="S186" s="7">
        <f>(O111*($E111/365))+(O112*($E112/365))</f>
        <v>29.967123287671235</v>
      </c>
      <c r="T186" s="7">
        <f>(P111*($E111/365))+(P112*($E112/365))</f>
        <v>0</v>
      </c>
      <c r="U186" s="7">
        <f>(Q111*($E111/365))+(Q112*($E112/365))</f>
        <v>8.4328767123287669</v>
      </c>
      <c r="V186" s="12"/>
      <c r="W186" s="7">
        <f>R111*(E111/365) + R112*(E112/365)</f>
        <v>38.400000000000006</v>
      </c>
      <c r="X186" s="5"/>
      <c r="Z186" s="5"/>
    </row>
    <row r="187" spans="1:26" ht="9" customHeight="1">
      <c r="A187" s="1">
        <v>2012</v>
      </c>
      <c r="B187" s="7">
        <f>(K113*($E113/366))+(K114*($E114/366))</f>
        <v>26.086956521739129</v>
      </c>
      <c r="C187" s="7">
        <f>(L113*($E113/366))+(L114*($E114/366))</f>
        <v>0</v>
      </c>
      <c r="D187" s="7">
        <f>(M113*($E113/366))+(M114*($E114/366))</f>
        <v>73.91304347826086</v>
      </c>
      <c r="E187" s="33">
        <f t="shared" si="49"/>
        <v>99.999999999999986</v>
      </c>
      <c r="G187" s="1">
        <v>2012</v>
      </c>
      <c r="H187" s="958">
        <f>(O113/$R113*100*($E113/366))+(O114/$R114*100*($E114/366))</f>
        <v>22.095671981776761</v>
      </c>
      <c r="I187" s="958"/>
      <c r="J187" s="958">
        <f>(P113/$R113*100*($E113/366))+(P114/$R114*100*($E114/366))</f>
        <v>0</v>
      </c>
      <c r="K187" s="958"/>
      <c r="L187" s="958">
        <f>(Q113/$R113*100*($E113/366))+(Q114/$R114*100*($E114/366))</f>
        <v>77.904328018223239</v>
      </c>
      <c r="M187" s="958"/>
      <c r="N187" s="959">
        <f t="shared" si="50"/>
        <v>100</v>
      </c>
      <c r="O187" s="959"/>
      <c r="R187" s="1">
        <v>2012</v>
      </c>
      <c r="S187" s="7">
        <f>(O113*($E113/366))+(O114*($E114/366))</f>
        <v>9.6999999999999993</v>
      </c>
      <c r="T187" s="7">
        <f>(P113*($E113/366))+(P114*($E114/366))</f>
        <v>0</v>
      </c>
      <c r="U187" s="7">
        <f>(Q113*($E113/366))+(Q114*($E114/366))</f>
        <v>34.200000000000003</v>
      </c>
      <c r="V187" s="12"/>
      <c r="W187" s="7">
        <f>R113*(E113/366) + R114*(E114/366)</f>
        <v>43.900000000000006</v>
      </c>
      <c r="X187" s="5"/>
      <c r="Z187" s="5"/>
    </row>
    <row r="188" spans="1:26">
      <c r="A188" s="1">
        <v>2013</v>
      </c>
      <c r="B188" s="7">
        <f>(K115*($E115/365))+(K116*($E116/365))</f>
        <v>26.558016135145376</v>
      </c>
      <c r="C188" s="7">
        <f>(L115*($E115/365))+(L116*($E116/365))</f>
        <v>0</v>
      </c>
      <c r="D188" s="7">
        <f>(M115*($E115/365))+(M116*($E116/365))</f>
        <v>73.44198386485462</v>
      </c>
      <c r="E188" s="296">
        <f>SUM(B188:D188)</f>
        <v>100</v>
      </c>
      <c r="G188" s="1">
        <v>2013</v>
      </c>
      <c r="H188" s="958">
        <f>(O115/$R115*100*($E115/365))+(O116/$R116*100*($E116/365))</f>
        <v>22.095671981776761</v>
      </c>
      <c r="I188" s="958"/>
      <c r="J188" s="958">
        <f>(P115/$R115*100*($E115/365))+(P116/$R116*100*($E116/365))</f>
        <v>0</v>
      </c>
      <c r="K188" s="958"/>
      <c r="L188" s="958">
        <f>(Q115/$R115*100*($E115/365))+(Q116/$R116*100*($E116/365))</f>
        <v>77.904328018223239</v>
      </c>
      <c r="M188" s="958"/>
      <c r="N188" s="959">
        <f>SUM(H188:M188)</f>
        <v>100</v>
      </c>
      <c r="O188" s="959"/>
      <c r="R188" s="1">
        <v>2013</v>
      </c>
      <c r="S188" s="7">
        <f>(O115*($E115/365))+(O116*($E116/365))</f>
        <v>9.6999999999999993</v>
      </c>
      <c r="T188" s="7">
        <f>(P115*($E115/365))+(P116*($E116/365))</f>
        <v>0</v>
      </c>
      <c r="U188" s="7">
        <f>(Q115*($E115/365))+(Q116*($E116/365))</f>
        <v>34.200000000000003</v>
      </c>
      <c r="W188" s="7">
        <f>R115*(E115/365) + R116*(E116/365)</f>
        <v>43.900000000000006</v>
      </c>
    </row>
    <row r="189" spans="1:26">
      <c r="A189" s="1">
        <v>2014</v>
      </c>
      <c r="B189" s="7">
        <f>(K117*($E117/365))+(K118*($E118/365))+(K119*($E119/365))</f>
        <v>32.643835616438352</v>
      </c>
      <c r="C189" s="7">
        <f>(L117*($E117/365))+(L118*($E118/365))+(L119*($E119/365))</f>
        <v>0</v>
      </c>
      <c r="D189" s="7">
        <f>(M117*($E117/365))+(M118*($E118/365))+(M119*($E119/365))</f>
        <v>67.356164383561634</v>
      </c>
      <c r="E189" s="530">
        <f>SUM(B189:D189)</f>
        <v>99.999999999999986</v>
      </c>
      <c r="G189" s="1">
        <v>2014</v>
      </c>
      <c r="H189" s="958">
        <f>(O117/$R117*100*($E117/365))+(O118/$R118*100*($E118/365))+(O119/$R119*100*($E119/365))</f>
        <v>24.990080541426998</v>
      </c>
      <c r="I189" s="958"/>
      <c r="J189" s="958">
        <f>(P117/$R117*100*($E117/365))+(P118/$R118*100*($E118/365))+(P119/$R119*100*($E119/365))</f>
        <v>0</v>
      </c>
      <c r="K189" s="958"/>
      <c r="L189" s="958">
        <f>(Q117/$R117*100*($E117/365))+(Q118/$R118*100*($E118/365))+(Q119/$R119*100*($E119/365))</f>
        <v>75.009919458573009</v>
      </c>
      <c r="M189" s="958"/>
      <c r="N189" s="959">
        <f>SUM(H189:M189)</f>
        <v>100</v>
      </c>
      <c r="O189" s="959"/>
      <c r="R189" s="1">
        <v>2014</v>
      </c>
      <c r="S189" s="7">
        <f>(O117*($E117/365))+(O118*($E118/365))+(O119*($E119/365))</f>
        <v>9.1542465753424658</v>
      </c>
      <c r="T189" s="7">
        <f>(P117*($E117/365))+(P118*($E118/365))+(P119*($E119/365))</f>
        <v>0</v>
      </c>
      <c r="U189" s="7">
        <f>(Q117*($E117/365))+(Q118*($E118/365))+(Q119*($E119/365))</f>
        <v>27.56</v>
      </c>
      <c r="W189" s="7">
        <f>R117*(E117/365) + R118*(E118/365) + R119*(E119/365)</f>
        <v>36.714246575342464</v>
      </c>
    </row>
    <row r="190" spans="1:26" s="706" customFormat="1">
      <c r="A190" s="706">
        <v>2015</v>
      </c>
      <c r="B190" s="704">
        <f>(K120*($E120/365))+(K121*($E121/365))</f>
        <v>65.863013698630141</v>
      </c>
      <c r="C190" s="704">
        <f>(L120*($E120/365))+(L121*($E121/365))</f>
        <v>0</v>
      </c>
      <c r="D190" s="704">
        <f>(M120*($E120/365))+(M121*($E121/365))</f>
        <v>34.136986301369859</v>
      </c>
      <c r="E190" s="701">
        <f>SUM(B190:D190)</f>
        <v>100</v>
      </c>
      <c r="G190" s="706">
        <v>2015</v>
      </c>
      <c r="H190" s="958">
        <f>(O120/$R120*100*($E120/365))+(O121/$R121*100*($E121/365))</f>
        <v>63.560121765601217</v>
      </c>
      <c r="I190" s="958"/>
      <c r="J190" s="958">
        <f>(P120/$R120*100*($E120/365))+(P121/$R121*100*($E121/365))</f>
        <v>0</v>
      </c>
      <c r="K190" s="958"/>
      <c r="L190" s="958">
        <f>(Q120/$R120*100*($E120/365))+(Q121/$R121*100*($E121/365))</f>
        <v>36.439878234398783</v>
      </c>
      <c r="M190" s="958"/>
      <c r="N190" s="959">
        <f>SUM(H190:M190)</f>
        <v>100</v>
      </c>
      <c r="O190" s="959"/>
      <c r="R190" s="706">
        <v>2015</v>
      </c>
      <c r="S190" s="704">
        <f>(O120*($E120/365))+(O121*($E121/365))</f>
        <v>14.376986301369863</v>
      </c>
      <c r="T190" s="704">
        <f>(P120*($E120/365))+(P121*($E121/365))</f>
        <v>0</v>
      </c>
      <c r="U190" s="704">
        <f>(Q120*($E120/365))+(Q121*($E121/365))</f>
        <v>13.118356164383561</v>
      </c>
      <c r="W190" s="704">
        <f xml:space="preserve"> R120*(E120/365) + R121*(E121/365)</f>
        <v>27.495342465753424</v>
      </c>
    </row>
    <row r="191" spans="1:26" s="706" customFormat="1">
      <c r="A191" s="874">
        <v>2016</v>
      </c>
      <c r="B191" s="873">
        <f>(K122*($E122/366))+(K123*($E123/366))</f>
        <v>100</v>
      </c>
      <c r="C191" s="873">
        <f t="shared" ref="C191:D191" si="51">(L122*($E122/366))+(L123*($E123/366))</f>
        <v>0</v>
      </c>
      <c r="D191" s="873">
        <f t="shared" si="51"/>
        <v>0</v>
      </c>
      <c r="E191" s="870">
        <f>SUM(B191:D191)</f>
        <v>100</v>
      </c>
      <c r="F191" s="874"/>
      <c r="G191" s="874">
        <v>2016</v>
      </c>
      <c r="H191" s="958">
        <f>(O122/$R122*100*($E122/366))+(O123/$R123*100*($E123/366))</f>
        <v>100</v>
      </c>
      <c r="I191" s="958"/>
      <c r="J191" s="958">
        <f>(P122/$R122*100*($E122/366))+(P123/$R123*100*($E123/366))</f>
        <v>0</v>
      </c>
      <c r="K191" s="958"/>
      <c r="L191" s="958">
        <f>(Q122/$R122*100*($E122/366))+(Q123/$R123*100*($E123/366))</f>
        <v>0</v>
      </c>
      <c r="M191" s="958"/>
      <c r="N191" s="959">
        <f>SUM(H191:M191)</f>
        <v>100</v>
      </c>
      <c r="O191" s="959"/>
      <c r="P191" s="874"/>
      <c r="Q191" s="874"/>
      <c r="R191" s="874">
        <v>2016</v>
      </c>
      <c r="S191" s="873">
        <f>(O122*($E122/366))+(O123*($E123/366))</f>
        <v>20.412568306010929</v>
      </c>
      <c r="T191" s="873">
        <f t="shared" ref="T191:U191" si="52">(P122*($E122/366))+(P123*($E123/366))</f>
        <v>0</v>
      </c>
      <c r="U191" s="873">
        <f t="shared" si="52"/>
        <v>0</v>
      </c>
      <c r="V191" s="874"/>
      <c r="W191" s="873">
        <f xml:space="preserve"> R122*(E122/366) + R123*(E123/366)</f>
        <v>20.412568306010929</v>
      </c>
    </row>
    <row r="192" spans="1:26">
      <c r="A192" s="1">
        <v>2017</v>
      </c>
      <c r="B192" s="917">
        <f>(K124*($E124/365))+(K125*($E125/365))</f>
        <v>100</v>
      </c>
      <c r="C192" s="917">
        <f t="shared" ref="C192:D192" si="53">(L124*($E124/365))+(L125*($E125/365))</f>
        <v>0</v>
      </c>
      <c r="D192" s="917">
        <f t="shared" si="53"/>
        <v>0</v>
      </c>
      <c r="E192" s="916">
        <f>SUM(B192:D192)</f>
        <v>100</v>
      </c>
      <c r="F192" s="920"/>
      <c r="G192" s="920">
        <v>2017</v>
      </c>
      <c r="H192" s="958">
        <f>(O124/$R124*100*($E124/365))+(O125/$R125*100*($E125/365))</f>
        <v>100</v>
      </c>
      <c r="I192" s="958"/>
      <c r="J192" s="958">
        <f>(P124/$R124*100*($E124/365))+(P125/$R125*100*($E125/365))</f>
        <v>0</v>
      </c>
      <c r="K192" s="958"/>
      <c r="L192" s="958">
        <f>(Q124/$R124*100*($E124/365))+(Q125/$R125*100*($E125/365))</f>
        <v>0</v>
      </c>
      <c r="M192" s="958"/>
      <c r="N192" s="959">
        <f>SUM(H192:M192)</f>
        <v>100</v>
      </c>
      <c r="O192" s="959"/>
      <c r="P192" s="920"/>
      <c r="Q192" s="920"/>
      <c r="R192" s="920">
        <v>2017</v>
      </c>
      <c r="S192" s="917">
        <f>(O124*($E124/365))+(O125*($E125/365))</f>
        <v>30.3</v>
      </c>
      <c r="T192" s="917">
        <f t="shared" ref="T192:U192" si="54">(P124*($E124/365))+(P125*($E125/365))</f>
        <v>0</v>
      </c>
      <c r="U192" s="917">
        <f t="shared" si="54"/>
        <v>0</v>
      </c>
      <c r="V192" s="920"/>
      <c r="W192" s="917">
        <f xml:space="preserve"> R124*(E124/365) + R125*(E125/365)</f>
        <v>30.3</v>
      </c>
    </row>
    <row r="193" spans="1:23">
      <c r="A193" s="939">
        <v>2018</v>
      </c>
      <c r="B193" s="935">
        <f>(K126*($E126/365))+(K127*($E127/365))</f>
        <v>100</v>
      </c>
      <c r="C193" s="935">
        <f>(L126*($E126/365))+(L127*($E127/365))</f>
        <v>0</v>
      </c>
      <c r="D193" s="935">
        <f>(M126*($E126/365))+(M127*($E127/365))</f>
        <v>0</v>
      </c>
      <c r="E193" s="931">
        <f t="shared" ref="E193" si="55">SUM(B193:D193)</f>
        <v>100</v>
      </c>
      <c r="F193" s="939"/>
      <c r="G193" s="939">
        <v>2018</v>
      </c>
      <c r="H193" s="958">
        <f>(O126/$R126*100*($E126/365))+(O127/$R127*100*($E127/365))</f>
        <v>100</v>
      </c>
      <c r="I193" s="958"/>
      <c r="J193" s="958">
        <f>(P126/$R126*100*($E126/365))+(P127/$R127*100*($E127/365))</f>
        <v>0</v>
      </c>
      <c r="K193" s="958"/>
      <c r="L193" s="958">
        <f>(Q126/$R126*100*($E126/365))+(Q127/$R127*100*($E127/365))</f>
        <v>0</v>
      </c>
      <c r="M193" s="958"/>
      <c r="N193" s="959">
        <f t="shared" ref="N193" si="56">SUM(H193:M193)</f>
        <v>100</v>
      </c>
      <c r="O193" s="959"/>
      <c r="P193" s="939"/>
      <c r="Q193" s="939"/>
      <c r="R193" s="939">
        <v>2018</v>
      </c>
      <c r="S193" s="935">
        <f>(O126*($E126/365))+(O127*($E127/365))</f>
        <v>30.3</v>
      </c>
      <c r="T193" s="935">
        <f>(P126*($E126/365))+(P127*($E127/365))</f>
        <v>0</v>
      </c>
      <c r="U193" s="935">
        <f>(Q126*($E126/365))+(Q127*($E127/365))</f>
        <v>0</v>
      </c>
      <c r="V193" s="939"/>
      <c r="W193" s="935">
        <f xml:space="preserve"> R126*(E126/365) + R127*(E127/365)</f>
        <v>30.3</v>
      </c>
    </row>
  </sheetData>
  <mergeCells count="388">
    <mergeCell ref="N177:O177"/>
    <mergeCell ref="N166:O166"/>
    <mergeCell ref="N167:O167"/>
    <mergeCell ref="N168:O168"/>
    <mergeCell ref="N178:O178"/>
    <mergeCell ref="N179:O179"/>
    <mergeCell ref="N180:O180"/>
    <mergeCell ref="N165:O165"/>
    <mergeCell ref="N163:O163"/>
    <mergeCell ref="N172:O172"/>
    <mergeCell ref="N173:O173"/>
    <mergeCell ref="N174:O174"/>
    <mergeCell ref="N175:O175"/>
    <mergeCell ref="N170:O170"/>
    <mergeCell ref="N171:O171"/>
    <mergeCell ref="N156:O156"/>
    <mergeCell ref="N157:O157"/>
    <mergeCell ref="N158:O158"/>
    <mergeCell ref="N159:O159"/>
    <mergeCell ref="N160:O160"/>
    <mergeCell ref="N161:O161"/>
    <mergeCell ref="AT4:AW4"/>
    <mergeCell ref="AX4:BA4"/>
    <mergeCell ref="C7:D7"/>
    <mergeCell ref="C6:D6"/>
    <mergeCell ref="N184:O184"/>
    <mergeCell ref="J185:K185"/>
    <mergeCell ref="H186:I186"/>
    <mergeCell ref="H187:I187"/>
    <mergeCell ref="H188:I188"/>
    <mergeCell ref="N137:O137"/>
    <mergeCell ref="N138:O138"/>
    <mergeCell ref="N139:O139"/>
    <mergeCell ref="N140:O140"/>
    <mergeCell ref="N141:O141"/>
    <mergeCell ref="N142:O142"/>
    <mergeCell ref="N143:O143"/>
    <mergeCell ref="L180:M180"/>
    <mergeCell ref="L174:M174"/>
    <mergeCell ref="L175:M175"/>
    <mergeCell ref="L171:M171"/>
    <mergeCell ref="L172:M172"/>
    <mergeCell ref="L173:M173"/>
    <mergeCell ref="N169:O169"/>
    <mergeCell ref="N147:O147"/>
    <mergeCell ref="N148:O148"/>
    <mergeCell ref="N149:O149"/>
    <mergeCell ref="N150:O150"/>
    <mergeCell ref="N151:O151"/>
    <mergeCell ref="N152:O152"/>
    <mergeCell ref="J176:K176"/>
    <mergeCell ref="J177:K177"/>
    <mergeCell ref="J178:K178"/>
    <mergeCell ref="J170:K170"/>
    <mergeCell ref="N164:O164"/>
    <mergeCell ref="L153:M153"/>
    <mergeCell ref="L154:M154"/>
    <mergeCell ref="L155:M155"/>
    <mergeCell ref="L162:M162"/>
    <mergeCell ref="L163:M163"/>
    <mergeCell ref="N176:O176"/>
    <mergeCell ref="L158:M158"/>
    <mergeCell ref="L159:M159"/>
    <mergeCell ref="L160:M160"/>
    <mergeCell ref="L161:M161"/>
    <mergeCell ref="N153:O153"/>
    <mergeCell ref="N154:O154"/>
    <mergeCell ref="N155:O155"/>
    <mergeCell ref="N162:O162"/>
    <mergeCell ref="H190:I190"/>
    <mergeCell ref="J190:K190"/>
    <mergeCell ref="L190:M190"/>
    <mergeCell ref="N190:O190"/>
    <mergeCell ref="L186:M186"/>
    <mergeCell ref="L187:M187"/>
    <mergeCell ref="L181:M181"/>
    <mergeCell ref="L182:M182"/>
    <mergeCell ref="L183:M183"/>
    <mergeCell ref="L184:M184"/>
    <mergeCell ref="L185:M185"/>
    <mergeCell ref="N186:O186"/>
    <mergeCell ref="N187:O187"/>
    <mergeCell ref="N181:O181"/>
    <mergeCell ref="J186:K186"/>
    <mergeCell ref="J187:K187"/>
    <mergeCell ref="J181:K181"/>
    <mergeCell ref="J182:K182"/>
    <mergeCell ref="J183:K183"/>
    <mergeCell ref="J184:K184"/>
    <mergeCell ref="N185:O185"/>
    <mergeCell ref="N182:O182"/>
    <mergeCell ref="N183:O183"/>
    <mergeCell ref="J179:K179"/>
    <mergeCell ref="J168:K168"/>
    <mergeCell ref="J169:K169"/>
    <mergeCell ref="L165:M165"/>
    <mergeCell ref="L166:M166"/>
    <mergeCell ref="L167:M167"/>
    <mergeCell ref="L176:M176"/>
    <mergeCell ref="L177:M177"/>
    <mergeCell ref="L178:M178"/>
    <mergeCell ref="J165:K165"/>
    <mergeCell ref="J166:K166"/>
    <mergeCell ref="J167:K167"/>
    <mergeCell ref="L179:M179"/>
    <mergeCell ref="L168:M168"/>
    <mergeCell ref="L169:M169"/>
    <mergeCell ref="L170:M170"/>
    <mergeCell ref="J175:K175"/>
    <mergeCell ref="J143:K143"/>
    <mergeCell ref="L147:M147"/>
    <mergeCell ref="L148:M148"/>
    <mergeCell ref="L149:M149"/>
    <mergeCell ref="H184:I184"/>
    <mergeCell ref="H185:I185"/>
    <mergeCell ref="H174:I174"/>
    <mergeCell ref="H175:I175"/>
    <mergeCell ref="J156:K156"/>
    <mergeCell ref="J157:K157"/>
    <mergeCell ref="J158:K158"/>
    <mergeCell ref="J159:K159"/>
    <mergeCell ref="J160:K160"/>
    <mergeCell ref="J161:K161"/>
    <mergeCell ref="H169:I169"/>
    <mergeCell ref="H170:I170"/>
    <mergeCell ref="H171:I171"/>
    <mergeCell ref="H172:I172"/>
    <mergeCell ref="H173:I173"/>
    <mergeCell ref="J180:K180"/>
    <mergeCell ref="J174:K174"/>
    <mergeCell ref="L164:M164"/>
    <mergeCell ref="L156:M156"/>
    <mergeCell ref="L157:M157"/>
    <mergeCell ref="H180:I180"/>
    <mergeCell ref="H181:I181"/>
    <mergeCell ref="H182:I182"/>
    <mergeCell ref="H183:I183"/>
    <mergeCell ref="J144:K144"/>
    <mergeCell ref="J145:K145"/>
    <mergeCell ref="J146:K146"/>
    <mergeCell ref="J147:K147"/>
    <mergeCell ref="J171:K171"/>
    <mergeCell ref="J172:K172"/>
    <mergeCell ref="J173:K173"/>
    <mergeCell ref="J162:K162"/>
    <mergeCell ref="J163:K163"/>
    <mergeCell ref="J164:K164"/>
    <mergeCell ref="H153:I153"/>
    <mergeCell ref="H154:I154"/>
    <mergeCell ref="J148:K148"/>
    <mergeCell ref="J149:K149"/>
    <mergeCell ref="J150:K150"/>
    <mergeCell ref="J151:K151"/>
    <mergeCell ref="J152:K152"/>
    <mergeCell ref="J153:K153"/>
    <mergeCell ref="J154:K154"/>
    <mergeCell ref="J155:K155"/>
    <mergeCell ref="R131:W131"/>
    <mergeCell ref="H133:I133"/>
    <mergeCell ref="J133:K133"/>
    <mergeCell ref="L133:M133"/>
    <mergeCell ref="N133:O133"/>
    <mergeCell ref="H135:I135"/>
    <mergeCell ref="H134:I134"/>
    <mergeCell ref="H150:I150"/>
    <mergeCell ref="H151:I151"/>
    <mergeCell ref="H144:I144"/>
    <mergeCell ref="H145:I145"/>
    <mergeCell ref="H146:I146"/>
    <mergeCell ref="H147:I147"/>
    <mergeCell ref="H148:I148"/>
    <mergeCell ref="H149:I149"/>
    <mergeCell ref="L144:M144"/>
    <mergeCell ref="L145:M145"/>
    <mergeCell ref="L146:M146"/>
    <mergeCell ref="N144:O144"/>
    <mergeCell ref="N145:O145"/>
    <mergeCell ref="N146:O146"/>
    <mergeCell ref="L142:M142"/>
    <mergeCell ref="L143:M143"/>
    <mergeCell ref="N135:O135"/>
    <mergeCell ref="G3:M3"/>
    <mergeCell ref="O3:Q3"/>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A4:A5"/>
    <mergeCell ref="B4:B5"/>
    <mergeCell ref="C4:D5"/>
    <mergeCell ref="E4:E5"/>
    <mergeCell ref="F4:F5"/>
    <mergeCell ref="G4:J4"/>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91:D91"/>
    <mergeCell ref="C92:D92"/>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20:D120"/>
    <mergeCell ref="C121:D121"/>
    <mergeCell ref="C122:D122"/>
    <mergeCell ref="C118:D118"/>
    <mergeCell ref="H143:I143"/>
    <mergeCell ref="H152:I152"/>
    <mergeCell ref="H141:I141"/>
    <mergeCell ref="H136:I136"/>
    <mergeCell ref="L135:M135"/>
    <mergeCell ref="L137:M137"/>
    <mergeCell ref="L138:M138"/>
    <mergeCell ref="L139:M139"/>
    <mergeCell ref="L140:M140"/>
    <mergeCell ref="L141:M141"/>
    <mergeCell ref="J135:K135"/>
    <mergeCell ref="J137:K137"/>
    <mergeCell ref="J138:K138"/>
    <mergeCell ref="J139:K139"/>
    <mergeCell ref="J140:K140"/>
    <mergeCell ref="J141:K141"/>
    <mergeCell ref="H137:I137"/>
    <mergeCell ref="H138:I138"/>
    <mergeCell ref="H139:I139"/>
    <mergeCell ref="H140:I140"/>
    <mergeCell ref="L150:M150"/>
    <mergeCell ref="L151:M151"/>
    <mergeCell ref="L152:M152"/>
    <mergeCell ref="J142:K142"/>
    <mergeCell ref="C124:D124"/>
    <mergeCell ref="C125:D125"/>
    <mergeCell ref="H191:I191"/>
    <mergeCell ref="J191:K191"/>
    <mergeCell ref="L191:M191"/>
    <mergeCell ref="N191:O191"/>
    <mergeCell ref="H189:I189"/>
    <mergeCell ref="J189:K189"/>
    <mergeCell ref="L189:M189"/>
    <mergeCell ref="N189:O189"/>
    <mergeCell ref="H155:I155"/>
    <mergeCell ref="H162:I162"/>
    <mergeCell ref="H163:I163"/>
    <mergeCell ref="H164:I164"/>
    <mergeCell ref="H168:I168"/>
    <mergeCell ref="H165:I165"/>
    <mergeCell ref="J134:K134"/>
    <mergeCell ref="L134:M134"/>
    <mergeCell ref="J136:K136"/>
    <mergeCell ref="L136:M136"/>
    <mergeCell ref="J188:K188"/>
    <mergeCell ref="L188:M188"/>
    <mergeCell ref="N188:O188"/>
    <mergeCell ref="N134:O134"/>
    <mergeCell ref="C126:D126"/>
    <mergeCell ref="C127:D127"/>
    <mergeCell ref="H193:I193"/>
    <mergeCell ref="J193:K193"/>
    <mergeCell ref="L193:M193"/>
    <mergeCell ref="N193:O193"/>
    <mergeCell ref="H192:I192"/>
    <mergeCell ref="J192:K192"/>
    <mergeCell ref="L192:M192"/>
    <mergeCell ref="N192:O192"/>
    <mergeCell ref="N136:O136"/>
    <mergeCell ref="H166:I166"/>
    <mergeCell ref="H167:I167"/>
    <mergeCell ref="H156:I156"/>
    <mergeCell ref="H157:I157"/>
    <mergeCell ref="H158:I158"/>
    <mergeCell ref="H159:I159"/>
    <mergeCell ref="H160:I160"/>
    <mergeCell ref="H161:I161"/>
    <mergeCell ref="H176:I176"/>
    <mergeCell ref="H177:I177"/>
    <mergeCell ref="H178:I178"/>
    <mergeCell ref="H179:I179"/>
    <mergeCell ref="H142:I142"/>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A97"/>
  <sheetViews>
    <sheetView zoomScale="159" zoomScaleNormal="120" workbookViewId="0">
      <pane xSplit="1" ySplit="5" topLeftCell="B47" activePane="bottomRight" state="frozen"/>
      <selection pane="topRight" activeCell="B1" sqref="B1"/>
      <selection pane="bottomLeft" activeCell="A6" sqref="A6"/>
      <selection pane="bottomRight" activeCell="N87" sqref="N87:O8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140</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73">
        <v>1992</v>
      </c>
      <c r="B6" s="85"/>
      <c r="C6" s="1005" t="s">
        <v>1277</v>
      </c>
      <c r="D6" s="1005"/>
      <c r="E6" s="73">
        <v>294</v>
      </c>
      <c r="G6" s="480"/>
      <c r="H6" s="531"/>
      <c r="I6" s="531"/>
      <c r="J6" s="482"/>
      <c r="K6" s="477"/>
      <c r="L6" s="477"/>
      <c r="M6" s="477"/>
      <c r="N6" s="481"/>
      <c r="O6" s="476"/>
      <c r="P6" s="477"/>
      <c r="Q6" s="477"/>
      <c r="R6" s="478"/>
      <c r="T6" s="95"/>
      <c r="U6" s="85"/>
      <c r="V6" s="82"/>
      <c r="Y6" s="83"/>
      <c r="AD6" s="82"/>
      <c r="AG6" s="83"/>
      <c r="AL6" s="82"/>
      <c r="AO6" s="83"/>
      <c r="AP6" s="82"/>
      <c r="AS6" s="83"/>
      <c r="AW6" s="83"/>
      <c r="BA6" s="84"/>
    </row>
    <row r="7" spans="1:53" s="334" customFormat="1">
      <c r="A7" s="334">
        <v>1992</v>
      </c>
      <c r="B7" s="355">
        <v>33898</v>
      </c>
      <c r="C7" s="992" t="s">
        <v>1106</v>
      </c>
      <c r="D7" s="992"/>
      <c r="E7" s="334">
        <v>72</v>
      </c>
      <c r="F7" s="334" t="s">
        <v>345</v>
      </c>
      <c r="G7" s="497">
        <v>7</v>
      </c>
      <c r="H7" s="532"/>
      <c r="I7" s="532">
        <v>3</v>
      </c>
      <c r="J7" s="499">
        <v>14</v>
      </c>
      <c r="K7" s="495">
        <f t="shared" ref="K7:K44" si="0">G7/J7*100</f>
        <v>50</v>
      </c>
      <c r="L7" s="495">
        <f t="shared" ref="L7:L44" si="1">H7/J7*100</f>
        <v>0</v>
      </c>
      <c r="M7" s="495">
        <f t="shared" ref="M7:M44" si="2">I7/J7*100</f>
        <v>21.428571428571427</v>
      </c>
      <c r="N7" s="498">
        <f t="shared" ref="N7:N52" si="3">SUM(K7:M7)</f>
        <v>71.428571428571431</v>
      </c>
      <c r="O7" s="494">
        <v>38.6</v>
      </c>
      <c r="P7" s="495"/>
      <c r="Q7" s="495">
        <v>11.9</v>
      </c>
      <c r="R7" s="496">
        <f>SUM(O7:Q7)</f>
        <v>50.5</v>
      </c>
      <c r="S7" s="334">
        <v>2</v>
      </c>
      <c r="T7" s="342">
        <v>33867</v>
      </c>
      <c r="U7" s="355">
        <v>33898</v>
      </c>
      <c r="V7" s="343" t="s">
        <v>1105</v>
      </c>
      <c r="W7" s="334" t="s">
        <v>74</v>
      </c>
      <c r="X7" s="334" t="s">
        <v>11</v>
      </c>
      <c r="Y7" s="344">
        <v>28.7</v>
      </c>
      <c r="Z7" s="334" t="s">
        <v>482</v>
      </c>
      <c r="AA7" s="334" t="s">
        <v>98</v>
      </c>
      <c r="AB7" s="334" t="s">
        <v>12</v>
      </c>
      <c r="AC7" s="334">
        <v>11.9</v>
      </c>
      <c r="AD7" s="343" t="s">
        <v>1099</v>
      </c>
      <c r="AE7" s="334" t="s">
        <v>304</v>
      </c>
      <c r="AF7" s="334" t="s">
        <v>11</v>
      </c>
      <c r="AG7" s="344">
        <v>9.9</v>
      </c>
      <c r="AL7" s="343"/>
      <c r="AO7" s="344"/>
      <c r="AP7" s="343"/>
      <c r="AS7" s="344"/>
      <c r="AW7" s="344"/>
      <c r="BA7" s="345"/>
    </row>
    <row r="8" spans="1:53" s="334" customFormat="1">
      <c r="A8" s="334">
        <v>1993</v>
      </c>
      <c r="B8" s="355"/>
      <c r="C8" s="992" t="s">
        <v>1106</v>
      </c>
      <c r="D8" s="992"/>
      <c r="E8" s="334">
        <v>0</v>
      </c>
      <c r="G8" s="497">
        <v>7</v>
      </c>
      <c r="H8" s="532"/>
      <c r="I8" s="532">
        <v>3</v>
      </c>
      <c r="J8" s="499">
        <v>14</v>
      </c>
      <c r="K8" s="495">
        <f t="shared" si="0"/>
        <v>50</v>
      </c>
      <c r="L8" s="495">
        <f t="shared" si="1"/>
        <v>0</v>
      </c>
      <c r="M8" s="495">
        <f t="shared" si="2"/>
        <v>21.428571428571427</v>
      </c>
      <c r="N8" s="498">
        <f t="shared" si="3"/>
        <v>71.428571428571431</v>
      </c>
      <c r="O8" s="494">
        <v>38.6</v>
      </c>
      <c r="P8" s="495"/>
      <c r="Q8" s="495">
        <v>11.9</v>
      </c>
      <c r="R8" s="496">
        <f t="shared" ref="R8:R29" si="4">SUM(O8:Q8)</f>
        <v>50.5</v>
      </c>
      <c r="S8" s="334">
        <v>2</v>
      </c>
      <c r="T8" s="342"/>
      <c r="U8" s="355"/>
      <c r="V8" s="343" t="s">
        <v>1105</v>
      </c>
      <c r="W8" s="334" t="s">
        <v>74</v>
      </c>
      <c r="X8" s="334" t="s">
        <v>11</v>
      </c>
      <c r="Y8" s="344">
        <v>28.7</v>
      </c>
      <c r="Z8" s="334" t="s">
        <v>482</v>
      </c>
      <c r="AA8" s="334" t="s">
        <v>98</v>
      </c>
      <c r="AB8" s="334" t="s">
        <v>12</v>
      </c>
      <c r="AC8" s="334">
        <v>11.9</v>
      </c>
      <c r="AD8" s="343" t="s">
        <v>1099</v>
      </c>
      <c r="AE8" s="334" t="s">
        <v>304</v>
      </c>
      <c r="AF8" s="334" t="s">
        <v>11</v>
      </c>
      <c r="AG8" s="344">
        <v>9.9</v>
      </c>
      <c r="AL8" s="343"/>
      <c r="AO8" s="344"/>
      <c r="AP8" s="343"/>
      <c r="AS8" s="344"/>
      <c r="AW8" s="344"/>
      <c r="BA8" s="345"/>
    </row>
    <row r="9" spans="1:53" s="334" customFormat="1">
      <c r="A9" s="334">
        <v>1993</v>
      </c>
      <c r="B9" s="355"/>
      <c r="C9" s="992" t="s">
        <v>1106</v>
      </c>
      <c r="D9" s="992"/>
      <c r="E9" s="334">
        <v>365</v>
      </c>
      <c r="G9" s="497">
        <v>7</v>
      </c>
      <c r="H9" s="532"/>
      <c r="I9" s="532">
        <v>3</v>
      </c>
      <c r="J9" s="499">
        <v>14</v>
      </c>
      <c r="K9" s="495">
        <f t="shared" si="0"/>
        <v>50</v>
      </c>
      <c r="L9" s="495">
        <f t="shared" si="1"/>
        <v>0</v>
      </c>
      <c r="M9" s="495">
        <f t="shared" si="2"/>
        <v>21.428571428571427</v>
      </c>
      <c r="N9" s="498">
        <f t="shared" si="3"/>
        <v>71.428571428571431</v>
      </c>
      <c r="O9" s="494">
        <v>38.6</v>
      </c>
      <c r="P9" s="495"/>
      <c r="Q9" s="495">
        <v>11.9</v>
      </c>
      <c r="R9" s="496">
        <f t="shared" si="4"/>
        <v>50.5</v>
      </c>
      <c r="S9" s="334">
        <v>2</v>
      </c>
      <c r="T9" s="342"/>
      <c r="U9" s="355"/>
      <c r="V9" s="343" t="s">
        <v>1105</v>
      </c>
      <c r="W9" s="334" t="s">
        <v>74</v>
      </c>
      <c r="X9" s="334" t="s">
        <v>11</v>
      </c>
      <c r="Y9" s="344">
        <v>28.7</v>
      </c>
      <c r="Z9" s="334" t="s">
        <v>482</v>
      </c>
      <c r="AA9" s="334" t="s">
        <v>98</v>
      </c>
      <c r="AB9" s="334" t="s">
        <v>12</v>
      </c>
      <c r="AC9" s="334">
        <v>11.9</v>
      </c>
      <c r="AD9" s="343" t="s">
        <v>1099</v>
      </c>
      <c r="AE9" s="334" t="s">
        <v>304</v>
      </c>
      <c r="AF9" s="334" t="s">
        <v>11</v>
      </c>
      <c r="AG9" s="344">
        <v>9.9</v>
      </c>
      <c r="AL9" s="343"/>
      <c r="AO9" s="344"/>
      <c r="AP9" s="343"/>
      <c r="AS9" s="344"/>
      <c r="AW9" s="344"/>
      <c r="BA9" s="345"/>
    </row>
    <row r="10" spans="1:53" s="334" customFormat="1">
      <c r="A10" s="334">
        <v>1994</v>
      </c>
      <c r="B10" s="355"/>
      <c r="C10" s="992" t="s">
        <v>1106</v>
      </c>
      <c r="D10" s="992"/>
      <c r="E10" s="334">
        <v>311</v>
      </c>
      <c r="G10" s="497">
        <v>7</v>
      </c>
      <c r="H10" s="532"/>
      <c r="I10" s="532">
        <v>3</v>
      </c>
      <c r="J10" s="499">
        <v>14</v>
      </c>
      <c r="K10" s="495">
        <f t="shared" si="0"/>
        <v>50</v>
      </c>
      <c r="L10" s="495">
        <f t="shared" si="1"/>
        <v>0</v>
      </c>
      <c r="M10" s="495">
        <f t="shared" si="2"/>
        <v>21.428571428571427</v>
      </c>
      <c r="N10" s="498">
        <f t="shared" si="3"/>
        <v>71.428571428571431</v>
      </c>
      <c r="O10" s="494">
        <v>38.6</v>
      </c>
      <c r="P10" s="495"/>
      <c r="Q10" s="495">
        <v>11.9</v>
      </c>
      <c r="R10" s="496">
        <f t="shared" si="4"/>
        <v>50.5</v>
      </c>
      <c r="S10" s="334">
        <v>2</v>
      </c>
      <c r="T10" s="342"/>
      <c r="U10" s="355"/>
      <c r="V10" s="343" t="s">
        <v>1105</v>
      </c>
      <c r="W10" s="334" t="s">
        <v>74</v>
      </c>
      <c r="X10" s="334" t="s">
        <v>11</v>
      </c>
      <c r="Y10" s="344">
        <v>28.7</v>
      </c>
      <c r="Z10" s="334" t="s">
        <v>482</v>
      </c>
      <c r="AA10" s="334" t="s">
        <v>98</v>
      </c>
      <c r="AB10" s="334" t="s">
        <v>12</v>
      </c>
      <c r="AC10" s="334">
        <v>11.9</v>
      </c>
      <c r="AD10" s="343" t="s">
        <v>1099</v>
      </c>
      <c r="AE10" s="334" t="s">
        <v>304</v>
      </c>
      <c r="AF10" s="334" t="s">
        <v>11</v>
      </c>
      <c r="AG10" s="344">
        <v>9.9</v>
      </c>
      <c r="AL10" s="343"/>
      <c r="AO10" s="344"/>
      <c r="AP10" s="343"/>
      <c r="AS10" s="344"/>
      <c r="AW10" s="344"/>
      <c r="BA10" s="345"/>
    </row>
    <row r="11" spans="1:53" s="73" customFormat="1">
      <c r="A11" s="73">
        <v>1994</v>
      </c>
      <c r="B11" s="121">
        <v>34646</v>
      </c>
      <c r="C11" s="988" t="s">
        <v>1093</v>
      </c>
      <c r="D11" s="988"/>
      <c r="E11" s="73">
        <v>54</v>
      </c>
      <c r="F11" s="73">
        <v>5</v>
      </c>
      <c r="G11" s="480">
        <v>7</v>
      </c>
      <c r="H11" s="531"/>
      <c r="I11" s="531">
        <v>3</v>
      </c>
      <c r="J11" s="482">
        <v>14</v>
      </c>
      <c r="K11" s="477">
        <f t="shared" si="0"/>
        <v>50</v>
      </c>
      <c r="L11" s="477">
        <f t="shared" si="1"/>
        <v>0</v>
      </c>
      <c r="M11" s="477">
        <f t="shared" si="2"/>
        <v>21.428571428571427</v>
      </c>
      <c r="N11" s="481">
        <f t="shared" si="3"/>
        <v>71.428571428571431</v>
      </c>
      <c r="O11" s="476">
        <v>38.6</v>
      </c>
      <c r="P11" s="477"/>
      <c r="Q11" s="477">
        <v>11.9</v>
      </c>
      <c r="R11" s="478">
        <f t="shared" si="4"/>
        <v>50.5</v>
      </c>
      <c r="S11" s="73">
        <v>6</v>
      </c>
      <c r="T11" s="95"/>
      <c r="U11" s="85">
        <v>34646</v>
      </c>
      <c r="V11" s="82" t="s">
        <v>1105</v>
      </c>
      <c r="W11" s="73" t="s">
        <v>74</v>
      </c>
      <c r="X11" s="73" t="s">
        <v>11</v>
      </c>
      <c r="Y11" s="83">
        <v>28.7</v>
      </c>
      <c r="Z11" s="73" t="s">
        <v>482</v>
      </c>
      <c r="AA11" s="73" t="s">
        <v>98</v>
      </c>
      <c r="AB11" s="73" t="s">
        <v>12</v>
      </c>
      <c r="AC11" s="73">
        <v>11.9</v>
      </c>
      <c r="AD11" s="82" t="s">
        <v>1099</v>
      </c>
      <c r="AE11" s="73" t="s">
        <v>304</v>
      </c>
      <c r="AF11" s="73" t="s">
        <v>11</v>
      </c>
      <c r="AG11" s="83">
        <v>9.9</v>
      </c>
      <c r="AL11" s="82"/>
      <c r="AO11" s="83"/>
      <c r="AP11" s="82"/>
      <c r="AS11" s="83"/>
      <c r="AW11" s="83"/>
      <c r="BA11" s="84"/>
    </row>
    <row r="12" spans="1:53" s="73" customFormat="1">
      <c r="A12" s="73">
        <v>1995</v>
      </c>
      <c r="B12" s="121"/>
      <c r="C12" s="988" t="s">
        <v>1093</v>
      </c>
      <c r="D12" s="988"/>
      <c r="E12" s="73">
        <v>106</v>
      </c>
      <c r="G12" s="480">
        <v>7</v>
      </c>
      <c r="H12" s="531"/>
      <c r="I12" s="531">
        <v>3</v>
      </c>
      <c r="J12" s="482">
        <v>14</v>
      </c>
      <c r="K12" s="477">
        <f t="shared" si="0"/>
        <v>50</v>
      </c>
      <c r="L12" s="477">
        <f t="shared" si="1"/>
        <v>0</v>
      </c>
      <c r="M12" s="477">
        <f t="shared" si="2"/>
        <v>21.428571428571427</v>
      </c>
      <c r="N12" s="481">
        <f t="shared" si="3"/>
        <v>71.428571428571431</v>
      </c>
      <c r="O12" s="476">
        <v>38.6</v>
      </c>
      <c r="P12" s="477"/>
      <c r="Q12" s="477">
        <v>11.9</v>
      </c>
      <c r="R12" s="478">
        <f t="shared" si="4"/>
        <v>50.5</v>
      </c>
      <c r="S12" s="73">
        <v>6</v>
      </c>
      <c r="T12" s="95"/>
      <c r="U12" s="85"/>
      <c r="V12" s="82" t="s">
        <v>1105</v>
      </c>
      <c r="W12" s="73" t="s">
        <v>74</v>
      </c>
      <c r="X12" s="73" t="s">
        <v>11</v>
      </c>
      <c r="Y12" s="83">
        <v>28.7</v>
      </c>
      <c r="Z12" s="73" t="s">
        <v>482</v>
      </c>
      <c r="AA12" s="73" t="s">
        <v>98</v>
      </c>
      <c r="AB12" s="73" t="s">
        <v>12</v>
      </c>
      <c r="AC12" s="73">
        <v>11.9</v>
      </c>
      <c r="AD12" s="82" t="s">
        <v>1099</v>
      </c>
      <c r="AE12" s="73" t="s">
        <v>304</v>
      </c>
      <c r="AF12" s="73" t="s">
        <v>11</v>
      </c>
      <c r="AG12" s="83">
        <v>9.9</v>
      </c>
      <c r="AL12" s="82"/>
      <c r="AO12" s="83"/>
      <c r="AP12" s="82"/>
      <c r="AS12" s="83"/>
      <c r="AW12" s="83"/>
      <c r="BA12" s="84"/>
    </row>
    <row r="13" spans="1:53" s="334" customFormat="1">
      <c r="A13" s="334">
        <v>1995</v>
      </c>
      <c r="B13" s="335">
        <v>34806</v>
      </c>
      <c r="C13" s="992" t="s">
        <v>1100</v>
      </c>
      <c r="D13" s="992"/>
      <c r="E13" s="334">
        <v>200</v>
      </c>
      <c r="F13" s="334">
        <v>1</v>
      </c>
      <c r="G13" s="497"/>
      <c r="H13" s="532">
        <v>5</v>
      </c>
      <c r="I13" s="532">
        <v>9</v>
      </c>
      <c r="J13" s="499">
        <v>14</v>
      </c>
      <c r="K13" s="495">
        <f>G13/J13*100</f>
        <v>0</v>
      </c>
      <c r="L13" s="495">
        <f>H13/J13*100</f>
        <v>35.714285714285715</v>
      </c>
      <c r="M13" s="495">
        <f>I13/J13*100</f>
        <v>64.285714285714292</v>
      </c>
      <c r="N13" s="498">
        <f t="shared" si="3"/>
        <v>100</v>
      </c>
      <c r="O13" s="494"/>
      <c r="P13" s="495">
        <v>15.8</v>
      </c>
      <c r="Q13" s="495">
        <v>40.6</v>
      </c>
      <c r="R13" s="496">
        <f t="shared" si="4"/>
        <v>56.400000000000006</v>
      </c>
      <c r="S13" s="334">
        <v>2</v>
      </c>
      <c r="T13" s="342">
        <v>34763</v>
      </c>
      <c r="U13" s="355">
        <v>34806</v>
      </c>
      <c r="V13" s="343" t="s">
        <v>1103</v>
      </c>
      <c r="W13" s="334" t="s">
        <v>880</v>
      </c>
      <c r="X13" s="334" t="s">
        <v>12</v>
      </c>
      <c r="Y13" s="344">
        <v>40.6</v>
      </c>
      <c r="Z13" s="334" t="s">
        <v>1348</v>
      </c>
      <c r="AA13" s="334" t="s">
        <v>100</v>
      </c>
      <c r="AB13" s="334" t="s">
        <v>18</v>
      </c>
      <c r="AC13" s="334">
        <v>15.8</v>
      </c>
      <c r="AD13" s="343"/>
      <c r="AG13" s="344"/>
      <c r="AL13" s="343"/>
      <c r="AO13" s="344"/>
      <c r="AP13" s="343"/>
      <c r="AS13" s="344"/>
      <c r="AW13" s="344"/>
      <c r="BA13" s="345"/>
    </row>
    <row r="14" spans="1:53" s="73" customFormat="1">
      <c r="A14" s="73">
        <v>1995</v>
      </c>
      <c r="B14" s="121">
        <v>35006</v>
      </c>
      <c r="C14" s="988" t="s">
        <v>1101</v>
      </c>
      <c r="D14" s="988"/>
      <c r="E14" s="73">
        <v>59</v>
      </c>
      <c r="F14" s="73">
        <v>2</v>
      </c>
      <c r="G14" s="480">
        <v>6</v>
      </c>
      <c r="H14" s="531"/>
      <c r="I14" s="531">
        <v>9</v>
      </c>
      <c r="J14" s="482">
        <v>15</v>
      </c>
      <c r="K14" s="477">
        <f t="shared" si="0"/>
        <v>40</v>
      </c>
      <c r="L14" s="477">
        <f t="shared" si="1"/>
        <v>0</v>
      </c>
      <c r="M14" s="477">
        <f t="shared" si="2"/>
        <v>60</v>
      </c>
      <c r="N14" s="481">
        <f t="shared" si="3"/>
        <v>100</v>
      </c>
      <c r="O14" s="476">
        <v>18.8</v>
      </c>
      <c r="P14" s="477"/>
      <c r="Q14" s="477">
        <v>40.6</v>
      </c>
      <c r="R14" s="478">
        <f t="shared" si="4"/>
        <v>59.400000000000006</v>
      </c>
      <c r="S14" s="73">
        <v>2</v>
      </c>
      <c r="T14" s="95"/>
      <c r="U14" s="85">
        <v>35006</v>
      </c>
      <c r="V14" s="82" t="s">
        <v>1103</v>
      </c>
      <c r="W14" s="73" t="s">
        <v>880</v>
      </c>
      <c r="X14" s="73" t="s">
        <v>12</v>
      </c>
      <c r="Y14" s="83">
        <v>40.6</v>
      </c>
      <c r="Z14" s="73" t="s">
        <v>1104</v>
      </c>
      <c r="AA14" s="73" t="s">
        <v>88</v>
      </c>
      <c r="AB14" s="73" t="s">
        <v>11</v>
      </c>
      <c r="AC14" s="73">
        <v>18.8</v>
      </c>
      <c r="AD14" s="82"/>
      <c r="AG14" s="83"/>
      <c r="AL14" s="82"/>
      <c r="AO14" s="83"/>
      <c r="AP14" s="82"/>
      <c r="AS14" s="83"/>
      <c r="AW14" s="83"/>
      <c r="BA14" s="84"/>
    </row>
    <row r="15" spans="1:53" s="73" customFormat="1">
      <c r="A15" s="73">
        <v>1996</v>
      </c>
      <c r="B15" s="85"/>
      <c r="C15" s="988" t="s">
        <v>1101</v>
      </c>
      <c r="D15" s="988"/>
      <c r="E15" s="73">
        <v>0</v>
      </c>
      <c r="G15" s="480">
        <v>6</v>
      </c>
      <c r="H15" s="531"/>
      <c r="I15" s="531">
        <v>9</v>
      </c>
      <c r="J15" s="482">
        <v>15</v>
      </c>
      <c r="K15" s="477">
        <f t="shared" si="0"/>
        <v>40</v>
      </c>
      <c r="L15" s="477">
        <f t="shared" si="1"/>
        <v>0</v>
      </c>
      <c r="M15" s="477">
        <f t="shared" si="2"/>
        <v>60</v>
      </c>
      <c r="N15" s="481">
        <f t="shared" si="3"/>
        <v>100</v>
      </c>
      <c r="O15" s="476">
        <v>18.8</v>
      </c>
      <c r="P15" s="477"/>
      <c r="Q15" s="477">
        <v>40.6</v>
      </c>
      <c r="R15" s="478">
        <f t="shared" si="4"/>
        <v>59.400000000000006</v>
      </c>
      <c r="S15" s="73">
        <v>2</v>
      </c>
      <c r="T15" s="95"/>
      <c r="U15" s="85"/>
      <c r="V15" s="82" t="s">
        <v>1103</v>
      </c>
      <c r="W15" s="73" t="s">
        <v>880</v>
      </c>
      <c r="X15" s="73" t="s">
        <v>12</v>
      </c>
      <c r="Y15" s="83">
        <v>40.6</v>
      </c>
      <c r="Z15" s="73" t="s">
        <v>1104</v>
      </c>
      <c r="AA15" s="73" t="s">
        <v>88</v>
      </c>
      <c r="AB15" s="73" t="s">
        <v>11</v>
      </c>
      <c r="AC15" s="73">
        <v>18.8</v>
      </c>
      <c r="AD15" s="82"/>
      <c r="AG15" s="83"/>
      <c r="AL15" s="82"/>
      <c r="AO15" s="83"/>
      <c r="AP15" s="82"/>
      <c r="AS15" s="83"/>
      <c r="AW15" s="83"/>
      <c r="BA15" s="84"/>
    </row>
    <row r="16" spans="1:53" s="73" customFormat="1">
      <c r="A16" s="73">
        <v>1996</v>
      </c>
      <c r="B16" s="85"/>
      <c r="C16" s="988" t="s">
        <v>1101</v>
      </c>
      <c r="D16" s="988"/>
      <c r="E16" s="73">
        <v>366</v>
      </c>
      <c r="G16" s="480">
        <v>6</v>
      </c>
      <c r="H16" s="531"/>
      <c r="I16" s="531">
        <v>9</v>
      </c>
      <c r="J16" s="482">
        <v>15</v>
      </c>
      <c r="K16" s="477">
        <f t="shared" si="0"/>
        <v>40</v>
      </c>
      <c r="L16" s="477">
        <f t="shared" si="1"/>
        <v>0</v>
      </c>
      <c r="M16" s="477">
        <f t="shared" si="2"/>
        <v>60</v>
      </c>
      <c r="N16" s="481">
        <f t="shared" si="3"/>
        <v>100</v>
      </c>
      <c r="O16" s="476">
        <v>18.8</v>
      </c>
      <c r="P16" s="477"/>
      <c r="Q16" s="477">
        <v>40.6</v>
      </c>
      <c r="R16" s="478">
        <f t="shared" si="4"/>
        <v>59.400000000000006</v>
      </c>
      <c r="S16" s="73">
        <v>2</v>
      </c>
      <c r="T16" s="95"/>
      <c r="U16" s="85"/>
      <c r="V16" s="82" t="s">
        <v>1103</v>
      </c>
      <c r="W16" s="73" t="s">
        <v>880</v>
      </c>
      <c r="X16" s="73" t="s">
        <v>12</v>
      </c>
      <c r="Y16" s="83">
        <v>40.6</v>
      </c>
      <c r="Z16" s="73" t="s">
        <v>1104</v>
      </c>
      <c r="AA16" s="73" t="s">
        <v>88</v>
      </c>
      <c r="AB16" s="73" t="s">
        <v>11</v>
      </c>
      <c r="AC16" s="73">
        <v>18.8</v>
      </c>
      <c r="AD16" s="82"/>
      <c r="AG16" s="83"/>
      <c r="AL16" s="82"/>
      <c r="AO16" s="83"/>
      <c r="AP16" s="82"/>
      <c r="AS16" s="83"/>
      <c r="AW16" s="83"/>
      <c r="BA16" s="84"/>
    </row>
    <row r="17" spans="1:53" s="73" customFormat="1">
      <c r="A17" s="73">
        <v>1997</v>
      </c>
      <c r="B17" s="85"/>
      <c r="C17" s="988" t="s">
        <v>1101</v>
      </c>
      <c r="D17" s="988"/>
      <c r="E17" s="73">
        <v>75</v>
      </c>
      <c r="G17" s="480">
        <v>6</v>
      </c>
      <c r="H17" s="531"/>
      <c r="I17" s="531">
        <v>9</v>
      </c>
      <c r="J17" s="482">
        <v>15</v>
      </c>
      <c r="K17" s="477">
        <f t="shared" si="0"/>
        <v>40</v>
      </c>
      <c r="L17" s="477">
        <f t="shared" si="1"/>
        <v>0</v>
      </c>
      <c r="M17" s="477">
        <f t="shared" si="2"/>
        <v>60</v>
      </c>
      <c r="N17" s="481">
        <f t="shared" si="3"/>
        <v>100</v>
      </c>
      <c r="O17" s="476">
        <v>18.8</v>
      </c>
      <c r="P17" s="477"/>
      <c r="Q17" s="477">
        <v>40.6</v>
      </c>
      <c r="R17" s="478">
        <f t="shared" si="4"/>
        <v>59.400000000000006</v>
      </c>
      <c r="S17" s="73">
        <v>2</v>
      </c>
      <c r="T17" s="95"/>
      <c r="U17" s="85"/>
      <c r="V17" s="82" t="s">
        <v>1103</v>
      </c>
      <c r="W17" s="73" t="s">
        <v>880</v>
      </c>
      <c r="X17" s="73" t="s">
        <v>12</v>
      </c>
      <c r="Y17" s="83">
        <v>40.6</v>
      </c>
      <c r="Z17" s="73" t="s">
        <v>1104</v>
      </c>
      <c r="AA17" s="73" t="s">
        <v>88</v>
      </c>
      <c r="AB17" s="73" t="s">
        <v>11</v>
      </c>
      <c r="AC17" s="73">
        <v>18.8</v>
      </c>
      <c r="AD17" s="82"/>
      <c r="AG17" s="83"/>
      <c r="AL17" s="82"/>
      <c r="AO17" s="83"/>
      <c r="AP17" s="82"/>
      <c r="AS17" s="83"/>
      <c r="AW17" s="83"/>
      <c r="BA17" s="84"/>
    </row>
    <row r="18" spans="1:53" s="334" customFormat="1">
      <c r="A18" s="334">
        <v>1997</v>
      </c>
      <c r="B18" s="355">
        <v>35506</v>
      </c>
      <c r="C18" s="992" t="s">
        <v>1102</v>
      </c>
      <c r="D18" s="992"/>
      <c r="E18" s="334">
        <v>290</v>
      </c>
      <c r="F18" s="334">
        <v>2</v>
      </c>
      <c r="G18" s="497"/>
      <c r="H18" s="532"/>
      <c r="I18" s="532">
        <v>11</v>
      </c>
      <c r="J18" s="499">
        <v>14</v>
      </c>
      <c r="K18" s="495">
        <f t="shared" si="0"/>
        <v>0</v>
      </c>
      <c r="L18" s="495">
        <f t="shared" si="1"/>
        <v>0</v>
      </c>
      <c r="M18" s="495">
        <f t="shared" si="2"/>
        <v>78.571428571428569</v>
      </c>
      <c r="N18" s="498">
        <f t="shared" si="3"/>
        <v>78.571428571428569</v>
      </c>
      <c r="O18" s="494"/>
      <c r="P18" s="495"/>
      <c r="Q18" s="495">
        <v>40.6</v>
      </c>
      <c r="R18" s="496">
        <f t="shared" si="4"/>
        <v>40.6</v>
      </c>
      <c r="S18" s="334">
        <v>4</v>
      </c>
      <c r="T18" s="342"/>
      <c r="U18" s="355">
        <v>35506</v>
      </c>
      <c r="V18" s="343" t="s">
        <v>1103</v>
      </c>
      <c r="W18" s="334" t="s">
        <v>880</v>
      </c>
      <c r="X18" s="334" t="s">
        <v>12</v>
      </c>
      <c r="Y18" s="344">
        <v>40.6</v>
      </c>
      <c r="AD18" s="343"/>
      <c r="AG18" s="344"/>
      <c r="AL18" s="343"/>
      <c r="AO18" s="344"/>
      <c r="AP18" s="343"/>
      <c r="AS18" s="344"/>
      <c r="AW18" s="344"/>
      <c r="BA18" s="345"/>
    </row>
    <row r="19" spans="1:53" s="334" customFormat="1">
      <c r="A19" s="334">
        <v>1998</v>
      </c>
      <c r="B19" s="355"/>
      <c r="C19" s="992" t="s">
        <v>1102</v>
      </c>
      <c r="D19" s="992"/>
      <c r="E19" s="334">
        <v>0</v>
      </c>
      <c r="G19" s="497"/>
      <c r="H19" s="532"/>
      <c r="I19" s="532">
        <v>11</v>
      </c>
      <c r="J19" s="499">
        <v>14</v>
      </c>
      <c r="K19" s="495">
        <f t="shared" si="0"/>
        <v>0</v>
      </c>
      <c r="L19" s="495">
        <f t="shared" si="1"/>
        <v>0</v>
      </c>
      <c r="M19" s="495">
        <f t="shared" si="2"/>
        <v>78.571428571428569</v>
      </c>
      <c r="N19" s="498">
        <f t="shared" si="3"/>
        <v>78.571428571428569</v>
      </c>
      <c r="O19" s="494"/>
      <c r="P19" s="495"/>
      <c r="Q19" s="495">
        <v>40.6</v>
      </c>
      <c r="R19" s="496">
        <f t="shared" si="4"/>
        <v>40.6</v>
      </c>
      <c r="S19" s="334">
        <v>4</v>
      </c>
      <c r="T19" s="342"/>
      <c r="U19" s="355"/>
      <c r="V19" s="343" t="s">
        <v>1103</v>
      </c>
      <c r="W19" s="334" t="s">
        <v>880</v>
      </c>
      <c r="X19" s="334" t="s">
        <v>12</v>
      </c>
      <c r="Y19" s="344">
        <v>40.6</v>
      </c>
      <c r="AD19" s="343"/>
      <c r="AG19" s="344"/>
      <c r="AL19" s="343"/>
      <c r="AO19" s="344"/>
      <c r="AP19" s="343"/>
      <c r="AS19" s="344"/>
      <c r="AW19" s="344"/>
      <c r="BA19" s="345"/>
    </row>
    <row r="20" spans="1:53" s="334" customFormat="1">
      <c r="A20" s="334">
        <v>1998</v>
      </c>
      <c r="B20" s="355"/>
      <c r="C20" s="992" t="s">
        <v>1102</v>
      </c>
      <c r="D20" s="992"/>
      <c r="E20" s="334">
        <v>365</v>
      </c>
      <c r="G20" s="497"/>
      <c r="H20" s="532"/>
      <c r="I20" s="532">
        <v>11</v>
      </c>
      <c r="J20" s="499">
        <v>14</v>
      </c>
      <c r="K20" s="495">
        <f t="shared" si="0"/>
        <v>0</v>
      </c>
      <c r="L20" s="495">
        <f t="shared" si="1"/>
        <v>0</v>
      </c>
      <c r="M20" s="495">
        <f t="shared" si="2"/>
        <v>78.571428571428569</v>
      </c>
      <c r="N20" s="498">
        <f t="shared" si="3"/>
        <v>78.571428571428569</v>
      </c>
      <c r="O20" s="494"/>
      <c r="P20" s="495"/>
      <c r="Q20" s="495">
        <v>40.6</v>
      </c>
      <c r="R20" s="496">
        <f t="shared" si="4"/>
        <v>40.6</v>
      </c>
      <c r="S20" s="334">
        <v>4</v>
      </c>
      <c r="T20" s="342"/>
      <c r="U20" s="355"/>
      <c r="V20" s="343" t="s">
        <v>1103</v>
      </c>
      <c r="W20" s="334" t="s">
        <v>880</v>
      </c>
      <c r="X20" s="334" t="s">
        <v>12</v>
      </c>
      <c r="Y20" s="344">
        <v>40.6</v>
      </c>
      <c r="AD20" s="343"/>
      <c r="AG20" s="344"/>
      <c r="AL20" s="343"/>
      <c r="AO20" s="344"/>
      <c r="AP20" s="343"/>
      <c r="AS20" s="344"/>
      <c r="AW20" s="344"/>
      <c r="BA20" s="345"/>
    </row>
    <row r="21" spans="1:53" s="334" customFormat="1">
      <c r="A21" s="334">
        <v>1999</v>
      </c>
      <c r="B21" s="355"/>
      <c r="C21" s="992" t="s">
        <v>1102</v>
      </c>
      <c r="D21" s="992"/>
      <c r="E21" s="334">
        <v>83</v>
      </c>
      <c r="G21" s="497"/>
      <c r="H21" s="532"/>
      <c r="I21" s="532">
        <v>11</v>
      </c>
      <c r="J21" s="499">
        <v>14</v>
      </c>
      <c r="K21" s="495">
        <f t="shared" si="0"/>
        <v>0</v>
      </c>
      <c r="L21" s="495">
        <f t="shared" si="1"/>
        <v>0</v>
      </c>
      <c r="M21" s="495">
        <f t="shared" si="2"/>
        <v>78.571428571428569</v>
      </c>
      <c r="N21" s="498">
        <f t="shared" si="3"/>
        <v>78.571428571428569</v>
      </c>
      <c r="O21" s="494"/>
      <c r="P21" s="495"/>
      <c r="Q21" s="495">
        <v>40.6</v>
      </c>
      <c r="R21" s="496">
        <f t="shared" si="4"/>
        <v>40.6</v>
      </c>
      <c r="S21" s="334">
        <v>4</v>
      </c>
      <c r="T21" s="342"/>
      <c r="U21" s="355"/>
      <c r="V21" s="343" t="s">
        <v>1103</v>
      </c>
      <c r="W21" s="334" t="s">
        <v>880</v>
      </c>
      <c r="X21" s="334" t="s">
        <v>12</v>
      </c>
      <c r="Y21" s="344">
        <v>40.6</v>
      </c>
      <c r="AD21" s="343"/>
      <c r="AG21" s="344"/>
      <c r="AL21" s="343"/>
      <c r="AO21" s="344"/>
      <c r="AP21" s="343"/>
      <c r="AS21" s="344"/>
      <c r="AW21" s="344"/>
      <c r="BA21" s="345"/>
    </row>
    <row r="22" spans="1:53" s="73" customFormat="1">
      <c r="A22" s="73">
        <v>1999</v>
      </c>
      <c r="B22" s="85">
        <v>36244</v>
      </c>
      <c r="C22" s="988" t="s">
        <v>1107</v>
      </c>
      <c r="D22" s="988"/>
      <c r="E22" s="73">
        <v>282</v>
      </c>
      <c r="F22" s="73">
        <v>1</v>
      </c>
      <c r="G22" s="480">
        <v>10</v>
      </c>
      <c r="H22" s="531"/>
      <c r="I22" s="531">
        <v>5</v>
      </c>
      <c r="J22" s="482">
        <v>15</v>
      </c>
      <c r="K22" s="477">
        <f t="shared" si="0"/>
        <v>66.666666666666657</v>
      </c>
      <c r="L22" s="477">
        <f t="shared" si="1"/>
        <v>0</v>
      </c>
      <c r="M22" s="477">
        <f t="shared" si="2"/>
        <v>33.333333333333329</v>
      </c>
      <c r="N22" s="481">
        <f t="shared" si="3"/>
        <v>99.999999999999986</v>
      </c>
      <c r="O22" s="476">
        <v>35.6</v>
      </c>
      <c r="P22" s="477"/>
      <c r="Q22" s="477">
        <v>16.8</v>
      </c>
      <c r="R22" s="478">
        <f t="shared" si="4"/>
        <v>52.400000000000006</v>
      </c>
      <c r="S22" s="73">
        <v>2</v>
      </c>
      <c r="T22" s="95">
        <v>36226</v>
      </c>
      <c r="U22" s="85">
        <v>36244</v>
      </c>
      <c r="V22" s="82" t="s">
        <v>1105</v>
      </c>
      <c r="W22" s="73" t="s">
        <v>74</v>
      </c>
      <c r="X22" s="73" t="s">
        <v>11</v>
      </c>
      <c r="Y22" s="83">
        <v>17.8</v>
      </c>
      <c r="Z22" s="73" t="s">
        <v>1104</v>
      </c>
      <c r="AA22" s="73" t="s">
        <v>88</v>
      </c>
      <c r="AB22" s="73" t="s">
        <v>11</v>
      </c>
      <c r="AC22" s="73">
        <v>17.8</v>
      </c>
      <c r="AD22" s="82" t="s">
        <v>482</v>
      </c>
      <c r="AE22" s="73" t="s">
        <v>98</v>
      </c>
      <c r="AF22" s="73" t="s">
        <v>12</v>
      </c>
      <c r="AG22" s="83">
        <v>16.8</v>
      </c>
      <c r="AL22" s="82"/>
      <c r="AO22" s="83"/>
      <c r="AP22" s="82"/>
      <c r="AS22" s="83"/>
      <c r="AW22" s="83"/>
      <c r="BA22" s="84"/>
    </row>
    <row r="23" spans="1:53" s="73" customFormat="1">
      <c r="A23" s="73">
        <v>2000</v>
      </c>
      <c r="B23" s="85"/>
      <c r="C23" s="988" t="s">
        <v>1107</v>
      </c>
      <c r="D23" s="988"/>
      <c r="E23" s="73">
        <v>0</v>
      </c>
      <c r="G23" s="480">
        <v>10</v>
      </c>
      <c r="H23" s="531"/>
      <c r="I23" s="531">
        <v>5</v>
      </c>
      <c r="J23" s="482">
        <v>15</v>
      </c>
      <c r="K23" s="477">
        <f t="shared" si="0"/>
        <v>66.666666666666657</v>
      </c>
      <c r="L23" s="477">
        <f t="shared" si="1"/>
        <v>0</v>
      </c>
      <c r="M23" s="477">
        <f t="shared" si="2"/>
        <v>33.333333333333329</v>
      </c>
      <c r="N23" s="481">
        <f t="shared" si="3"/>
        <v>99.999999999999986</v>
      </c>
      <c r="O23" s="476">
        <v>35.6</v>
      </c>
      <c r="P23" s="477"/>
      <c r="Q23" s="477">
        <v>16.8</v>
      </c>
      <c r="R23" s="478">
        <f t="shared" si="4"/>
        <v>52.400000000000006</v>
      </c>
      <c r="S23" s="73">
        <v>2</v>
      </c>
      <c r="T23" s="95"/>
      <c r="U23" s="85"/>
      <c r="V23" s="82" t="s">
        <v>1105</v>
      </c>
      <c r="W23" s="73" t="s">
        <v>74</v>
      </c>
      <c r="X23" s="73" t="s">
        <v>11</v>
      </c>
      <c r="Y23" s="83">
        <v>17.8</v>
      </c>
      <c r="Z23" s="73" t="s">
        <v>1104</v>
      </c>
      <c r="AA23" s="73" t="s">
        <v>88</v>
      </c>
      <c r="AB23" s="73" t="s">
        <v>11</v>
      </c>
      <c r="AC23" s="73">
        <v>17.8</v>
      </c>
      <c r="AD23" s="82" t="s">
        <v>482</v>
      </c>
      <c r="AE23" s="73" t="s">
        <v>98</v>
      </c>
      <c r="AF23" s="73" t="s">
        <v>12</v>
      </c>
      <c r="AG23" s="83">
        <v>16.8</v>
      </c>
      <c r="AL23" s="82"/>
      <c r="AO23" s="83"/>
      <c r="AP23" s="82"/>
      <c r="AS23" s="83"/>
      <c r="AW23" s="83"/>
      <c r="BA23" s="84"/>
    </row>
    <row r="24" spans="1:53" s="73" customFormat="1">
      <c r="A24" s="73">
        <v>2000</v>
      </c>
      <c r="B24" s="85"/>
      <c r="C24" s="988" t="s">
        <v>1107</v>
      </c>
      <c r="D24" s="988"/>
      <c r="E24" s="73">
        <v>366</v>
      </c>
      <c r="G24" s="480">
        <v>10</v>
      </c>
      <c r="H24" s="531"/>
      <c r="I24" s="531">
        <v>5</v>
      </c>
      <c r="J24" s="482">
        <v>15</v>
      </c>
      <c r="K24" s="477">
        <f t="shared" si="0"/>
        <v>66.666666666666657</v>
      </c>
      <c r="L24" s="477">
        <f t="shared" si="1"/>
        <v>0</v>
      </c>
      <c r="M24" s="477">
        <f t="shared" si="2"/>
        <v>33.333333333333329</v>
      </c>
      <c r="N24" s="481">
        <f t="shared" si="3"/>
        <v>99.999999999999986</v>
      </c>
      <c r="O24" s="476">
        <v>35.6</v>
      </c>
      <c r="P24" s="477"/>
      <c r="Q24" s="477">
        <v>16.8</v>
      </c>
      <c r="R24" s="478">
        <f t="shared" si="4"/>
        <v>52.400000000000006</v>
      </c>
      <c r="S24" s="73">
        <v>2</v>
      </c>
      <c r="T24" s="95"/>
      <c r="U24" s="85"/>
      <c r="V24" s="82" t="s">
        <v>1105</v>
      </c>
      <c r="W24" s="73" t="s">
        <v>74</v>
      </c>
      <c r="X24" s="73" t="s">
        <v>11</v>
      </c>
      <c r="Y24" s="83">
        <v>17.8</v>
      </c>
      <c r="Z24" s="73" t="s">
        <v>1104</v>
      </c>
      <c r="AA24" s="73" t="s">
        <v>88</v>
      </c>
      <c r="AB24" s="73" t="s">
        <v>11</v>
      </c>
      <c r="AC24" s="73">
        <v>17.8</v>
      </c>
      <c r="AD24" s="82" t="s">
        <v>482</v>
      </c>
      <c r="AE24" s="73" t="s">
        <v>98</v>
      </c>
      <c r="AF24" s="73" t="s">
        <v>12</v>
      </c>
      <c r="AG24" s="83">
        <v>16.8</v>
      </c>
      <c r="AL24" s="82"/>
      <c r="AO24" s="83"/>
      <c r="AP24" s="82"/>
      <c r="AS24" s="83"/>
      <c r="AW24" s="83"/>
      <c r="BA24" s="84"/>
    </row>
    <row r="25" spans="1:53" s="73" customFormat="1">
      <c r="A25" s="73">
        <v>2001</v>
      </c>
      <c r="B25" s="85"/>
      <c r="C25" s="988" t="s">
        <v>1107</v>
      </c>
      <c r="D25" s="988"/>
      <c r="E25" s="73">
        <v>0</v>
      </c>
      <c r="G25" s="480">
        <v>10</v>
      </c>
      <c r="H25" s="531"/>
      <c r="I25" s="531">
        <v>5</v>
      </c>
      <c r="J25" s="482">
        <v>15</v>
      </c>
      <c r="K25" s="477">
        <f t="shared" si="0"/>
        <v>66.666666666666657</v>
      </c>
      <c r="L25" s="477">
        <f t="shared" si="1"/>
        <v>0</v>
      </c>
      <c r="M25" s="477">
        <f t="shared" si="2"/>
        <v>33.333333333333329</v>
      </c>
      <c r="N25" s="481">
        <f t="shared" si="3"/>
        <v>99.999999999999986</v>
      </c>
      <c r="O25" s="476">
        <v>35.6</v>
      </c>
      <c r="P25" s="477"/>
      <c r="Q25" s="477">
        <v>16.8</v>
      </c>
      <c r="R25" s="478">
        <f t="shared" si="4"/>
        <v>52.400000000000006</v>
      </c>
      <c r="S25" s="73">
        <v>2</v>
      </c>
      <c r="T25" s="95"/>
      <c r="U25" s="85"/>
      <c r="V25" s="82" t="s">
        <v>1105</v>
      </c>
      <c r="W25" s="73" t="s">
        <v>74</v>
      </c>
      <c r="X25" s="73" t="s">
        <v>11</v>
      </c>
      <c r="Y25" s="83">
        <v>17.8</v>
      </c>
      <c r="Z25" s="73" t="s">
        <v>1104</v>
      </c>
      <c r="AA25" s="73" t="s">
        <v>88</v>
      </c>
      <c r="AB25" s="73" t="s">
        <v>11</v>
      </c>
      <c r="AC25" s="73">
        <v>17.8</v>
      </c>
      <c r="AD25" s="82" t="s">
        <v>482</v>
      </c>
      <c r="AE25" s="73" t="s">
        <v>98</v>
      </c>
      <c r="AF25" s="73" t="s">
        <v>12</v>
      </c>
      <c r="AG25" s="83">
        <v>16.8</v>
      </c>
      <c r="AL25" s="82"/>
      <c r="AO25" s="83"/>
      <c r="AP25" s="82"/>
      <c r="AS25" s="83"/>
      <c r="AW25" s="83"/>
      <c r="BA25" s="84"/>
    </row>
    <row r="26" spans="1:53" s="73" customFormat="1">
      <c r="A26" s="73">
        <v>2001</v>
      </c>
      <c r="B26" s="85"/>
      <c r="C26" s="988" t="s">
        <v>1107</v>
      </c>
      <c r="D26" s="988"/>
      <c r="E26" s="73">
        <v>365</v>
      </c>
      <c r="G26" s="480">
        <v>10</v>
      </c>
      <c r="H26" s="531"/>
      <c r="I26" s="531">
        <v>5</v>
      </c>
      <c r="J26" s="482">
        <v>15</v>
      </c>
      <c r="K26" s="477">
        <f t="shared" si="0"/>
        <v>66.666666666666657</v>
      </c>
      <c r="L26" s="477">
        <f t="shared" si="1"/>
        <v>0</v>
      </c>
      <c r="M26" s="477">
        <f t="shared" si="2"/>
        <v>33.333333333333329</v>
      </c>
      <c r="N26" s="481">
        <f t="shared" si="3"/>
        <v>99.999999999999986</v>
      </c>
      <c r="O26" s="476">
        <v>35.6</v>
      </c>
      <c r="P26" s="477"/>
      <c r="Q26" s="477">
        <v>16.8</v>
      </c>
      <c r="R26" s="478">
        <f t="shared" si="4"/>
        <v>52.400000000000006</v>
      </c>
      <c r="S26" s="73">
        <v>2</v>
      </c>
      <c r="T26" s="95"/>
      <c r="U26" s="85"/>
      <c r="V26" s="82" t="s">
        <v>1105</v>
      </c>
      <c r="W26" s="73" t="s">
        <v>74</v>
      </c>
      <c r="X26" s="73" t="s">
        <v>11</v>
      </c>
      <c r="Y26" s="83">
        <v>17.8</v>
      </c>
      <c r="Z26" s="73" t="s">
        <v>1104</v>
      </c>
      <c r="AA26" s="73" t="s">
        <v>88</v>
      </c>
      <c r="AB26" s="73" t="s">
        <v>11</v>
      </c>
      <c r="AC26" s="73">
        <v>17.8</v>
      </c>
      <c r="AD26" s="82" t="s">
        <v>482</v>
      </c>
      <c r="AE26" s="73" t="s">
        <v>98</v>
      </c>
      <c r="AF26" s="73" t="s">
        <v>12</v>
      </c>
      <c r="AG26" s="83">
        <v>16.8</v>
      </c>
      <c r="AL26" s="82"/>
      <c r="AO26" s="83"/>
      <c r="AP26" s="82"/>
      <c r="AS26" s="83"/>
      <c r="AW26" s="83"/>
      <c r="BA26" s="84"/>
    </row>
    <row r="27" spans="1:53" s="73" customFormat="1">
      <c r="A27" s="73">
        <v>2002</v>
      </c>
      <c r="B27" s="85"/>
      <c r="C27" s="988" t="s">
        <v>1107</v>
      </c>
      <c r="D27" s="988"/>
      <c r="E27" s="73">
        <v>27</v>
      </c>
      <c r="G27" s="480">
        <v>10</v>
      </c>
      <c r="H27" s="531"/>
      <c r="I27" s="531">
        <v>5</v>
      </c>
      <c r="J27" s="482">
        <v>15</v>
      </c>
      <c r="K27" s="477">
        <f t="shared" si="0"/>
        <v>66.666666666666657</v>
      </c>
      <c r="L27" s="477">
        <f t="shared" si="1"/>
        <v>0</v>
      </c>
      <c r="M27" s="477">
        <f t="shared" si="2"/>
        <v>33.333333333333329</v>
      </c>
      <c r="N27" s="481">
        <f t="shared" si="3"/>
        <v>99.999999999999986</v>
      </c>
      <c r="O27" s="476">
        <v>35.6</v>
      </c>
      <c r="P27" s="477"/>
      <c r="Q27" s="477">
        <v>16.8</v>
      </c>
      <c r="R27" s="478">
        <f t="shared" si="4"/>
        <v>52.400000000000006</v>
      </c>
      <c r="S27" s="73">
        <v>2</v>
      </c>
      <c r="T27" s="95"/>
      <c r="U27" s="85"/>
      <c r="V27" s="82" t="s">
        <v>1105</v>
      </c>
      <c r="W27" s="73" t="s">
        <v>74</v>
      </c>
      <c r="X27" s="73" t="s">
        <v>11</v>
      </c>
      <c r="Y27" s="83">
        <v>17.8</v>
      </c>
      <c r="Z27" s="73" t="s">
        <v>1104</v>
      </c>
      <c r="AA27" s="73" t="s">
        <v>88</v>
      </c>
      <c r="AB27" s="73" t="s">
        <v>11</v>
      </c>
      <c r="AC27" s="73">
        <v>17.8</v>
      </c>
      <c r="AD27" s="82" t="s">
        <v>482</v>
      </c>
      <c r="AE27" s="73" t="s">
        <v>98</v>
      </c>
      <c r="AF27" s="73" t="s">
        <v>12</v>
      </c>
      <c r="AG27" s="83">
        <v>16.8</v>
      </c>
      <c r="AL27" s="82"/>
      <c r="AO27" s="83"/>
      <c r="AP27" s="82"/>
      <c r="AS27" s="83"/>
      <c r="AW27" s="83"/>
      <c r="BA27" s="84"/>
    </row>
    <row r="28" spans="1:53" s="334" customFormat="1">
      <c r="A28" s="334">
        <v>2002</v>
      </c>
      <c r="B28" s="355">
        <v>37284</v>
      </c>
      <c r="C28" s="992" t="s">
        <v>1094</v>
      </c>
      <c r="D28" s="992"/>
      <c r="E28" s="334">
        <v>338</v>
      </c>
      <c r="F28" s="334">
        <v>4</v>
      </c>
      <c r="G28" s="497">
        <v>6</v>
      </c>
      <c r="H28" s="532">
        <v>8</v>
      </c>
      <c r="I28" s="532"/>
      <c r="J28" s="499">
        <v>14</v>
      </c>
      <c r="K28" s="495">
        <f t="shared" si="0"/>
        <v>42.857142857142854</v>
      </c>
      <c r="L28" s="495">
        <f t="shared" si="1"/>
        <v>57.142857142857139</v>
      </c>
      <c r="M28" s="495">
        <f t="shared" si="2"/>
        <v>0</v>
      </c>
      <c r="N28" s="498">
        <f t="shared" si="3"/>
        <v>100</v>
      </c>
      <c r="O28" s="494">
        <v>17.8</v>
      </c>
      <c r="P28" s="495">
        <v>27.7</v>
      </c>
      <c r="Q28" s="495"/>
      <c r="R28" s="496">
        <f t="shared" si="4"/>
        <v>45.5</v>
      </c>
      <c r="S28" s="334">
        <v>5</v>
      </c>
      <c r="T28" s="342"/>
      <c r="U28" s="355">
        <v>37284</v>
      </c>
      <c r="V28" s="343" t="s">
        <v>1348</v>
      </c>
      <c r="W28" s="334" t="s">
        <v>100</v>
      </c>
      <c r="X28" s="334" t="s">
        <v>18</v>
      </c>
      <c r="Y28" s="344">
        <v>27.7</v>
      </c>
      <c r="Z28" s="334" t="s">
        <v>1104</v>
      </c>
      <c r="AA28" s="334" t="s">
        <v>88</v>
      </c>
      <c r="AB28" s="334" t="s">
        <v>11</v>
      </c>
      <c r="AC28" s="334">
        <v>17.8</v>
      </c>
      <c r="AD28" s="343"/>
      <c r="AG28" s="344"/>
      <c r="AL28" s="343"/>
      <c r="AO28" s="344"/>
      <c r="AP28" s="343"/>
      <c r="AS28" s="344"/>
      <c r="AW28" s="344"/>
      <c r="BA28" s="345"/>
    </row>
    <row r="29" spans="1:53" s="334" customFormat="1">
      <c r="A29" s="334">
        <v>2003</v>
      </c>
      <c r="B29" s="355"/>
      <c r="C29" s="992" t="s">
        <v>1094</v>
      </c>
      <c r="D29" s="992"/>
      <c r="E29" s="334">
        <v>99</v>
      </c>
      <c r="G29" s="497">
        <v>6</v>
      </c>
      <c r="H29" s="532">
        <v>8</v>
      </c>
      <c r="I29" s="532"/>
      <c r="J29" s="499">
        <v>14</v>
      </c>
      <c r="K29" s="495">
        <f t="shared" si="0"/>
        <v>42.857142857142854</v>
      </c>
      <c r="L29" s="495">
        <f t="shared" si="1"/>
        <v>57.142857142857139</v>
      </c>
      <c r="M29" s="495">
        <f t="shared" si="2"/>
        <v>0</v>
      </c>
      <c r="N29" s="498">
        <f t="shared" si="3"/>
        <v>100</v>
      </c>
      <c r="O29" s="494">
        <v>17.8</v>
      </c>
      <c r="P29" s="495">
        <v>27.7</v>
      </c>
      <c r="Q29" s="495"/>
      <c r="R29" s="496">
        <f t="shared" si="4"/>
        <v>45.5</v>
      </c>
      <c r="S29" s="334">
        <v>5</v>
      </c>
      <c r="T29" s="342"/>
      <c r="U29" s="355"/>
      <c r="V29" s="343" t="s">
        <v>1348</v>
      </c>
      <c r="W29" s="334" t="s">
        <v>100</v>
      </c>
      <c r="X29" s="334" t="s">
        <v>18</v>
      </c>
      <c r="Y29" s="344">
        <v>27.7</v>
      </c>
      <c r="Z29" s="334" t="s">
        <v>1104</v>
      </c>
      <c r="AA29" s="334" t="s">
        <v>88</v>
      </c>
      <c r="AB29" s="334" t="s">
        <v>11</v>
      </c>
      <c r="AC29" s="334">
        <v>17.8</v>
      </c>
      <c r="AD29" s="343"/>
      <c r="AG29" s="344"/>
      <c r="AL29" s="343"/>
      <c r="AO29" s="344"/>
      <c r="AP29" s="343"/>
      <c r="AS29" s="344"/>
      <c r="AW29" s="344"/>
      <c r="BA29" s="345"/>
    </row>
    <row r="30" spans="1:53" s="73" customFormat="1">
      <c r="A30" s="73">
        <v>2003</v>
      </c>
      <c r="B30" s="121">
        <v>37721</v>
      </c>
      <c r="C30" s="988" t="s">
        <v>1108</v>
      </c>
      <c r="D30" s="988"/>
      <c r="E30" s="73">
        <v>266</v>
      </c>
      <c r="F30" s="73">
        <v>1</v>
      </c>
      <c r="G30" s="480">
        <v>14</v>
      </c>
      <c r="H30" s="531"/>
      <c r="I30" s="531"/>
      <c r="J30" s="482">
        <v>14</v>
      </c>
      <c r="K30" s="477">
        <f t="shared" si="0"/>
        <v>100</v>
      </c>
      <c r="L30" s="477">
        <f t="shared" si="1"/>
        <v>0</v>
      </c>
      <c r="M30" s="477">
        <f t="shared" si="2"/>
        <v>0</v>
      </c>
      <c r="N30" s="481">
        <f t="shared" si="3"/>
        <v>100</v>
      </c>
      <c r="O30" s="476">
        <v>59.4</v>
      </c>
      <c r="P30" s="477"/>
      <c r="Q30" s="477"/>
      <c r="R30" s="478">
        <f>SUM(O30:Q30)</f>
        <v>59.4</v>
      </c>
      <c r="S30" s="73">
        <v>2</v>
      </c>
      <c r="T30" s="95">
        <v>37682</v>
      </c>
      <c r="U30" s="85">
        <v>37721</v>
      </c>
      <c r="V30" s="82" t="s">
        <v>340</v>
      </c>
      <c r="W30" s="73" t="s">
        <v>77</v>
      </c>
      <c r="X30" s="73" t="s">
        <v>11</v>
      </c>
      <c r="Y30" s="83">
        <v>27.7</v>
      </c>
      <c r="Z30" s="73" t="s">
        <v>1104</v>
      </c>
      <c r="AA30" s="73" t="s">
        <v>88</v>
      </c>
      <c r="AB30" s="73" t="s">
        <v>11</v>
      </c>
      <c r="AC30" s="73">
        <v>18.8</v>
      </c>
      <c r="AD30" s="82" t="s">
        <v>1109</v>
      </c>
      <c r="AE30" s="73" t="s">
        <v>79</v>
      </c>
      <c r="AF30" s="73" t="s">
        <v>11</v>
      </c>
      <c r="AG30" s="83">
        <v>12.9</v>
      </c>
      <c r="AL30" s="82"/>
      <c r="AO30" s="83"/>
      <c r="AP30" s="82"/>
      <c r="AS30" s="83"/>
      <c r="AW30" s="83"/>
      <c r="BA30" s="84"/>
    </row>
    <row r="31" spans="1:53" s="73" customFormat="1">
      <c r="A31" s="73">
        <v>2004</v>
      </c>
      <c r="B31" s="121"/>
      <c r="C31" s="988" t="s">
        <v>1108</v>
      </c>
      <c r="D31" s="988"/>
      <c r="E31" s="73">
        <v>0</v>
      </c>
      <c r="G31" s="480">
        <v>14</v>
      </c>
      <c r="H31" s="531"/>
      <c r="I31" s="531"/>
      <c r="J31" s="482">
        <v>14</v>
      </c>
      <c r="K31" s="477">
        <f t="shared" si="0"/>
        <v>100</v>
      </c>
      <c r="L31" s="477">
        <f t="shared" si="1"/>
        <v>0</v>
      </c>
      <c r="M31" s="477">
        <f t="shared" si="2"/>
        <v>0</v>
      </c>
      <c r="N31" s="481">
        <f t="shared" si="3"/>
        <v>100</v>
      </c>
      <c r="O31" s="476">
        <v>59.4</v>
      </c>
      <c r="P31" s="477"/>
      <c r="Q31" s="477"/>
      <c r="R31" s="478">
        <f t="shared" ref="R31:R48" si="5">SUM(O31:Q31)</f>
        <v>59.4</v>
      </c>
      <c r="S31" s="73">
        <v>2</v>
      </c>
      <c r="T31" s="95"/>
      <c r="U31" s="85"/>
      <c r="V31" s="82" t="s">
        <v>340</v>
      </c>
      <c r="W31" s="73" t="s">
        <v>77</v>
      </c>
      <c r="X31" s="73" t="s">
        <v>11</v>
      </c>
      <c r="Y31" s="83">
        <v>27.7</v>
      </c>
      <c r="Z31" s="73" t="s">
        <v>1104</v>
      </c>
      <c r="AA31" s="73" t="s">
        <v>88</v>
      </c>
      <c r="AB31" s="73" t="s">
        <v>11</v>
      </c>
      <c r="AC31" s="73">
        <v>18.8</v>
      </c>
      <c r="AD31" s="82" t="s">
        <v>1109</v>
      </c>
      <c r="AE31" s="73" t="s">
        <v>79</v>
      </c>
      <c r="AF31" s="73" t="s">
        <v>11</v>
      </c>
      <c r="AG31" s="83">
        <v>12.9</v>
      </c>
      <c r="AL31" s="82"/>
      <c r="AO31" s="83"/>
      <c r="AP31" s="82"/>
      <c r="AS31" s="83"/>
      <c r="AW31" s="83"/>
      <c r="BA31" s="84"/>
    </row>
    <row r="32" spans="1:53" s="73" customFormat="1">
      <c r="A32" s="73">
        <v>2004</v>
      </c>
      <c r="B32" s="121"/>
      <c r="C32" s="988" t="s">
        <v>1108</v>
      </c>
      <c r="D32" s="988"/>
      <c r="E32" s="73">
        <v>366</v>
      </c>
      <c r="G32" s="480">
        <v>14</v>
      </c>
      <c r="H32" s="531"/>
      <c r="I32" s="531"/>
      <c r="J32" s="482">
        <v>14</v>
      </c>
      <c r="K32" s="477">
        <f t="shared" si="0"/>
        <v>100</v>
      </c>
      <c r="L32" s="477">
        <f t="shared" si="1"/>
        <v>0</v>
      </c>
      <c r="M32" s="477">
        <f t="shared" si="2"/>
        <v>0</v>
      </c>
      <c r="N32" s="481">
        <f t="shared" si="3"/>
        <v>100</v>
      </c>
      <c r="O32" s="476">
        <v>59.4</v>
      </c>
      <c r="P32" s="477"/>
      <c r="Q32" s="477"/>
      <c r="R32" s="478">
        <f t="shared" si="5"/>
        <v>59.4</v>
      </c>
      <c r="S32" s="73">
        <v>2</v>
      </c>
      <c r="T32" s="95"/>
      <c r="U32" s="85"/>
      <c r="V32" s="82" t="s">
        <v>340</v>
      </c>
      <c r="W32" s="73" t="s">
        <v>77</v>
      </c>
      <c r="X32" s="73" t="s">
        <v>11</v>
      </c>
      <c r="Y32" s="83">
        <v>27.7</v>
      </c>
      <c r="Z32" s="73" t="s">
        <v>1104</v>
      </c>
      <c r="AA32" s="73" t="s">
        <v>88</v>
      </c>
      <c r="AB32" s="73" t="s">
        <v>11</v>
      </c>
      <c r="AC32" s="73">
        <v>18.8</v>
      </c>
      <c r="AD32" s="82" t="s">
        <v>1109</v>
      </c>
      <c r="AE32" s="73" t="s">
        <v>79</v>
      </c>
      <c r="AF32" s="73" t="s">
        <v>11</v>
      </c>
      <c r="AG32" s="83">
        <v>12.9</v>
      </c>
      <c r="AL32" s="82"/>
      <c r="AO32" s="83"/>
      <c r="AP32" s="82"/>
      <c r="AS32" s="83"/>
      <c r="AW32" s="83"/>
      <c r="BA32" s="84"/>
    </row>
    <row r="33" spans="1:53" s="73" customFormat="1">
      <c r="A33" s="73">
        <v>2005</v>
      </c>
      <c r="B33" s="121"/>
      <c r="C33" s="988" t="s">
        <v>1108</v>
      </c>
      <c r="D33" s="988"/>
      <c r="E33" s="73">
        <v>102</v>
      </c>
      <c r="G33" s="480">
        <v>14</v>
      </c>
      <c r="H33" s="531"/>
      <c r="I33" s="531"/>
      <c r="J33" s="482">
        <v>14</v>
      </c>
      <c r="K33" s="477">
        <f t="shared" si="0"/>
        <v>100</v>
      </c>
      <c r="L33" s="477">
        <f t="shared" si="1"/>
        <v>0</v>
      </c>
      <c r="M33" s="477">
        <f t="shared" si="2"/>
        <v>0</v>
      </c>
      <c r="N33" s="481">
        <f t="shared" si="3"/>
        <v>100</v>
      </c>
      <c r="O33" s="476">
        <v>59.4</v>
      </c>
      <c r="P33" s="477"/>
      <c r="Q33" s="477"/>
      <c r="R33" s="478">
        <f t="shared" si="5"/>
        <v>59.4</v>
      </c>
      <c r="S33" s="73">
        <v>2</v>
      </c>
      <c r="T33" s="95"/>
      <c r="U33" s="85"/>
      <c r="V33" s="82" t="s">
        <v>340</v>
      </c>
      <c r="W33" s="73" t="s">
        <v>77</v>
      </c>
      <c r="X33" s="73" t="s">
        <v>11</v>
      </c>
      <c r="Y33" s="83">
        <v>27.7</v>
      </c>
      <c r="Z33" s="73" t="s">
        <v>1104</v>
      </c>
      <c r="AA33" s="73" t="s">
        <v>88</v>
      </c>
      <c r="AB33" s="73" t="s">
        <v>11</v>
      </c>
      <c r="AC33" s="73">
        <v>18.8</v>
      </c>
      <c r="AD33" s="82" t="s">
        <v>1109</v>
      </c>
      <c r="AE33" s="73" t="s">
        <v>79</v>
      </c>
      <c r="AF33" s="73" t="s">
        <v>11</v>
      </c>
      <c r="AG33" s="83">
        <v>12.9</v>
      </c>
      <c r="AL33" s="82"/>
      <c r="AO33" s="83"/>
      <c r="AP33" s="82"/>
      <c r="AS33" s="83"/>
      <c r="AW33" s="83"/>
      <c r="BA33" s="84"/>
    </row>
    <row r="34" spans="1:53" s="334" customFormat="1">
      <c r="A34" s="334">
        <v>2005</v>
      </c>
      <c r="B34" s="335">
        <v>38455</v>
      </c>
      <c r="C34" s="992" t="s">
        <v>1095</v>
      </c>
      <c r="D34" s="992"/>
      <c r="E34" s="334">
        <v>263</v>
      </c>
      <c r="F34" s="334">
        <v>2</v>
      </c>
      <c r="G34" s="497">
        <v>9</v>
      </c>
      <c r="H34" s="532">
        <v>5</v>
      </c>
      <c r="I34" s="532"/>
      <c r="J34" s="499">
        <v>14</v>
      </c>
      <c r="K34" s="495">
        <f t="shared" si="0"/>
        <v>64.285714285714292</v>
      </c>
      <c r="L34" s="495">
        <f t="shared" si="1"/>
        <v>35.714285714285715</v>
      </c>
      <c r="M34" s="495">
        <f t="shared" si="2"/>
        <v>0</v>
      </c>
      <c r="N34" s="498">
        <f t="shared" si="3"/>
        <v>100</v>
      </c>
      <c r="O34" s="494">
        <v>31.7</v>
      </c>
      <c r="P34" s="495">
        <v>27.7</v>
      </c>
      <c r="Q34" s="495"/>
      <c r="R34" s="496">
        <f t="shared" si="5"/>
        <v>59.4</v>
      </c>
      <c r="S34" s="334">
        <v>2</v>
      </c>
      <c r="T34" s="342"/>
      <c r="U34" s="355">
        <v>38455</v>
      </c>
      <c r="V34" s="343" t="s">
        <v>1348</v>
      </c>
      <c r="W34" s="334" t="s">
        <v>100</v>
      </c>
      <c r="X34" s="334" t="s">
        <v>18</v>
      </c>
      <c r="Y34" s="344">
        <v>27.7</v>
      </c>
      <c r="Z34" s="334" t="s">
        <v>1104</v>
      </c>
      <c r="AA34" s="334" t="s">
        <v>88</v>
      </c>
      <c r="AB34" s="334" t="s">
        <v>11</v>
      </c>
      <c r="AC34" s="334">
        <v>18.8</v>
      </c>
      <c r="AD34" s="343" t="s">
        <v>1109</v>
      </c>
      <c r="AE34" s="334" t="s">
        <v>79</v>
      </c>
      <c r="AF34" s="334" t="s">
        <v>11</v>
      </c>
      <c r="AG34" s="344">
        <v>12.9</v>
      </c>
      <c r="AL34" s="343"/>
      <c r="AO34" s="344"/>
      <c r="AP34" s="343"/>
      <c r="AS34" s="344"/>
      <c r="AW34" s="344"/>
      <c r="BA34" s="345"/>
    </row>
    <row r="35" spans="1:53" s="334" customFormat="1">
      <c r="A35" s="334">
        <v>2006</v>
      </c>
      <c r="B35" s="335"/>
      <c r="C35" s="992" t="s">
        <v>1095</v>
      </c>
      <c r="D35" s="992"/>
      <c r="E35" s="334">
        <v>0</v>
      </c>
      <c r="G35" s="497">
        <v>9</v>
      </c>
      <c r="H35" s="532">
        <v>5</v>
      </c>
      <c r="I35" s="532"/>
      <c r="J35" s="499">
        <v>14</v>
      </c>
      <c r="K35" s="495">
        <f t="shared" si="0"/>
        <v>64.285714285714292</v>
      </c>
      <c r="L35" s="495">
        <f t="shared" si="1"/>
        <v>35.714285714285715</v>
      </c>
      <c r="M35" s="495">
        <f t="shared" si="2"/>
        <v>0</v>
      </c>
      <c r="N35" s="498">
        <f t="shared" si="3"/>
        <v>100</v>
      </c>
      <c r="O35" s="494">
        <v>31.7</v>
      </c>
      <c r="P35" s="495">
        <v>27.7</v>
      </c>
      <c r="Q35" s="495"/>
      <c r="R35" s="496">
        <f t="shared" si="5"/>
        <v>59.4</v>
      </c>
      <c r="S35" s="334">
        <v>2</v>
      </c>
      <c r="T35" s="342"/>
      <c r="U35" s="355"/>
      <c r="V35" s="634" t="s">
        <v>1348</v>
      </c>
      <c r="W35" s="334" t="s">
        <v>100</v>
      </c>
      <c r="X35" s="334" t="s">
        <v>18</v>
      </c>
      <c r="Y35" s="344">
        <v>27.7</v>
      </c>
      <c r="Z35" s="334" t="s">
        <v>1104</v>
      </c>
      <c r="AA35" s="334" t="s">
        <v>88</v>
      </c>
      <c r="AB35" s="334" t="s">
        <v>11</v>
      </c>
      <c r="AC35" s="334">
        <v>18.8</v>
      </c>
      <c r="AD35" s="343" t="s">
        <v>1109</v>
      </c>
      <c r="AE35" s="334" t="s">
        <v>79</v>
      </c>
      <c r="AF35" s="334" t="s">
        <v>11</v>
      </c>
      <c r="AG35" s="344">
        <v>12.9</v>
      </c>
      <c r="AL35" s="343"/>
      <c r="AO35" s="344"/>
      <c r="AP35" s="343"/>
      <c r="AS35" s="344"/>
      <c r="AW35" s="344"/>
      <c r="BA35" s="345"/>
    </row>
    <row r="36" spans="1:53" s="334" customFormat="1">
      <c r="A36" s="334">
        <v>2006</v>
      </c>
      <c r="B36" s="335"/>
      <c r="C36" s="992" t="s">
        <v>1095</v>
      </c>
      <c r="D36" s="992"/>
      <c r="E36" s="334">
        <v>365</v>
      </c>
      <c r="G36" s="497">
        <v>9</v>
      </c>
      <c r="H36" s="532">
        <v>5</v>
      </c>
      <c r="I36" s="532"/>
      <c r="J36" s="499">
        <v>14</v>
      </c>
      <c r="K36" s="495">
        <f t="shared" si="0"/>
        <v>64.285714285714292</v>
      </c>
      <c r="L36" s="495">
        <f t="shared" si="1"/>
        <v>35.714285714285715</v>
      </c>
      <c r="M36" s="495">
        <f t="shared" si="2"/>
        <v>0</v>
      </c>
      <c r="N36" s="498">
        <f t="shared" si="3"/>
        <v>100</v>
      </c>
      <c r="O36" s="494">
        <v>31.7</v>
      </c>
      <c r="P36" s="495">
        <v>27.7</v>
      </c>
      <c r="Q36" s="495"/>
      <c r="R36" s="496">
        <f t="shared" si="5"/>
        <v>59.4</v>
      </c>
      <c r="S36" s="334">
        <v>2</v>
      </c>
      <c r="T36" s="342"/>
      <c r="U36" s="355"/>
      <c r="V36" s="634" t="s">
        <v>1348</v>
      </c>
      <c r="W36" s="334" t="s">
        <v>100</v>
      </c>
      <c r="X36" s="334" t="s">
        <v>18</v>
      </c>
      <c r="Y36" s="344">
        <v>27.7</v>
      </c>
      <c r="Z36" s="334" t="s">
        <v>1104</v>
      </c>
      <c r="AA36" s="334" t="s">
        <v>88</v>
      </c>
      <c r="AB36" s="334" t="s">
        <v>11</v>
      </c>
      <c r="AC36" s="334">
        <v>18.8</v>
      </c>
      <c r="AD36" s="343" t="s">
        <v>1109</v>
      </c>
      <c r="AE36" s="334" t="s">
        <v>79</v>
      </c>
      <c r="AF36" s="334" t="s">
        <v>11</v>
      </c>
      <c r="AG36" s="344">
        <v>12.9</v>
      </c>
      <c r="AL36" s="343"/>
      <c r="AO36" s="344"/>
      <c r="AP36" s="343"/>
      <c r="AS36" s="344"/>
      <c r="AW36" s="344"/>
      <c r="BA36" s="345"/>
    </row>
    <row r="37" spans="1:53" s="334" customFormat="1">
      <c r="A37" s="334">
        <v>2007</v>
      </c>
      <c r="B37" s="335"/>
      <c r="C37" s="992" t="s">
        <v>1095</v>
      </c>
      <c r="D37" s="992"/>
      <c r="E37" s="334">
        <v>94</v>
      </c>
      <c r="G37" s="497">
        <v>9</v>
      </c>
      <c r="H37" s="532">
        <v>5</v>
      </c>
      <c r="I37" s="532"/>
      <c r="J37" s="499">
        <v>14</v>
      </c>
      <c r="K37" s="495">
        <f t="shared" si="0"/>
        <v>64.285714285714292</v>
      </c>
      <c r="L37" s="495">
        <f t="shared" si="1"/>
        <v>35.714285714285715</v>
      </c>
      <c r="M37" s="495">
        <f t="shared" si="2"/>
        <v>0</v>
      </c>
      <c r="N37" s="498">
        <f t="shared" si="3"/>
        <v>100</v>
      </c>
      <c r="O37" s="494">
        <v>31.7</v>
      </c>
      <c r="P37" s="495">
        <v>27.7</v>
      </c>
      <c r="Q37" s="495"/>
      <c r="R37" s="496">
        <f t="shared" si="5"/>
        <v>59.4</v>
      </c>
      <c r="S37" s="334">
        <v>2</v>
      </c>
      <c r="T37" s="342"/>
      <c r="U37" s="355"/>
      <c r="V37" s="634" t="s">
        <v>1348</v>
      </c>
      <c r="W37" s="334" t="s">
        <v>100</v>
      </c>
      <c r="X37" s="334" t="s">
        <v>18</v>
      </c>
      <c r="Y37" s="344">
        <v>27.7</v>
      </c>
      <c r="Z37" s="334" t="s">
        <v>1104</v>
      </c>
      <c r="AA37" s="334" t="s">
        <v>88</v>
      </c>
      <c r="AB37" s="334" t="s">
        <v>11</v>
      </c>
      <c r="AC37" s="334">
        <v>18.8</v>
      </c>
      <c r="AD37" s="343" t="s">
        <v>1109</v>
      </c>
      <c r="AE37" s="334" t="s">
        <v>79</v>
      </c>
      <c r="AF37" s="334" t="s">
        <v>11</v>
      </c>
      <c r="AG37" s="344">
        <v>12.9</v>
      </c>
      <c r="AL37" s="343"/>
      <c r="AO37" s="344"/>
      <c r="AP37" s="343"/>
      <c r="AS37" s="344"/>
      <c r="AW37" s="344"/>
      <c r="BA37" s="345"/>
    </row>
    <row r="38" spans="1:53" s="73" customFormat="1">
      <c r="A38" s="73">
        <v>2007</v>
      </c>
      <c r="B38" s="121">
        <v>39177</v>
      </c>
      <c r="C38" s="988" t="s">
        <v>1096</v>
      </c>
      <c r="D38" s="988"/>
      <c r="E38" s="73">
        <v>271</v>
      </c>
      <c r="F38" s="73">
        <v>1</v>
      </c>
      <c r="G38" s="480">
        <v>11</v>
      </c>
      <c r="H38" s="531"/>
      <c r="I38" s="531">
        <v>3</v>
      </c>
      <c r="J38" s="482">
        <v>14</v>
      </c>
      <c r="K38" s="477">
        <f t="shared" si="0"/>
        <v>78.571428571428569</v>
      </c>
      <c r="L38" s="477">
        <f t="shared" si="1"/>
        <v>0</v>
      </c>
      <c r="M38" s="477">
        <f t="shared" si="2"/>
        <v>21.428571428571427</v>
      </c>
      <c r="N38" s="481">
        <f t="shared" si="3"/>
        <v>100</v>
      </c>
      <c r="O38" s="476">
        <v>49.5</v>
      </c>
      <c r="P38" s="477"/>
      <c r="Q38" s="477">
        <v>9.9</v>
      </c>
      <c r="R38" s="478">
        <f t="shared" si="5"/>
        <v>59.4</v>
      </c>
      <c r="S38" s="73">
        <v>2</v>
      </c>
      <c r="T38" s="95">
        <v>39145</v>
      </c>
      <c r="U38" s="85">
        <v>39177</v>
      </c>
      <c r="V38" s="82" t="s">
        <v>1104</v>
      </c>
      <c r="W38" s="73" t="s">
        <v>88</v>
      </c>
      <c r="X38" s="73" t="s">
        <v>11</v>
      </c>
      <c r="Y38" s="83">
        <v>30.7</v>
      </c>
      <c r="Z38" s="73" t="s">
        <v>1110</v>
      </c>
      <c r="AA38" s="73" t="s">
        <v>80</v>
      </c>
      <c r="AB38" s="73" t="s">
        <v>11</v>
      </c>
      <c r="AC38" s="73">
        <v>18.8</v>
      </c>
      <c r="AD38" s="82" t="s">
        <v>1111</v>
      </c>
      <c r="AE38" s="73" t="s">
        <v>98</v>
      </c>
      <c r="AF38" s="73" t="s">
        <v>12</v>
      </c>
      <c r="AG38" s="83">
        <v>9.9</v>
      </c>
      <c r="AL38" s="82"/>
      <c r="AO38" s="83"/>
      <c r="AP38" s="82"/>
      <c r="AS38" s="83"/>
      <c r="AW38" s="83"/>
      <c r="BA38" s="84"/>
    </row>
    <row r="39" spans="1:53" s="73" customFormat="1">
      <c r="A39" s="73">
        <v>2008</v>
      </c>
      <c r="B39" s="121"/>
      <c r="C39" s="988" t="s">
        <v>1096</v>
      </c>
      <c r="D39" s="988"/>
      <c r="E39" s="73">
        <v>0</v>
      </c>
      <c r="G39" s="480">
        <v>11</v>
      </c>
      <c r="H39" s="531"/>
      <c r="I39" s="531">
        <v>3</v>
      </c>
      <c r="J39" s="482">
        <v>14</v>
      </c>
      <c r="K39" s="477">
        <f t="shared" si="0"/>
        <v>78.571428571428569</v>
      </c>
      <c r="L39" s="477">
        <f t="shared" si="1"/>
        <v>0</v>
      </c>
      <c r="M39" s="477">
        <f t="shared" si="2"/>
        <v>21.428571428571427</v>
      </c>
      <c r="N39" s="481">
        <f t="shared" si="3"/>
        <v>100</v>
      </c>
      <c r="O39" s="476">
        <v>49.5</v>
      </c>
      <c r="P39" s="477"/>
      <c r="Q39" s="477">
        <v>9.9</v>
      </c>
      <c r="R39" s="478">
        <f t="shared" si="5"/>
        <v>59.4</v>
      </c>
      <c r="S39" s="73">
        <v>2</v>
      </c>
      <c r="T39" s="95"/>
      <c r="U39" s="85"/>
      <c r="V39" s="82" t="s">
        <v>1104</v>
      </c>
      <c r="W39" s="73" t="s">
        <v>88</v>
      </c>
      <c r="X39" s="73" t="s">
        <v>11</v>
      </c>
      <c r="Y39" s="83">
        <v>30.7</v>
      </c>
      <c r="Z39" s="73" t="s">
        <v>1110</v>
      </c>
      <c r="AA39" s="73" t="s">
        <v>80</v>
      </c>
      <c r="AB39" s="73" t="s">
        <v>11</v>
      </c>
      <c r="AC39" s="73">
        <v>18.8</v>
      </c>
      <c r="AD39" s="82" t="s">
        <v>1111</v>
      </c>
      <c r="AE39" s="73" t="s">
        <v>98</v>
      </c>
      <c r="AF39" s="73" t="s">
        <v>12</v>
      </c>
      <c r="AG39" s="83">
        <v>9.9</v>
      </c>
      <c r="AL39" s="82"/>
      <c r="AO39" s="83"/>
      <c r="AP39" s="82"/>
      <c r="AS39" s="83"/>
      <c r="AW39" s="83"/>
      <c r="BA39" s="84"/>
    </row>
    <row r="40" spans="1:53" s="73" customFormat="1">
      <c r="A40" s="73">
        <v>2008</v>
      </c>
      <c r="B40" s="121"/>
      <c r="C40" s="988" t="s">
        <v>1096</v>
      </c>
      <c r="D40" s="988"/>
      <c r="E40" s="73">
        <v>366</v>
      </c>
      <c r="G40" s="480">
        <v>11</v>
      </c>
      <c r="H40" s="531"/>
      <c r="I40" s="531">
        <v>3</v>
      </c>
      <c r="J40" s="482">
        <v>14</v>
      </c>
      <c r="K40" s="477">
        <f t="shared" si="0"/>
        <v>78.571428571428569</v>
      </c>
      <c r="L40" s="477">
        <f t="shared" si="1"/>
        <v>0</v>
      </c>
      <c r="M40" s="477">
        <f t="shared" si="2"/>
        <v>21.428571428571427</v>
      </c>
      <c r="N40" s="481">
        <f t="shared" si="3"/>
        <v>100</v>
      </c>
      <c r="O40" s="476">
        <v>49.5</v>
      </c>
      <c r="P40" s="477"/>
      <c r="Q40" s="477">
        <v>9.9</v>
      </c>
      <c r="R40" s="478">
        <f t="shared" si="5"/>
        <v>59.4</v>
      </c>
      <c r="S40" s="73">
        <v>2</v>
      </c>
      <c r="T40" s="95"/>
      <c r="U40" s="85"/>
      <c r="V40" s="82" t="s">
        <v>1104</v>
      </c>
      <c r="W40" s="73" t="s">
        <v>88</v>
      </c>
      <c r="X40" s="73" t="s">
        <v>11</v>
      </c>
      <c r="Y40" s="83">
        <v>30.7</v>
      </c>
      <c r="Z40" s="73" t="s">
        <v>1110</v>
      </c>
      <c r="AA40" s="73" t="s">
        <v>80</v>
      </c>
      <c r="AB40" s="73" t="s">
        <v>11</v>
      </c>
      <c r="AC40" s="73">
        <v>18.8</v>
      </c>
      <c r="AD40" s="82" t="s">
        <v>1111</v>
      </c>
      <c r="AE40" s="73" t="s">
        <v>98</v>
      </c>
      <c r="AF40" s="73" t="s">
        <v>12</v>
      </c>
      <c r="AG40" s="83">
        <v>9.9</v>
      </c>
      <c r="AL40" s="82"/>
      <c r="AO40" s="83"/>
      <c r="AP40" s="82"/>
      <c r="AS40" s="83"/>
      <c r="AW40" s="83"/>
      <c r="BA40" s="84"/>
    </row>
    <row r="41" spans="1:53" s="73" customFormat="1">
      <c r="A41" s="73">
        <v>2009</v>
      </c>
      <c r="B41" s="121"/>
      <c r="C41" s="988" t="s">
        <v>1096</v>
      </c>
      <c r="D41" s="988"/>
      <c r="E41" s="73">
        <v>154</v>
      </c>
      <c r="G41" s="480">
        <v>11</v>
      </c>
      <c r="H41" s="531"/>
      <c r="I41" s="531">
        <v>3</v>
      </c>
      <c r="J41" s="482">
        <v>14</v>
      </c>
      <c r="K41" s="477">
        <f t="shared" si="0"/>
        <v>78.571428571428569</v>
      </c>
      <c r="L41" s="477">
        <f t="shared" si="1"/>
        <v>0</v>
      </c>
      <c r="M41" s="477">
        <f t="shared" si="2"/>
        <v>21.428571428571427</v>
      </c>
      <c r="N41" s="481">
        <f t="shared" si="3"/>
        <v>100</v>
      </c>
      <c r="O41" s="476">
        <v>49.5</v>
      </c>
      <c r="P41" s="477"/>
      <c r="Q41" s="477">
        <v>9.9</v>
      </c>
      <c r="R41" s="478">
        <f t="shared" si="5"/>
        <v>59.4</v>
      </c>
      <c r="S41" s="73">
        <v>2</v>
      </c>
      <c r="T41" s="95"/>
      <c r="U41" s="85"/>
      <c r="V41" s="82" t="s">
        <v>1104</v>
      </c>
      <c r="W41" s="73" t="s">
        <v>88</v>
      </c>
      <c r="X41" s="73" t="s">
        <v>11</v>
      </c>
      <c r="Y41" s="83">
        <v>30.7</v>
      </c>
      <c r="Z41" s="73" t="s">
        <v>1110</v>
      </c>
      <c r="AA41" s="73" t="s">
        <v>80</v>
      </c>
      <c r="AB41" s="73" t="s">
        <v>11</v>
      </c>
      <c r="AC41" s="73">
        <v>18.8</v>
      </c>
      <c r="AD41" s="82" t="s">
        <v>1111</v>
      </c>
      <c r="AE41" s="73" t="s">
        <v>98</v>
      </c>
      <c r="AF41" s="73" t="s">
        <v>12</v>
      </c>
      <c r="AG41" s="83">
        <v>9.9</v>
      </c>
      <c r="AL41" s="82"/>
      <c r="AO41" s="83"/>
      <c r="AP41" s="82"/>
      <c r="AS41" s="83"/>
      <c r="AW41" s="83"/>
      <c r="BA41" s="84"/>
    </row>
    <row r="42" spans="1:53" s="334" customFormat="1">
      <c r="A42" s="334">
        <v>2009</v>
      </c>
      <c r="B42" s="335">
        <v>39968</v>
      </c>
      <c r="C42" s="992" t="s">
        <v>1097</v>
      </c>
      <c r="D42" s="992"/>
      <c r="E42" s="334">
        <v>211</v>
      </c>
      <c r="F42" s="334">
        <v>4</v>
      </c>
      <c r="G42" s="497">
        <v>13</v>
      </c>
      <c r="H42" s="532"/>
      <c r="I42" s="532"/>
      <c r="J42" s="499">
        <v>13</v>
      </c>
      <c r="K42" s="495">
        <f t="shared" si="0"/>
        <v>100</v>
      </c>
      <c r="L42" s="495">
        <f t="shared" si="1"/>
        <v>0</v>
      </c>
      <c r="M42" s="495">
        <f t="shared" si="2"/>
        <v>0</v>
      </c>
      <c r="N42" s="498">
        <f t="shared" si="3"/>
        <v>100</v>
      </c>
      <c r="O42" s="494">
        <v>49.5</v>
      </c>
      <c r="P42" s="495"/>
      <c r="Q42" s="495"/>
      <c r="R42" s="496">
        <f t="shared" si="5"/>
        <v>49.5</v>
      </c>
      <c r="S42" s="334">
        <v>5</v>
      </c>
      <c r="T42" s="342"/>
      <c r="U42" s="355">
        <v>39968</v>
      </c>
      <c r="V42" s="343" t="s">
        <v>1104</v>
      </c>
      <c r="W42" s="334" t="s">
        <v>88</v>
      </c>
      <c r="X42" s="334" t="s">
        <v>11</v>
      </c>
      <c r="Y42" s="344">
        <v>30.7</v>
      </c>
      <c r="Z42" s="334" t="s">
        <v>1110</v>
      </c>
      <c r="AA42" s="334" t="s">
        <v>80</v>
      </c>
      <c r="AB42" s="334" t="s">
        <v>11</v>
      </c>
      <c r="AC42" s="334">
        <v>18.8</v>
      </c>
      <c r="AD42" s="343"/>
      <c r="AG42" s="344"/>
      <c r="AL42" s="343"/>
      <c r="AO42" s="344"/>
      <c r="AP42" s="343"/>
      <c r="AS42" s="344"/>
      <c r="AW42" s="344"/>
      <c r="BA42" s="345"/>
    </row>
    <row r="43" spans="1:53" s="334" customFormat="1">
      <c r="A43" s="334">
        <v>2010</v>
      </c>
      <c r="B43" s="335"/>
      <c r="C43" s="992" t="s">
        <v>1097</v>
      </c>
      <c r="D43" s="992"/>
      <c r="E43" s="334">
        <v>0</v>
      </c>
      <c r="G43" s="497">
        <v>13</v>
      </c>
      <c r="H43" s="532"/>
      <c r="I43" s="532"/>
      <c r="J43" s="499">
        <v>13</v>
      </c>
      <c r="K43" s="495">
        <f t="shared" si="0"/>
        <v>100</v>
      </c>
      <c r="L43" s="495">
        <f t="shared" si="1"/>
        <v>0</v>
      </c>
      <c r="M43" s="495">
        <f t="shared" si="2"/>
        <v>0</v>
      </c>
      <c r="N43" s="498">
        <f t="shared" si="3"/>
        <v>100</v>
      </c>
      <c r="O43" s="494">
        <v>49.5</v>
      </c>
      <c r="P43" s="495"/>
      <c r="Q43" s="495"/>
      <c r="R43" s="496">
        <f t="shared" si="5"/>
        <v>49.5</v>
      </c>
      <c r="S43" s="334">
        <v>5</v>
      </c>
      <c r="T43" s="342"/>
      <c r="U43" s="355"/>
      <c r="V43" s="343" t="s">
        <v>1104</v>
      </c>
      <c r="W43" s="334" t="s">
        <v>88</v>
      </c>
      <c r="X43" s="334" t="s">
        <v>11</v>
      </c>
      <c r="Y43" s="344">
        <v>30.7</v>
      </c>
      <c r="Z43" s="334" t="s">
        <v>1110</v>
      </c>
      <c r="AA43" s="334" t="s">
        <v>80</v>
      </c>
      <c r="AB43" s="334" t="s">
        <v>11</v>
      </c>
      <c r="AC43" s="334">
        <v>18.8</v>
      </c>
      <c r="AD43" s="343"/>
      <c r="AG43" s="344"/>
      <c r="AL43" s="343"/>
      <c r="AO43" s="344"/>
      <c r="AP43" s="343"/>
      <c r="AS43" s="344"/>
      <c r="AW43" s="344"/>
      <c r="BA43" s="345"/>
    </row>
    <row r="44" spans="1:53" s="334" customFormat="1">
      <c r="A44" s="334">
        <v>2010</v>
      </c>
      <c r="B44" s="335"/>
      <c r="C44" s="992" t="s">
        <v>1097</v>
      </c>
      <c r="D44" s="992"/>
      <c r="E44" s="334">
        <v>365</v>
      </c>
      <c r="G44" s="497">
        <v>13</v>
      </c>
      <c r="H44" s="532"/>
      <c r="I44" s="532"/>
      <c r="J44" s="499">
        <v>13</v>
      </c>
      <c r="K44" s="495">
        <f t="shared" si="0"/>
        <v>100</v>
      </c>
      <c r="L44" s="495">
        <f t="shared" si="1"/>
        <v>0</v>
      </c>
      <c r="M44" s="495">
        <f t="shared" si="2"/>
        <v>0</v>
      </c>
      <c r="N44" s="498">
        <f t="shared" si="3"/>
        <v>100</v>
      </c>
      <c r="O44" s="494">
        <v>49.5</v>
      </c>
      <c r="P44" s="495"/>
      <c r="Q44" s="495"/>
      <c r="R44" s="496">
        <f t="shared" si="5"/>
        <v>49.5</v>
      </c>
      <c r="S44" s="334">
        <v>5</v>
      </c>
      <c r="T44" s="342"/>
      <c r="U44" s="355"/>
      <c r="V44" s="343" t="s">
        <v>1104</v>
      </c>
      <c r="W44" s="334" t="s">
        <v>88</v>
      </c>
      <c r="X44" s="334" t="s">
        <v>11</v>
      </c>
      <c r="Y44" s="344">
        <v>30.7</v>
      </c>
      <c r="Z44" s="334" t="s">
        <v>1110</v>
      </c>
      <c r="AA44" s="334" t="s">
        <v>80</v>
      </c>
      <c r="AB44" s="334" t="s">
        <v>11</v>
      </c>
      <c r="AC44" s="334">
        <v>18.8</v>
      </c>
      <c r="AD44" s="343"/>
      <c r="AG44" s="344"/>
      <c r="AL44" s="343"/>
      <c r="AO44" s="344"/>
      <c r="AP44" s="343"/>
      <c r="AS44" s="344"/>
      <c r="AW44" s="344"/>
      <c r="BA44" s="345"/>
    </row>
    <row r="45" spans="1:53" s="334" customFormat="1">
      <c r="A45" s="334">
        <v>2011</v>
      </c>
      <c r="B45" s="335"/>
      <c r="C45" s="992" t="s">
        <v>1097</v>
      </c>
      <c r="D45" s="992"/>
      <c r="E45" s="334">
        <v>95</v>
      </c>
      <c r="G45" s="497">
        <v>13</v>
      </c>
      <c r="H45" s="532"/>
      <c r="I45" s="532"/>
      <c r="J45" s="499">
        <v>13</v>
      </c>
      <c r="K45" s="495">
        <f t="shared" ref="K45:K52" si="6">G45/J45*100</f>
        <v>100</v>
      </c>
      <c r="L45" s="495">
        <f t="shared" ref="L45:L52" si="7">H45/J45*100</f>
        <v>0</v>
      </c>
      <c r="M45" s="495">
        <f t="shared" ref="M45:M52" si="8">I45/J45*100</f>
        <v>0</v>
      </c>
      <c r="N45" s="498">
        <f t="shared" si="3"/>
        <v>100</v>
      </c>
      <c r="O45" s="494">
        <v>49.5</v>
      </c>
      <c r="P45" s="495"/>
      <c r="Q45" s="495"/>
      <c r="R45" s="496">
        <f t="shared" si="5"/>
        <v>49.5</v>
      </c>
      <c r="S45" s="334">
        <v>5</v>
      </c>
      <c r="T45" s="342"/>
      <c r="U45" s="355"/>
      <c r="V45" s="343" t="s">
        <v>1104</v>
      </c>
      <c r="W45" s="334" t="s">
        <v>88</v>
      </c>
      <c r="X45" s="334" t="s">
        <v>11</v>
      </c>
      <c r="Y45" s="344">
        <v>30.7</v>
      </c>
      <c r="Z45" s="334" t="s">
        <v>1110</v>
      </c>
      <c r="AA45" s="334" t="s">
        <v>80</v>
      </c>
      <c r="AB45" s="334" t="s">
        <v>11</v>
      </c>
      <c r="AC45" s="334">
        <v>18.8</v>
      </c>
      <c r="AD45" s="343"/>
      <c r="AG45" s="344"/>
      <c r="AL45" s="343"/>
      <c r="AO45" s="344"/>
      <c r="AP45" s="343"/>
      <c r="AS45" s="344"/>
      <c r="AW45" s="344"/>
      <c r="BA45" s="345"/>
    </row>
    <row r="46" spans="1:53" s="73" customFormat="1">
      <c r="A46" s="73">
        <v>2011</v>
      </c>
      <c r="B46" s="121">
        <v>40639</v>
      </c>
      <c r="C46" s="988" t="s">
        <v>1098</v>
      </c>
      <c r="D46" s="988"/>
      <c r="E46" s="73">
        <v>270</v>
      </c>
      <c r="F46" s="73">
        <v>1</v>
      </c>
      <c r="G46" s="480">
        <v>13</v>
      </c>
      <c r="H46" s="531"/>
      <c r="I46" s="531"/>
      <c r="J46" s="482">
        <v>13</v>
      </c>
      <c r="K46" s="477">
        <f t="shared" si="6"/>
        <v>100</v>
      </c>
      <c r="L46" s="477">
        <f t="shared" si="7"/>
        <v>0</v>
      </c>
      <c r="M46" s="477">
        <f t="shared" si="8"/>
        <v>0</v>
      </c>
      <c r="N46" s="481">
        <f t="shared" si="3"/>
        <v>100</v>
      </c>
      <c r="O46" s="476">
        <v>55.5</v>
      </c>
      <c r="P46" s="477"/>
      <c r="Q46" s="477"/>
      <c r="R46" s="478">
        <f t="shared" si="5"/>
        <v>55.5</v>
      </c>
      <c r="S46" s="73">
        <v>2</v>
      </c>
      <c r="T46" s="95">
        <v>40608</v>
      </c>
      <c r="U46" s="85">
        <v>40639</v>
      </c>
      <c r="V46" s="82" t="s">
        <v>1104</v>
      </c>
      <c r="W46" s="73" t="s">
        <v>88</v>
      </c>
      <c r="X46" s="73" t="s">
        <v>11</v>
      </c>
      <c r="Y46" s="83">
        <v>32.700000000000003</v>
      </c>
      <c r="Z46" s="73" t="s">
        <v>1110</v>
      </c>
      <c r="AA46" s="73" t="s">
        <v>80</v>
      </c>
      <c r="AB46" s="73" t="s">
        <v>11</v>
      </c>
      <c r="AC46" s="73">
        <v>22.8</v>
      </c>
      <c r="AD46" s="82"/>
      <c r="AG46" s="83"/>
      <c r="AL46" s="82"/>
      <c r="AO46" s="83"/>
      <c r="AP46" s="82"/>
      <c r="AS46" s="83"/>
      <c r="AW46" s="83"/>
      <c r="BA46" s="84"/>
    </row>
    <row r="47" spans="1:53" s="73" customFormat="1">
      <c r="A47" s="73">
        <v>2012</v>
      </c>
      <c r="B47" s="121"/>
      <c r="C47" s="988" t="s">
        <v>1098</v>
      </c>
      <c r="D47" s="988"/>
      <c r="E47" s="73">
        <v>0</v>
      </c>
      <c r="G47" s="480">
        <v>13</v>
      </c>
      <c r="H47" s="531"/>
      <c r="I47" s="531"/>
      <c r="J47" s="482">
        <v>13</v>
      </c>
      <c r="K47" s="477">
        <f t="shared" si="6"/>
        <v>100</v>
      </c>
      <c r="L47" s="477">
        <f t="shared" si="7"/>
        <v>0</v>
      </c>
      <c r="M47" s="477">
        <f t="shared" si="8"/>
        <v>0</v>
      </c>
      <c r="N47" s="481">
        <f t="shared" si="3"/>
        <v>100</v>
      </c>
      <c r="O47" s="476">
        <v>55.5</v>
      </c>
      <c r="P47" s="477"/>
      <c r="Q47" s="477"/>
      <c r="R47" s="478">
        <f t="shared" si="5"/>
        <v>55.5</v>
      </c>
      <c r="S47" s="73">
        <v>2</v>
      </c>
      <c r="T47" s="95"/>
      <c r="U47" s="85"/>
      <c r="V47" s="82" t="s">
        <v>1104</v>
      </c>
      <c r="W47" s="73" t="s">
        <v>88</v>
      </c>
      <c r="X47" s="73" t="s">
        <v>11</v>
      </c>
      <c r="Y47" s="83">
        <v>32.700000000000003</v>
      </c>
      <c r="Z47" s="73" t="s">
        <v>1110</v>
      </c>
      <c r="AA47" s="73" t="s">
        <v>80</v>
      </c>
      <c r="AB47" s="73" t="s">
        <v>11</v>
      </c>
      <c r="AC47" s="73">
        <v>22.8</v>
      </c>
      <c r="AD47" s="82"/>
      <c r="AG47" s="83"/>
      <c r="AL47" s="82"/>
      <c r="AO47" s="83"/>
      <c r="AP47" s="82"/>
      <c r="AS47" s="83"/>
      <c r="AW47" s="83"/>
      <c r="BA47" s="84"/>
    </row>
    <row r="48" spans="1:53" s="73" customFormat="1">
      <c r="A48" s="73">
        <v>2012</v>
      </c>
      <c r="B48" s="121"/>
      <c r="C48" s="988" t="s">
        <v>1098</v>
      </c>
      <c r="D48" s="988"/>
      <c r="E48" s="73">
        <v>366</v>
      </c>
      <c r="G48" s="480">
        <v>13</v>
      </c>
      <c r="H48" s="531"/>
      <c r="I48" s="531"/>
      <c r="J48" s="482">
        <v>13</v>
      </c>
      <c r="K48" s="477">
        <f t="shared" si="6"/>
        <v>100</v>
      </c>
      <c r="L48" s="477">
        <f t="shared" si="7"/>
        <v>0</v>
      </c>
      <c r="M48" s="477">
        <f t="shared" si="8"/>
        <v>0</v>
      </c>
      <c r="N48" s="481">
        <f t="shared" si="3"/>
        <v>100</v>
      </c>
      <c r="O48" s="476">
        <v>55.5</v>
      </c>
      <c r="P48" s="477"/>
      <c r="Q48" s="477"/>
      <c r="R48" s="478">
        <f t="shared" si="5"/>
        <v>55.5</v>
      </c>
      <c r="S48" s="73">
        <v>2</v>
      </c>
      <c r="T48" s="95"/>
      <c r="U48" s="85"/>
      <c r="V48" s="82" t="s">
        <v>1104</v>
      </c>
      <c r="W48" s="73" t="s">
        <v>88</v>
      </c>
      <c r="X48" s="73" t="s">
        <v>11</v>
      </c>
      <c r="Y48" s="83">
        <v>32.700000000000003</v>
      </c>
      <c r="Z48" s="73" t="s">
        <v>1110</v>
      </c>
      <c r="AA48" s="73" t="s">
        <v>80</v>
      </c>
      <c r="AB48" s="73" t="s">
        <v>11</v>
      </c>
      <c r="AC48" s="73">
        <v>22.8</v>
      </c>
      <c r="AD48" s="82"/>
      <c r="AG48" s="83"/>
      <c r="AL48" s="82"/>
      <c r="AO48" s="83"/>
      <c r="AP48" s="82"/>
      <c r="AS48" s="83"/>
      <c r="AW48" s="83"/>
      <c r="BA48" s="84"/>
    </row>
    <row r="49" spans="1:53" s="316" customFormat="1">
      <c r="A49" s="316">
        <v>2013</v>
      </c>
      <c r="B49" s="121"/>
      <c r="C49" s="988" t="s">
        <v>1098</v>
      </c>
      <c r="D49" s="988"/>
      <c r="E49" s="316">
        <v>0</v>
      </c>
      <c r="G49" s="480">
        <v>13</v>
      </c>
      <c r="H49" s="531"/>
      <c r="I49" s="531"/>
      <c r="J49" s="482">
        <v>13</v>
      </c>
      <c r="K49" s="477">
        <f t="shared" si="6"/>
        <v>100</v>
      </c>
      <c r="L49" s="477">
        <f t="shared" si="7"/>
        <v>0</v>
      </c>
      <c r="M49" s="477">
        <f t="shared" si="8"/>
        <v>0</v>
      </c>
      <c r="N49" s="481">
        <f t="shared" si="3"/>
        <v>100</v>
      </c>
      <c r="O49" s="476">
        <v>55.5</v>
      </c>
      <c r="P49" s="477"/>
      <c r="Q49" s="477"/>
      <c r="R49" s="478">
        <f>SUM(O49:Q49)</f>
        <v>55.5</v>
      </c>
      <c r="S49" s="316">
        <v>2</v>
      </c>
      <c r="T49" s="95"/>
      <c r="U49" s="314"/>
      <c r="V49" s="82" t="s">
        <v>1104</v>
      </c>
      <c r="W49" s="316" t="s">
        <v>88</v>
      </c>
      <c r="X49" s="316" t="s">
        <v>11</v>
      </c>
      <c r="Y49" s="83">
        <v>32.700000000000003</v>
      </c>
      <c r="Z49" s="316" t="s">
        <v>1110</v>
      </c>
      <c r="AA49" s="316" t="s">
        <v>80</v>
      </c>
      <c r="AB49" s="316" t="s">
        <v>11</v>
      </c>
      <c r="AC49" s="316">
        <v>22.8</v>
      </c>
      <c r="AD49" s="82"/>
      <c r="AG49" s="83"/>
      <c r="AL49" s="82"/>
      <c r="AO49" s="83"/>
      <c r="AP49" s="82"/>
      <c r="AS49" s="83"/>
      <c r="AW49" s="83"/>
      <c r="BA49" s="84"/>
    </row>
    <row r="50" spans="1:53" s="531" customFormat="1">
      <c r="A50" s="531">
        <v>2013</v>
      </c>
      <c r="B50" s="121"/>
      <c r="C50" s="988" t="s">
        <v>1098</v>
      </c>
      <c r="D50" s="988"/>
      <c r="E50" s="531">
        <v>365</v>
      </c>
      <c r="G50" s="480">
        <v>13</v>
      </c>
      <c r="J50" s="482">
        <v>13</v>
      </c>
      <c r="K50" s="477">
        <f t="shared" si="6"/>
        <v>100</v>
      </c>
      <c r="L50" s="477">
        <f t="shared" si="7"/>
        <v>0</v>
      </c>
      <c r="M50" s="477">
        <f t="shared" si="8"/>
        <v>0</v>
      </c>
      <c r="N50" s="481">
        <f t="shared" si="3"/>
        <v>100</v>
      </c>
      <c r="O50" s="476">
        <v>55.5</v>
      </c>
      <c r="P50" s="477"/>
      <c r="Q50" s="477"/>
      <c r="R50" s="478">
        <f>SUM(O50:Q50)</f>
        <v>55.5</v>
      </c>
      <c r="S50" s="531">
        <v>2</v>
      </c>
      <c r="T50" s="479"/>
      <c r="U50" s="528"/>
      <c r="V50" s="472" t="s">
        <v>1104</v>
      </c>
      <c r="W50" s="531" t="s">
        <v>88</v>
      </c>
      <c r="X50" s="531" t="s">
        <v>11</v>
      </c>
      <c r="Y50" s="473">
        <v>32.700000000000003</v>
      </c>
      <c r="Z50" s="531" t="s">
        <v>1110</v>
      </c>
      <c r="AA50" s="531" t="s">
        <v>80</v>
      </c>
      <c r="AB50" s="531" t="s">
        <v>11</v>
      </c>
      <c r="AC50" s="531">
        <v>22.8</v>
      </c>
      <c r="AD50" s="472"/>
      <c r="AG50" s="473"/>
      <c r="AL50" s="472"/>
      <c r="AO50" s="473"/>
      <c r="AP50" s="472"/>
      <c r="AS50" s="473"/>
      <c r="AW50" s="473"/>
      <c r="BA50" s="474"/>
    </row>
    <row r="51" spans="1:53" s="531" customFormat="1">
      <c r="A51" s="531">
        <v>2014</v>
      </c>
      <c r="B51" s="121"/>
      <c r="C51" s="988" t="s">
        <v>1098</v>
      </c>
      <c r="D51" s="988"/>
      <c r="E51" s="531">
        <v>84</v>
      </c>
      <c r="G51" s="480">
        <v>13</v>
      </c>
      <c r="J51" s="482">
        <v>13</v>
      </c>
      <c r="K51" s="477">
        <f t="shared" si="6"/>
        <v>100</v>
      </c>
      <c r="L51" s="477">
        <f t="shared" si="7"/>
        <v>0</v>
      </c>
      <c r="M51" s="477">
        <f t="shared" si="8"/>
        <v>0</v>
      </c>
      <c r="N51" s="481">
        <f t="shared" si="3"/>
        <v>100</v>
      </c>
      <c r="O51" s="476">
        <v>55.5</v>
      </c>
      <c r="P51" s="477"/>
      <c r="Q51" s="477"/>
      <c r="R51" s="478">
        <f>SUM(O51:Q51)</f>
        <v>55.5</v>
      </c>
      <c r="S51" s="531">
        <v>2</v>
      </c>
      <c r="T51" s="479"/>
      <c r="U51" s="528"/>
      <c r="V51" s="472" t="s">
        <v>1104</v>
      </c>
      <c r="W51" s="531" t="s">
        <v>88</v>
      </c>
      <c r="X51" s="531" t="s">
        <v>11</v>
      </c>
      <c r="Y51" s="473">
        <v>32.700000000000003</v>
      </c>
      <c r="Z51" s="531" t="s">
        <v>1110</v>
      </c>
      <c r="AA51" s="531" t="s">
        <v>80</v>
      </c>
      <c r="AB51" s="531" t="s">
        <v>11</v>
      </c>
      <c r="AC51" s="531">
        <v>22.8</v>
      </c>
      <c r="AD51" s="472"/>
      <c r="AG51" s="473"/>
      <c r="AL51" s="472"/>
      <c r="AO51" s="473"/>
      <c r="AP51" s="472"/>
      <c r="AS51" s="473"/>
      <c r="AW51" s="473"/>
      <c r="BA51" s="474"/>
    </row>
    <row r="52" spans="1:53" s="532" customFormat="1">
      <c r="A52" s="532">
        <v>2014</v>
      </c>
      <c r="B52" s="335">
        <v>41724</v>
      </c>
      <c r="C52" s="992" t="s">
        <v>1300</v>
      </c>
      <c r="D52" s="992"/>
      <c r="E52" s="532">
        <v>281</v>
      </c>
      <c r="F52" s="532">
        <v>2</v>
      </c>
      <c r="G52" s="497">
        <v>8</v>
      </c>
      <c r="I52" s="532">
        <v>6</v>
      </c>
      <c r="J52" s="499">
        <v>14</v>
      </c>
      <c r="K52" s="495">
        <f t="shared" si="6"/>
        <v>57.142857142857139</v>
      </c>
      <c r="L52" s="495">
        <f t="shared" si="7"/>
        <v>0</v>
      </c>
      <c r="M52" s="495">
        <f t="shared" si="8"/>
        <v>42.857142857142854</v>
      </c>
      <c r="N52" s="498">
        <f t="shared" si="3"/>
        <v>100</v>
      </c>
      <c r="O52" s="494">
        <v>33.700000000000003</v>
      </c>
      <c r="P52" s="495"/>
      <c r="Q52" s="495">
        <v>20.8</v>
      </c>
      <c r="R52" s="496">
        <f>SUM(O52:Q52)</f>
        <v>54.5</v>
      </c>
      <c r="S52" s="532">
        <v>2</v>
      </c>
      <c r="T52" s="487"/>
      <c r="U52" s="529">
        <v>41724</v>
      </c>
      <c r="V52" s="488" t="s">
        <v>1104</v>
      </c>
      <c r="W52" s="532" t="s">
        <v>88</v>
      </c>
      <c r="X52" s="532" t="s">
        <v>11</v>
      </c>
      <c r="Y52" s="489">
        <v>33.700000000000003</v>
      </c>
      <c r="Z52" s="532" t="s">
        <v>1111</v>
      </c>
      <c r="AA52" s="532" t="s">
        <v>98</v>
      </c>
      <c r="AB52" s="532" t="s">
        <v>12</v>
      </c>
      <c r="AC52" s="532">
        <v>20.8</v>
      </c>
      <c r="AD52" s="488"/>
      <c r="AG52" s="489"/>
      <c r="AL52" s="488"/>
      <c r="AO52" s="489"/>
      <c r="AP52" s="488"/>
      <c r="AS52" s="489"/>
      <c r="AW52" s="489"/>
      <c r="BA52" s="490"/>
    </row>
    <row r="53" spans="1:53" s="713" customFormat="1">
      <c r="A53" s="713">
        <v>2015</v>
      </c>
      <c r="B53" s="335"/>
      <c r="C53" s="992" t="s">
        <v>1300</v>
      </c>
      <c r="D53" s="992"/>
      <c r="E53" s="713">
        <v>98</v>
      </c>
      <c r="G53" s="642">
        <v>8</v>
      </c>
      <c r="I53" s="713">
        <v>6</v>
      </c>
      <c r="J53" s="644">
        <v>14</v>
      </c>
      <c r="K53" s="640">
        <f t="shared" ref="K53" si="9">G53/J53*100</f>
        <v>57.142857142857139</v>
      </c>
      <c r="L53" s="640">
        <f t="shared" ref="L53:L54" si="10">H53/J53*100</f>
        <v>0</v>
      </c>
      <c r="M53" s="640">
        <f t="shared" ref="M53:M54" si="11">I53/J53*100</f>
        <v>42.857142857142854</v>
      </c>
      <c r="N53" s="643">
        <f t="shared" ref="N53:N54" si="12">SUM(K53:M53)</f>
        <v>100</v>
      </c>
      <c r="O53" s="639">
        <v>33.700000000000003</v>
      </c>
      <c r="P53" s="640"/>
      <c r="Q53" s="640">
        <v>20.8</v>
      </c>
      <c r="R53" s="641">
        <f>SUM(O53:Q53)</f>
        <v>54.5</v>
      </c>
      <c r="S53" s="713">
        <v>2</v>
      </c>
      <c r="T53" s="487"/>
      <c r="U53" s="708"/>
      <c r="V53" s="634" t="s">
        <v>1104</v>
      </c>
      <c r="W53" s="713" t="s">
        <v>88</v>
      </c>
      <c r="X53" s="713" t="s">
        <v>11</v>
      </c>
      <c r="Y53" s="635">
        <v>33.700000000000003</v>
      </c>
      <c r="Z53" s="713" t="s">
        <v>1111</v>
      </c>
      <c r="AA53" s="713" t="s">
        <v>98</v>
      </c>
      <c r="AB53" s="713" t="s">
        <v>12</v>
      </c>
      <c r="AC53" s="713">
        <v>20.8</v>
      </c>
      <c r="AD53" s="634"/>
      <c r="AG53" s="635"/>
      <c r="AL53" s="634"/>
      <c r="AO53" s="635"/>
      <c r="AP53" s="634"/>
      <c r="AS53" s="635"/>
      <c r="AW53" s="635"/>
      <c r="BA53" s="636"/>
    </row>
    <row r="54" spans="1:53" s="712" customFormat="1">
      <c r="A54" s="712">
        <v>2015</v>
      </c>
      <c r="B54" s="121">
        <v>42103</v>
      </c>
      <c r="C54" s="988" t="s">
        <v>1331</v>
      </c>
      <c r="D54" s="988"/>
      <c r="E54" s="712">
        <v>98</v>
      </c>
      <c r="F54" s="712">
        <v>1</v>
      </c>
      <c r="G54" s="596">
        <v>11</v>
      </c>
      <c r="I54" s="712">
        <v>4</v>
      </c>
      <c r="J54" s="598">
        <v>15</v>
      </c>
      <c r="K54" s="593">
        <f>G54/J54*100</f>
        <v>73.333333333333329</v>
      </c>
      <c r="L54" s="593">
        <f t="shared" si="10"/>
        <v>0</v>
      </c>
      <c r="M54" s="593">
        <f t="shared" si="11"/>
        <v>26.666666666666668</v>
      </c>
      <c r="N54" s="597">
        <f t="shared" si="12"/>
        <v>100</v>
      </c>
      <c r="O54" s="592">
        <v>43.6</v>
      </c>
      <c r="P54" s="593"/>
      <c r="Q54" s="593">
        <v>14.9</v>
      </c>
      <c r="R54" s="594">
        <f t="shared" ref="R54:R55" si="13">SUM(O54:Q54)</f>
        <v>58.5</v>
      </c>
      <c r="S54" s="712">
        <v>2</v>
      </c>
      <c r="T54" s="595">
        <v>42064</v>
      </c>
      <c r="U54" s="121">
        <v>42103</v>
      </c>
      <c r="V54" s="588" t="s">
        <v>1104</v>
      </c>
      <c r="W54" s="712" t="s">
        <v>88</v>
      </c>
      <c r="X54" s="712" t="s">
        <v>11</v>
      </c>
      <c r="Y54" s="589">
        <v>29.7</v>
      </c>
      <c r="Z54" s="712" t="s">
        <v>1111</v>
      </c>
      <c r="AA54" s="712" t="s">
        <v>98</v>
      </c>
      <c r="AB54" s="712" t="s">
        <v>12</v>
      </c>
      <c r="AC54" s="712">
        <v>14.9</v>
      </c>
      <c r="AD54" s="588" t="s">
        <v>1110</v>
      </c>
      <c r="AE54" s="712" t="s">
        <v>80</v>
      </c>
      <c r="AF54" s="712" t="s">
        <v>11</v>
      </c>
      <c r="AG54" s="589">
        <v>13.9</v>
      </c>
      <c r="AL54" s="588"/>
      <c r="AO54" s="589"/>
      <c r="AP54" s="588"/>
      <c r="AS54" s="589"/>
      <c r="AW54" s="589"/>
      <c r="BA54" s="590"/>
    </row>
    <row r="55" spans="1:53" s="712" customFormat="1">
      <c r="A55" s="712">
        <v>2015</v>
      </c>
      <c r="B55" s="154">
        <v>42201</v>
      </c>
      <c r="C55" s="988" t="s">
        <v>1331</v>
      </c>
      <c r="D55" s="988"/>
      <c r="E55" s="712">
        <v>169</v>
      </c>
      <c r="F55" s="600">
        <v>0</v>
      </c>
      <c r="G55" s="596">
        <v>10</v>
      </c>
      <c r="I55" s="712">
        <v>4</v>
      </c>
      <c r="J55" s="598">
        <v>15</v>
      </c>
      <c r="K55" s="593">
        <f t="shared" ref="K55:K56" si="14">G55/J55*100</f>
        <v>66.666666666666657</v>
      </c>
      <c r="L55" s="593">
        <f t="shared" ref="L55:L56" si="15">H55/J55*100</f>
        <v>0</v>
      </c>
      <c r="M55" s="593">
        <f t="shared" ref="M55:M56" si="16">I55/J55*100</f>
        <v>26.666666666666668</v>
      </c>
      <c r="N55" s="597">
        <f t="shared" ref="N55:N56" si="17">SUM(K55:M55)</f>
        <v>93.333333333333329</v>
      </c>
      <c r="O55" s="592">
        <v>43.6</v>
      </c>
      <c r="P55" s="593"/>
      <c r="Q55" s="593">
        <v>14.9</v>
      </c>
      <c r="R55" s="594">
        <f t="shared" si="13"/>
        <v>58.5</v>
      </c>
      <c r="S55" s="712">
        <v>2</v>
      </c>
      <c r="T55" s="595"/>
      <c r="U55" s="709"/>
      <c r="V55" s="588" t="s">
        <v>1104</v>
      </c>
      <c r="W55" s="712" t="s">
        <v>88</v>
      </c>
      <c r="X55" s="712" t="s">
        <v>11</v>
      </c>
      <c r="Y55" s="589">
        <v>29.7</v>
      </c>
      <c r="Z55" s="712" t="s">
        <v>1111</v>
      </c>
      <c r="AA55" s="712" t="s">
        <v>98</v>
      </c>
      <c r="AB55" s="712" t="s">
        <v>12</v>
      </c>
      <c r="AC55" s="712">
        <v>14.9</v>
      </c>
      <c r="AD55" s="588" t="s">
        <v>1110</v>
      </c>
      <c r="AE55" s="712" t="s">
        <v>80</v>
      </c>
      <c r="AF55" s="712" t="s">
        <v>11</v>
      </c>
      <c r="AG55" s="589">
        <v>13.9</v>
      </c>
      <c r="AL55" s="588"/>
      <c r="AO55" s="589"/>
      <c r="AP55" s="588"/>
      <c r="AS55" s="589"/>
      <c r="AW55" s="589"/>
      <c r="BA55" s="590"/>
    </row>
    <row r="56" spans="1:53" s="806" customFormat="1">
      <c r="A56" s="806">
        <v>2016</v>
      </c>
      <c r="B56" s="154"/>
      <c r="C56" s="988" t="s">
        <v>1331</v>
      </c>
      <c r="D56" s="988"/>
      <c r="E56" s="806">
        <v>255</v>
      </c>
      <c r="F56" s="600"/>
      <c r="G56" s="596">
        <v>10</v>
      </c>
      <c r="I56" s="806">
        <v>4</v>
      </c>
      <c r="J56" s="598">
        <v>15</v>
      </c>
      <c r="K56" s="593">
        <f t="shared" si="14"/>
        <v>66.666666666666657</v>
      </c>
      <c r="L56" s="593">
        <f t="shared" si="15"/>
        <v>0</v>
      </c>
      <c r="M56" s="593">
        <f t="shared" si="16"/>
        <v>26.666666666666668</v>
      </c>
      <c r="N56" s="597">
        <f t="shared" si="17"/>
        <v>93.333333333333329</v>
      </c>
      <c r="O56" s="592">
        <v>43.6</v>
      </c>
      <c r="P56" s="593"/>
      <c r="Q56" s="593">
        <v>14.9</v>
      </c>
      <c r="R56" s="594">
        <f t="shared" ref="R56:R57" si="18">SUM(O56:Q56)</f>
        <v>58.5</v>
      </c>
      <c r="S56" s="806">
        <v>2</v>
      </c>
      <c r="T56" s="595"/>
      <c r="U56" s="803"/>
      <c r="V56" s="588" t="s">
        <v>1104</v>
      </c>
      <c r="W56" s="806" t="s">
        <v>88</v>
      </c>
      <c r="X56" s="806" t="s">
        <v>11</v>
      </c>
      <c r="Y56" s="589">
        <v>29.7</v>
      </c>
      <c r="Z56" s="806" t="s">
        <v>1111</v>
      </c>
      <c r="AA56" s="806" t="s">
        <v>98</v>
      </c>
      <c r="AB56" s="806" t="s">
        <v>12</v>
      </c>
      <c r="AC56" s="806">
        <v>14.9</v>
      </c>
      <c r="AD56" s="588" t="s">
        <v>1110</v>
      </c>
      <c r="AE56" s="806" t="s">
        <v>80</v>
      </c>
      <c r="AF56" s="806" t="s">
        <v>11</v>
      </c>
      <c r="AG56" s="589">
        <v>13.9</v>
      </c>
      <c r="AL56" s="588"/>
      <c r="AO56" s="589"/>
      <c r="AP56" s="588"/>
      <c r="AS56" s="589"/>
      <c r="AW56" s="589"/>
      <c r="BA56" s="590"/>
    </row>
    <row r="57" spans="1:53" s="806" customFormat="1">
      <c r="A57" s="806">
        <v>2016</v>
      </c>
      <c r="B57" s="154">
        <v>42625</v>
      </c>
      <c r="C57" s="988" t="s">
        <v>1331</v>
      </c>
      <c r="D57" s="988"/>
      <c r="E57" s="806">
        <v>72</v>
      </c>
      <c r="F57" s="600">
        <v>0</v>
      </c>
      <c r="G57" s="596">
        <v>11</v>
      </c>
      <c r="I57" s="806">
        <v>4</v>
      </c>
      <c r="J57" s="598">
        <v>15</v>
      </c>
      <c r="K57" s="593">
        <f>G57/J57*100</f>
        <v>73.333333333333329</v>
      </c>
      <c r="L57" s="593">
        <f t="shared" ref="L57" si="19">H57/J57*100</f>
        <v>0</v>
      </c>
      <c r="M57" s="593">
        <f t="shared" ref="M57" si="20">I57/J57*100</f>
        <v>26.666666666666668</v>
      </c>
      <c r="N57" s="597">
        <f>SUM(K57:M57)</f>
        <v>100</v>
      </c>
      <c r="O57" s="592">
        <v>43.6</v>
      </c>
      <c r="P57" s="593"/>
      <c r="Q57" s="593">
        <v>14.9</v>
      </c>
      <c r="R57" s="594">
        <f t="shared" si="18"/>
        <v>58.5</v>
      </c>
      <c r="S57" s="806">
        <v>2</v>
      </c>
      <c r="T57" s="595"/>
      <c r="U57" s="803"/>
      <c r="V57" s="588" t="s">
        <v>1104</v>
      </c>
      <c r="W57" s="806" t="s">
        <v>88</v>
      </c>
      <c r="X57" s="806" t="s">
        <v>11</v>
      </c>
      <c r="Y57" s="589">
        <v>29.7</v>
      </c>
      <c r="Z57" s="806" t="s">
        <v>1111</v>
      </c>
      <c r="AA57" s="806" t="s">
        <v>98</v>
      </c>
      <c r="AB57" s="806" t="s">
        <v>12</v>
      </c>
      <c r="AC57" s="806">
        <v>14.9</v>
      </c>
      <c r="AD57" s="588" t="s">
        <v>1110</v>
      </c>
      <c r="AE57" s="806" t="s">
        <v>80</v>
      </c>
      <c r="AF57" s="806" t="s">
        <v>11</v>
      </c>
      <c r="AG57" s="589">
        <v>13.9</v>
      </c>
      <c r="AL57" s="588"/>
      <c r="AO57" s="589"/>
      <c r="AP57" s="588"/>
      <c r="AS57" s="589"/>
      <c r="AW57" s="589"/>
      <c r="BA57" s="590"/>
    </row>
    <row r="58" spans="1:53" s="807" customFormat="1">
      <c r="A58" s="807">
        <v>2016</v>
      </c>
      <c r="B58" s="361">
        <v>42697</v>
      </c>
      <c r="C58" s="992" t="s">
        <v>1369</v>
      </c>
      <c r="D58" s="992"/>
      <c r="E58" s="807">
        <v>39</v>
      </c>
      <c r="F58" s="823">
        <v>5</v>
      </c>
      <c r="G58" s="642">
        <v>5</v>
      </c>
      <c r="H58" s="807">
        <v>5</v>
      </c>
      <c r="I58" s="807">
        <v>5</v>
      </c>
      <c r="J58" s="644">
        <v>15</v>
      </c>
      <c r="K58" s="640">
        <f t="shared" ref="K58" si="21">G58/J58*100</f>
        <v>33.333333333333329</v>
      </c>
      <c r="L58" s="640">
        <f t="shared" ref="L58" si="22">H58/J58*100</f>
        <v>33.333333333333329</v>
      </c>
      <c r="M58" s="640">
        <f t="shared" ref="M58" si="23">I58/J58*100</f>
        <v>33.333333333333329</v>
      </c>
      <c r="N58" s="643">
        <f>SUM(K58:M58)</f>
        <v>99.999999999999986</v>
      </c>
      <c r="O58" s="639">
        <v>13.9</v>
      </c>
      <c r="P58" s="640">
        <v>26.7</v>
      </c>
      <c r="Q58" s="640">
        <v>14.9</v>
      </c>
      <c r="R58" s="641">
        <v>55.5</v>
      </c>
      <c r="S58" s="807">
        <v>2</v>
      </c>
      <c r="T58" s="487"/>
      <c r="U58" s="802">
        <v>42697</v>
      </c>
      <c r="V58" s="634" t="s">
        <v>1348</v>
      </c>
      <c r="W58" s="807" t="s">
        <v>100</v>
      </c>
      <c r="X58" s="807" t="s">
        <v>18</v>
      </c>
      <c r="Y58" s="635">
        <v>26.7</v>
      </c>
      <c r="Z58" s="807" t="s">
        <v>1111</v>
      </c>
      <c r="AA58" s="807" t="s">
        <v>98</v>
      </c>
      <c r="AB58" s="807" t="s">
        <v>12</v>
      </c>
      <c r="AC58" s="807">
        <v>14.9</v>
      </c>
      <c r="AD58" s="634" t="s">
        <v>1110</v>
      </c>
      <c r="AE58" s="807" t="s">
        <v>80</v>
      </c>
      <c r="AF58" s="807" t="s">
        <v>11</v>
      </c>
      <c r="AG58" s="635">
        <v>13.9</v>
      </c>
      <c r="AL58" s="634"/>
      <c r="AO58" s="635"/>
      <c r="AP58" s="634"/>
      <c r="AS58" s="635"/>
      <c r="AW58" s="635"/>
      <c r="BA58" s="636"/>
    </row>
    <row r="59" spans="1:53" s="895" customFormat="1">
      <c r="A59" s="895">
        <v>2017</v>
      </c>
      <c r="B59" s="361"/>
      <c r="C59" s="992" t="s">
        <v>1369</v>
      </c>
      <c r="D59" s="992"/>
      <c r="E59" s="895">
        <v>0</v>
      </c>
      <c r="G59" s="642">
        <v>5</v>
      </c>
      <c r="H59" s="895">
        <v>5</v>
      </c>
      <c r="I59" s="895">
        <v>5</v>
      </c>
      <c r="J59" s="644">
        <v>15</v>
      </c>
      <c r="K59" s="640">
        <f t="shared" ref="K59:K60" si="24">G59/J59*100</f>
        <v>33.333333333333329</v>
      </c>
      <c r="L59" s="640">
        <f t="shared" ref="L59:L60" si="25">H59/J59*100</f>
        <v>33.333333333333329</v>
      </c>
      <c r="M59" s="640">
        <f t="shared" ref="M59:M60" si="26">I59/J59*100</f>
        <v>33.333333333333329</v>
      </c>
      <c r="N59" s="643">
        <f t="shared" ref="N59:N60" si="27">SUM(K59:M59)</f>
        <v>99.999999999999986</v>
      </c>
      <c r="O59" s="639">
        <v>13.9</v>
      </c>
      <c r="P59" s="640">
        <v>26.7</v>
      </c>
      <c r="Q59" s="640">
        <v>14.9</v>
      </c>
      <c r="R59" s="641">
        <v>55.5</v>
      </c>
      <c r="S59" s="895">
        <v>2</v>
      </c>
      <c r="T59" s="487"/>
      <c r="U59" s="893"/>
      <c r="V59" s="634" t="s">
        <v>1348</v>
      </c>
      <c r="W59" s="895" t="s">
        <v>100</v>
      </c>
      <c r="X59" s="895" t="s">
        <v>18</v>
      </c>
      <c r="Y59" s="635">
        <v>26.7</v>
      </c>
      <c r="Z59" s="895" t="s">
        <v>1111</v>
      </c>
      <c r="AA59" s="895" t="s">
        <v>98</v>
      </c>
      <c r="AB59" s="895" t="s">
        <v>12</v>
      </c>
      <c r="AC59" s="895">
        <v>14.9</v>
      </c>
      <c r="AD59" s="634" t="s">
        <v>1110</v>
      </c>
      <c r="AE59" s="895" t="s">
        <v>80</v>
      </c>
      <c r="AF59" s="895" t="s">
        <v>11</v>
      </c>
      <c r="AG59" s="635">
        <v>13.9</v>
      </c>
    </row>
    <row r="60" spans="1:53" s="895" customFormat="1">
      <c r="A60" s="895">
        <v>2017</v>
      </c>
      <c r="B60" s="361"/>
      <c r="C60" s="992" t="s">
        <v>1369</v>
      </c>
      <c r="D60" s="992"/>
      <c r="E60" s="895">
        <v>365</v>
      </c>
      <c r="G60" s="642">
        <v>5</v>
      </c>
      <c r="H60" s="895">
        <v>5</v>
      </c>
      <c r="I60" s="895">
        <v>5</v>
      </c>
      <c r="J60" s="644">
        <v>15</v>
      </c>
      <c r="K60" s="640">
        <f t="shared" si="24"/>
        <v>33.333333333333329</v>
      </c>
      <c r="L60" s="640">
        <f t="shared" si="25"/>
        <v>33.333333333333329</v>
      </c>
      <c r="M60" s="640">
        <f t="shared" si="26"/>
        <v>33.333333333333329</v>
      </c>
      <c r="N60" s="643">
        <f t="shared" si="27"/>
        <v>99.999999999999986</v>
      </c>
      <c r="O60" s="639">
        <v>13.9</v>
      </c>
      <c r="P60" s="640">
        <v>26.7</v>
      </c>
      <c r="Q60" s="640">
        <v>14.9</v>
      </c>
      <c r="R60" s="641">
        <v>55.5</v>
      </c>
      <c r="S60" s="895">
        <v>2</v>
      </c>
      <c r="T60" s="487"/>
      <c r="U60" s="893"/>
      <c r="V60" s="634" t="s">
        <v>1348</v>
      </c>
      <c r="W60" s="895" t="s">
        <v>100</v>
      </c>
      <c r="X60" s="895" t="s">
        <v>18</v>
      </c>
      <c r="Y60" s="635">
        <v>26.7</v>
      </c>
      <c r="Z60" s="895" t="s">
        <v>1111</v>
      </c>
      <c r="AA60" s="895" t="s">
        <v>98</v>
      </c>
      <c r="AB60" s="895" t="s">
        <v>12</v>
      </c>
      <c r="AC60" s="895">
        <v>14.9</v>
      </c>
      <c r="AD60" s="634" t="s">
        <v>1110</v>
      </c>
      <c r="AE60" s="895" t="s">
        <v>80</v>
      </c>
      <c r="AF60" s="895" t="s">
        <v>11</v>
      </c>
      <c r="AG60" s="635">
        <v>13.9</v>
      </c>
    </row>
    <row r="61" spans="1:53" s="932" customFormat="1">
      <c r="A61" s="932">
        <v>2018</v>
      </c>
      <c r="B61" s="361"/>
      <c r="C61" s="992" t="s">
        <v>1369</v>
      </c>
      <c r="D61" s="992"/>
      <c r="E61" s="932">
        <v>0</v>
      </c>
      <c r="G61" s="642">
        <v>5</v>
      </c>
      <c r="H61" s="932">
        <v>5</v>
      </c>
      <c r="I61" s="932">
        <v>5</v>
      </c>
      <c r="J61" s="644">
        <v>15</v>
      </c>
      <c r="K61" s="640">
        <f t="shared" ref="K61:K62" si="28">G61/J61*100</f>
        <v>33.333333333333329</v>
      </c>
      <c r="L61" s="640">
        <f t="shared" ref="L61:L62" si="29">H61/J61*100</f>
        <v>33.333333333333329</v>
      </c>
      <c r="M61" s="640">
        <f t="shared" ref="M61:M62" si="30">I61/J61*100</f>
        <v>33.333333333333329</v>
      </c>
      <c r="N61" s="643">
        <f t="shared" ref="N61:N62" si="31">SUM(K61:M61)</f>
        <v>99.999999999999986</v>
      </c>
      <c r="O61" s="639">
        <v>13.9</v>
      </c>
      <c r="P61" s="640">
        <v>26.7</v>
      </c>
      <c r="Q61" s="640">
        <v>14.9</v>
      </c>
      <c r="R61" s="641">
        <v>55.5</v>
      </c>
      <c r="S61" s="932">
        <v>2</v>
      </c>
      <c r="T61" s="487"/>
      <c r="U61" s="928"/>
      <c r="V61" s="634" t="s">
        <v>1348</v>
      </c>
      <c r="W61" s="932" t="s">
        <v>100</v>
      </c>
      <c r="X61" s="932" t="s">
        <v>18</v>
      </c>
      <c r="Y61" s="635">
        <v>26.7</v>
      </c>
      <c r="Z61" s="932" t="s">
        <v>1111</v>
      </c>
      <c r="AA61" s="932" t="s">
        <v>98</v>
      </c>
      <c r="AB61" s="932" t="s">
        <v>12</v>
      </c>
      <c r="AC61" s="932">
        <v>14.9</v>
      </c>
      <c r="AD61" s="634" t="s">
        <v>1110</v>
      </c>
      <c r="AE61" s="932" t="s">
        <v>80</v>
      </c>
      <c r="AF61" s="932" t="s">
        <v>11</v>
      </c>
      <c r="AG61" s="635">
        <v>13.9</v>
      </c>
    </row>
    <row r="62" spans="1:53" s="932" customFormat="1">
      <c r="A62" s="932">
        <v>2018</v>
      </c>
      <c r="B62" s="361"/>
      <c r="C62" s="992" t="s">
        <v>1369</v>
      </c>
      <c r="D62" s="992"/>
      <c r="E62" s="932">
        <v>365</v>
      </c>
      <c r="G62" s="642">
        <v>5</v>
      </c>
      <c r="H62" s="932">
        <v>5</v>
      </c>
      <c r="I62" s="932">
        <v>5</v>
      </c>
      <c r="J62" s="644">
        <v>15</v>
      </c>
      <c r="K62" s="640">
        <f t="shared" si="28"/>
        <v>33.333333333333329</v>
      </c>
      <c r="L62" s="640">
        <f t="shared" si="29"/>
        <v>33.333333333333329</v>
      </c>
      <c r="M62" s="640">
        <f t="shared" si="30"/>
        <v>33.333333333333329</v>
      </c>
      <c r="N62" s="643">
        <f t="shared" si="31"/>
        <v>99.999999999999986</v>
      </c>
      <c r="O62" s="639">
        <v>13.9</v>
      </c>
      <c r="P62" s="640">
        <v>26.7</v>
      </c>
      <c r="Q62" s="640">
        <v>14.9</v>
      </c>
      <c r="R62" s="641">
        <v>55.5</v>
      </c>
      <c r="S62" s="932">
        <v>2</v>
      </c>
      <c r="T62" s="487"/>
      <c r="U62" s="928"/>
      <c r="V62" s="634" t="s">
        <v>1348</v>
      </c>
      <c r="W62" s="932" t="s">
        <v>100</v>
      </c>
      <c r="X62" s="932" t="s">
        <v>18</v>
      </c>
      <c r="Y62" s="635">
        <v>26.7</v>
      </c>
      <c r="Z62" s="932" t="s">
        <v>1111</v>
      </c>
      <c r="AA62" s="932" t="s">
        <v>98</v>
      </c>
      <c r="AB62" s="932" t="s">
        <v>12</v>
      </c>
      <c r="AC62" s="932">
        <v>14.9</v>
      </c>
      <c r="AD62" s="634" t="s">
        <v>1110</v>
      </c>
      <c r="AE62" s="932" t="s">
        <v>80</v>
      </c>
      <c r="AF62" s="932" t="s">
        <v>11</v>
      </c>
      <c r="AG62" s="635">
        <v>13.9</v>
      </c>
    </row>
    <row r="63" spans="1:53">
      <c r="B63" s="2"/>
      <c r="C63" s="2"/>
      <c r="D63" s="2"/>
      <c r="E63" s="2"/>
      <c r="F63" s="2"/>
      <c r="G63" s="2"/>
      <c r="H63" s="2"/>
      <c r="I63" s="2"/>
      <c r="J63" s="2"/>
      <c r="K63" s="2"/>
      <c r="L63" s="2"/>
      <c r="M63" s="2"/>
      <c r="N63" s="2"/>
    </row>
    <row r="64" spans="1:53" s="2" customFormat="1" ht="18" customHeight="1">
      <c r="B64" s="22" t="s">
        <v>1278</v>
      </c>
    </row>
    <row r="65" spans="1:30" s="2" customFormat="1" ht="9" customHeight="1"/>
    <row r="66" spans="1:30" s="364" customFormat="1" ht="9" customHeight="1">
      <c r="A66" s="362"/>
      <c r="B66" s="363" t="s">
        <v>1229</v>
      </c>
      <c r="C66" s="363"/>
      <c r="D66" s="363"/>
      <c r="E66" s="363"/>
      <c r="F66" s="363"/>
      <c r="G66" s="363" t="s">
        <v>1230</v>
      </c>
      <c r="H66" s="363"/>
      <c r="I66" s="363"/>
      <c r="J66" s="363"/>
      <c r="K66" s="363"/>
      <c r="L66" s="363"/>
      <c r="M66" s="363"/>
      <c r="N66" s="363"/>
      <c r="R66" s="982" t="s">
        <v>1231</v>
      </c>
      <c r="S66" s="982"/>
      <c r="T66" s="982"/>
      <c r="U66" s="982"/>
      <c r="V66" s="982"/>
      <c r="W66" s="982"/>
      <c r="X66" s="365"/>
      <c r="Y66" s="365"/>
      <c r="AA66" s="365"/>
      <c r="AB66" s="365"/>
      <c r="AC66" s="365"/>
      <c r="AD66" s="365"/>
    </row>
    <row r="67" spans="1:30" s="369" customFormat="1" ht="9" customHeight="1">
      <c r="A67" s="366"/>
      <c r="B67" s="367" t="s">
        <v>1233</v>
      </c>
      <c r="C67" s="368"/>
      <c r="D67" s="368"/>
      <c r="E67" s="368"/>
      <c r="F67" s="368"/>
      <c r="G67" s="367" t="s">
        <v>1232</v>
      </c>
      <c r="H67" s="368"/>
      <c r="I67" s="368"/>
      <c r="J67" s="368"/>
      <c r="K67" s="368"/>
      <c r="L67" s="368"/>
      <c r="M67" s="368"/>
      <c r="N67" s="368"/>
      <c r="R67" s="370" t="s">
        <v>1234</v>
      </c>
      <c r="S67" s="371"/>
      <c r="T67" s="372"/>
      <c r="U67" s="372"/>
      <c r="V67" s="372"/>
      <c r="W67" s="370" t="s">
        <v>1235</v>
      </c>
      <c r="X67" s="372"/>
      <c r="Y67" s="372"/>
      <c r="AA67" s="372"/>
      <c r="AB67" s="372"/>
      <c r="AC67" s="372"/>
      <c r="AD67" s="372"/>
    </row>
    <row r="68" spans="1:30" s="351" customFormat="1" ht="12" customHeight="1">
      <c r="A68" s="373" t="s">
        <v>3</v>
      </c>
      <c r="B68" s="374" t="s">
        <v>8</v>
      </c>
      <c r="C68" s="374" t="s">
        <v>9</v>
      </c>
      <c r="D68" s="374" t="s">
        <v>10</v>
      </c>
      <c r="E68" s="375" t="s">
        <v>1209</v>
      </c>
      <c r="F68" s="374"/>
      <c r="G68" s="351" t="s">
        <v>3</v>
      </c>
      <c r="H68" s="983" t="s">
        <v>0</v>
      </c>
      <c r="I68" s="983"/>
      <c r="J68" s="983" t="s">
        <v>1</v>
      </c>
      <c r="K68" s="983"/>
      <c r="L68" s="983" t="s">
        <v>2</v>
      </c>
      <c r="M68" s="983"/>
      <c r="N68" s="984" t="s">
        <v>1209</v>
      </c>
      <c r="O68" s="984"/>
      <c r="P68" s="376"/>
      <c r="Q68" s="376"/>
      <c r="R68" s="377" t="s">
        <v>3</v>
      </c>
      <c r="S68" s="378" t="s">
        <v>136</v>
      </c>
      <c r="T68" s="376" t="s">
        <v>134</v>
      </c>
      <c r="U68" s="374" t="s">
        <v>135</v>
      </c>
      <c r="V68" s="376"/>
      <c r="W68" s="379" t="s">
        <v>26</v>
      </c>
    </row>
    <row r="69" spans="1:30" ht="9" customHeight="1">
      <c r="A69" s="1">
        <v>1990</v>
      </c>
      <c r="C69" s="8"/>
      <c r="D69" s="8"/>
      <c r="E69" s="69"/>
      <c r="G69" s="1">
        <v>1990</v>
      </c>
      <c r="H69" s="1001"/>
      <c r="I69" s="1001"/>
      <c r="J69" s="1001"/>
      <c r="K69" s="1001"/>
      <c r="L69" s="1001"/>
      <c r="M69" s="1001"/>
      <c r="N69" s="959"/>
      <c r="O69" s="959"/>
      <c r="R69" s="1">
        <v>1990</v>
      </c>
    </row>
    <row r="70" spans="1:30" ht="9" customHeight="1">
      <c r="A70" s="1">
        <v>1991</v>
      </c>
      <c r="C70" s="8"/>
      <c r="D70" s="8"/>
      <c r="E70" s="69"/>
      <c r="G70" s="1">
        <v>1991</v>
      </c>
      <c r="H70" s="1001"/>
      <c r="I70" s="1001"/>
      <c r="J70" s="1001"/>
      <c r="K70" s="1001"/>
      <c r="L70" s="1001"/>
      <c r="M70" s="1001"/>
      <c r="N70" s="959"/>
      <c r="O70" s="959"/>
      <c r="R70" s="1">
        <v>1991</v>
      </c>
    </row>
    <row r="71" spans="1:30" ht="9" customHeight="1">
      <c r="A71" s="1">
        <v>1992</v>
      </c>
      <c r="B71" s="8">
        <f>(K7*($E7/72))</f>
        <v>50</v>
      </c>
      <c r="C71" s="8">
        <f>(L7*($E7/72))</f>
        <v>0</v>
      </c>
      <c r="D71" s="8">
        <f>(M7*($E7/72))</f>
        <v>21.428571428571427</v>
      </c>
      <c r="E71" s="69">
        <f>SUM(B71:D71)</f>
        <v>71.428571428571431</v>
      </c>
      <c r="G71" s="1">
        <v>1992</v>
      </c>
      <c r="H71" s="1002">
        <f>(O7/$R7*100*($E7/72))</f>
        <v>76.43564356435644</v>
      </c>
      <c r="I71" s="1002"/>
      <c r="J71" s="1002">
        <f>(P7/$R7*100*($E7/72))</f>
        <v>0</v>
      </c>
      <c r="K71" s="1002"/>
      <c r="L71" s="1002">
        <f>(Q7/$R7*100*($E7/72))</f>
        <v>23.564356435643568</v>
      </c>
      <c r="M71" s="1002"/>
      <c r="N71" s="959">
        <f>SUM(H71:M71)</f>
        <v>100</v>
      </c>
      <c r="O71" s="959"/>
      <c r="R71" s="1">
        <v>1992</v>
      </c>
      <c r="S71" s="8">
        <f>(O7*($E7/72))</f>
        <v>38.6</v>
      </c>
      <c r="T71" s="8">
        <f>(P7*($E7/72))</f>
        <v>0</v>
      </c>
      <c r="U71" s="8">
        <f>(Q7*($E7/72))</f>
        <v>11.9</v>
      </c>
      <c r="W71" s="5">
        <f>SUM(S71:U71)</f>
        <v>50.5</v>
      </c>
      <c r="Y71" s="71" t="s">
        <v>1151</v>
      </c>
    </row>
    <row r="72" spans="1:30" ht="9" customHeight="1">
      <c r="A72" s="1">
        <v>1993</v>
      </c>
      <c r="B72" s="8">
        <f>(K8*($E8/365))+(K9*($E9/365))</f>
        <v>50</v>
      </c>
      <c r="C72" s="8">
        <f>(L8*($E8/365))+(L9*($E9/365))</f>
        <v>0</v>
      </c>
      <c r="D72" s="8">
        <f>(M8*($E8/365))+(M9*($E9/365))</f>
        <v>21.428571428571427</v>
      </c>
      <c r="E72" s="69">
        <f t="shared" ref="E72:E91" si="32">SUM(B72:D72)</f>
        <v>71.428571428571431</v>
      </c>
      <c r="G72" s="1">
        <v>1993</v>
      </c>
      <c r="H72" s="1002">
        <f>(O8/$R8*100*($E8/365))+(O9/$R9*100*($E9/365))</f>
        <v>76.43564356435644</v>
      </c>
      <c r="I72" s="1002"/>
      <c r="J72" s="1002">
        <f>(P8/$R8*100*($E8/365))+(P9/$R9*100*($E9/365))</f>
        <v>0</v>
      </c>
      <c r="K72" s="1002"/>
      <c r="L72" s="1002">
        <f>(Q8/$R8*100*($E8/365))+(Q9/$R9*100*($E9/365))</f>
        <v>23.564356435643568</v>
      </c>
      <c r="M72" s="1002"/>
      <c r="N72" s="959">
        <f t="shared" ref="N72:N91" si="33">SUM(H72:M72)</f>
        <v>100</v>
      </c>
      <c r="O72" s="959"/>
      <c r="R72" s="1">
        <v>1993</v>
      </c>
      <c r="S72" s="8">
        <f>(O8*($E8/365))+(O9*($E9/365))</f>
        <v>38.6</v>
      </c>
      <c r="T72" s="8">
        <f>(P8*($E8/365))+(P9*($E9/365))</f>
        <v>0</v>
      </c>
      <c r="U72" s="8">
        <f>(Q8*($E8/365))+(Q9*($E9/365))</f>
        <v>11.9</v>
      </c>
      <c r="W72" s="5">
        <f t="shared" ref="W72:W91" si="34">SUM(S72:U72)</f>
        <v>50.5</v>
      </c>
    </row>
    <row r="73" spans="1:30" ht="9" customHeight="1">
      <c r="A73" s="1">
        <v>1994</v>
      </c>
      <c r="B73" s="8">
        <f>(K10*($E10/365))+(K11*($E11/365))</f>
        <v>50.000000000000007</v>
      </c>
      <c r="C73" s="8">
        <f>(L10*($E10/365))+(L11*($E11/365))</f>
        <v>0</v>
      </c>
      <c r="D73" s="8">
        <f>(M10*($E10/365))+(M11*($E11/365))</f>
        <v>21.428571428571427</v>
      </c>
      <c r="E73" s="69">
        <f t="shared" si="32"/>
        <v>71.428571428571431</v>
      </c>
      <c r="G73" s="1">
        <v>1994</v>
      </c>
      <c r="H73" s="1002">
        <f>(O10/$R10*100*($E10/365))+(O11/$R11*100*($E11/365))</f>
        <v>76.43564356435644</v>
      </c>
      <c r="I73" s="1002"/>
      <c r="J73" s="1002">
        <f>(P10/$R10*100*($E10/365))+(P11/$R11*100*($E11/365))</f>
        <v>0</v>
      </c>
      <c r="K73" s="1002"/>
      <c r="L73" s="1002">
        <f>(Q10/$R10*100*($E10/365))+(Q11/$R11*100*($E11/365))</f>
        <v>23.564356435643568</v>
      </c>
      <c r="M73" s="1002"/>
      <c r="N73" s="959">
        <f t="shared" si="33"/>
        <v>100</v>
      </c>
      <c r="O73" s="959"/>
      <c r="R73" s="1">
        <v>1994</v>
      </c>
      <c r="S73" s="8">
        <f>(O10*($E10/365))+(O11*($E11/365))</f>
        <v>38.6</v>
      </c>
      <c r="T73" s="8">
        <f>(P10*($E10/365))+(P11*($E11/365))</f>
        <v>0</v>
      </c>
      <c r="U73" s="8">
        <f>(Q10*($E10/365))+(Q11*($E11/365))</f>
        <v>11.9</v>
      </c>
      <c r="W73" s="5">
        <f t="shared" si="34"/>
        <v>50.5</v>
      </c>
    </row>
    <row r="74" spans="1:30" ht="9" customHeight="1">
      <c r="A74" s="1">
        <v>1995</v>
      </c>
      <c r="B74" s="8">
        <f>(K12*($E12/365))+(K13*($E13/365))+(K14*($E14/365))</f>
        <v>20.986301369863014</v>
      </c>
      <c r="C74" s="8">
        <f>(L12*($E12/365))+(L13*($E13/365))+(L14*($E14/365))</f>
        <v>19.569471624266143</v>
      </c>
      <c r="D74" s="8">
        <f>(M12*($E12/365))+(M13*($E13/365))+(M14*($E14/365))</f>
        <v>51.146771037181999</v>
      </c>
      <c r="E74" s="69">
        <f t="shared" si="32"/>
        <v>91.702544031311163</v>
      </c>
      <c r="G74" s="1">
        <v>1995</v>
      </c>
      <c r="H74" s="1002">
        <f>(O12/$R12*100*($E12/365))+(O13/$R13*100*($E13/365))+(O14/$R14*100*($E14/365))</f>
        <v>27.31374872647082</v>
      </c>
      <c r="I74" s="1002"/>
      <c r="J74" s="1002">
        <f>(P12/$R12*100*($E12/365))+(P13/$R13*100*($E13/365))+(P14/$R14*100*($E14/365))</f>
        <v>15.350238025842803</v>
      </c>
      <c r="K74" s="1002"/>
      <c r="L74" s="1002">
        <f>(Q12/$R12*100*($E12/365))+(Q13/$R13*100*($E13/365))+(Q14/$R14*100*($E14/365))</f>
        <v>57.336013247686374</v>
      </c>
      <c r="M74" s="1002"/>
      <c r="N74" s="959">
        <f t="shared" si="33"/>
        <v>100</v>
      </c>
      <c r="O74" s="959"/>
      <c r="R74" s="1">
        <v>1995</v>
      </c>
      <c r="S74" s="8">
        <f>(O12*($E12/365))+(O13*($E13/365))+(O14*($E14/365))</f>
        <v>14.248767123287671</v>
      </c>
      <c r="T74" s="8">
        <f>(P12*($E12/365))+(P13*($E13/365))+(P14*($E14/365))</f>
        <v>8.6575342465753415</v>
      </c>
      <c r="U74" s="8">
        <f>(Q12*($E12/365))+(Q13*($E13/365))+(Q14*($E14/365))</f>
        <v>32.265205479452057</v>
      </c>
      <c r="W74" s="5">
        <f t="shared" si="34"/>
        <v>55.171506849315065</v>
      </c>
    </row>
    <row r="75" spans="1:30" ht="9" customHeight="1">
      <c r="A75" s="1">
        <v>1996</v>
      </c>
      <c r="B75" s="8">
        <f>(K15*($E15/366))+(K16*($E16/366))</f>
        <v>40</v>
      </c>
      <c r="C75" s="8">
        <f>(L15*($E15/366))+(L16*($E16/366))</f>
        <v>0</v>
      </c>
      <c r="D75" s="8">
        <f>(M15*($E15/366))+(M16*($E16/366))</f>
        <v>60</v>
      </c>
      <c r="E75" s="69">
        <f t="shared" si="32"/>
        <v>100</v>
      </c>
      <c r="G75" s="1">
        <v>1996</v>
      </c>
      <c r="H75" s="1002">
        <f>(O15/$R15*100*($E15/366))+(O16/$R16*100*($E16/366))</f>
        <v>31.649831649831651</v>
      </c>
      <c r="I75" s="1002"/>
      <c r="J75" s="1002">
        <f>(P15/$R15*100*($E15/366))+(P16/$R16*100*($E16/366))</f>
        <v>0</v>
      </c>
      <c r="K75" s="1002"/>
      <c r="L75" s="1002">
        <f>(Q15/$R15*100*($E15/366))+(Q16/$R16*100*($E16/366))</f>
        <v>68.350168350168346</v>
      </c>
      <c r="M75" s="1002"/>
      <c r="N75" s="959">
        <f t="shared" si="33"/>
        <v>100</v>
      </c>
      <c r="O75" s="959"/>
      <c r="R75" s="1">
        <v>1996</v>
      </c>
      <c r="S75" s="8">
        <f>(O15*($E15/366))+(O16*($E16/366))</f>
        <v>18.8</v>
      </c>
      <c r="T75" s="8">
        <f>(P15*($E15/366))+(P16*($E16/366))</f>
        <v>0</v>
      </c>
      <c r="U75" s="8">
        <f>(Q15*($E15/366))+(Q16*($E16/366))</f>
        <v>40.6</v>
      </c>
      <c r="W75" s="5">
        <f t="shared" si="34"/>
        <v>59.400000000000006</v>
      </c>
    </row>
    <row r="76" spans="1:30" ht="9" customHeight="1">
      <c r="A76" s="1">
        <v>1997</v>
      </c>
      <c r="B76" s="8">
        <f>(K17*($E17/365))+(K18*($E18/365))</f>
        <v>8.2191780821917799</v>
      </c>
      <c r="C76" s="8">
        <f>(L17*($E17/365))+(L18*($E18/365))</f>
        <v>0</v>
      </c>
      <c r="D76" s="8">
        <f>(M17*($E17/365))+(M18*($E18/365))</f>
        <v>74.755381604696666</v>
      </c>
      <c r="E76" s="69">
        <f t="shared" si="32"/>
        <v>82.974559686888441</v>
      </c>
      <c r="G76" s="1">
        <v>1997</v>
      </c>
      <c r="H76" s="1002">
        <f>(O17/$R17*100*($E17/365))+(O18/$R18*100*($E18/365))</f>
        <v>6.5033900650339005</v>
      </c>
      <c r="I76" s="1002"/>
      <c r="J76" s="1002">
        <f>(P17/$R17*100*($E17/365))+(P18/$R18*100*($E18/365))</f>
        <v>0</v>
      </c>
      <c r="K76" s="1002"/>
      <c r="L76" s="1002">
        <f>(Q17/$R17*100*($E17/365))+(Q18/$R18*100*($E18/365))</f>
        <v>93.496609934966102</v>
      </c>
      <c r="M76" s="1002"/>
      <c r="N76" s="959">
        <f t="shared" si="33"/>
        <v>100</v>
      </c>
      <c r="O76" s="959"/>
      <c r="R76" s="1">
        <v>1997</v>
      </c>
      <c r="S76" s="8">
        <f>(O17*($E17/365))+(O18*($E18/365))</f>
        <v>3.8630136986301369</v>
      </c>
      <c r="T76" s="8">
        <f>(P17*($E17/365))+(P18*($E18/365))</f>
        <v>0</v>
      </c>
      <c r="U76" s="8">
        <f>(Q17*($E17/365))+(Q18*($E18/365))</f>
        <v>40.599999999999994</v>
      </c>
      <c r="W76" s="5">
        <f t="shared" si="34"/>
        <v>44.463013698630128</v>
      </c>
    </row>
    <row r="77" spans="1:30" ht="9" customHeight="1">
      <c r="A77" s="1">
        <v>1998</v>
      </c>
      <c r="B77" s="8">
        <f>(K19*($E19/365))+(K20*($E20/365))</f>
        <v>0</v>
      </c>
      <c r="C77" s="8">
        <f>(L19*($E19/365))+(L20*($E20/365))</f>
        <v>0</v>
      </c>
      <c r="D77" s="8">
        <f>(M19*($E19/365))+(M20*($E20/365))</f>
        <v>78.571428571428569</v>
      </c>
      <c r="E77" s="69">
        <f t="shared" si="32"/>
        <v>78.571428571428569</v>
      </c>
      <c r="G77" s="1">
        <v>1998</v>
      </c>
      <c r="H77" s="1002">
        <f>(O19/$R19*100*($E19/365))+(O20/$R20*100*($E20/365))</f>
        <v>0</v>
      </c>
      <c r="I77" s="1002"/>
      <c r="J77" s="1002">
        <f>(P19/$R19*100*($E19/365))+(P20/$R20*100*($E20/365))</f>
        <v>0</v>
      </c>
      <c r="K77" s="1002"/>
      <c r="L77" s="1002">
        <f>(Q19/$R19*100*($E19/365))+(Q20/$R20*100*($E20/365))</f>
        <v>100</v>
      </c>
      <c r="M77" s="1002"/>
      <c r="N77" s="959">
        <f t="shared" si="33"/>
        <v>100</v>
      </c>
      <c r="O77" s="959"/>
      <c r="R77" s="1">
        <v>1998</v>
      </c>
      <c r="S77" s="8">
        <f>(O19*($E19/365))+(O20*($E20/365))</f>
        <v>0</v>
      </c>
      <c r="T77" s="8">
        <f>(P19*($E19/365))+(P20*($E20/365))</f>
        <v>0</v>
      </c>
      <c r="U77" s="8">
        <f>(Q19*($E19/365))+(Q20*($E20/365))</f>
        <v>40.6</v>
      </c>
      <c r="W77" s="5">
        <f t="shared" si="34"/>
        <v>40.6</v>
      </c>
    </row>
    <row r="78" spans="1:30" ht="9" customHeight="1">
      <c r="A78" s="1">
        <v>1999</v>
      </c>
      <c r="B78" s="8">
        <f>(K21*($E21/365))+(K22*($E22/365))</f>
        <v>51.506849315068486</v>
      </c>
      <c r="C78" s="8">
        <f>(L21*($E21/365))+(L22*($E22/365))</f>
        <v>0</v>
      </c>
      <c r="D78" s="8">
        <f>(M21*($E21/365))+(M22*($E22/365))</f>
        <v>43.620352250489233</v>
      </c>
      <c r="E78" s="69">
        <f t="shared" si="32"/>
        <v>95.127201565557726</v>
      </c>
      <c r="G78" s="1">
        <v>1999</v>
      </c>
      <c r="H78" s="1002">
        <f>(O21/$R21*100*($E21/365))+(O22/$R22*100*($E22/365))</f>
        <v>52.489804454669034</v>
      </c>
      <c r="I78" s="1002"/>
      <c r="J78" s="1002">
        <f>(P21/$R21*100*($E21/365))+(P22/$R22*100*($E22/365))</f>
        <v>0</v>
      </c>
      <c r="K78" s="1002"/>
      <c r="L78" s="1002">
        <f>(Q21/$R21*100*($E21/365))+(Q22/$R22*100*($E22/365))</f>
        <v>47.510195545330959</v>
      </c>
      <c r="M78" s="1002"/>
      <c r="N78" s="959">
        <f t="shared" si="33"/>
        <v>100</v>
      </c>
      <c r="O78" s="959"/>
      <c r="R78" s="1">
        <v>1999</v>
      </c>
      <c r="S78" s="8">
        <f>(O21*($E21/365))+(O22*($E22/365))</f>
        <v>27.504657534246579</v>
      </c>
      <c r="T78" s="8">
        <f>(P21*($E21/365))+(P22*($E22/365))</f>
        <v>0</v>
      </c>
      <c r="U78" s="8">
        <f>(Q21*($E21/365))+(Q22*($E22/365))</f>
        <v>22.212054794520547</v>
      </c>
      <c r="W78" s="5">
        <f t="shared" si="34"/>
        <v>49.71671232876713</v>
      </c>
    </row>
    <row r="79" spans="1:30" ht="9" customHeight="1">
      <c r="A79" s="1">
        <v>2000</v>
      </c>
      <c r="B79" s="8">
        <f>(K23*($E23/366))+(K24*($E24/366))</f>
        <v>66.666666666666657</v>
      </c>
      <c r="C79" s="8">
        <f>(L23*($E23/366))+(L24*($E24/366))</f>
        <v>0</v>
      </c>
      <c r="D79" s="8">
        <f>(M23*($E23/366))+(M24*($E24/366))</f>
        <v>33.333333333333329</v>
      </c>
      <c r="E79" s="69">
        <f t="shared" si="32"/>
        <v>99.999999999999986</v>
      </c>
      <c r="G79" s="1">
        <v>2000</v>
      </c>
      <c r="H79" s="1002">
        <f>(O23/$R23*100*($E23/366))+(O24/$R24*100*($E24/366))</f>
        <v>67.938931297709914</v>
      </c>
      <c r="I79" s="1002"/>
      <c r="J79" s="1002">
        <f>(P23/$R23*100*($E23/366))+(P24/$R24*100*($E24/366))</f>
        <v>0</v>
      </c>
      <c r="K79" s="1002"/>
      <c r="L79" s="1002">
        <f>(Q23/$R23*100*($E23/366))+(Q24/$R24*100*($E24/366))</f>
        <v>32.061068702290072</v>
      </c>
      <c r="M79" s="1002"/>
      <c r="N79" s="959">
        <f t="shared" si="33"/>
        <v>99.999999999999986</v>
      </c>
      <c r="O79" s="959"/>
      <c r="R79" s="1">
        <v>2000</v>
      </c>
      <c r="S79" s="8">
        <f>(O23*($E23/366))+(O24*($E24/366))</f>
        <v>35.6</v>
      </c>
      <c r="T79" s="8">
        <f>(P23*($E23/366))+(P24*($E24/366))</f>
        <v>0</v>
      </c>
      <c r="U79" s="8">
        <f>(Q23*($E23/366))+(Q24*($E24/366))</f>
        <v>16.8</v>
      </c>
      <c r="W79" s="5">
        <f t="shared" si="34"/>
        <v>52.400000000000006</v>
      </c>
    </row>
    <row r="80" spans="1:30" ht="9" customHeight="1">
      <c r="A80" s="1">
        <v>2001</v>
      </c>
      <c r="B80" s="8">
        <f>(K25*($E25/365))+(K26*($E26/365))</f>
        <v>66.666666666666657</v>
      </c>
      <c r="C80" s="8">
        <f>(L25*($E25/365))+(L26*($E26/365))</f>
        <v>0</v>
      </c>
      <c r="D80" s="8">
        <f>(M25*($E25/365))+(M26*($E26/365))</f>
        <v>33.333333333333329</v>
      </c>
      <c r="E80" s="69">
        <f t="shared" si="32"/>
        <v>99.999999999999986</v>
      </c>
      <c r="G80" s="1">
        <v>2001</v>
      </c>
      <c r="H80" s="1002">
        <f>(O25/$R25*100*($E25/365))+(O26/$R26*100*($E26/365))</f>
        <v>67.938931297709914</v>
      </c>
      <c r="I80" s="1002"/>
      <c r="J80" s="1002">
        <f>(P25/$R25*100*($E25/365))+(P26/$R26*100*($E26/365))</f>
        <v>0</v>
      </c>
      <c r="K80" s="1002"/>
      <c r="L80" s="1002">
        <f>(Q25/$R25*100*($E25/365))+(Q26/$R26*100*($E26/365))</f>
        <v>32.061068702290072</v>
      </c>
      <c r="M80" s="1002"/>
      <c r="N80" s="959">
        <f t="shared" si="33"/>
        <v>99.999999999999986</v>
      </c>
      <c r="O80" s="959"/>
      <c r="R80" s="1">
        <v>2001</v>
      </c>
      <c r="S80" s="8">
        <f>(O25*($E25/365))+(O26*($E26/365))</f>
        <v>35.6</v>
      </c>
      <c r="T80" s="8">
        <f>(P25*($E25/365))+(P26*($E26/365))</f>
        <v>0</v>
      </c>
      <c r="U80" s="8">
        <f>(Q25*($E25/365))+(Q26*($E26/365))</f>
        <v>16.8</v>
      </c>
      <c r="W80" s="5">
        <f t="shared" si="34"/>
        <v>52.400000000000006</v>
      </c>
    </row>
    <row r="81" spans="1:23" ht="9" customHeight="1">
      <c r="A81" s="1">
        <v>2002</v>
      </c>
      <c r="B81" s="8">
        <f>(K27*($E27/365))+(K28*($E28/365))</f>
        <v>44.618395303326807</v>
      </c>
      <c r="C81" s="8">
        <f>(L27*($E27/365))+(L28*($E28/365))</f>
        <v>52.915851272015651</v>
      </c>
      <c r="D81" s="8">
        <f>(M27*($E27/365))+(M28*($E28/365))</f>
        <v>2.4657534246575339</v>
      </c>
      <c r="E81" s="69">
        <f t="shared" si="32"/>
        <v>99.999999999999986</v>
      </c>
      <c r="G81" s="1">
        <v>2002</v>
      </c>
      <c r="H81" s="1002">
        <f>(O27/$R27*100*($E27/365))+(O28/$R28*100*($E28/365))</f>
        <v>41.252625446288519</v>
      </c>
      <c r="I81" s="1002"/>
      <c r="J81" s="1002">
        <f>(P27/$R27*100*($E27/365))+(P28/$R28*100*($E28/365))</f>
        <v>56.375733855185906</v>
      </c>
      <c r="K81" s="1002"/>
      <c r="L81" s="1002">
        <f>(Q27/$R27*100*($E27/365))+(Q28/$R28*100*($E28/365))</f>
        <v>2.3716406985255669</v>
      </c>
      <c r="M81" s="1002"/>
      <c r="N81" s="959">
        <f t="shared" si="33"/>
        <v>100</v>
      </c>
      <c r="O81" s="959"/>
      <c r="R81" s="1">
        <v>2002</v>
      </c>
      <c r="S81" s="8">
        <f>(O27*($E27/365))+(O28*($E28/365))</f>
        <v>19.116712328767122</v>
      </c>
      <c r="T81" s="8">
        <f>(P27*($E27/365))+(P28*($E28/365))</f>
        <v>25.650958904109586</v>
      </c>
      <c r="U81" s="8">
        <f>(Q27*($E27/365))+(Q28*($E28/365))</f>
        <v>1.2427397260273974</v>
      </c>
      <c r="W81" s="5">
        <f t="shared" si="34"/>
        <v>46.010410958904103</v>
      </c>
    </row>
    <row r="82" spans="1:23" ht="9" customHeight="1">
      <c r="A82" s="1">
        <v>2003</v>
      </c>
      <c r="B82" s="8">
        <f>(K29*($E29/365))+(K30*($E30/365))</f>
        <v>84.500978473581213</v>
      </c>
      <c r="C82" s="8">
        <f>(L29*($E29/365))+(L30*($E30/365))</f>
        <v>15.499021526418785</v>
      </c>
      <c r="D82" s="8">
        <f>(M29*($E29/365))+(M30*($E30/365))</f>
        <v>0</v>
      </c>
      <c r="E82" s="69">
        <f t="shared" si="32"/>
        <v>100</v>
      </c>
      <c r="G82" s="1">
        <v>2003</v>
      </c>
      <c r="H82" s="1002">
        <f>(O29/$R29*100*($E29/365))+(O30/$R30*100*($E30/365))</f>
        <v>83.487580912238457</v>
      </c>
      <c r="I82" s="1002"/>
      <c r="J82" s="1002">
        <f>(P29/$R29*100*($E29/365))+(P30/$R30*100*($E30/365))</f>
        <v>16.512419087761554</v>
      </c>
      <c r="K82" s="1002"/>
      <c r="L82" s="1002">
        <f>(Q29/$R29*100*($E29/365))+(Q30/$R30*100*($E30/365))</f>
        <v>0</v>
      </c>
      <c r="M82" s="1002"/>
      <c r="N82" s="959">
        <f t="shared" si="33"/>
        <v>100.00000000000001</v>
      </c>
      <c r="O82" s="959"/>
      <c r="R82" s="1">
        <v>2003</v>
      </c>
      <c r="S82" s="8">
        <f>(O29*($E29/365))+(O30*($E30/365))</f>
        <v>48.116712328767122</v>
      </c>
      <c r="T82" s="8">
        <f>(P29*($E29/365))+(P30*($E30/365))</f>
        <v>7.5131506849315066</v>
      </c>
      <c r="U82" s="8">
        <f>(Q29*($E29/365))+(Q30*($E30/365))</f>
        <v>0</v>
      </c>
      <c r="W82" s="5">
        <f t="shared" si="34"/>
        <v>55.629863013698625</v>
      </c>
    </row>
    <row r="83" spans="1:23" ht="9" customHeight="1">
      <c r="A83" s="1">
        <v>2004</v>
      </c>
      <c r="B83" s="8">
        <f>(K31*($E31/366))+(K32*($E32/366))</f>
        <v>100</v>
      </c>
      <c r="C83" s="8">
        <f>(L31*($E31/366))+(L32*($E32/366))</f>
        <v>0</v>
      </c>
      <c r="D83" s="8">
        <f>(M31*($E31/366))+(M32*($E32/366))</f>
        <v>0</v>
      </c>
      <c r="E83" s="69">
        <f t="shared" si="32"/>
        <v>100</v>
      </c>
      <c r="G83" s="1">
        <v>2004</v>
      </c>
      <c r="H83" s="1002">
        <f>(O31/$R31*100*($E31/366))+(O32/$R32*100*($E32/366))</f>
        <v>100</v>
      </c>
      <c r="I83" s="1002"/>
      <c r="J83" s="1002">
        <f>(P31/$R31*100*($E31/366))+(P32/$R32*100*($E32/366))</f>
        <v>0</v>
      </c>
      <c r="K83" s="1002"/>
      <c r="L83" s="1002">
        <f>(Q31/$R31*100*($E31/366))+(Q32/$R32*100*($E32/366))</f>
        <v>0</v>
      </c>
      <c r="M83" s="1002"/>
      <c r="N83" s="959">
        <f t="shared" si="33"/>
        <v>100</v>
      </c>
      <c r="O83" s="959"/>
      <c r="R83" s="1">
        <v>2004</v>
      </c>
      <c r="S83" s="8">
        <f>(O31*($E31/366))+(O32*($E32/366))</f>
        <v>59.4</v>
      </c>
      <c r="T83" s="8">
        <f>(P31*($E31/366))+(P32*($E32/366))</f>
        <v>0</v>
      </c>
      <c r="U83" s="8">
        <f>(Q31*($E31/366))+(Q32*($E32/366))</f>
        <v>0</v>
      </c>
      <c r="W83" s="5">
        <f t="shared" si="34"/>
        <v>59.4</v>
      </c>
    </row>
    <row r="84" spans="1:23" ht="9" customHeight="1">
      <c r="A84" s="1">
        <v>2005</v>
      </c>
      <c r="B84" s="8">
        <f>(K33*($E33/365))+(K34*($E34/365))</f>
        <v>74.266144814090026</v>
      </c>
      <c r="C84" s="8">
        <f>(L33*($E33/365))+(L34*($E34/365))</f>
        <v>25.733855185909981</v>
      </c>
      <c r="D84" s="8">
        <f>(M33*($E33/365))+(M34*($E34/365))</f>
        <v>0</v>
      </c>
      <c r="E84" s="69">
        <f t="shared" si="32"/>
        <v>100</v>
      </c>
      <c r="G84" s="1">
        <v>2005</v>
      </c>
      <c r="H84" s="1002">
        <f>(O33/$R33*100*($E33/365))+(O34/$R34*100*($E34/365))</f>
        <v>66.398690097320241</v>
      </c>
      <c r="I84" s="1002"/>
      <c r="J84" s="1002">
        <f>(P33/$R33*100*($E33/365))+(P34/$R34*100*($E34/365))</f>
        <v>33.601309902679766</v>
      </c>
      <c r="K84" s="1002"/>
      <c r="L84" s="1002">
        <f>(Q33/$R33*100*($E33/365))+(Q34/$R34*100*($E34/365))</f>
        <v>0</v>
      </c>
      <c r="M84" s="1002"/>
      <c r="N84" s="959">
        <f t="shared" si="33"/>
        <v>100</v>
      </c>
      <c r="O84" s="959"/>
      <c r="R84" s="1">
        <v>2005</v>
      </c>
      <c r="S84" s="8">
        <f>(O33*($E33/365))+(O34*($E34/365))</f>
        <v>39.440821917808222</v>
      </c>
      <c r="T84" s="8">
        <f>(P33*($E33/365))+(P34*($E34/365))</f>
        <v>19.95917808219178</v>
      </c>
      <c r="U84" s="8">
        <f>(Q33*($E33/365))+(Q34*($E34/365))</f>
        <v>0</v>
      </c>
      <c r="W84" s="5">
        <f t="shared" si="34"/>
        <v>59.400000000000006</v>
      </c>
    </row>
    <row r="85" spans="1:23" ht="9" customHeight="1">
      <c r="A85" s="1">
        <v>2006</v>
      </c>
      <c r="B85" s="8">
        <f>(K35*($E35/365))+(K36*($E36/365))</f>
        <v>64.285714285714292</v>
      </c>
      <c r="C85" s="8">
        <f>(L35*($E35/365))+(L36*($E36/365))</f>
        <v>35.714285714285715</v>
      </c>
      <c r="D85" s="8">
        <f>(M35*($E35/365))+(M36*($E36/365))</f>
        <v>0</v>
      </c>
      <c r="E85" s="69">
        <f t="shared" si="32"/>
        <v>100</v>
      </c>
      <c r="G85" s="1">
        <v>2006</v>
      </c>
      <c r="H85" s="1002">
        <f>(O35/$R35*100*($E35/365))+(O36/$R36*100*($E36/365))</f>
        <v>53.367003367003363</v>
      </c>
      <c r="I85" s="1002"/>
      <c r="J85" s="1002">
        <f>(P35/$R35*100*($E35/365))+(P36/$R36*100*($E36/365))</f>
        <v>46.63299663299663</v>
      </c>
      <c r="K85" s="1002"/>
      <c r="L85" s="1002">
        <f>(Q35/$R35*100*($E35/365))+(Q36/$R36*100*($E36/365))</f>
        <v>0</v>
      </c>
      <c r="M85" s="1002"/>
      <c r="N85" s="959">
        <f t="shared" si="33"/>
        <v>100</v>
      </c>
      <c r="O85" s="959"/>
      <c r="R85" s="1">
        <v>2006</v>
      </c>
      <c r="S85" s="8">
        <f>(O35*($E35/365))+(O36*($E36/365))</f>
        <v>31.7</v>
      </c>
      <c r="T85" s="8">
        <f>(P35*($E35/365))+(P36*($E36/365))</f>
        <v>27.7</v>
      </c>
      <c r="U85" s="8">
        <f>(Q35*($E35/365))+(Q36*($E36/365))</f>
        <v>0</v>
      </c>
      <c r="W85" s="5">
        <f t="shared" si="34"/>
        <v>59.4</v>
      </c>
    </row>
    <row r="86" spans="1:23" ht="9" customHeight="1">
      <c r="A86" s="1">
        <v>2007</v>
      </c>
      <c r="B86" s="8">
        <f>(K37*($E37/365))+(K38*($E38/365))</f>
        <v>74.892367906066539</v>
      </c>
      <c r="C86" s="8">
        <f>(L37*($E37/365))+(L38*($E38/365))</f>
        <v>9.1976516634050878</v>
      </c>
      <c r="D86" s="8">
        <f>(M37*($E37/365))+(M38*($E38/365))</f>
        <v>15.909980430528373</v>
      </c>
      <c r="E86" s="69">
        <f t="shared" si="32"/>
        <v>100</v>
      </c>
      <c r="G86" s="1">
        <v>2007</v>
      </c>
      <c r="H86" s="1002">
        <f>(O37/$R37*100*($E37/365))+(O38/$R38*100*($E38/365))</f>
        <v>75.61597712282645</v>
      </c>
      <c r="I86" s="1002"/>
      <c r="J86" s="1002">
        <f>(P37/$R37*100*($E37/365))+(P38/$R38*100*($E38/365))</f>
        <v>12.009593653429269</v>
      </c>
      <c r="K86" s="1002"/>
      <c r="L86" s="1002">
        <f>(Q37/$R37*100*($E37/365))+(Q38/$R38*100*($E38/365))</f>
        <v>12.374429223744292</v>
      </c>
      <c r="M86" s="1002"/>
      <c r="N86" s="959">
        <f t="shared" si="33"/>
        <v>100</v>
      </c>
      <c r="O86" s="959"/>
      <c r="R86" s="1">
        <v>2007</v>
      </c>
      <c r="S86" s="8">
        <f>(O37*($E37/365))+(O38*($E38/365))</f>
        <v>44.915890410958902</v>
      </c>
      <c r="T86" s="8">
        <f>(P37*($E37/365))+(P38*($E38/365))</f>
        <v>7.133698630136986</v>
      </c>
      <c r="U86" s="8">
        <f>(Q37*($E37/365))+(Q38*($E38/365))</f>
        <v>7.3504109589041091</v>
      </c>
      <c r="W86" s="5">
        <f t="shared" si="34"/>
        <v>59.399999999999991</v>
      </c>
    </row>
    <row r="87" spans="1:23" ht="9" customHeight="1">
      <c r="A87" s="1">
        <v>2008</v>
      </c>
      <c r="B87" s="8">
        <f>(K39*($E39/366))+(K40*($E40/366))</f>
        <v>78.571428571428569</v>
      </c>
      <c r="C87" s="8">
        <f>(L39*($E39/366))+(L40*($E40/366))</f>
        <v>0</v>
      </c>
      <c r="D87" s="8">
        <f>(M39*($E39/366))+(M40*($E40/366))</f>
        <v>21.428571428571427</v>
      </c>
      <c r="E87" s="69">
        <f t="shared" si="32"/>
        <v>100</v>
      </c>
      <c r="G87" s="1">
        <v>2008</v>
      </c>
      <c r="H87" s="1002">
        <f>(O39/$R39*100*($E39/366))+(O40/$R40*100*($E40/366))</f>
        <v>83.333333333333343</v>
      </c>
      <c r="I87" s="1002"/>
      <c r="J87" s="1002">
        <f>(P39/$R39*100*($E39/366))+(P40/$R40*100*($E40/366))</f>
        <v>0</v>
      </c>
      <c r="K87" s="1002"/>
      <c r="L87" s="1002">
        <f>(Q39/$R39*100*($E39/366))+(Q40/$R40*100*($E40/366))</f>
        <v>16.666666666666668</v>
      </c>
      <c r="M87" s="1002"/>
      <c r="N87" s="959">
        <f t="shared" si="33"/>
        <v>100.00000000000001</v>
      </c>
      <c r="O87" s="959"/>
      <c r="R87" s="1">
        <v>2008</v>
      </c>
      <c r="S87" s="8">
        <f>(O39*($E39/366))+(O40*($E40/366))</f>
        <v>49.5</v>
      </c>
      <c r="T87" s="8">
        <f>(P39*($E39/366))+(P40*($E40/366))</f>
        <v>0</v>
      </c>
      <c r="U87" s="8">
        <f>(Q39*($E39/366))+(Q40*($E40/366))</f>
        <v>9.9</v>
      </c>
      <c r="W87" s="5">
        <f t="shared" si="34"/>
        <v>59.4</v>
      </c>
    </row>
    <row r="88" spans="1:23" ht="9" customHeight="1">
      <c r="A88" s="1">
        <v>2009</v>
      </c>
      <c r="B88" s="8">
        <f>(K41*($E41/365))+(K42*($E42/365))</f>
        <v>90.958904109589042</v>
      </c>
      <c r="C88" s="8">
        <f>(L41*($E41/365))+(L42*($E42/365))</f>
        <v>0</v>
      </c>
      <c r="D88" s="8">
        <f>(M41*($E41/365))+(M42*($E42/365))</f>
        <v>9.0410958904109577</v>
      </c>
      <c r="E88" s="69">
        <f t="shared" si="32"/>
        <v>100</v>
      </c>
      <c r="G88" s="1">
        <v>2009</v>
      </c>
      <c r="H88" s="1002">
        <f>(O41/$R41*100*($E41/365))+(O42/$R42*100*($E42/365))</f>
        <v>92.968036529680376</v>
      </c>
      <c r="I88" s="1002"/>
      <c r="J88" s="1002">
        <f>(P41/$R41*100*($E41/365))+(P42/$R42*100*($E42/365))</f>
        <v>0</v>
      </c>
      <c r="K88" s="1002"/>
      <c r="L88" s="1002">
        <f>(Q41/$R41*100*($E41/365))+(Q42/$R42*100*($E42/365))</f>
        <v>7.031963470319635</v>
      </c>
      <c r="M88" s="1002"/>
      <c r="N88" s="959">
        <f t="shared" si="33"/>
        <v>100.00000000000001</v>
      </c>
      <c r="O88" s="959"/>
      <c r="R88" s="1">
        <v>2009</v>
      </c>
      <c r="S88" s="8">
        <f>(O41*($E41/365))+(O42*($E42/365))</f>
        <v>49.5</v>
      </c>
      <c r="T88" s="8">
        <f>(P41*($E41/365))+(P42*($E42/365))</f>
        <v>0</v>
      </c>
      <c r="U88" s="8">
        <f>(Q41*($E41/365))+(Q42*($E42/365))</f>
        <v>4.1769863013698627</v>
      </c>
      <c r="W88" s="5">
        <f t="shared" si="34"/>
        <v>53.676986301369865</v>
      </c>
    </row>
    <row r="89" spans="1:23" ht="9" customHeight="1">
      <c r="A89" s="1">
        <v>2010</v>
      </c>
      <c r="B89" s="8">
        <f>(K43*($E43/365))+(K44*($E44/365))</f>
        <v>100</v>
      </c>
      <c r="C89" s="8">
        <f>(L43*($E43/365))+(L44*($E44/365))</f>
        <v>0</v>
      </c>
      <c r="D89" s="8">
        <f>(M43*($E43/365))+(M44*($E44/365))</f>
        <v>0</v>
      </c>
      <c r="E89" s="69">
        <f t="shared" si="32"/>
        <v>100</v>
      </c>
      <c r="G89" s="1">
        <v>2010</v>
      </c>
      <c r="H89" s="1002">
        <f>(O43/$R43*100*($E43/365))+(O44/$R44*100*($E44/365))</f>
        <v>100</v>
      </c>
      <c r="I89" s="1002"/>
      <c r="J89" s="1002">
        <f>(P43/$R43*100*($E43/365))+(P44/$R44*100*($E44/365))</f>
        <v>0</v>
      </c>
      <c r="K89" s="1002"/>
      <c r="L89" s="1002">
        <f>(Q43/$R43*100*($E43/365))+(Q44/$R44*100*($E44/365))</f>
        <v>0</v>
      </c>
      <c r="M89" s="1002"/>
      <c r="N89" s="959">
        <f t="shared" si="33"/>
        <v>100</v>
      </c>
      <c r="O89" s="959"/>
      <c r="R89" s="1">
        <v>2010</v>
      </c>
      <c r="S89" s="8">
        <f>(O43*($E43/365))+(O44*($E44/365))</f>
        <v>49.5</v>
      </c>
      <c r="T89" s="8">
        <f>(P43*($E43/365))+(P44*($E44/365))</f>
        <v>0</v>
      </c>
      <c r="U89" s="8">
        <f>(Q43*($E43/365))+(Q44*($E44/365))</f>
        <v>0</v>
      </c>
      <c r="W89" s="5">
        <f t="shared" si="34"/>
        <v>49.5</v>
      </c>
    </row>
    <row r="90" spans="1:23" ht="9" customHeight="1">
      <c r="A90" s="1">
        <v>2011</v>
      </c>
      <c r="B90" s="8">
        <f>(K45*($E45/365))+(K46*($E46/365))</f>
        <v>100</v>
      </c>
      <c r="C90" s="8">
        <f>(L45*($E45/365))+(L46*($E46/365))</f>
        <v>0</v>
      </c>
      <c r="D90" s="8">
        <f>(M45*($E45/365))+(M46*($E46/365))</f>
        <v>0</v>
      </c>
      <c r="E90" s="69">
        <f t="shared" si="32"/>
        <v>100</v>
      </c>
      <c r="G90" s="1">
        <v>2011</v>
      </c>
      <c r="H90" s="1002">
        <f>(O45/$R45*100*($E45/365))+(O46/$R46*100*($E46/365))</f>
        <v>100</v>
      </c>
      <c r="I90" s="1002"/>
      <c r="J90" s="1002">
        <f>(P45/$R45*100*($E45/365))+(P46/$R46*100*($E46/365))</f>
        <v>0</v>
      </c>
      <c r="K90" s="1002"/>
      <c r="L90" s="1002">
        <f>(Q45/$R45*100*($E45/365))+(Q46/$R46*100*($E46/365))</f>
        <v>0</v>
      </c>
      <c r="M90" s="1002"/>
      <c r="N90" s="959">
        <f t="shared" si="33"/>
        <v>100</v>
      </c>
      <c r="O90" s="959"/>
      <c r="R90" s="1">
        <v>2011</v>
      </c>
      <c r="S90" s="8">
        <f>(O45*($E45/365))+(O46*($E46/365))</f>
        <v>53.938356164383563</v>
      </c>
      <c r="T90" s="8">
        <f>(P45*($E45/365))+(P46*($E46/365))</f>
        <v>0</v>
      </c>
      <c r="U90" s="8">
        <f>(Q45*($E45/365))+(Q46*($E46/365))</f>
        <v>0</v>
      </c>
      <c r="W90" s="5">
        <f t="shared" si="34"/>
        <v>53.938356164383563</v>
      </c>
    </row>
    <row r="91" spans="1:23" ht="9" customHeight="1">
      <c r="A91" s="1">
        <v>2012</v>
      </c>
      <c r="B91" s="8">
        <f>(K47*($E47/366))+(K48*($E48/366))</f>
        <v>100</v>
      </c>
      <c r="C91" s="8">
        <f>(L47*($E47/366))+(L48*($E48/366))</f>
        <v>0</v>
      </c>
      <c r="D91" s="8">
        <f>(M47*($E47/366))+(M48*($E48/366))</f>
        <v>0</v>
      </c>
      <c r="E91" s="69">
        <f t="shared" si="32"/>
        <v>100</v>
      </c>
      <c r="G91" s="1">
        <v>2012</v>
      </c>
      <c r="H91" s="1002">
        <f>(O47/$R47*100*($E47/366))+(O48/$R48*100*($E48/366))</f>
        <v>100</v>
      </c>
      <c r="I91" s="1002"/>
      <c r="J91" s="1002">
        <f>(P47/$R47*100*($E47/366))+(P48/$R48*100*($E48/366))</f>
        <v>0</v>
      </c>
      <c r="K91" s="1002"/>
      <c r="L91" s="1002">
        <f>(Q47/$R47*100*($E47/366))+(Q48/$R48*100*($E48/366))</f>
        <v>0</v>
      </c>
      <c r="M91" s="1002"/>
      <c r="N91" s="959">
        <f t="shared" si="33"/>
        <v>100</v>
      </c>
      <c r="O91" s="959"/>
      <c r="R91" s="1">
        <v>2012</v>
      </c>
      <c r="S91" s="8">
        <f>(O47*($E47/366))+(O48*($E48/366))</f>
        <v>55.5</v>
      </c>
      <c r="T91" s="8">
        <f>(P47*($E47/366))+(P48*($E48/366))</f>
        <v>0</v>
      </c>
      <c r="U91" s="8">
        <f>(Q47*($E47/366))+(Q48*($E48/366))</f>
        <v>0</v>
      </c>
      <c r="W91" s="5">
        <f t="shared" si="34"/>
        <v>55.5</v>
      </c>
    </row>
    <row r="92" spans="1:23" ht="9" customHeight="1">
      <c r="A92" s="1">
        <v>2013</v>
      </c>
      <c r="B92" s="8">
        <f>(K49*($E49/365))+(K50*($E50/365))</f>
        <v>100</v>
      </c>
      <c r="C92" s="8">
        <f>(L49*($E49/365))+(L50*($E50/365))</f>
        <v>0</v>
      </c>
      <c r="D92" s="8">
        <f>(M49*($E49/365))+(M50*($E50/365))</f>
        <v>0</v>
      </c>
      <c r="E92" s="315">
        <f>SUM(B92:D92)</f>
        <v>100</v>
      </c>
      <c r="G92" s="1">
        <v>2013</v>
      </c>
      <c r="H92" s="1002">
        <f>(O49/$R49*100*($E49/365))+(O50/$R50*100*($E50/365))</f>
        <v>100</v>
      </c>
      <c r="I92" s="1002"/>
      <c r="J92" s="1002">
        <f>(P49/$R49*100*($E49/365))+(P50/$R50*100*($E50/365))</f>
        <v>0</v>
      </c>
      <c r="K92" s="1002"/>
      <c r="L92" s="1002">
        <f>(Q49/$R49*100*($E49/365))+(Q50/$R50*100*($E50/365))</f>
        <v>0</v>
      </c>
      <c r="M92" s="1002"/>
      <c r="N92" s="959">
        <f>SUM(H92:M92)</f>
        <v>100</v>
      </c>
      <c r="O92" s="959"/>
      <c r="R92" s="1">
        <v>2013</v>
      </c>
      <c r="S92" s="8">
        <f>(O49*($E49/365))+(O50*($E50/365))</f>
        <v>55.5</v>
      </c>
      <c r="T92" s="8">
        <f>(P49*($E49/365))+(P50*($E50/365))</f>
        <v>0</v>
      </c>
      <c r="U92" s="8">
        <f>(Q49*($E49/365))+(Q50*($E50/365))</f>
        <v>0</v>
      </c>
      <c r="W92" s="5">
        <f>SUM(S92:U92)</f>
        <v>55.5</v>
      </c>
    </row>
    <row r="93" spans="1:23" ht="9" customHeight="1">
      <c r="A93" s="1">
        <v>2014</v>
      </c>
      <c r="B93" s="8">
        <f>(K51*($E51/365))+(K52*($E52/365))</f>
        <v>67.00587084148728</v>
      </c>
      <c r="C93" s="8">
        <f>(L51*($E51/365))+(L52*($E52/365))</f>
        <v>0</v>
      </c>
      <c r="D93" s="8">
        <f>(M51*($E51/365))+(M52*($E52/365))</f>
        <v>32.994129158512713</v>
      </c>
      <c r="E93" s="530">
        <f>SUM(B93:D93)</f>
        <v>100</v>
      </c>
      <c r="G93" s="1">
        <v>2014</v>
      </c>
      <c r="H93" s="1002">
        <f>(O51/$R51*100*($E51/365))+(O52/$R52*100*($E52/365))</f>
        <v>70.618072137740356</v>
      </c>
      <c r="I93" s="1002"/>
      <c r="J93" s="1002">
        <f>(P51/$R51*100*($E51/365))+(P52/$R52*100*($E52/365))</f>
        <v>0</v>
      </c>
      <c r="K93" s="1002"/>
      <c r="L93" s="1002">
        <f>(Q51/$R51*100*($E51/365))+(Q52/$R52*100*($E52/365))</f>
        <v>29.381927862259641</v>
      </c>
      <c r="M93" s="1002"/>
      <c r="N93" s="959">
        <f>SUM(H93:M93)</f>
        <v>100</v>
      </c>
      <c r="O93" s="959"/>
      <c r="R93" s="1">
        <v>2014</v>
      </c>
      <c r="S93" s="8">
        <f>(O51*($E51/365))+(O52*($E52/365))</f>
        <v>38.716986301369865</v>
      </c>
      <c r="T93" s="8">
        <f>(P51*($E51/365))+(P52*($E52/365))</f>
        <v>0</v>
      </c>
      <c r="U93" s="8">
        <f>(Q51*($E51/365))+(Q52*($E52/365))</f>
        <v>16.013150684931507</v>
      </c>
      <c r="W93" s="5">
        <f>SUM(S93:U93)</f>
        <v>54.730136986301375</v>
      </c>
    </row>
    <row r="94" spans="1:23" s="716" customFormat="1" ht="9" customHeight="1">
      <c r="A94" s="716">
        <v>2015</v>
      </c>
      <c r="B94" s="710">
        <f>(K53*($E53/365))+(K54*($E54/365))+(K55*($E55/365))</f>
        <v>65.899543378995418</v>
      </c>
      <c r="C94" s="710">
        <f>(L53*($E53/365))+(L54*($E54/365))+(L55*($E55/365))</f>
        <v>0</v>
      </c>
      <c r="D94" s="710">
        <f>(M53*($E53/365))+(M54*($E54/365))+(M55*($E55/365))</f>
        <v>31.013698630136986</v>
      </c>
      <c r="E94" s="711">
        <f>SUM(B94:D94)</f>
        <v>96.913242009132404</v>
      </c>
      <c r="G94" s="716">
        <v>2015</v>
      </c>
      <c r="H94" s="1002">
        <f>(O53/$R53*100*($E53/365))+(O54/$R54*100*($E54/365))+(O55/$R55*100*($E55/365))</f>
        <v>71.121379981503139</v>
      </c>
      <c r="I94" s="1002"/>
      <c r="J94" s="1002">
        <f>(P53/$R53*100*($E53/365))+(P54/$R54*100*($E54/365))+(P55/$R55*100*($E55/365))</f>
        <v>0</v>
      </c>
      <c r="K94" s="1002"/>
      <c r="L94" s="1002">
        <f>(Q53/$R53*100*($E53/365))+(Q54/$R54*100*($E54/365))+(Q55/$R55*100*($E55/365))</f>
        <v>28.878620018496854</v>
      </c>
      <c r="M94" s="1002"/>
      <c r="N94" s="959">
        <f>SUM(H94:M94)</f>
        <v>100</v>
      </c>
      <c r="O94" s="959"/>
      <c r="R94" s="716">
        <v>2015</v>
      </c>
      <c r="S94" s="710">
        <f>(O53*($E53/365))+(O54*($E54/365))+(O55*($E55/365))</f>
        <v>40.941917808219173</v>
      </c>
      <c r="T94" s="710">
        <f>(P53*($E53/365))+(P54*($E54/365))+(P55*($E55/365))</f>
        <v>0</v>
      </c>
      <c r="U94" s="710">
        <f>(Q53*($E53/365))+(Q54*($E54/365))+(Q55*($E55/365))</f>
        <v>16.484109589041097</v>
      </c>
      <c r="W94" s="5">
        <f>SUM(S94:U94)</f>
        <v>57.42602739726027</v>
      </c>
    </row>
    <row r="95" spans="1:23" s="810" customFormat="1" ht="9" customHeight="1">
      <c r="A95" s="810">
        <v>2016</v>
      </c>
      <c r="B95" s="804">
        <f>(K56*($E56/366))+(K57*($E57/366))+(K58*($E58/366))</f>
        <v>64.426229508196712</v>
      </c>
      <c r="C95" s="915">
        <f>(L56*($E56/366))+(L57*($E57/366))+(L58*($E58/366))</f>
        <v>3.55191256830601</v>
      </c>
      <c r="D95" s="915">
        <f>(M56*($E56/366))+(M57*($E57/366))+(M58*($E58/366))</f>
        <v>27.377049180327866</v>
      </c>
      <c r="E95" s="805">
        <f>SUM(B95:D95)</f>
        <v>95.35519125683058</v>
      </c>
      <c r="G95" s="810">
        <v>2016</v>
      </c>
      <c r="H95" s="1002">
        <f>(O56/$R56*100*($E56/366))+(O57/$R57*100*($E57/366))+(O58/$R58*100*($E58/366))</f>
        <v>69.256936633985816</v>
      </c>
      <c r="I95" s="1002"/>
      <c r="J95" s="1002">
        <f>(P56/$R56*100*($E56/366))+(P57/$R57*100*($E57/366))+(P58/$R58*100*($E58/366))</f>
        <v>5.1262738147984042</v>
      </c>
      <c r="K95" s="1002"/>
      <c r="L95" s="1002">
        <f>(Q56/$R56*100*($E56/366))+(Q57/$R57*100*($E57/366))+(Q58/$R58*100*($E58/366))</f>
        <v>25.616789551215778</v>
      </c>
      <c r="M95" s="1002"/>
      <c r="N95" s="959">
        <f>SUM(H95:M95)</f>
        <v>100</v>
      </c>
      <c r="O95" s="959"/>
      <c r="R95" s="810">
        <v>2016</v>
      </c>
      <c r="S95" s="804">
        <f>(O56*($E56/366))+(O57*($E57/366))+(O58*($E58/366))</f>
        <v>40.435245901639341</v>
      </c>
      <c r="T95" s="804">
        <f>(P56*($E56/366))+(P57*($E57/366))+(P58*($E58/366))</f>
        <v>2.8450819672131145</v>
      </c>
      <c r="U95" s="804">
        <f>(Q56*($E56/366))+(Q57*($E57/366))+(Q58*($E58/366))</f>
        <v>14.9</v>
      </c>
      <c r="W95" s="5">
        <f>SUM(S95:U95)</f>
        <v>58.180327868852451</v>
      </c>
    </row>
    <row r="96" spans="1:23" ht="9" customHeight="1">
      <c r="A96" s="920">
        <v>2017</v>
      </c>
      <c r="B96" s="915">
        <f>(K59*($E59/365))+(K60*($E60/365))</f>
        <v>33.333333333333329</v>
      </c>
      <c r="C96" s="915">
        <f t="shared" ref="C96:D96" si="35">(L59*($E59/365))+(L60*($E60/365))</f>
        <v>33.333333333333329</v>
      </c>
      <c r="D96" s="915">
        <f t="shared" si="35"/>
        <v>33.333333333333329</v>
      </c>
      <c r="E96" s="916">
        <f>SUM(B96:D96)</f>
        <v>99.999999999999986</v>
      </c>
      <c r="F96" s="920"/>
      <c r="G96" s="920">
        <v>2017</v>
      </c>
      <c r="H96" s="1002">
        <f>(O59/$R59*100*($E59/365))+(O60/$R60*100*($E60/365))</f>
        <v>25.045045045045043</v>
      </c>
      <c r="I96" s="1002"/>
      <c r="J96" s="1002">
        <f>(P59/$R59*100*($E59/365))+(P60/$R60*100*($E60/365))</f>
        <v>48.108108108108105</v>
      </c>
      <c r="K96" s="1002"/>
      <c r="L96" s="1002">
        <f>(Q59/$R59*100*($E59/365))+(Q60/$R60*100*($E60/365))</f>
        <v>26.846846846846852</v>
      </c>
      <c r="M96" s="1002"/>
      <c r="N96" s="959">
        <f>SUM(H96:M96)</f>
        <v>100</v>
      </c>
      <c r="O96" s="959"/>
      <c r="P96" s="920"/>
      <c r="Q96" s="920"/>
      <c r="R96" s="920">
        <v>2017</v>
      </c>
      <c r="S96" s="915">
        <f>(O59*($E59/365))+(O60*($E60/365))</f>
        <v>13.9</v>
      </c>
      <c r="T96" s="915">
        <f t="shared" ref="T96:U96" si="36">(P59*($E59/365))+(P60*($E60/365))</f>
        <v>26.7</v>
      </c>
      <c r="U96" s="915">
        <f t="shared" si="36"/>
        <v>14.9</v>
      </c>
      <c r="V96" s="920"/>
      <c r="W96" s="5">
        <f>SUM(S96:U96)</f>
        <v>55.5</v>
      </c>
    </row>
    <row r="97" spans="1:23">
      <c r="A97" s="939">
        <v>2018</v>
      </c>
      <c r="B97" s="930">
        <f>(K61*($E61/365))+(K62*($E62/365))</f>
        <v>33.333333333333329</v>
      </c>
      <c r="C97" s="930">
        <f>(L61*($E61/365))+(L62*($E62/365))</f>
        <v>33.333333333333329</v>
      </c>
      <c r="D97" s="930">
        <f>(M61*($E61/365))+(M62*($E62/365))</f>
        <v>33.333333333333329</v>
      </c>
      <c r="E97" s="931">
        <f t="shared" ref="E97" si="37">SUM(B97:D97)</f>
        <v>99.999999999999986</v>
      </c>
      <c r="F97" s="939"/>
      <c r="G97" s="939">
        <v>2018</v>
      </c>
      <c r="H97" s="1002">
        <f>(O61/$R61*100*($E61/365))+(O62/$R62*100*($E62/365))</f>
        <v>25.045045045045043</v>
      </c>
      <c r="I97" s="1002"/>
      <c r="J97" s="1002">
        <f>(P61/$R61*100*($E61/365))+(P62/$R62*100*($E62/365))</f>
        <v>48.108108108108105</v>
      </c>
      <c r="K97" s="1002"/>
      <c r="L97" s="1002">
        <f>(Q61/$R61*100*($E61/365))+(Q62/$R62*100*($E62/365))</f>
        <v>26.846846846846852</v>
      </c>
      <c r="M97" s="1002"/>
      <c r="N97" s="959">
        <f t="shared" ref="N97" si="38">SUM(H97:M97)</f>
        <v>100</v>
      </c>
      <c r="O97" s="959"/>
      <c r="P97" s="939"/>
      <c r="Q97" s="939"/>
      <c r="R97" s="939">
        <v>2018</v>
      </c>
      <c r="S97" s="930">
        <f>(O61*($E61/365))+(O62*($E62/365))</f>
        <v>13.9</v>
      </c>
      <c r="T97" s="930">
        <f>(P61*($E61/365))+(P62*($E62/365))</f>
        <v>26.7</v>
      </c>
      <c r="U97" s="930">
        <f>(Q61*($E61/365))+(Q62*($E62/365))</f>
        <v>14.9</v>
      </c>
      <c r="V97" s="939"/>
      <c r="W97" s="5">
        <f t="shared" ref="W97" si="39">SUM(S97:U97)</f>
        <v>55.5</v>
      </c>
    </row>
  </sheetData>
  <mergeCells count="199">
    <mergeCell ref="AT4:AW4"/>
    <mergeCell ref="AX4:BA4"/>
    <mergeCell ref="K4:N4"/>
    <mergeCell ref="O4:R4"/>
    <mergeCell ref="Z4:AC4"/>
    <mergeCell ref="AD4:AG4"/>
    <mergeCell ref="AH4:AK4"/>
    <mergeCell ref="AL4:AO4"/>
    <mergeCell ref="AP4:AS4"/>
    <mergeCell ref="S4:S5"/>
    <mergeCell ref="U4:U5"/>
    <mergeCell ref="V4:Y4"/>
    <mergeCell ref="G3:M3"/>
    <mergeCell ref="O3:Q3"/>
    <mergeCell ref="A4:A5"/>
    <mergeCell ref="B4:B5"/>
    <mergeCell ref="C4:D5"/>
    <mergeCell ref="E4:E5"/>
    <mergeCell ref="F4:F5"/>
    <mergeCell ref="G4:J4"/>
    <mergeCell ref="T4:T5"/>
    <mergeCell ref="C13:D13"/>
    <mergeCell ref="C19:D19"/>
    <mergeCell ref="C20:D20"/>
    <mergeCell ref="C21:D21"/>
    <mergeCell ref="C22:D22"/>
    <mergeCell ref="C23:D23"/>
    <mergeCell ref="C6:D6"/>
    <mergeCell ref="C7:D7"/>
    <mergeCell ref="C8:D8"/>
    <mergeCell ref="C9:D9"/>
    <mergeCell ref="C10:D10"/>
    <mergeCell ref="C11:D11"/>
    <mergeCell ref="C12:D12"/>
    <mergeCell ref="C14:D14"/>
    <mergeCell ref="C15:D15"/>
    <mergeCell ref="C24:D24"/>
    <mergeCell ref="C25:D25"/>
    <mergeCell ref="C26:D26"/>
    <mergeCell ref="C27:D27"/>
    <mergeCell ref="C28:D28"/>
    <mergeCell ref="C29:D29"/>
    <mergeCell ref="C36:D36"/>
    <mergeCell ref="C37:D37"/>
    <mergeCell ref="C16:D16"/>
    <mergeCell ref="C17:D17"/>
    <mergeCell ref="C18:D18"/>
    <mergeCell ref="C38:D38"/>
    <mergeCell ref="C39:D39"/>
    <mergeCell ref="C40:D40"/>
    <mergeCell ref="C30:D30"/>
    <mergeCell ref="C31:D31"/>
    <mergeCell ref="C32:D32"/>
    <mergeCell ref="C33:D33"/>
    <mergeCell ref="C34:D34"/>
    <mergeCell ref="C41:D41"/>
    <mergeCell ref="C35:D35"/>
    <mergeCell ref="C42:D42"/>
    <mergeCell ref="C43:D43"/>
    <mergeCell ref="C44:D44"/>
    <mergeCell ref="C45:D45"/>
    <mergeCell ref="C46:D46"/>
    <mergeCell ref="C47:D47"/>
    <mergeCell ref="C48:D48"/>
    <mergeCell ref="R66:W66"/>
    <mergeCell ref="H68:I68"/>
    <mergeCell ref="J68:K68"/>
    <mergeCell ref="L68:M68"/>
    <mergeCell ref="N68:O68"/>
    <mergeCell ref="C49:D49"/>
    <mergeCell ref="C50:D50"/>
    <mergeCell ref="C51:D51"/>
    <mergeCell ref="C52:D52"/>
    <mergeCell ref="C54:D54"/>
    <mergeCell ref="C53:D53"/>
    <mergeCell ref="C55:D55"/>
    <mergeCell ref="C56:D56"/>
    <mergeCell ref="C57:D57"/>
    <mergeCell ref="C58:D58"/>
    <mergeCell ref="C59:D59"/>
    <mergeCell ref="C60:D60"/>
    <mergeCell ref="N69:O69"/>
    <mergeCell ref="H70:I70"/>
    <mergeCell ref="J70:K70"/>
    <mergeCell ref="L70:M70"/>
    <mergeCell ref="N70:O70"/>
    <mergeCell ref="H71:I71"/>
    <mergeCell ref="J71:K71"/>
    <mergeCell ref="L71:M71"/>
    <mergeCell ref="N71:O71"/>
    <mergeCell ref="H69:I69"/>
    <mergeCell ref="J69:K69"/>
    <mergeCell ref="L69:M69"/>
    <mergeCell ref="N72:O72"/>
    <mergeCell ref="H73:I73"/>
    <mergeCell ref="J73:K73"/>
    <mergeCell ref="L73:M73"/>
    <mergeCell ref="N73:O73"/>
    <mergeCell ref="H74:I74"/>
    <mergeCell ref="J74:K74"/>
    <mergeCell ref="L74:M74"/>
    <mergeCell ref="N74:O74"/>
    <mergeCell ref="H72:I72"/>
    <mergeCell ref="J72:K72"/>
    <mergeCell ref="L72:M72"/>
    <mergeCell ref="N75:O75"/>
    <mergeCell ref="H76:I76"/>
    <mergeCell ref="J76:K76"/>
    <mergeCell ref="L76:M76"/>
    <mergeCell ref="N76:O76"/>
    <mergeCell ref="H77:I77"/>
    <mergeCell ref="J77:K77"/>
    <mergeCell ref="L77:M77"/>
    <mergeCell ref="N77:O77"/>
    <mergeCell ref="H75:I75"/>
    <mergeCell ref="J75:K75"/>
    <mergeCell ref="L75:M75"/>
    <mergeCell ref="H86:I86"/>
    <mergeCell ref="J85:K85"/>
    <mergeCell ref="J86:K86"/>
    <mergeCell ref="L85:M85"/>
    <mergeCell ref="L86:M86"/>
    <mergeCell ref="H81:I81"/>
    <mergeCell ref="J81:K81"/>
    <mergeCell ref="L81:M81"/>
    <mergeCell ref="N78:O78"/>
    <mergeCell ref="H79:I79"/>
    <mergeCell ref="J79:K79"/>
    <mergeCell ref="L79:M79"/>
    <mergeCell ref="N79:O79"/>
    <mergeCell ref="H80:I80"/>
    <mergeCell ref="J80:K80"/>
    <mergeCell ref="L80:M80"/>
    <mergeCell ref="N80:O80"/>
    <mergeCell ref="H78:I78"/>
    <mergeCell ref="J78:K78"/>
    <mergeCell ref="L78:M78"/>
    <mergeCell ref="J87:K87"/>
    <mergeCell ref="L87:M87"/>
    <mergeCell ref="N87:O87"/>
    <mergeCell ref="H88:I88"/>
    <mergeCell ref="J88:K88"/>
    <mergeCell ref="L88:M88"/>
    <mergeCell ref="N88:O88"/>
    <mergeCell ref="H87:I87"/>
    <mergeCell ref="N81:O81"/>
    <mergeCell ref="H82:I82"/>
    <mergeCell ref="J82:K82"/>
    <mergeCell ref="L82:M82"/>
    <mergeCell ref="N82:O82"/>
    <mergeCell ref="N85:O85"/>
    <mergeCell ref="N86:O86"/>
    <mergeCell ref="H83:I83"/>
    <mergeCell ref="J83:K83"/>
    <mergeCell ref="L83:M83"/>
    <mergeCell ref="N83:O83"/>
    <mergeCell ref="H84:I84"/>
    <mergeCell ref="J84:K84"/>
    <mergeCell ref="L84:M84"/>
    <mergeCell ref="N84:O84"/>
    <mergeCell ref="H85:I85"/>
    <mergeCell ref="L92:M92"/>
    <mergeCell ref="N92:O92"/>
    <mergeCell ref="H91:I91"/>
    <mergeCell ref="J91:K91"/>
    <mergeCell ref="L91:M91"/>
    <mergeCell ref="N91:O91"/>
    <mergeCell ref="H89:I89"/>
    <mergeCell ref="J89:K89"/>
    <mergeCell ref="L89:M89"/>
    <mergeCell ref="N89:O89"/>
    <mergeCell ref="H90:I90"/>
    <mergeCell ref="J90:K90"/>
    <mergeCell ref="L90:M90"/>
    <mergeCell ref="N90:O90"/>
    <mergeCell ref="C61:D61"/>
    <mergeCell ref="C62:D62"/>
    <mergeCell ref="H97:I97"/>
    <mergeCell ref="J97:K97"/>
    <mergeCell ref="L97:M97"/>
    <mergeCell ref="N97:O97"/>
    <mergeCell ref="H96:I96"/>
    <mergeCell ref="J96:K96"/>
    <mergeCell ref="L96:M96"/>
    <mergeCell ref="N96:O96"/>
    <mergeCell ref="H95:I95"/>
    <mergeCell ref="J95:K95"/>
    <mergeCell ref="L95:M95"/>
    <mergeCell ref="N95:O95"/>
    <mergeCell ref="H94:I94"/>
    <mergeCell ref="J94:K94"/>
    <mergeCell ref="L94:M94"/>
    <mergeCell ref="N94:O94"/>
    <mergeCell ref="H93:I93"/>
    <mergeCell ref="J93:K93"/>
    <mergeCell ref="L93:M93"/>
    <mergeCell ref="N93:O93"/>
    <mergeCell ref="H92:I92"/>
    <mergeCell ref="J92:K92"/>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03"/>
  <sheetViews>
    <sheetView tabSelected="1" zoomScale="131" zoomScaleNormal="120" workbookViewId="0">
      <pane xSplit="1" ySplit="5" topLeftCell="B116" activePane="bottomRight" state="frozen"/>
      <selection pane="topRight" activeCell="B1" sqref="B1"/>
      <selection pane="bottomLeft" activeCell="A6" sqref="A6"/>
      <selection pane="bottomRight" activeCell="T139" sqref="T13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53</v>
      </c>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78" t="s">
        <v>1241</v>
      </c>
      <c r="D6" s="978"/>
      <c r="E6" s="257">
        <v>12</v>
      </c>
      <c r="G6" s="265">
        <v>3</v>
      </c>
      <c r="H6" s="257">
        <v>4</v>
      </c>
      <c r="I6" s="257">
        <v>3</v>
      </c>
      <c r="J6" s="272">
        <v>11</v>
      </c>
      <c r="K6" s="248">
        <f>G6/J6*100</f>
        <v>27.27272727272727</v>
      </c>
      <c r="L6" s="248">
        <f>H6/J6*100</f>
        <v>36.363636363636367</v>
      </c>
      <c r="M6" s="248">
        <f>I6/J6*100</f>
        <v>27.27272727272727</v>
      </c>
      <c r="N6" s="267">
        <f>SUM(K6:M6)</f>
        <v>90.909090909090907</v>
      </c>
      <c r="O6" s="247">
        <f>AG6+AK6</f>
        <v>21</v>
      </c>
      <c r="P6" s="248">
        <v>24</v>
      </c>
      <c r="Q6" s="248">
        <v>24</v>
      </c>
      <c r="R6" s="249">
        <f>SUM(O6:Q6)</f>
        <v>69</v>
      </c>
      <c r="S6" s="254">
        <v>2</v>
      </c>
      <c r="T6" s="251"/>
      <c r="U6" s="252"/>
      <c r="V6" s="256" t="s">
        <v>108</v>
      </c>
      <c r="W6" s="257" t="s">
        <v>75</v>
      </c>
      <c r="X6" s="257" t="s">
        <v>18</v>
      </c>
      <c r="Y6" s="258">
        <v>24</v>
      </c>
      <c r="Z6" s="256" t="s">
        <v>112</v>
      </c>
      <c r="AA6" s="257" t="s">
        <v>20</v>
      </c>
      <c r="AB6" s="257" t="s">
        <v>12</v>
      </c>
      <c r="AC6" s="257">
        <v>24</v>
      </c>
      <c r="AD6" s="256" t="s">
        <v>110</v>
      </c>
      <c r="AE6" s="257" t="s">
        <v>90</v>
      </c>
      <c r="AF6" s="257" t="s">
        <v>11</v>
      </c>
      <c r="AG6" s="258">
        <v>6.5</v>
      </c>
      <c r="AH6" s="256" t="s">
        <v>109</v>
      </c>
      <c r="AI6" s="257" t="s">
        <v>74</v>
      </c>
      <c r="AJ6" s="257" t="s">
        <v>11</v>
      </c>
      <c r="AK6" s="257">
        <v>14.5</v>
      </c>
      <c r="AL6" s="256"/>
      <c r="AO6" s="258"/>
      <c r="AP6" s="256"/>
      <c r="AS6" s="258"/>
      <c r="AW6" s="258"/>
      <c r="BA6" s="259"/>
    </row>
    <row r="7" spans="1:53" s="257" customFormat="1">
      <c r="A7" s="263">
        <v>1959</v>
      </c>
      <c r="B7" s="252">
        <v>21563</v>
      </c>
      <c r="C7" s="978" t="s">
        <v>341</v>
      </c>
      <c r="D7" s="978"/>
      <c r="E7" s="257">
        <f>365-E6</f>
        <v>353</v>
      </c>
      <c r="F7" s="257">
        <v>4</v>
      </c>
      <c r="G7" s="265"/>
      <c r="H7" s="257">
        <v>11</v>
      </c>
      <c r="J7" s="272">
        <v>11</v>
      </c>
      <c r="K7" s="248">
        <f>G7/J7*100</f>
        <v>0</v>
      </c>
      <c r="L7" s="248">
        <f>H7/J7*100</f>
        <v>100</v>
      </c>
      <c r="M7" s="248">
        <f>I7/J7*100</f>
        <v>0</v>
      </c>
      <c r="N7" s="267">
        <f>SUM(K7:M7)</f>
        <v>100</v>
      </c>
      <c r="O7" s="247"/>
      <c r="P7" s="248">
        <v>24</v>
      </c>
      <c r="Q7" s="248"/>
      <c r="R7" s="249">
        <f>SUM(O7:Q7)</f>
        <v>24</v>
      </c>
      <c r="S7" s="254">
        <v>4</v>
      </c>
      <c r="T7" s="251"/>
      <c r="U7" s="252">
        <v>21563</v>
      </c>
      <c r="V7" s="256" t="s">
        <v>108</v>
      </c>
      <c r="W7" s="257" t="s">
        <v>75</v>
      </c>
      <c r="X7" s="257" t="s">
        <v>18</v>
      </c>
      <c r="Y7" s="258">
        <v>24</v>
      </c>
      <c r="AD7" s="256"/>
      <c r="AG7" s="258"/>
      <c r="AL7" s="256"/>
      <c r="AO7" s="258"/>
      <c r="AP7" s="256"/>
      <c r="AS7" s="258"/>
      <c r="AW7" s="258"/>
      <c r="BA7" s="259"/>
    </row>
    <row r="8" spans="1:53" s="73" customFormat="1">
      <c r="A8" s="102">
        <v>1960</v>
      </c>
      <c r="B8" s="85"/>
      <c r="C8" s="966" t="s">
        <v>341</v>
      </c>
      <c r="D8" s="966"/>
      <c r="E8" s="73">
        <v>0</v>
      </c>
      <c r="G8" s="123"/>
      <c r="H8" s="73">
        <v>11</v>
      </c>
      <c r="J8" s="134">
        <v>11</v>
      </c>
      <c r="K8" s="92">
        <f>G8/J8*100</f>
        <v>0</v>
      </c>
      <c r="L8" s="92">
        <f>H8/J8*100</f>
        <v>100</v>
      </c>
      <c r="M8" s="92">
        <f>I8/J8*100</f>
        <v>0</v>
      </c>
      <c r="N8" s="125">
        <f>SUM(K8:M8)</f>
        <v>100</v>
      </c>
      <c r="O8" s="91"/>
      <c r="P8" s="92">
        <v>24</v>
      </c>
      <c r="Q8" s="92"/>
      <c r="R8" s="93">
        <f>SUM(O8:Q8)</f>
        <v>24</v>
      </c>
      <c r="S8" s="97">
        <v>4</v>
      </c>
      <c r="T8" s="95"/>
      <c r="U8" s="85"/>
      <c r="V8" s="82" t="s">
        <v>108</v>
      </c>
      <c r="W8" s="73" t="s">
        <v>75</v>
      </c>
      <c r="X8" s="73" t="s">
        <v>18</v>
      </c>
      <c r="Y8" s="83">
        <v>24</v>
      </c>
      <c r="AD8" s="82"/>
      <c r="AG8" s="83"/>
      <c r="AL8" s="82"/>
      <c r="AO8" s="83"/>
      <c r="AP8" s="82"/>
      <c r="AS8" s="83"/>
      <c r="AW8" s="83"/>
      <c r="BA8" s="84"/>
    </row>
    <row r="9" spans="1:53" s="73" customFormat="1">
      <c r="A9" s="102">
        <v>1960</v>
      </c>
      <c r="B9" s="85"/>
      <c r="C9" s="966" t="s">
        <v>341</v>
      </c>
      <c r="D9" s="966"/>
      <c r="E9" s="73">
        <v>366</v>
      </c>
      <c r="G9" s="123"/>
      <c r="H9" s="73">
        <v>11</v>
      </c>
      <c r="J9" s="134">
        <v>11</v>
      </c>
      <c r="K9" s="92">
        <f t="shared" ref="K9:K14" si="0">G9/J9*100</f>
        <v>0</v>
      </c>
      <c r="L9" s="92">
        <f t="shared" ref="L9:L14" si="1">H9/J9*100</f>
        <v>100</v>
      </c>
      <c r="M9" s="92">
        <f t="shared" ref="M9:M14" si="2">I9/J9*100</f>
        <v>0</v>
      </c>
      <c r="N9" s="125">
        <f t="shared" ref="N9:N72" si="3">SUM(K9:M9)</f>
        <v>100</v>
      </c>
      <c r="O9" s="91"/>
      <c r="P9" s="92">
        <v>24</v>
      </c>
      <c r="Q9" s="92"/>
      <c r="R9" s="93">
        <f t="shared" ref="R9:R72" si="4">SUM(O9:Q9)</f>
        <v>24</v>
      </c>
      <c r="S9" s="97">
        <v>4</v>
      </c>
      <c r="T9" s="95"/>
      <c r="U9" s="85"/>
      <c r="V9" s="82" t="s">
        <v>108</v>
      </c>
      <c r="W9" s="73" t="s">
        <v>75</v>
      </c>
      <c r="X9" s="73" t="s">
        <v>18</v>
      </c>
      <c r="Y9" s="83">
        <v>24</v>
      </c>
      <c r="Z9" s="82"/>
      <c r="AC9" s="83"/>
      <c r="AD9" s="82"/>
      <c r="AG9" s="83"/>
      <c r="AL9" s="82"/>
      <c r="AO9" s="83"/>
      <c r="AP9" s="82"/>
      <c r="AS9" s="83"/>
      <c r="AW9" s="83"/>
      <c r="BA9" s="84"/>
    </row>
    <row r="10" spans="1:53" s="73" customFormat="1">
      <c r="A10" s="102">
        <v>1961</v>
      </c>
      <c r="B10" s="85"/>
      <c r="C10" s="966" t="s">
        <v>341</v>
      </c>
      <c r="D10" s="966"/>
      <c r="E10" s="73">
        <v>194</v>
      </c>
      <c r="G10" s="123"/>
      <c r="H10" s="73">
        <v>11</v>
      </c>
      <c r="J10" s="134">
        <v>11</v>
      </c>
      <c r="K10" s="92">
        <f t="shared" si="0"/>
        <v>0</v>
      </c>
      <c r="L10" s="92">
        <f t="shared" si="1"/>
        <v>100</v>
      </c>
      <c r="M10" s="92">
        <f t="shared" si="2"/>
        <v>0</v>
      </c>
      <c r="N10" s="125">
        <f t="shared" si="3"/>
        <v>100</v>
      </c>
      <c r="O10" s="91"/>
      <c r="P10" s="92">
        <v>24</v>
      </c>
      <c r="Q10" s="92"/>
      <c r="R10" s="93">
        <f t="shared" si="4"/>
        <v>24</v>
      </c>
      <c r="S10" s="97">
        <v>4</v>
      </c>
      <c r="T10" s="95"/>
      <c r="U10" s="85"/>
      <c r="V10" s="82" t="s">
        <v>108</v>
      </c>
      <c r="W10" s="73" t="s">
        <v>75</v>
      </c>
      <c r="X10" s="73" t="s">
        <v>18</v>
      </c>
      <c r="Y10" s="83">
        <v>24</v>
      </c>
      <c r="Z10" s="82"/>
      <c r="AC10" s="83"/>
      <c r="AD10" s="82"/>
      <c r="AG10" s="83"/>
      <c r="AL10" s="82"/>
      <c r="AO10" s="83"/>
      <c r="AP10" s="82"/>
      <c r="AS10" s="83"/>
      <c r="AW10" s="83"/>
      <c r="BA10" s="84"/>
    </row>
    <row r="11" spans="1:53" s="334" customFormat="1">
      <c r="A11" s="386">
        <v>1961</v>
      </c>
      <c r="B11" s="355">
        <v>22476</v>
      </c>
      <c r="C11" s="965" t="s">
        <v>342</v>
      </c>
      <c r="D11" s="965"/>
      <c r="E11" s="334">
        <v>171</v>
      </c>
      <c r="F11" s="334">
        <v>2</v>
      </c>
      <c r="G11" s="419"/>
      <c r="H11" s="334">
        <v>12</v>
      </c>
      <c r="J11" s="435">
        <v>13</v>
      </c>
      <c r="K11" s="384">
        <f t="shared" si="0"/>
        <v>0</v>
      </c>
      <c r="L11" s="384">
        <f t="shared" si="1"/>
        <v>92.307692307692307</v>
      </c>
      <c r="M11" s="384">
        <f t="shared" si="2"/>
        <v>0</v>
      </c>
      <c r="N11" s="421">
        <f t="shared" si="3"/>
        <v>92.307692307692307</v>
      </c>
      <c r="O11" s="383"/>
      <c r="P11" s="384">
        <v>24</v>
      </c>
      <c r="Q11" s="384"/>
      <c r="R11" s="385">
        <f t="shared" si="4"/>
        <v>24</v>
      </c>
      <c r="S11" s="388">
        <v>4</v>
      </c>
      <c r="T11" s="342"/>
      <c r="U11" s="355">
        <v>22476</v>
      </c>
      <c r="V11" s="343" t="s">
        <v>108</v>
      </c>
      <c r="W11" s="334" t="s">
        <v>75</v>
      </c>
      <c r="X11" s="334" t="s">
        <v>18</v>
      </c>
      <c r="Y11" s="344">
        <v>24</v>
      </c>
      <c r="Z11" s="343"/>
      <c r="AC11" s="344"/>
      <c r="AD11" s="343"/>
      <c r="AG11" s="344"/>
      <c r="AL11" s="343"/>
      <c r="AO11" s="344"/>
      <c r="AP11" s="343"/>
      <c r="AS11" s="344"/>
      <c r="AW11" s="344"/>
      <c r="BA11" s="345"/>
    </row>
    <row r="12" spans="1:53" s="334" customFormat="1">
      <c r="A12" s="386">
        <v>1962</v>
      </c>
      <c r="B12" s="355"/>
      <c r="C12" s="965" t="s">
        <v>342</v>
      </c>
      <c r="D12" s="965"/>
      <c r="E12" s="334">
        <v>102</v>
      </c>
      <c r="G12" s="419"/>
      <c r="H12" s="334">
        <v>12</v>
      </c>
      <c r="J12" s="435">
        <v>13</v>
      </c>
      <c r="K12" s="384">
        <f t="shared" si="0"/>
        <v>0</v>
      </c>
      <c r="L12" s="384">
        <f t="shared" si="1"/>
        <v>92.307692307692307</v>
      </c>
      <c r="M12" s="384">
        <f t="shared" si="2"/>
        <v>0</v>
      </c>
      <c r="N12" s="421">
        <f t="shared" si="3"/>
        <v>92.307692307692307</v>
      </c>
      <c r="O12" s="383"/>
      <c r="P12" s="384">
        <v>24</v>
      </c>
      <c r="Q12" s="384"/>
      <c r="R12" s="385">
        <f t="shared" si="4"/>
        <v>24</v>
      </c>
      <c r="S12" s="388">
        <v>4</v>
      </c>
      <c r="T12" s="342"/>
      <c r="U12" s="355"/>
      <c r="V12" s="343" t="s">
        <v>108</v>
      </c>
      <c r="W12" s="334" t="s">
        <v>75</v>
      </c>
      <c r="X12" s="334" t="s">
        <v>18</v>
      </c>
      <c r="Y12" s="344">
        <v>24</v>
      </c>
      <c r="Z12" s="343"/>
      <c r="AC12" s="344"/>
      <c r="AD12" s="343"/>
      <c r="AG12" s="344"/>
      <c r="AL12" s="343"/>
      <c r="AO12" s="344"/>
      <c r="AP12" s="343"/>
      <c r="AS12" s="344"/>
      <c r="AW12" s="344"/>
      <c r="BA12" s="345"/>
    </row>
    <row r="13" spans="1:53" s="73" customFormat="1">
      <c r="A13" s="102">
        <v>1962</v>
      </c>
      <c r="B13" s="85">
        <v>22749</v>
      </c>
      <c r="C13" s="966" t="s">
        <v>343</v>
      </c>
      <c r="D13" s="966"/>
      <c r="E13" s="73">
        <v>263</v>
      </c>
      <c r="F13" s="73">
        <v>6</v>
      </c>
      <c r="G13" s="123">
        <v>3</v>
      </c>
      <c r="H13" s="73">
        <v>7</v>
      </c>
      <c r="J13" s="134">
        <v>11</v>
      </c>
      <c r="K13" s="92">
        <f t="shared" si="0"/>
        <v>27.27272727272727</v>
      </c>
      <c r="L13" s="92">
        <f t="shared" si="1"/>
        <v>63.636363636363633</v>
      </c>
      <c r="M13" s="92">
        <f t="shared" si="2"/>
        <v>0</v>
      </c>
      <c r="N13" s="125">
        <f t="shared" si="3"/>
        <v>90.909090909090907</v>
      </c>
      <c r="O13" s="91">
        <v>23</v>
      </c>
      <c r="P13" s="92">
        <v>33</v>
      </c>
      <c r="Q13" s="92"/>
      <c r="R13" s="93">
        <f t="shared" si="4"/>
        <v>56</v>
      </c>
      <c r="S13" s="97">
        <v>2</v>
      </c>
      <c r="T13" s="95">
        <v>22681</v>
      </c>
      <c r="U13" s="85">
        <v>22749</v>
      </c>
      <c r="V13" s="82" t="s">
        <v>108</v>
      </c>
      <c r="W13" s="73" t="s">
        <v>75</v>
      </c>
      <c r="X13" s="73" t="s">
        <v>18</v>
      </c>
      <c r="Y13" s="73">
        <v>26.5</v>
      </c>
      <c r="Z13" s="82" t="s">
        <v>109</v>
      </c>
      <c r="AA13" s="73" t="s">
        <v>74</v>
      </c>
      <c r="AB13" s="73" t="s">
        <v>11</v>
      </c>
      <c r="AC13" s="83">
        <v>16</v>
      </c>
      <c r="AD13" s="82" t="s">
        <v>110</v>
      </c>
      <c r="AE13" s="73" t="s">
        <v>90</v>
      </c>
      <c r="AF13" s="73" t="s">
        <v>11</v>
      </c>
      <c r="AG13" s="83">
        <v>7</v>
      </c>
      <c r="AH13" s="73" t="s">
        <v>111</v>
      </c>
      <c r="AI13" s="73" t="s">
        <v>22</v>
      </c>
      <c r="AJ13" s="73" t="s">
        <v>18</v>
      </c>
      <c r="AK13" s="73">
        <v>6.5</v>
      </c>
      <c r="AL13" s="82"/>
      <c r="AO13" s="83"/>
      <c r="AP13" s="82"/>
      <c r="AS13" s="83"/>
      <c r="AW13" s="83"/>
      <c r="BA13" s="84"/>
    </row>
    <row r="14" spans="1:53" s="73" customFormat="1">
      <c r="A14" s="102">
        <v>1962.6</v>
      </c>
      <c r="B14" s="85"/>
      <c r="C14" s="966" t="s">
        <v>343</v>
      </c>
      <c r="D14" s="966"/>
      <c r="E14" s="73">
        <v>294</v>
      </c>
      <c r="G14" s="123">
        <v>3</v>
      </c>
      <c r="H14" s="73">
        <v>7</v>
      </c>
      <c r="J14" s="134">
        <v>11</v>
      </c>
      <c r="K14" s="92">
        <f t="shared" si="0"/>
        <v>27.27272727272727</v>
      </c>
      <c r="L14" s="92">
        <f t="shared" si="1"/>
        <v>63.636363636363633</v>
      </c>
      <c r="M14" s="92">
        <f t="shared" si="2"/>
        <v>0</v>
      </c>
      <c r="N14" s="125">
        <f t="shared" si="3"/>
        <v>90.909090909090907</v>
      </c>
      <c r="O14" s="91">
        <v>23</v>
      </c>
      <c r="P14" s="92">
        <v>33</v>
      </c>
      <c r="Q14" s="92"/>
      <c r="R14" s="93">
        <f t="shared" si="4"/>
        <v>56</v>
      </c>
      <c r="S14" s="97">
        <v>2</v>
      </c>
      <c r="T14" s="95"/>
      <c r="U14" s="85"/>
      <c r="V14" s="82" t="s">
        <v>108</v>
      </c>
      <c r="W14" s="73" t="s">
        <v>75</v>
      </c>
      <c r="X14" s="73" t="s">
        <v>18</v>
      </c>
      <c r="Y14" s="73">
        <v>26.5</v>
      </c>
      <c r="Z14" s="82" t="s">
        <v>109</v>
      </c>
      <c r="AA14" s="73" t="s">
        <v>74</v>
      </c>
      <c r="AB14" s="73" t="s">
        <v>11</v>
      </c>
      <c r="AC14" s="83">
        <v>16</v>
      </c>
      <c r="AD14" s="82" t="s">
        <v>110</v>
      </c>
      <c r="AE14" s="73" t="s">
        <v>90</v>
      </c>
      <c r="AF14" s="73" t="s">
        <v>11</v>
      </c>
      <c r="AG14" s="83">
        <v>7</v>
      </c>
      <c r="AH14" s="73" t="s">
        <v>111</v>
      </c>
      <c r="AI14" s="73" t="s">
        <v>22</v>
      </c>
      <c r="AJ14" s="73" t="s">
        <v>18</v>
      </c>
      <c r="AK14" s="73">
        <v>6.5</v>
      </c>
      <c r="AL14" s="82"/>
      <c r="AO14" s="83"/>
      <c r="AP14" s="82"/>
      <c r="AS14" s="83"/>
      <c r="AW14" s="83"/>
      <c r="BA14" s="84"/>
    </row>
    <row r="15" spans="1:53" s="334" customFormat="1">
      <c r="A15" s="386">
        <v>1963.05714285714</v>
      </c>
      <c r="B15" s="355">
        <v>23306</v>
      </c>
      <c r="C15" s="965" t="s">
        <v>344</v>
      </c>
      <c r="D15" s="965"/>
      <c r="E15" s="334">
        <v>57</v>
      </c>
      <c r="F15" s="334">
        <v>4</v>
      </c>
      <c r="G15" s="419">
        <v>3</v>
      </c>
      <c r="H15" s="334">
        <v>7</v>
      </c>
      <c r="J15" s="435">
        <v>10</v>
      </c>
      <c r="K15" s="384">
        <f>G15/J15*100</f>
        <v>30</v>
      </c>
      <c r="L15" s="384">
        <f>H15/J15*100</f>
        <v>70</v>
      </c>
      <c r="M15" s="384">
        <f>I15/J15*100</f>
        <v>0</v>
      </c>
      <c r="N15" s="421">
        <f t="shared" si="3"/>
        <v>100</v>
      </c>
      <c r="O15" s="383">
        <v>23</v>
      </c>
      <c r="P15" s="384">
        <v>33</v>
      </c>
      <c r="Q15" s="384"/>
      <c r="R15" s="385">
        <f t="shared" si="4"/>
        <v>56</v>
      </c>
      <c r="S15" s="388">
        <v>2</v>
      </c>
      <c r="T15" s="342"/>
      <c r="U15" s="355">
        <v>23306</v>
      </c>
      <c r="V15" s="343" t="s">
        <v>108</v>
      </c>
      <c r="W15" s="334" t="s">
        <v>75</v>
      </c>
      <c r="X15" s="334" t="s">
        <v>18</v>
      </c>
      <c r="Y15" s="334">
        <v>26.5</v>
      </c>
      <c r="Z15" s="343" t="s">
        <v>109</v>
      </c>
      <c r="AA15" s="334" t="s">
        <v>74</v>
      </c>
      <c r="AB15" s="334" t="s">
        <v>11</v>
      </c>
      <c r="AC15" s="344">
        <v>16</v>
      </c>
      <c r="AD15" s="343" t="s">
        <v>110</v>
      </c>
      <c r="AE15" s="334" t="s">
        <v>90</v>
      </c>
      <c r="AF15" s="334" t="s">
        <v>11</v>
      </c>
      <c r="AG15" s="344">
        <v>7</v>
      </c>
      <c r="AH15" s="334" t="s">
        <v>111</v>
      </c>
      <c r="AI15" s="334" t="s">
        <v>22</v>
      </c>
      <c r="AJ15" s="334" t="s">
        <v>18</v>
      </c>
      <c r="AK15" s="334">
        <v>6.5</v>
      </c>
      <c r="AL15" s="343"/>
      <c r="AO15" s="344"/>
      <c r="AP15" s="343"/>
      <c r="AS15" s="344"/>
      <c r="AW15" s="344"/>
      <c r="BA15" s="345"/>
    </row>
    <row r="16" spans="1:53" s="73" customFormat="1">
      <c r="A16" s="102">
        <v>1963.05714285714</v>
      </c>
      <c r="B16" s="85">
        <v>23363</v>
      </c>
      <c r="C16" s="966" t="s">
        <v>349</v>
      </c>
      <c r="D16" s="966"/>
      <c r="E16" s="73">
        <v>14</v>
      </c>
      <c r="F16" s="73">
        <v>4</v>
      </c>
      <c r="G16" s="123">
        <v>0</v>
      </c>
      <c r="H16" s="73">
        <v>0</v>
      </c>
      <c r="I16" s="73">
        <v>0</v>
      </c>
      <c r="J16" s="134">
        <v>12</v>
      </c>
      <c r="K16" s="92">
        <f>G16/J16*100</f>
        <v>0</v>
      </c>
      <c r="L16" s="92">
        <f>H16/J16*100</f>
        <v>0</v>
      </c>
      <c r="M16" s="92">
        <f>I16/J16*100</f>
        <v>0</v>
      </c>
      <c r="N16" s="125">
        <f t="shared" si="3"/>
        <v>0</v>
      </c>
      <c r="O16" s="91">
        <v>0</v>
      </c>
      <c r="P16" s="92">
        <v>0</v>
      </c>
      <c r="Q16" s="92">
        <v>0</v>
      </c>
      <c r="R16" s="93">
        <f t="shared" si="4"/>
        <v>0</v>
      </c>
      <c r="S16" s="97">
        <v>7</v>
      </c>
      <c r="T16" s="95"/>
      <c r="U16" s="85">
        <v>23363</v>
      </c>
      <c r="V16" s="158" t="s">
        <v>809</v>
      </c>
      <c r="Z16" s="82"/>
      <c r="AC16" s="83"/>
      <c r="AD16" s="82"/>
      <c r="AG16" s="83"/>
      <c r="AL16" s="82"/>
      <c r="AO16" s="83"/>
      <c r="AP16" s="82"/>
      <c r="AS16" s="83"/>
      <c r="AW16" s="83"/>
      <c r="BA16" s="84"/>
    </row>
    <row r="17" spans="1:53" s="73" customFormat="1">
      <c r="A17" s="102">
        <v>1963.5142857142901</v>
      </c>
      <c r="B17" s="85"/>
      <c r="C17" s="966" t="s">
        <v>349</v>
      </c>
      <c r="D17" s="966"/>
      <c r="E17" s="73">
        <v>255</v>
      </c>
      <c r="G17" s="123">
        <v>0</v>
      </c>
      <c r="H17" s="73">
        <v>0</v>
      </c>
      <c r="I17" s="73">
        <v>0</v>
      </c>
      <c r="J17" s="134">
        <v>12</v>
      </c>
      <c r="K17" s="92">
        <f t="shared" ref="K17:K22" si="5">G17/J17*100</f>
        <v>0</v>
      </c>
      <c r="L17" s="92">
        <f t="shared" ref="L17:L22" si="6">H17/J17*100</f>
        <v>0</v>
      </c>
      <c r="M17" s="92">
        <f t="shared" ref="M17:M22" si="7">I17/J17*100</f>
        <v>0</v>
      </c>
      <c r="N17" s="125">
        <f t="shared" si="3"/>
        <v>0</v>
      </c>
      <c r="O17" s="91">
        <v>0</v>
      </c>
      <c r="P17" s="92">
        <v>0</v>
      </c>
      <c r="Q17" s="92">
        <v>0</v>
      </c>
      <c r="R17" s="93">
        <f t="shared" si="4"/>
        <v>0</v>
      </c>
      <c r="S17" s="97">
        <v>7</v>
      </c>
      <c r="T17" s="95"/>
      <c r="U17" s="85"/>
      <c r="V17" s="158" t="s">
        <v>809</v>
      </c>
      <c r="Z17" s="82"/>
      <c r="AC17" s="83"/>
      <c r="AD17" s="82"/>
      <c r="AG17" s="83"/>
      <c r="AL17" s="82"/>
      <c r="AO17" s="83"/>
      <c r="AP17" s="82"/>
      <c r="AS17" s="83"/>
      <c r="AW17" s="83"/>
      <c r="BA17" s="84"/>
    </row>
    <row r="18" spans="1:53" s="334" customFormat="1">
      <c r="A18" s="386">
        <v>1963.9714285714299</v>
      </c>
      <c r="B18" s="355">
        <v>23632</v>
      </c>
      <c r="C18" s="965" t="s">
        <v>346</v>
      </c>
      <c r="D18" s="965"/>
      <c r="E18" s="334">
        <v>111</v>
      </c>
      <c r="F18" s="334" t="s">
        <v>345</v>
      </c>
      <c r="G18" s="419">
        <v>4</v>
      </c>
      <c r="H18" s="334">
        <v>7</v>
      </c>
      <c r="J18" s="435">
        <v>11</v>
      </c>
      <c r="K18" s="384">
        <f t="shared" si="5"/>
        <v>36.363636363636367</v>
      </c>
      <c r="L18" s="384">
        <f t="shared" si="6"/>
        <v>63.636363636363633</v>
      </c>
      <c r="M18" s="384">
        <f t="shared" si="7"/>
        <v>0</v>
      </c>
      <c r="N18" s="421">
        <f t="shared" si="3"/>
        <v>100</v>
      </c>
      <c r="O18" s="383">
        <v>23</v>
      </c>
      <c r="P18" s="384">
        <v>33</v>
      </c>
      <c r="Q18" s="384"/>
      <c r="R18" s="385">
        <f t="shared" si="4"/>
        <v>56</v>
      </c>
      <c r="S18" s="388">
        <v>2</v>
      </c>
      <c r="T18" s="342"/>
      <c r="U18" s="355">
        <v>23632</v>
      </c>
      <c r="V18" s="343" t="s">
        <v>108</v>
      </c>
      <c r="W18" s="334" t="s">
        <v>75</v>
      </c>
      <c r="X18" s="334" t="s">
        <v>18</v>
      </c>
      <c r="Y18" s="334">
        <v>26.5</v>
      </c>
      <c r="Z18" s="343" t="s">
        <v>109</v>
      </c>
      <c r="AA18" s="334" t="s">
        <v>74</v>
      </c>
      <c r="AB18" s="334" t="s">
        <v>11</v>
      </c>
      <c r="AC18" s="344">
        <v>16</v>
      </c>
      <c r="AD18" s="343" t="s">
        <v>110</v>
      </c>
      <c r="AE18" s="334" t="s">
        <v>90</v>
      </c>
      <c r="AF18" s="334" t="s">
        <v>11</v>
      </c>
      <c r="AG18" s="344">
        <v>7</v>
      </c>
      <c r="AH18" s="334" t="s">
        <v>111</v>
      </c>
      <c r="AI18" s="334" t="s">
        <v>22</v>
      </c>
      <c r="AJ18" s="334" t="s">
        <v>18</v>
      </c>
      <c r="AK18" s="334">
        <v>6.5</v>
      </c>
      <c r="AL18" s="343"/>
      <c r="AO18" s="344"/>
      <c r="AP18" s="343"/>
      <c r="AS18" s="344"/>
      <c r="AW18" s="344"/>
      <c r="BA18" s="345"/>
    </row>
    <row r="19" spans="1:53" s="334" customFormat="1">
      <c r="A19" s="386">
        <v>1965</v>
      </c>
      <c r="B19" s="355"/>
      <c r="C19" s="965" t="s">
        <v>346</v>
      </c>
      <c r="D19" s="965"/>
      <c r="E19" s="334">
        <v>0</v>
      </c>
      <c r="G19" s="419">
        <v>4</v>
      </c>
      <c r="H19" s="334">
        <v>7</v>
      </c>
      <c r="J19" s="435">
        <v>11</v>
      </c>
      <c r="K19" s="384">
        <f t="shared" si="5"/>
        <v>36.363636363636367</v>
      </c>
      <c r="L19" s="384">
        <f t="shared" si="6"/>
        <v>63.636363636363633</v>
      </c>
      <c r="M19" s="384">
        <f t="shared" si="7"/>
        <v>0</v>
      </c>
      <c r="N19" s="421">
        <f t="shared" si="3"/>
        <v>100</v>
      </c>
      <c r="O19" s="383">
        <v>23</v>
      </c>
      <c r="P19" s="384">
        <v>33</v>
      </c>
      <c r="Q19" s="384"/>
      <c r="R19" s="385">
        <f t="shared" si="4"/>
        <v>56</v>
      </c>
      <c r="S19" s="388">
        <v>2</v>
      </c>
      <c r="T19" s="342"/>
      <c r="U19" s="355"/>
      <c r="V19" s="343" t="s">
        <v>108</v>
      </c>
      <c r="W19" s="334" t="s">
        <v>75</v>
      </c>
      <c r="X19" s="334" t="s">
        <v>18</v>
      </c>
      <c r="Y19" s="334">
        <v>26.5</v>
      </c>
      <c r="Z19" s="343" t="s">
        <v>109</v>
      </c>
      <c r="AA19" s="334" t="s">
        <v>74</v>
      </c>
      <c r="AB19" s="334" t="s">
        <v>11</v>
      </c>
      <c r="AC19" s="344">
        <v>16</v>
      </c>
      <c r="AD19" s="343" t="s">
        <v>110</v>
      </c>
      <c r="AE19" s="334" t="s">
        <v>90</v>
      </c>
      <c r="AF19" s="334" t="s">
        <v>11</v>
      </c>
      <c r="AG19" s="344">
        <v>7</v>
      </c>
      <c r="AH19" s="334" t="s">
        <v>111</v>
      </c>
      <c r="AI19" s="334" t="s">
        <v>22</v>
      </c>
      <c r="AJ19" s="334" t="s">
        <v>18</v>
      </c>
      <c r="AK19" s="334">
        <v>6.5</v>
      </c>
      <c r="AL19" s="343"/>
      <c r="AO19" s="344"/>
      <c r="AP19" s="343"/>
      <c r="AS19" s="344"/>
      <c r="AW19" s="344"/>
      <c r="BA19" s="345"/>
    </row>
    <row r="20" spans="1:53" s="334" customFormat="1">
      <c r="A20" s="386">
        <v>1964.88571428572</v>
      </c>
      <c r="C20" s="965" t="s">
        <v>346</v>
      </c>
      <c r="D20" s="965"/>
      <c r="E20" s="334">
        <v>365</v>
      </c>
      <c r="G20" s="419">
        <v>4</v>
      </c>
      <c r="H20" s="334">
        <v>7</v>
      </c>
      <c r="J20" s="435">
        <v>11</v>
      </c>
      <c r="K20" s="384">
        <f t="shared" si="5"/>
        <v>36.363636363636367</v>
      </c>
      <c r="L20" s="384">
        <f t="shared" si="6"/>
        <v>63.636363636363633</v>
      </c>
      <c r="M20" s="384">
        <f t="shared" si="7"/>
        <v>0</v>
      </c>
      <c r="N20" s="421">
        <f t="shared" si="3"/>
        <v>100</v>
      </c>
      <c r="O20" s="383">
        <v>23</v>
      </c>
      <c r="P20" s="384">
        <v>33</v>
      </c>
      <c r="Q20" s="384"/>
      <c r="R20" s="385">
        <f t="shared" si="4"/>
        <v>56</v>
      </c>
      <c r="S20" s="388">
        <v>2</v>
      </c>
      <c r="T20" s="342"/>
      <c r="U20" s="355"/>
      <c r="V20" s="343" t="s">
        <v>108</v>
      </c>
      <c r="W20" s="334" t="s">
        <v>75</v>
      </c>
      <c r="X20" s="334" t="s">
        <v>18</v>
      </c>
      <c r="Y20" s="334">
        <v>26.5</v>
      </c>
      <c r="Z20" s="343" t="s">
        <v>109</v>
      </c>
      <c r="AA20" s="334" t="s">
        <v>74</v>
      </c>
      <c r="AB20" s="334" t="s">
        <v>11</v>
      </c>
      <c r="AC20" s="344">
        <v>16</v>
      </c>
      <c r="AD20" s="343" t="s">
        <v>110</v>
      </c>
      <c r="AE20" s="334" t="s">
        <v>90</v>
      </c>
      <c r="AF20" s="334" t="s">
        <v>11</v>
      </c>
      <c r="AG20" s="344">
        <v>7</v>
      </c>
      <c r="AH20" s="334" t="s">
        <v>111</v>
      </c>
      <c r="AI20" s="334" t="s">
        <v>22</v>
      </c>
      <c r="AJ20" s="334" t="s">
        <v>18</v>
      </c>
      <c r="AK20" s="334">
        <v>6.5</v>
      </c>
      <c r="AL20" s="343"/>
      <c r="AO20" s="344"/>
      <c r="AP20" s="343"/>
      <c r="AS20" s="344"/>
      <c r="AW20" s="344"/>
      <c r="BA20" s="345"/>
    </row>
    <row r="21" spans="1:53" s="334" customFormat="1">
      <c r="A21" s="386">
        <v>1966</v>
      </c>
      <c r="B21" s="355"/>
      <c r="C21" s="965" t="s">
        <v>346</v>
      </c>
      <c r="D21" s="965"/>
      <c r="E21" s="334">
        <v>146</v>
      </c>
      <c r="G21" s="419">
        <v>4</v>
      </c>
      <c r="H21" s="334">
        <v>7</v>
      </c>
      <c r="J21" s="435">
        <v>11</v>
      </c>
      <c r="K21" s="384">
        <f t="shared" si="5"/>
        <v>36.363636363636367</v>
      </c>
      <c r="L21" s="384">
        <f t="shared" si="6"/>
        <v>63.636363636363633</v>
      </c>
      <c r="M21" s="384">
        <f t="shared" si="7"/>
        <v>0</v>
      </c>
      <c r="N21" s="421">
        <f t="shared" si="3"/>
        <v>100</v>
      </c>
      <c r="O21" s="383">
        <v>23</v>
      </c>
      <c r="P21" s="384">
        <v>33</v>
      </c>
      <c r="Q21" s="384"/>
      <c r="R21" s="385">
        <f t="shared" si="4"/>
        <v>56</v>
      </c>
      <c r="S21" s="388">
        <v>2</v>
      </c>
      <c r="T21" s="342"/>
      <c r="U21" s="355"/>
      <c r="V21" s="343" t="s">
        <v>108</v>
      </c>
      <c r="W21" s="334" t="s">
        <v>75</v>
      </c>
      <c r="X21" s="334" t="s">
        <v>18</v>
      </c>
      <c r="Y21" s="334">
        <v>26.5</v>
      </c>
      <c r="Z21" s="343" t="s">
        <v>109</v>
      </c>
      <c r="AA21" s="334" t="s">
        <v>74</v>
      </c>
      <c r="AB21" s="334" t="s">
        <v>11</v>
      </c>
      <c r="AC21" s="344">
        <v>16</v>
      </c>
      <c r="AD21" s="343" t="s">
        <v>110</v>
      </c>
      <c r="AE21" s="334" t="s">
        <v>90</v>
      </c>
      <c r="AF21" s="334" t="s">
        <v>11</v>
      </c>
      <c r="AG21" s="344">
        <v>7</v>
      </c>
      <c r="AH21" s="334" t="s">
        <v>111</v>
      </c>
      <c r="AI21" s="334" t="s">
        <v>22</v>
      </c>
      <c r="AJ21" s="334" t="s">
        <v>18</v>
      </c>
      <c r="AK21" s="334">
        <v>6.5</v>
      </c>
      <c r="AL21" s="343"/>
      <c r="AO21" s="344"/>
      <c r="AP21" s="343"/>
      <c r="AS21" s="344"/>
      <c r="AW21" s="344"/>
      <c r="BA21" s="345"/>
    </row>
    <row r="22" spans="1:53" s="73" customFormat="1">
      <c r="A22" s="102">
        <v>1965.8</v>
      </c>
      <c r="B22" s="85">
        <v>24254</v>
      </c>
      <c r="C22" s="966" t="s">
        <v>347</v>
      </c>
      <c r="D22" s="966"/>
      <c r="E22" s="73">
        <v>219</v>
      </c>
      <c r="F22" s="73">
        <v>1</v>
      </c>
      <c r="G22" s="123"/>
      <c r="H22" s="73">
        <v>4</v>
      </c>
      <c r="I22" s="73">
        <v>8</v>
      </c>
      <c r="J22" s="134">
        <v>12</v>
      </c>
      <c r="K22" s="92">
        <f t="shared" si="5"/>
        <v>0</v>
      </c>
      <c r="L22" s="92">
        <f t="shared" si="6"/>
        <v>33.333333333333329</v>
      </c>
      <c r="M22" s="92">
        <f t="shared" si="7"/>
        <v>66.666666666666657</v>
      </c>
      <c r="N22" s="125">
        <f t="shared" si="3"/>
        <v>99.999999999999986</v>
      </c>
      <c r="O22" s="91"/>
      <c r="P22" s="92">
        <v>24.5</v>
      </c>
      <c r="Q22" s="92">
        <v>51.5</v>
      </c>
      <c r="R22" s="93">
        <f t="shared" si="4"/>
        <v>76</v>
      </c>
      <c r="S22" s="97">
        <v>3</v>
      </c>
      <c r="T22" s="95">
        <v>24186</v>
      </c>
      <c r="U22" s="85">
        <v>24254</v>
      </c>
      <c r="V22" s="82" t="s">
        <v>112</v>
      </c>
      <c r="W22" s="73" t="s">
        <v>20</v>
      </c>
      <c r="X22" s="73" t="s">
        <v>12</v>
      </c>
      <c r="Y22" s="83">
        <v>27.5</v>
      </c>
      <c r="Z22" s="82" t="s">
        <v>108</v>
      </c>
      <c r="AA22" s="73" t="s">
        <v>75</v>
      </c>
      <c r="AB22" s="73" t="s">
        <v>18</v>
      </c>
      <c r="AC22" s="83">
        <v>24.5</v>
      </c>
      <c r="AD22" s="82" t="s">
        <v>113</v>
      </c>
      <c r="AE22" s="73" t="s">
        <v>114</v>
      </c>
      <c r="AF22" s="73" t="s">
        <v>12</v>
      </c>
      <c r="AG22" s="83">
        <v>20.5</v>
      </c>
      <c r="AH22" s="73" t="s">
        <v>115</v>
      </c>
      <c r="AI22" s="73" t="s">
        <v>116</v>
      </c>
      <c r="AJ22" s="73" t="s">
        <v>12</v>
      </c>
      <c r="AK22" s="73">
        <v>3.5</v>
      </c>
      <c r="AL22" s="82"/>
      <c r="AO22" s="83"/>
      <c r="AP22" s="82"/>
      <c r="AS22" s="83"/>
      <c r="AW22" s="83"/>
      <c r="BA22" s="84"/>
    </row>
    <row r="23" spans="1:53" s="73" customFormat="1">
      <c r="A23" s="102">
        <v>1967</v>
      </c>
      <c r="B23" s="85"/>
      <c r="C23" s="966" t="s">
        <v>347</v>
      </c>
      <c r="D23" s="966"/>
      <c r="E23" s="73">
        <v>0</v>
      </c>
      <c r="G23" s="123"/>
      <c r="H23" s="73">
        <v>4</v>
      </c>
      <c r="I23" s="73">
        <v>8</v>
      </c>
      <c r="J23" s="134">
        <v>12</v>
      </c>
      <c r="K23" s="92">
        <f>G23/J23*100</f>
        <v>0</v>
      </c>
      <c r="L23" s="92">
        <f>H23/J23*100</f>
        <v>33.333333333333329</v>
      </c>
      <c r="M23" s="92">
        <f>I23/J23*100</f>
        <v>66.666666666666657</v>
      </c>
      <c r="N23" s="125">
        <f t="shared" si="3"/>
        <v>99.999999999999986</v>
      </c>
      <c r="O23" s="91"/>
      <c r="P23" s="92">
        <v>24.5</v>
      </c>
      <c r="Q23" s="92">
        <v>51.5</v>
      </c>
      <c r="R23" s="93">
        <f t="shared" si="4"/>
        <v>76</v>
      </c>
      <c r="S23" s="97">
        <v>3</v>
      </c>
      <c r="T23" s="95"/>
      <c r="U23" s="85"/>
      <c r="V23" s="82" t="s">
        <v>112</v>
      </c>
      <c r="W23" s="73" t="s">
        <v>20</v>
      </c>
      <c r="X23" s="73" t="s">
        <v>12</v>
      </c>
      <c r="Y23" s="83">
        <v>27.5</v>
      </c>
      <c r="Z23" s="82" t="s">
        <v>108</v>
      </c>
      <c r="AA23" s="73" t="s">
        <v>75</v>
      </c>
      <c r="AB23" s="73" t="s">
        <v>18</v>
      </c>
      <c r="AC23" s="83">
        <v>24.5</v>
      </c>
      <c r="AD23" s="82" t="s">
        <v>113</v>
      </c>
      <c r="AE23" s="73" t="s">
        <v>114</v>
      </c>
      <c r="AF23" s="73" t="s">
        <v>12</v>
      </c>
      <c r="AG23" s="83">
        <v>20.5</v>
      </c>
      <c r="AH23" s="73" t="s">
        <v>115</v>
      </c>
      <c r="AI23" s="73" t="s">
        <v>116</v>
      </c>
      <c r="AJ23" s="73" t="s">
        <v>12</v>
      </c>
      <c r="AK23" s="73">
        <v>3.5</v>
      </c>
      <c r="AL23" s="82"/>
      <c r="AO23" s="83"/>
      <c r="AP23" s="82"/>
      <c r="AS23" s="83"/>
      <c r="AW23" s="83"/>
      <c r="BA23" s="84"/>
    </row>
    <row r="24" spans="1:53" s="73" customFormat="1">
      <c r="A24" s="102">
        <v>1966.7142857142901</v>
      </c>
      <c r="B24" s="85"/>
      <c r="C24" s="966" t="s">
        <v>347</v>
      </c>
      <c r="D24" s="966"/>
      <c r="E24" s="73">
        <v>365</v>
      </c>
      <c r="G24" s="123"/>
      <c r="H24" s="73">
        <v>4</v>
      </c>
      <c r="I24" s="73">
        <v>8</v>
      </c>
      <c r="J24" s="134">
        <v>12</v>
      </c>
      <c r="K24" s="92">
        <f t="shared" ref="K24:K29" si="8">G24/J24*100</f>
        <v>0</v>
      </c>
      <c r="L24" s="92">
        <f t="shared" ref="L24:L29" si="9">H24/J24*100</f>
        <v>33.333333333333329</v>
      </c>
      <c r="M24" s="92">
        <f t="shared" ref="M24:M29" si="10">I24/J24*100</f>
        <v>66.666666666666657</v>
      </c>
      <c r="N24" s="125">
        <f t="shared" si="3"/>
        <v>99.999999999999986</v>
      </c>
      <c r="O24" s="91"/>
      <c r="P24" s="92">
        <v>24.5</v>
      </c>
      <c r="Q24" s="92">
        <v>51.5</v>
      </c>
      <c r="R24" s="93">
        <f t="shared" si="4"/>
        <v>76</v>
      </c>
      <c r="S24" s="97">
        <v>3</v>
      </c>
      <c r="T24" s="95"/>
      <c r="U24" s="85"/>
      <c r="V24" s="82" t="s">
        <v>112</v>
      </c>
      <c r="W24" s="73" t="s">
        <v>20</v>
      </c>
      <c r="X24" s="73" t="s">
        <v>12</v>
      </c>
      <c r="Y24" s="83">
        <v>27.5</v>
      </c>
      <c r="Z24" s="82" t="s">
        <v>108</v>
      </c>
      <c r="AA24" s="73" t="s">
        <v>75</v>
      </c>
      <c r="AB24" s="73" t="s">
        <v>18</v>
      </c>
      <c r="AC24" s="83">
        <v>24.5</v>
      </c>
      <c r="AD24" s="82" t="s">
        <v>113</v>
      </c>
      <c r="AE24" s="73" t="s">
        <v>114</v>
      </c>
      <c r="AF24" s="73" t="s">
        <v>12</v>
      </c>
      <c r="AG24" s="83">
        <v>20.5</v>
      </c>
      <c r="AH24" s="73" t="s">
        <v>115</v>
      </c>
      <c r="AI24" s="73" t="s">
        <v>116</v>
      </c>
      <c r="AJ24" s="73" t="s">
        <v>12</v>
      </c>
      <c r="AK24" s="73">
        <v>3.5</v>
      </c>
      <c r="AL24" s="82"/>
      <c r="AO24" s="83"/>
      <c r="AP24" s="82"/>
      <c r="AS24" s="83"/>
      <c r="AW24" s="83"/>
      <c r="BA24" s="84"/>
    </row>
    <row r="25" spans="1:53" s="73" customFormat="1">
      <c r="A25" s="102">
        <v>1968</v>
      </c>
      <c r="B25" s="85"/>
      <c r="C25" s="966" t="s">
        <v>347</v>
      </c>
      <c r="D25" s="966"/>
      <c r="E25" s="73">
        <v>81</v>
      </c>
      <c r="G25" s="123"/>
      <c r="H25" s="73">
        <v>4</v>
      </c>
      <c r="I25" s="73">
        <v>8</v>
      </c>
      <c r="J25" s="134">
        <v>12</v>
      </c>
      <c r="K25" s="92">
        <f t="shared" si="8"/>
        <v>0</v>
      </c>
      <c r="L25" s="92">
        <f t="shared" si="9"/>
        <v>33.333333333333329</v>
      </c>
      <c r="M25" s="92">
        <f t="shared" si="10"/>
        <v>66.666666666666657</v>
      </c>
      <c r="N25" s="125">
        <f t="shared" si="3"/>
        <v>99.999999999999986</v>
      </c>
      <c r="O25" s="91">
        <v>6</v>
      </c>
      <c r="P25" s="92">
        <v>24.5</v>
      </c>
      <c r="Q25" s="92">
        <v>51.5</v>
      </c>
      <c r="R25" s="93">
        <f t="shared" si="4"/>
        <v>82</v>
      </c>
      <c r="S25" s="97">
        <v>3</v>
      </c>
      <c r="T25" s="95"/>
      <c r="U25" s="85"/>
      <c r="V25" s="82" t="s">
        <v>112</v>
      </c>
      <c r="W25" s="73" t="s">
        <v>20</v>
      </c>
      <c r="X25" s="73" t="s">
        <v>12</v>
      </c>
      <c r="Y25" s="83">
        <v>27.5</v>
      </c>
      <c r="Z25" s="82" t="s">
        <v>108</v>
      </c>
      <c r="AA25" s="73" t="s">
        <v>75</v>
      </c>
      <c r="AB25" s="73" t="s">
        <v>18</v>
      </c>
      <c r="AC25" s="83">
        <v>24.5</v>
      </c>
      <c r="AD25" s="82" t="s">
        <v>113</v>
      </c>
      <c r="AE25" s="73" t="s">
        <v>114</v>
      </c>
      <c r="AF25" s="73" t="s">
        <v>12</v>
      </c>
      <c r="AG25" s="83">
        <v>20.5</v>
      </c>
      <c r="AH25" s="73" t="s">
        <v>115</v>
      </c>
      <c r="AI25" s="73" t="s">
        <v>116</v>
      </c>
      <c r="AJ25" s="73" t="s">
        <v>12</v>
      </c>
      <c r="AK25" s="73">
        <v>3.5</v>
      </c>
      <c r="AL25" s="82"/>
      <c r="AO25" s="83"/>
      <c r="AP25" s="82"/>
      <c r="AS25" s="83"/>
      <c r="AW25" s="83"/>
      <c r="BA25" s="84"/>
    </row>
    <row r="26" spans="1:53" s="334" customFormat="1">
      <c r="A26" s="386">
        <v>1967.62857142857</v>
      </c>
      <c r="B26" s="355">
        <v>24919</v>
      </c>
      <c r="C26" s="965" t="s">
        <v>348</v>
      </c>
      <c r="D26" s="965"/>
      <c r="E26" s="334">
        <v>285</v>
      </c>
      <c r="F26" s="334">
        <v>2</v>
      </c>
      <c r="G26" s="419">
        <v>1</v>
      </c>
      <c r="H26" s="334">
        <v>4</v>
      </c>
      <c r="I26" s="334">
        <v>7</v>
      </c>
      <c r="J26" s="435">
        <v>12</v>
      </c>
      <c r="K26" s="384">
        <f t="shared" si="8"/>
        <v>8.3333333333333321</v>
      </c>
      <c r="L26" s="384">
        <f t="shared" si="9"/>
        <v>33.333333333333329</v>
      </c>
      <c r="M26" s="384">
        <f t="shared" si="10"/>
        <v>58.333333333333336</v>
      </c>
      <c r="N26" s="421">
        <f t="shared" si="3"/>
        <v>100</v>
      </c>
      <c r="O26" s="383">
        <v>6</v>
      </c>
      <c r="P26" s="384">
        <v>24.5</v>
      </c>
      <c r="Q26" s="384">
        <v>51.5</v>
      </c>
      <c r="R26" s="385">
        <f t="shared" si="4"/>
        <v>82</v>
      </c>
      <c r="S26" s="388">
        <v>3</v>
      </c>
      <c r="T26" s="342"/>
      <c r="U26" s="355">
        <v>24919</v>
      </c>
      <c r="V26" s="343" t="s">
        <v>112</v>
      </c>
      <c r="W26" s="334" t="s">
        <v>20</v>
      </c>
      <c r="X26" s="334" t="s">
        <v>12</v>
      </c>
      <c r="Y26" s="344">
        <v>27.5</v>
      </c>
      <c r="Z26" s="343" t="s">
        <v>108</v>
      </c>
      <c r="AA26" s="334" t="s">
        <v>75</v>
      </c>
      <c r="AB26" s="334" t="s">
        <v>18</v>
      </c>
      <c r="AC26" s="344">
        <v>24.5</v>
      </c>
      <c r="AD26" s="343" t="s">
        <v>113</v>
      </c>
      <c r="AE26" s="334" t="s">
        <v>114</v>
      </c>
      <c r="AF26" s="334" t="s">
        <v>12</v>
      </c>
      <c r="AG26" s="344">
        <v>20.5</v>
      </c>
      <c r="AH26" s="334" t="s">
        <v>115</v>
      </c>
      <c r="AI26" s="334" t="s">
        <v>116</v>
      </c>
      <c r="AJ26" s="334" t="s">
        <v>12</v>
      </c>
      <c r="AK26" s="334">
        <v>3.5</v>
      </c>
      <c r="AL26" s="343" t="s">
        <v>110</v>
      </c>
      <c r="AM26" s="334" t="s">
        <v>90</v>
      </c>
      <c r="AN26" s="334" t="s">
        <v>11</v>
      </c>
      <c r="AO26" s="344">
        <v>6</v>
      </c>
      <c r="AP26" s="343"/>
      <c r="AS26" s="344"/>
      <c r="AW26" s="344"/>
      <c r="BA26" s="345"/>
    </row>
    <row r="27" spans="1:53" s="334" customFormat="1">
      <c r="A27" s="386">
        <v>1969</v>
      </c>
      <c r="B27" s="355"/>
      <c r="C27" s="965" t="s">
        <v>348</v>
      </c>
      <c r="D27" s="965"/>
      <c r="E27" s="334">
        <v>0</v>
      </c>
      <c r="G27" s="419">
        <v>1</v>
      </c>
      <c r="H27" s="334">
        <v>4</v>
      </c>
      <c r="I27" s="334">
        <v>7</v>
      </c>
      <c r="J27" s="435">
        <v>12</v>
      </c>
      <c r="K27" s="384">
        <f t="shared" si="8"/>
        <v>8.3333333333333321</v>
      </c>
      <c r="L27" s="384">
        <f t="shared" si="9"/>
        <v>33.333333333333329</v>
      </c>
      <c r="M27" s="384">
        <f t="shared" si="10"/>
        <v>58.333333333333336</v>
      </c>
      <c r="N27" s="421">
        <f t="shared" si="3"/>
        <v>100</v>
      </c>
      <c r="O27" s="383">
        <v>6</v>
      </c>
      <c r="P27" s="384">
        <v>24.5</v>
      </c>
      <c r="Q27" s="384">
        <v>51.5</v>
      </c>
      <c r="R27" s="385">
        <f t="shared" si="4"/>
        <v>82</v>
      </c>
      <c r="S27" s="388">
        <v>3</v>
      </c>
      <c r="T27" s="342"/>
      <c r="U27" s="355"/>
      <c r="V27" s="343" t="s">
        <v>112</v>
      </c>
      <c r="W27" s="334" t="s">
        <v>20</v>
      </c>
      <c r="X27" s="334" t="s">
        <v>12</v>
      </c>
      <c r="Y27" s="344">
        <v>27.5</v>
      </c>
      <c r="Z27" s="343" t="s">
        <v>108</v>
      </c>
      <c r="AA27" s="334" t="s">
        <v>75</v>
      </c>
      <c r="AB27" s="334" t="s">
        <v>18</v>
      </c>
      <c r="AC27" s="344">
        <v>24.5</v>
      </c>
      <c r="AD27" s="343" t="s">
        <v>113</v>
      </c>
      <c r="AE27" s="334" t="s">
        <v>114</v>
      </c>
      <c r="AF27" s="334" t="s">
        <v>12</v>
      </c>
      <c r="AG27" s="344">
        <v>20.5</v>
      </c>
      <c r="AH27" s="334" t="s">
        <v>115</v>
      </c>
      <c r="AI27" s="334" t="s">
        <v>116</v>
      </c>
      <c r="AJ27" s="334" t="s">
        <v>12</v>
      </c>
      <c r="AK27" s="334">
        <v>3.5</v>
      </c>
      <c r="AL27" s="343" t="s">
        <v>110</v>
      </c>
      <c r="AM27" s="334" t="s">
        <v>90</v>
      </c>
      <c r="AN27" s="334" t="s">
        <v>11</v>
      </c>
      <c r="AO27" s="344">
        <v>6</v>
      </c>
      <c r="AP27" s="343"/>
      <c r="AS27" s="344"/>
      <c r="AW27" s="344"/>
      <c r="BA27" s="345"/>
    </row>
    <row r="28" spans="1:53" s="334" customFormat="1">
      <c r="A28" s="386">
        <v>1968.5428571428599</v>
      </c>
      <c r="B28" s="355"/>
      <c r="C28" s="965" t="s">
        <v>348</v>
      </c>
      <c r="D28" s="965"/>
      <c r="E28" s="334">
        <v>365</v>
      </c>
      <c r="G28" s="419">
        <v>1</v>
      </c>
      <c r="H28" s="334">
        <v>4</v>
      </c>
      <c r="I28" s="334">
        <v>7</v>
      </c>
      <c r="J28" s="435">
        <v>12</v>
      </c>
      <c r="K28" s="384">
        <f t="shared" si="8"/>
        <v>8.3333333333333321</v>
      </c>
      <c r="L28" s="384">
        <f t="shared" si="9"/>
        <v>33.333333333333329</v>
      </c>
      <c r="M28" s="384">
        <f t="shared" si="10"/>
        <v>58.333333333333336</v>
      </c>
      <c r="N28" s="421">
        <f t="shared" si="3"/>
        <v>100</v>
      </c>
      <c r="O28" s="383">
        <v>6</v>
      </c>
      <c r="P28" s="384">
        <v>24.5</v>
      </c>
      <c r="Q28" s="384">
        <v>51.5</v>
      </c>
      <c r="R28" s="385">
        <f t="shared" si="4"/>
        <v>82</v>
      </c>
      <c r="S28" s="388">
        <v>3</v>
      </c>
      <c r="T28" s="342"/>
      <c r="U28" s="355"/>
      <c r="V28" s="343" t="s">
        <v>112</v>
      </c>
      <c r="W28" s="334" t="s">
        <v>20</v>
      </c>
      <c r="X28" s="334" t="s">
        <v>12</v>
      </c>
      <c r="Y28" s="344">
        <v>27.5</v>
      </c>
      <c r="Z28" s="343" t="s">
        <v>108</v>
      </c>
      <c r="AA28" s="334" t="s">
        <v>75</v>
      </c>
      <c r="AB28" s="334" t="s">
        <v>18</v>
      </c>
      <c r="AC28" s="344">
        <v>24.5</v>
      </c>
      <c r="AD28" s="343" t="s">
        <v>113</v>
      </c>
      <c r="AE28" s="334" t="s">
        <v>114</v>
      </c>
      <c r="AF28" s="334" t="s">
        <v>12</v>
      </c>
      <c r="AG28" s="344">
        <v>20.5</v>
      </c>
      <c r="AH28" s="334" t="s">
        <v>115</v>
      </c>
      <c r="AI28" s="334" t="s">
        <v>116</v>
      </c>
      <c r="AJ28" s="334" t="s">
        <v>12</v>
      </c>
      <c r="AK28" s="334">
        <v>3.5</v>
      </c>
      <c r="AL28" s="343" t="s">
        <v>110</v>
      </c>
      <c r="AM28" s="334" t="s">
        <v>90</v>
      </c>
      <c r="AN28" s="334" t="s">
        <v>11</v>
      </c>
      <c r="AO28" s="344">
        <v>6</v>
      </c>
      <c r="AP28" s="343"/>
      <c r="AS28" s="344"/>
      <c r="AW28" s="344"/>
      <c r="BA28" s="345"/>
    </row>
    <row r="29" spans="1:53" s="334" customFormat="1">
      <c r="A29" s="386">
        <v>1970</v>
      </c>
      <c r="B29" s="355"/>
      <c r="C29" s="965" t="s">
        <v>348</v>
      </c>
      <c r="D29" s="965"/>
      <c r="E29" s="334">
        <v>133</v>
      </c>
      <c r="G29" s="419">
        <v>1</v>
      </c>
      <c r="H29" s="334">
        <v>4</v>
      </c>
      <c r="I29" s="334">
        <v>7</v>
      </c>
      <c r="J29" s="435">
        <v>12</v>
      </c>
      <c r="K29" s="384">
        <f t="shared" si="8"/>
        <v>8.3333333333333321</v>
      </c>
      <c r="L29" s="384">
        <f t="shared" si="9"/>
        <v>33.333333333333329</v>
      </c>
      <c r="M29" s="384">
        <f t="shared" si="10"/>
        <v>58.333333333333336</v>
      </c>
      <c r="N29" s="421">
        <f t="shared" si="3"/>
        <v>100</v>
      </c>
      <c r="O29" s="383">
        <v>6</v>
      </c>
      <c r="P29" s="384">
        <v>24.5</v>
      </c>
      <c r="Q29" s="384">
        <v>51.5</v>
      </c>
      <c r="R29" s="385">
        <f t="shared" si="4"/>
        <v>82</v>
      </c>
      <c r="S29" s="388">
        <v>3</v>
      </c>
      <c r="T29" s="342"/>
      <c r="U29" s="355"/>
      <c r="V29" s="343" t="s">
        <v>112</v>
      </c>
      <c r="W29" s="334" t="s">
        <v>20</v>
      </c>
      <c r="X29" s="334" t="s">
        <v>12</v>
      </c>
      <c r="Y29" s="344">
        <v>27.5</v>
      </c>
      <c r="Z29" s="343" t="s">
        <v>108</v>
      </c>
      <c r="AA29" s="334" t="s">
        <v>75</v>
      </c>
      <c r="AB29" s="334" t="s">
        <v>18</v>
      </c>
      <c r="AC29" s="344">
        <v>24.5</v>
      </c>
      <c r="AD29" s="343" t="s">
        <v>113</v>
      </c>
      <c r="AE29" s="334" t="s">
        <v>114</v>
      </c>
      <c r="AF29" s="334" t="s">
        <v>12</v>
      </c>
      <c r="AG29" s="344">
        <v>20.5</v>
      </c>
      <c r="AH29" s="334" t="s">
        <v>115</v>
      </c>
      <c r="AI29" s="334" t="s">
        <v>116</v>
      </c>
      <c r="AJ29" s="334" t="s">
        <v>12</v>
      </c>
      <c r="AK29" s="334">
        <v>3.5</v>
      </c>
      <c r="AL29" s="343" t="s">
        <v>110</v>
      </c>
      <c r="AM29" s="334" t="s">
        <v>90</v>
      </c>
      <c r="AN29" s="334" t="s">
        <v>11</v>
      </c>
      <c r="AO29" s="344">
        <v>6</v>
      </c>
      <c r="AP29" s="343"/>
      <c r="AS29" s="344"/>
      <c r="AW29" s="344"/>
      <c r="BA29" s="345"/>
    </row>
    <row r="30" spans="1:53" s="73" customFormat="1">
      <c r="A30" s="102">
        <v>1970</v>
      </c>
      <c r="B30" s="85">
        <v>25702</v>
      </c>
      <c r="C30" s="966" t="s">
        <v>350</v>
      </c>
      <c r="D30" s="966"/>
      <c r="E30" s="73">
        <v>62</v>
      </c>
      <c r="F30" s="73">
        <v>1</v>
      </c>
      <c r="G30" s="123">
        <v>1</v>
      </c>
      <c r="H30" s="73">
        <v>4</v>
      </c>
      <c r="I30" s="73">
        <v>7</v>
      </c>
      <c r="J30" s="134">
        <v>12</v>
      </c>
      <c r="K30" s="92">
        <f>G30/J30*100</f>
        <v>8.3333333333333321</v>
      </c>
      <c r="L30" s="92">
        <f>H30/J30*100</f>
        <v>33.333333333333329</v>
      </c>
      <c r="M30" s="92">
        <f>I30/J30*100</f>
        <v>58.333333333333336</v>
      </c>
      <c r="N30" s="125">
        <f t="shared" si="3"/>
        <v>100</v>
      </c>
      <c r="O30" s="91">
        <v>24.5</v>
      </c>
      <c r="P30" s="92">
        <v>22.5</v>
      </c>
      <c r="Q30" s="92">
        <v>25.5</v>
      </c>
      <c r="R30" s="93">
        <f t="shared" si="4"/>
        <v>72.5</v>
      </c>
      <c r="S30" s="97">
        <v>6</v>
      </c>
      <c r="T30" s="95">
        <v>25642</v>
      </c>
      <c r="U30" s="85">
        <v>25702</v>
      </c>
      <c r="V30" s="82" t="s">
        <v>108</v>
      </c>
      <c r="W30" s="73" t="s">
        <v>75</v>
      </c>
      <c r="X30" s="73" t="s">
        <v>18</v>
      </c>
      <c r="Y30" s="83">
        <v>18.5</v>
      </c>
      <c r="Z30" s="82" t="s">
        <v>112</v>
      </c>
      <c r="AA30" s="73" t="s">
        <v>20</v>
      </c>
      <c r="AB30" s="73" t="s">
        <v>12</v>
      </c>
      <c r="AC30" s="83">
        <v>25.5</v>
      </c>
      <c r="AD30" s="82" t="s">
        <v>109</v>
      </c>
      <c r="AE30" s="73" t="s">
        <v>74</v>
      </c>
      <c r="AF30" s="73" t="s">
        <v>11</v>
      </c>
      <c r="AG30" s="83">
        <v>18.5</v>
      </c>
      <c r="AH30" s="82" t="s">
        <v>110</v>
      </c>
      <c r="AI30" s="73" t="s">
        <v>90</v>
      </c>
      <c r="AJ30" s="73" t="s">
        <v>11</v>
      </c>
      <c r="AK30" s="83">
        <v>6</v>
      </c>
      <c r="AL30" s="73" t="s">
        <v>111</v>
      </c>
      <c r="AM30" s="73" t="s">
        <v>22</v>
      </c>
      <c r="AN30" s="73" t="s">
        <v>18</v>
      </c>
      <c r="AO30" s="73">
        <v>4</v>
      </c>
      <c r="AP30" s="82"/>
      <c r="AS30" s="83"/>
      <c r="AW30" s="83"/>
      <c r="BA30" s="84"/>
    </row>
    <row r="31" spans="1:53" s="334" customFormat="1">
      <c r="A31" s="386">
        <v>1970</v>
      </c>
      <c r="B31" s="355">
        <v>25764</v>
      </c>
      <c r="C31" s="965" t="s">
        <v>351</v>
      </c>
      <c r="D31" s="965"/>
      <c r="E31" s="334">
        <v>170</v>
      </c>
      <c r="F31" s="334">
        <v>6</v>
      </c>
      <c r="G31" s="419">
        <v>2</v>
      </c>
      <c r="H31" s="334">
        <v>6</v>
      </c>
      <c r="I31" s="334">
        <v>5</v>
      </c>
      <c r="J31" s="435">
        <v>13</v>
      </c>
      <c r="K31" s="384">
        <f>G31/J31*100</f>
        <v>15.384615384615385</v>
      </c>
      <c r="L31" s="384">
        <f>H31/J31*100</f>
        <v>46.153846153846153</v>
      </c>
      <c r="M31" s="384">
        <f>I31/J31*100</f>
        <v>38.461538461538467</v>
      </c>
      <c r="N31" s="421">
        <f t="shared" si="3"/>
        <v>100</v>
      </c>
      <c r="O31" s="383">
        <v>6</v>
      </c>
      <c r="P31" s="384">
        <v>22.5</v>
      </c>
      <c r="Q31" s="384">
        <v>43.5</v>
      </c>
      <c r="R31" s="385">
        <f t="shared" si="4"/>
        <v>72</v>
      </c>
      <c r="S31" s="388">
        <v>3</v>
      </c>
      <c r="T31" s="342"/>
      <c r="U31" s="355">
        <v>25764</v>
      </c>
      <c r="V31" s="343" t="s">
        <v>108</v>
      </c>
      <c r="W31" s="334" t="s">
        <v>75</v>
      </c>
      <c r="X31" s="334" t="s">
        <v>18</v>
      </c>
      <c r="Y31" s="344">
        <v>18.5</v>
      </c>
      <c r="Z31" s="343" t="s">
        <v>112</v>
      </c>
      <c r="AA31" s="334" t="s">
        <v>20</v>
      </c>
      <c r="AB31" s="334" t="s">
        <v>12</v>
      </c>
      <c r="AC31" s="344">
        <v>25.5</v>
      </c>
      <c r="AD31" s="343" t="s">
        <v>113</v>
      </c>
      <c r="AE31" s="334" t="s">
        <v>114</v>
      </c>
      <c r="AF31" s="334" t="s">
        <v>12</v>
      </c>
      <c r="AG31" s="344">
        <v>18</v>
      </c>
      <c r="AH31" s="343" t="s">
        <v>110</v>
      </c>
      <c r="AI31" s="334" t="s">
        <v>90</v>
      </c>
      <c r="AJ31" s="334" t="s">
        <v>11</v>
      </c>
      <c r="AK31" s="344">
        <v>6</v>
      </c>
      <c r="AL31" s="334" t="s">
        <v>111</v>
      </c>
      <c r="AM31" s="334" t="s">
        <v>22</v>
      </c>
      <c r="AN31" s="334" t="s">
        <v>18</v>
      </c>
      <c r="AO31" s="334">
        <v>4</v>
      </c>
      <c r="AP31" s="343"/>
      <c r="AS31" s="344"/>
      <c r="AW31" s="344"/>
      <c r="BA31" s="345"/>
    </row>
    <row r="32" spans="1:53" s="334" customFormat="1">
      <c r="A32" s="386">
        <v>1971</v>
      </c>
      <c r="B32" s="355"/>
      <c r="C32" s="965" t="s">
        <v>351</v>
      </c>
      <c r="D32" s="965"/>
      <c r="E32" s="334">
        <v>84</v>
      </c>
      <c r="G32" s="419">
        <v>2</v>
      </c>
      <c r="H32" s="334">
        <v>6</v>
      </c>
      <c r="I32" s="334">
        <v>5</v>
      </c>
      <c r="J32" s="435">
        <v>13</v>
      </c>
      <c r="K32" s="384">
        <f t="shared" ref="K32:K39" si="11">G32/J32*100</f>
        <v>15.384615384615385</v>
      </c>
      <c r="L32" s="384">
        <f t="shared" ref="L32:L39" si="12">H32/J32*100</f>
        <v>46.153846153846153</v>
      </c>
      <c r="M32" s="384">
        <f t="shared" ref="M32:M39" si="13">I32/J32*100</f>
        <v>38.461538461538467</v>
      </c>
      <c r="N32" s="421">
        <f t="shared" si="3"/>
        <v>100</v>
      </c>
      <c r="O32" s="383">
        <v>6</v>
      </c>
      <c r="P32" s="384">
        <v>22.5</v>
      </c>
      <c r="Q32" s="384">
        <v>43.5</v>
      </c>
      <c r="R32" s="385">
        <f t="shared" si="4"/>
        <v>72</v>
      </c>
      <c r="S32" s="388">
        <v>3</v>
      </c>
      <c r="T32" s="342"/>
      <c r="U32" s="355"/>
      <c r="V32" s="343" t="s">
        <v>108</v>
      </c>
      <c r="W32" s="334" t="s">
        <v>75</v>
      </c>
      <c r="X32" s="334" t="s">
        <v>18</v>
      </c>
      <c r="Y32" s="344">
        <v>18.5</v>
      </c>
      <c r="Z32" s="343" t="s">
        <v>112</v>
      </c>
      <c r="AA32" s="334" t="s">
        <v>20</v>
      </c>
      <c r="AB32" s="334" t="s">
        <v>12</v>
      </c>
      <c r="AC32" s="344">
        <v>25.5</v>
      </c>
      <c r="AD32" s="343" t="s">
        <v>113</v>
      </c>
      <c r="AE32" s="334" t="s">
        <v>114</v>
      </c>
      <c r="AF32" s="334" t="s">
        <v>12</v>
      </c>
      <c r="AG32" s="344">
        <v>18</v>
      </c>
      <c r="AH32" s="343" t="s">
        <v>110</v>
      </c>
      <c r="AI32" s="334" t="s">
        <v>90</v>
      </c>
      <c r="AJ32" s="334" t="s">
        <v>11</v>
      </c>
      <c r="AK32" s="344">
        <v>6</v>
      </c>
      <c r="AL32" s="334" t="s">
        <v>111</v>
      </c>
      <c r="AM32" s="334" t="s">
        <v>22</v>
      </c>
      <c r="AN32" s="334" t="s">
        <v>18</v>
      </c>
      <c r="AO32" s="334">
        <v>4</v>
      </c>
      <c r="AP32" s="343"/>
      <c r="AS32" s="344"/>
      <c r="AW32" s="344"/>
      <c r="BA32" s="345"/>
    </row>
    <row r="33" spans="1:53" s="73" customFormat="1">
      <c r="A33" s="102">
        <v>1971</v>
      </c>
      <c r="B33" s="85">
        <v>26018</v>
      </c>
      <c r="C33" s="966" t="s">
        <v>352</v>
      </c>
      <c r="D33" s="966"/>
      <c r="E33" s="73">
        <v>217</v>
      </c>
      <c r="F33" s="73">
        <v>4</v>
      </c>
      <c r="G33" s="123">
        <v>2</v>
      </c>
      <c r="H33" s="73">
        <v>6</v>
      </c>
      <c r="I33" s="73">
        <v>6</v>
      </c>
      <c r="J33" s="134">
        <v>14</v>
      </c>
      <c r="K33" s="92">
        <f>G33/J33*100</f>
        <v>14.285714285714285</v>
      </c>
      <c r="L33" s="92">
        <f>H33/J33*100</f>
        <v>42.857142857142854</v>
      </c>
      <c r="M33" s="92">
        <f>I33/J33*100</f>
        <v>42.857142857142854</v>
      </c>
      <c r="N33" s="125">
        <f t="shared" si="3"/>
        <v>100</v>
      </c>
      <c r="O33" s="91">
        <v>6</v>
      </c>
      <c r="P33" s="92">
        <v>22.5</v>
      </c>
      <c r="Q33" s="92">
        <v>25.5</v>
      </c>
      <c r="R33" s="93">
        <f t="shared" si="4"/>
        <v>54</v>
      </c>
      <c r="S33" s="97">
        <v>3</v>
      </c>
      <c r="T33" s="95"/>
      <c r="U33" s="85">
        <v>26018</v>
      </c>
      <c r="V33" s="82" t="s">
        <v>108</v>
      </c>
      <c r="W33" s="73" t="s">
        <v>75</v>
      </c>
      <c r="X33" s="73" t="s">
        <v>18</v>
      </c>
      <c r="Y33" s="83">
        <v>18.5</v>
      </c>
      <c r="Z33" s="82" t="s">
        <v>112</v>
      </c>
      <c r="AA33" s="73" t="s">
        <v>20</v>
      </c>
      <c r="AB33" s="73" t="s">
        <v>12</v>
      </c>
      <c r="AC33" s="83">
        <v>25.5</v>
      </c>
      <c r="AD33" s="82" t="s">
        <v>110</v>
      </c>
      <c r="AE33" s="73" t="s">
        <v>90</v>
      </c>
      <c r="AF33" s="73" t="s">
        <v>11</v>
      </c>
      <c r="AG33" s="83">
        <v>6</v>
      </c>
      <c r="AH33" s="73" t="s">
        <v>111</v>
      </c>
      <c r="AI33" s="73" t="s">
        <v>22</v>
      </c>
      <c r="AJ33" s="73" t="s">
        <v>18</v>
      </c>
      <c r="AK33" s="73">
        <v>4</v>
      </c>
      <c r="AL33" s="82"/>
      <c r="AO33" s="83"/>
      <c r="AP33" s="82"/>
      <c r="AS33" s="83"/>
      <c r="AW33" s="83"/>
      <c r="BA33" s="84"/>
    </row>
    <row r="34" spans="1:53" s="334" customFormat="1">
      <c r="A34" s="386">
        <v>1971</v>
      </c>
      <c r="B34" s="355">
        <v>26235</v>
      </c>
      <c r="C34" s="965" t="s">
        <v>353</v>
      </c>
      <c r="D34" s="965"/>
      <c r="E34" s="334">
        <v>64</v>
      </c>
      <c r="F34" s="334">
        <v>4</v>
      </c>
      <c r="G34" s="419">
        <v>1</v>
      </c>
      <c r="H34" s="334">
        <v>4</v>
      </c>
      <c r="I34" s="334">
        <v>3</v>
      </c>
      <c r="J34" s="435">
        <v>13</v>
      </c>
      <c r="K34" s="384">
        <f t="shared" si="11"/>
        <v>7.6923076923076925</v>
      </c>
      <c r="L34" s="384">
        <f t="shared" si="12"/>
        <v>30.76923076923077</v>
      </c>
      <c r="M34" s="384">
        <f t="shared" si="13"/>
        <v>23.076923076923077</v>
      </c>
      <c r="N34" s="421">
        <f t="shared" si="3"/>
        <v>61.538461538461533</v>
      </c>
      <c r="O34" s="383">
        <v>18.5</v>
      </c>
      <c r="P34" s="384">
        <v>22.5</v>
      </c>
      <c r="Q34" s="384">
        <v>25.5</v>
      </c>
      <c r="R34" s="385">
        <f t="shared" si="4"/>
        <v>66.5</v>
      </c>
      <c r="S34" s="388">
        <v>6</v>
      </c>
      <c r="T34" s="342"/>
      <c r="U34" s="355">
        <v>26235</v>
      </c>
      <c r="V34" s="343" t="s">
        <v>108</v>
      </c>
      <c r="W34" s="334" t="s">
        <v>75</v>
      </c>
      <c r="X34" s="334" t="s">
        <v>18</v>
      </c>
      <c r="Y34" s="344">
        <v>18.5</v>
      </c>
      <c r="Z34" s="343" t="s">
        <v>112</v>
      </c>
      <c r="AA34" s="334" t="s">
        <v>20</v>
      </c>
      <c r="AB34" s="334" t="s">
        <v>12</v>
      </c>
      <c r="AC34" s="344">
        <v>25.5</v>
      </c>
      <c r="AD34" s="343" t="s">
        <v>109</v>
      </c>
      <c r="AE34" s="334" t="s">
        <v>74</v>
      </c>
      <c r="AF34" s="334" t="s">
        <v>11</v>
      </c>
      <c r="AG34" s="344">
        <v>18.5</v>
      </c>
      <c r="AH34" s="334" t="s">
        <v>111</v>
      </c>
      <c r="AI34" s="334" t="s">
        <v>22</v>
      </c>
      <c r="AJ34" s="334" t="s">
        <v>18</v>
      </c>
      <c r="AK34" s="334">
        <v>4</v>
      </c>
      <c r="AL34" s="343"/>
      <c r="AO34" s="344"/>
      <c r="AP34" s="343"/>
      <c r="AS34" s="344"/>
      <c r="AW34" s="344"/>
      <c r="BA34" s="345"/>
    </row>
    <row r="35" spans="1:53" s="334" customFormat="1">
      <c r="A35" s="386">
        <v>1972</v>
      </c>
      <c r="B35" s="355"/>
      <c r="C35" s="965" t="s">
        <v>353</v>
      </c>
      <c r="D35" s="965"/>
      <c r="E35" s="334">
        <v>53</v>
      </c>
      <c r="G35" s="419">
        <v>1</v>
      </c>
      <c r="H35" s="334">
        <v>4</v>
      </c>
      <c r="I35" s="334">
        <v>3</v>
      </c>
      <c r="J35" s="435">
        <v>13</v>
      </c>
      <c r="K35" s="384">
        <f t="shared" si="11"/>
        <v>7.6923076923076925</v>
      </c>
      <c r="L35" s="384">
        <f t="shared" si="12"/>
        <v>30.76923076923077</v>
      </c>
      <c r="M35" s="384">
        <f t="shared" si="13"/>
        <v>23.076923076923077</v>
      </c>
      <c r="N35" s="421">
        <f t="shared" si="3"/>
        <v>61.538461538461533</v>
      </c>
      <c r="O35" s="383">
        <v>18.5</v>
      </c>
      <c r="P35" s="384">
        <v>22.5</v>
      </c>
      <c r="Q35" s="384">
        <v>25.5</v>
      </c>
      <c r="R35" s="385">
        <f t="shared" si="4"/>
        <v>66.5</v>
      </c>
      <c r="S35" s="388">
        <v>6</v>
      </c>
      <c r="T35" s="342"/>
      <c r="U35" s="355"/>
      <c r="V35" s="343" t="s">
        <v>108</v>
      </c>
      <c r="W35" s="334" t="s">
        <v>75</v>
      </c>
      <c r="X35" s="334" t="s">
        <v>18</v>
      </c>
      <c r="Y35" s="344">
        <v>18.5</v>
      </c>
      <c r="Z35" s="343" t="s">
        <v>112</v>
      </c>
      <c r="AA35" s="334" t="s">
        <v>20</v>
      </c>
      <c r="AB35" s="334" t="s">
        <v>12</v>
      </c>
      <c r="AC35" s="344">
        <v>25.5</v>
      </c>
      <c r="AD35" s="343" t="s">
        <v>109</v>
      </c>
      <c r="AE35" s="334" t="s">
        <v>74</v>
      </c>
      <c r="AF35" s="334" t="s">
        <v>11</v>
      </c>
      <c r="AG35" s="344">
        <v>18.5</v>
      </c>
      <c r="AH35" s="334" t="s">
        <v>111</v>
      </c>
      <c r="AI35" s="334" t="s">
        <v>22</v>
      </c>
      <c r="AJ35" s="334" t="s">
        <v>18</v>
      </c>
      <c r="AK35" s="334">
        <v>4</v>
      </c>
      <c r="AL35" s="343"/>
      <c r="AO35" s="344"/>
      <c r="AP35" s="343"/>
      <c r="AS35" s="344"/>
      <c r="AW35" s="344"/>
      <c r="BA35" s="345"/>
    </row>
    <row r="36" spans="1:53" s="73" customFormat="1">
      <c r="A36" s="102">
        <v>1972</v>
      </c>
      <c r="B36" s="85">
        <v>26352</v>
      </c>
      <c r="C36" s="966" t="s">
        <v>354</v>
      </c>
      <c r="D36" s="966"/>
      <c r="E36" s="73">
        <v>194</v>
      </c>
      <c r="F36" s="73">
        <v>1</v>
      </c>
      <c r="G36" s="123"/>
      <c r="I36" s="73">
        <v>14</v>
      </c>
      <c r="J36" s="134">
        <v>14</v>
      </c>
      <c r="K36" s="92">
        <f>G36/J36*100</f>
        <v>0</v>
      </c>
      <c r="L36" s="92">
        <f>H36/J36*100</f>
        <v>0</v>
      </c>
      <c r="M36" s="92">
        <f>I36/J36*100</f>
        <v>100</v>
      </c>
      <c r="N36" s="125">
        <f t="shared" si="3"/>
        <v>100</v>
      </c>
      <c r="O36" s="91"/>
      <c r="P36" s="92"/>
      <c r="Q36" s="92">
        <v>27.5</v>
      </c>
      <c r="R36" s="93">
        <f t="shared" si="4"/>
        <v>27.5</v>
      </c>
      <c r="S36" s="97">
        <v>4</v>
      </c>
      <c r="T36" s="95">
        <v>26300</v>
      </c>
      <c r="U36" s="85">
        <v>26352</v>
      </c>
      <c r="V36" s="82" t="s">
        <v>112</v>
      </c>
      <c r="W36" s="73" t="s">
        <v>20</v>
      </c>
      <c r="X36" s="73" t="s">
        <v>12</v>
      </c>
      <c r="Y36" s="83">
        <v>27.5</v>
      </c>
      <c r="Z36" s="82"/>
      <c r="AC36" s="83"/>
      <c r="AD36" s="82"/>
      <c r="AG36" s="83"/>
      <c r="AL36" s="82"/>
      <c r="AO36" s="83"/>
      <c r="AP36" s="82"/>
      <c r="AS36" s="83"/>
      <c r="AW36" s="83"/>
      <c r="BA36" s="84"/>
    </row>
    <row r="37" spans="1:53" s="334" customFormat="1">
      <c r="A37" s="386">
        <v>1972</v>
      </c>
      <c r="B37" s="355">
        <v>26546</v>
      </c>
      <c r="C37" s="965" t="s">
        <v>355</v>
      </c>
      <c r="D37" s="965"/>
      <c r="E37" s="334">
        <v>119</v>
      </c>
      <c r="F37" s="334">
        <v>2</v>
      </c>
      <c r="G37" s="419">
        <v>2</v>
      </c>
      <c r="H37" s="334">
        <v>6</v>
      </c>
      <c r="I37" s="334">
        <v>7</v>
      </c>
      <c r="J37" s="435">
        <v>16</v>
      </c>
      <c r="K37" s="384">
        <f t="shared" si="11"/>
        <v>12.5</v>
      </c>
      <c r="L37" s="384">
        <f t="shared" si="12"/>
        <v>37.5</v>
      </c>
      <c r="M37" s="384">
        <f t="shared" si="13"/>
        <v>43.75</v>
      </c>
      <c r="N37" s="421">
        <f t="shared" si="3"/>
        <v>93.75</v>
      </c>
      <c r="O37" s="383">
        <v>5</v>
      </c>
      <c r="P37" s="384">
        <v>21</v>
      </c>
      <c r="Q37" s="384">
        <v>27.5</v>
      </c>
      <c r="R37" s="385">
        <f t="shared" si="4"/>
        <v>53.5</v>
      </c>
      <c r="S37" s="388">
        <v>2</v>
      </c>
      <c r="T37" s="342"/>
      <c r="U37" s="355">
        <v>26546</v>
      </c>
      <c r="V37" s="343" t="s">
        <v>112</v>
      </c>
      <c r="W37" s="334" t="s">
        <v>20</v>
      </c>
      <c r="X37" s="334" t="s">
        <v>12</v>
      </c>
      <c r="Y37" s="344">
        <v>27.5</v>
      </c>
      <c r="Z37" s="343" t="s">
        <v>108</v>
      </c>
      <c r="AA37" s="334" t="s">
        <v>75</v>
      </c>
      <c r="AB37" s="334" t="s">
        <v>18</v>
      </c>
      <c r="AC37" s="344">
        <v>17.5</v>
      </c>
      <c r="AD37" s="343" t="s">
        <v>110</v>
      </c>
      <c r="AE37" s="334" t="s">
        <v>90</v>
      </c>
      <c r="AF37" s="334" t="s">
        <v>11</v>
      </c>
      <c r="AG37" s="344">
        <v>5</v>
      </c>
      <c r="AH37" s="334" t="s">
        <v>111</v>
      </c>
      <c r="AI37" s="334" t="s">
        <v>22</v>
      </c>
      <c r="AJ37" s="334" t="s">
        <v>18</v>
      </c>
      <c r="AK37" s="334">
        <v>3.5</v>
      </c>
      <c r="AL37" s="343"/>
      <c r="AO37" s="344"/>
      <c r="AP37" s="343"/>
      <c r="AS37" s="344"/>
      <c r="AW37" s="344"/>
      <c r="BA37" s="345"/>
    </row>
    <row r="38" spans="1:53" s="334" customFormat="1">
      <c r="A38" s="386">
        <v>1973</v>
      </c>
      <c r="B38" s="355"/>
      <c r="C38" s="965" t="s">
        <v>355</v>
      </c>
      <c r="D38" s="965"/>
      <c r="E38" s="334">
        <v>0</v>
      </c>
      <c r="G38" s="419">
        <v>2</v>
      </c>
      <c r="H38" s="334">
        <v>6</v>
      </c>
      <c r="I38" s="334">
        <v>7</v>
      </c>
      <c r="J38" s="435">
        <v>16</v>
      </c>
      <c r="K38" s="384">
        <f t="shared" si="11"/>
        <v>12.5</v>
      </c>
      <c r="L38" s="384">
        <f t="shared" si="12"/>
        <v>37.5</v>
      </c>
      <c r="M38" s="384">
        <f t="shared" si="13"/>
        <v>43.75</v>
      </c>
      <c r="N38" s="421">
        <f t="shared" si="3"/>
        <v>93.75</v>
      </c>
      <c r="O38" s="383">
        <v>5</v>
      </c>
      <c r="P38" s="384">
        <v>21</v>
      </c>
      <c r="Q38" s="384">
        <v>27.5</v>
      </c>
      <c r="R38" s="385">
        <f t="shared" si="4"/>
        <v>53.5</v>
      </c>
      <c r="S38" s="388">
        <v>2</v>
      </c>
      <c r="T38" s="342"/>
      <c r="U38" s="355"/>
      <c r="V38" s="343" t="s">
        <v>112</v>
      </c>
      <c r="W38" s="334" t="s">
        <v>20</v>
      </c>
      <c r="X38" s="334" t="s">
        <v>12</v>
      </c>
      <c r="Y38" s="344">
        <v>27.5</v>
      </c>
      <c r="Z38" s="343" t="s">
        <v>108</v>
      </c>
      <c r="AA38" s="334" t="s">
        <v>75</v>
      </c>
      <c r="AB38" s="334" t="s">
        <v>18</v>
      </c>
      <c r="AC38" s="344">
        <v>17.5</v>
      </c>
      <c r="AD38" s="343" t="s">
        <v>110</v>
      </c>
      <c r="AE38" s="334" t="s">
        <v>90</v>
      </c>
      <c r="AF38" s="334" t="s">
        <v>11</v>
      </c>
      <c r="AG38" s="344">
        <v>5</v>
      </c>
      <c r="AH38" s="334" t="s">
        <v>111</v>
      </c>
      <c r="AI38" s="334" t="s">
        <v>22</v>
      </c>
      <c r="AJ38" s="334" t="s">
        <v>18</v>
      </c>
      <c r="AK38" s="334">
        <v>3.5</v>
      </c>
      <c r="AL38" s="343"/>
      <c r="AO38" s="344"/>
      <c r="AP38" s="343"/>
      <c r="AS38" s="344"/>
      <c r="AW38" s="344"/>
      <c r="BA38" s="345"/>
    </row>
    <row r="39" spans="1:53" s="334" customFormat="1">
      <c r="A39" s="386">
        <v>1973</v>
      </c>
      <c r="B39" s="355"/>
      <c r="C39" s="965" t="s">
        <v>355</v>
      </c>
      <c r="D39" s="965"/>
      <c r="E39" s="334">
        <v>365</v>
      </c>
      <c r="G39" s="419">
        <v>2</v>
      </c>
      <c r="H39" s="334">
        <v>6</v>
      </c>
      <c r="I39" s="334">
        <v>7</v>
      </c>
      <c r="J39" s="435">
        <v>16</v>
      </c>
      <c r="K39" s="384">
        <f t="shared" si="11"/>
        <v>12.5</v>
      </c>
      <c r="L39" s="384">
        <f t="shared" si="12"/>
        <v>37.5</v>
      </c>
      <c r="M39" s="384">
        <f t="shared" si="13"/>
        <v>43.75</v>
      </c>
      <c r="N39" s="421">
        <f t="shared" si="3"/>
        <v>93.75</v>
      </c>
      <c r="O39" s="383">
        <v>5</v>
      </c>
      <c r="P39" s="384">
        <v>21</v>
      </c>
      <c r="Q39" s="384">
        <v>27.5</v>
      </c>
      <c r="R39" s="385">
        <f t="shared" si="4"/>
        <v>53.5</v>
      </c>
      <c r="S39" s="388">
        <v>2</v>
      </c>
      <c r="T39" s="342"/>
      <c r="U39" s="355"/>
      <c r="V39" s="343" t="s">
        <v>112</v>
      </c>
      <c r="W39" s="334" t="s">
        <v>20</v>
      </c>
      <c r="X39" s="334" t="s">
        <v>12</v>
      </c>
      <c r="Y39" s="344">
        <v>27.5</v>
      </c>
      <c r="Z39" s="343" t="s">
        <v>108</v>
      </c>
      <c r="AA39" s="334" t="s">
        <v>75</v>
      </c>
      <c r="AB39" s="334" t="s">
        <v>18</v>
      </c>
      <c r="AC39" s="344">
        <v>17.5</v>
      </c>
      <c r="AD39" s="343" t="s">
        <v>110</v>
      </c>
      <c r="AE39" s="334" t="s">
        <v>90</v>
      </c>
      <c r="AF39" s="334" t="s">
        <v>11</v>
      </c>
      <c r="AG39" s="344">
        <v>5</v>
      </c>
      <c r="AH39" s="334" t="s">
        <v>111</v>
      </c>
      <c r="AI39" s="334" t="s">
        <v>22</v>
      </c>
      <c r="AJ39" s="334" t="s">
        <v>18</v>
      </c>
      <c r="AK39" s="334">
        <v>3.5</v>
      </c>
      <c r="AL39" s="343"/>
      <c r="AO39" s="344"/>
      <c r="AP39" s="343"/>
      <c r="AS39" s="344"/>
      <c r="AW39" s="344"/>
      <c r="BA39" s="345"/>
    </row>
    <row r="40" spans="1:53" s="334" customFormat="1">
      <c r="A40" s="386">
        <v>1974</v>
      </c>
      <c r="B40" s="355"/>
      <c r="C40" s="965" t="s">
        <v>355</v>
      </c>
      <c r="D40" s="965"/>
      <c r="E40" s="334">
        <v>0</v>
      </c>
      <c r="G40" s="419">
        <v>2</v>
      </c>
      <c r="H40" s="334">
        <v>6</v>
      </c>
      <c r="I40" s="334">
        <v>7</v>
      </c>
      <c r="J40" s="435">
        <v>16</v>
      </c>
      <c r="K40" s="384">
        <f>G40/J40*100</f>
        <v>12.5</v>
      </c>
      <c r="L40" s="384">
        <f>H40/J40*100</f>
        <v>37.5</v>
      </c>
      <c r="M40" s="384">
        <f>I40/J40*100</f>
        <v>43.75</v>
      </c>
      <c r="N40" s="421">
        <f t="shared" si="3"/>
        <v>93.75</v>
      </c>
      <c r="O40" s="383">
        <v>5</v>
      </c>
      <c r="P40" s="384">
        <v>21</v>
      </c>
      <c r="Q40" s="384">
        <v>27.5</v>
      </c>
      <c r="R40" s="385">
        <f t="shared" si="4"/>
        <v>53.5</v>
      </c>
      <c r="S40" s="388">
        <v>2</v>
      </c>
      <c r="T40" s="342"/>
      <c r="U40" s="355"/>
      <c r="V40" s="343" t="s">
        <v>112</v>
      </c>
      <c r="W40" s="334" t="s">
        <v>20</v>
      </c>
      <c r="X40" s="334" t="s">
        <v>12</v>
      </c>
      <c r="Y40" s="344">
        <v>27.5</v>
      </c>
      <c r="Z40" s="343" t="s">
        <v>108</v>
      </c>
      <c r="AA40" s="334" t="s">
        <v>75</v>
      </c>
      <c r="AB40" s="334" t="s">
        <v>18</v>
      </c>
      <c r="AC40" s="344">
        <v>17.5</v>
      </c>
      <c r="AD40" s="343" t="s">
        <v>110</v>
      </c>
      <c r="AE40" s="334" t="s">
        <v>90</v>
      </c>
      <c r="AF40" s="334" t="s">
        <v>11</v>
      </c>
      <c r="AG40" s="344">
        <v>5</v>
      </c>
      <c r="AH40" s="334" t="s">
        <v>111</v>
      </c>
      <c r="AI40" s="334" t="s">
        <v>22</v>
      </c>
      <c r="AJ40" s="334" t="s">
        <v>18</v>
      </c>
      <c r="AK40" s="334">
        <v>3.5</v>
      </c>
      <c r="AL40" s="343"/>
      <c r="AO40" s="344"/>
      <c r="AP40" s="343"/>
      <c r="AS40" s="344"/>
      <c r="AW40" s="344"/>
      <c r="BA40" s="345"/>
    </row>
    <row r="41" spans="1:53" s="334" customFormat="1">
      <c r="A41" s="386">
        <v>1974</v>
      </c>
      <c r="B41" s="355"/>
      <c r="C41" s="965" t="s">
        <v>355</v>
      </c>
      <c r="D41" s="965"/>
      <c r="E41" s="334">
        <v>365</v>
      </c>
      <c r="G41" s="419">
        <v>2</v>
      </c>
      <c r="H41" s="334">
        <v>6</v>
      </c>
      <c r="I41" s="334">
        <v>7</v>
      </c>
      <c r="J41" s="435">
        <v>16</v>
      </c>
      <c r="K41" s="384">
        <f t="shared" ref="K41:K47" si="14">G41/J41*100</f>
        <v>12.5</v>
      </c>
      <c r="L41" s="384">
        <f t="shared" ref="L41:L47" si="15">H41/J41*100</f>
        <v>37.5</v>
      </c>
      <c r="M41" s="384">
        <f t="shared" ref="M41:M47" si="16">I41/J41*100</f>
        <v>43.75</v>
      </c>
      <c r="N41" s="421">
        <f t="shared" si="3"/>
        <v>93.75</v>
      </c>
      <c r="O41" s="383">
        <v>5</v>
      </c>
      <c r="P41" s="384">
        <v>21</v>
      </c>
      <c r="Q41" s="384">
        <v>27.5</v>
      </c>
      <c r="R41" s="385">
        <f t="shared" si="4"/>
        <v>53.5</v>
      </c>
      <c r="S41" s="388">
        <v>2</v>
      </c>
      <c r="T41" s="342"/>
      <c r="U41" s="355"/>
      <c r="V41" s="343" t="s">
        <v>112</v>
      </c>
      <c r="W41" s="334" t="s">
        <v>20</v>
      </c>
      <c r="X41" s="334" t="s">
        <v>12</v>
      </c>
      <c r="Y41" s="344">
        <v>27.5</v>
      </c>
      <c r="Z41" s="343" t="s">
        <v>108</v>
      </c>
      <c r="AA41" s="334" t="s">
        <v>75</v>
      </c>
      <c r="AB41" s="334" t="s">
        <v>18</v>
      </c>
      <c r="AC41" s="344">
        <v>17.5</v>
      </c>
      <c r="AD41" s="343" t="s">
        <v>110</v>
      </c>
      <c r="AE41" s="334" t="s">
        <v>90</v>
      </c>
      <c r="AF41" s="334" t="s">
        <v>11</v>
      </c>
      <c r="AG41" s="344">
        <v>5</v>
      </c>
      <c r="AH41" s="334" t="s">
        <v>111</v>
      </c>
      <c r="AI41" s="334" t="s">
        <v>22</v>
      </c>
      <c r="AJ41" s="334" t="s">
        <v>18</v>
      </c>
      <c r="AK41" s="334">
        <v>3.5</v>
      </c>
      <c r="AL41" s="343"/>
      <c r="AO41" s="344"/>
      <c r="AP41" s="343"/>
      <c r="AS41" s="344"/>
      <c r="AW41" s="344"/>
      <c r="BA41" s="345"/>
    </row>
    <row r="42" spans="1:53" s="334" customFormat="1">
      <c r="A42" s="386">
        <v>1975</v>
      </c>
      <c r="B42" s="355"/>
      <c r="C42" s="965" t="s">
        <v>355</v>
      </c>
      <c r="D42" s="965"/>
      <c r="E42" s="334">
        <v>163</v>
      </c>
      <c r="G42" s="419">
        <v>2</v>
      </c>
      <c r="H42" s="334">
        <v>6</v>
      </c>
      <c r="I42" s="334">
        <v>7</v>
      </c>
      <c r="J42" s="435">
        <v>16</v>
      </c>
      <c r="K42" s="384">
        <f t="shared" si="14"/>
        <v>12.5</v>
      </c>
      <c r="L42" s="384">
        <f t="shared" si="15"/>
        <v>37.5</v>
      </c>
      <c r="M42" s="384">
        <f t="shared" si="16"/>
        <v>43.75</v>
      </c>
      <c r="N42" s="421">
        <f t="shared" si="3"/>
        <v>93.75</v>
      </c>
      <c r="O42" s="383">
        <v>5</v>
      </c>
      <c r="P42" s="384">
        <v>21</v>
      </c>
      <c r="Q42" s="384">
        <v>27.5</v>
      </c>
      <c r="R42" s="385">
        <f t="shared" si="4"/>
        <v>53.5</v>
      </c>
      <c r="S42" s="388">
        <v>2</v>
      </c>
      <c r="T42" s="342"/>
      <c r="U42" s="355"/>
      <c r="V42" s="343" t="s">
        <v>112</v>
      </c>
      <c r="W42" s="334" t="s">
        <v>20</v>
      </c>
      <c r="X42" s="334" t="s">
        <v>12</v>
      </c>
      <c r="Y42" s="344">
        <v>27.5</v>
      </c>
      <c r="Z42" s="343" t="s">
        <v>108</v>
      </c>
      <c r="AA42" s="334" t="s">
        <v>75</v>
      </c>
      <c r="AB42" s="334" t="s">
        <v>18</v>
      </c>
      <c r="AC42" s="344">
        <v>17.5</v>
      </c>
      <c r="AD42" s="343" t="s">
        <v>110</v>
      </c>
      <c r="AE42" s="334" t="s">
        <v>90</v>
      </c>
      <c r="AF42" s="334" t="s">
        <v>11</v>
      </c>
      <c r="AG42" s="344">
        <v>5</v>
      </c>
      <c r="AH42" s="334" t="s">
        <v>111</v>
      </c>
      <c r="AI42" s="334" t="s">
        <v>22</v>
      </c>
      <c r="AJ42" s="334" t="s">
        <v>18</v>
      </c>
      <c r="AK42" s="334">
        <v>3.5</v>
      </c>
      <c r="AL42" s="343"/>
      <c r="AO42" s="344"/>
      <c r="AP42" s="343"/>
      <c r="AS42" s="344"/>
      <c r="AW42" s="344"/>
      <c r="BA42" s="345"/>
    </row>
    <row r="43" spans="1:53" s="73" customFormat="1">
      <c r="A43" s="102">
        <v>1975</v>
      </c>
      <c r="B43" s="85">
        <v>27558</v>
      </c>
      <c r="C43" s="966" t="s">
        <v>356</v>
      </c>
      <c r="D43" s="966"/>
      <c r="E43" s="73">
        <v>170</v>
      </c>
      <c r="F43" s="73">
        <v>7</v>
      </c>
      <c r="G43" s="123">
        <v>2</v>
      </c>
      <c r="H43" s="73">
        <v>4</v>
      </c>
      <c r="I43" s="73">
        <v>5</v>
      </c>
      <c r="J43" s="134">
        <v>17</v>
      </c>
      <c r="K43" s="92">
        <f>G43/J43*100</f>
        <v>11.76470588235294</v>
      </c>
      <c r="L43" s="92">
        <f>H43/J43*100</f>
        <v>23.52941176470588</v>
      </c>
      <c r="M43" s="92">
        <f>I43/J43*100</f>
        <v>29.411764705882355</v>
      </c>
      <c r="N43" s="125">
        <f t="shared" si="3"/>
        <v>64.705882352941174</v>
      </c>
      <c r="O43" s="91">
        <v>22</v>
      </c>
      <c r="P43" s="92">
        <v>21</v>
      </c>
      <c r="Q43" s="92">
        <v>27</v>
      </c>
      <c r="R43" s="93">
        <f t="shared" si="4"/>
        <v>70</v>
      </c>
      <c r="S43" s="97">
        <v>6</v>
      </c>
      <c r="T43" s="95"/>
      <c r="U43" s="85">
        <v>27558</v>
      </c>
      <c r="V43" s="82" t="s">
        <v>112</v>
      </c>
      <c r="W43" s="73" t="s">
        <v>20</v>
      </c>
      <c r="X43" s="73" t="s">
        <v>12</v>
      </c>
      <c r="Y43" s="83">
        <v>27.5</v>
      </c>
      <c r="Z43" s="82" t="s">
        <v>108</v>
      </c>
      <c r="AA43" s="73" t="s">
        <v>75</v>
      </c>
      <c r="AB43" s="73" t="s">
        <v>18</v>
      </c>
      <c r="AC43" s="83">
        <v>17.5</v>
      </c>
      <c r="AD43" s="82" t="s">
        <v>110</v>
      </c>
      <c r="AE43" s="73" t="s">
        <v>90</v>
      </c>
      <c r="AF43" s="73" t="s">
        <v>11</v>
      </c>
      <c r="AG43" s="83">
        <v>5</v>
      </c>
      <c r="AH43" s="73" t="s">
        <v>111</v>
      </c>
      <c r="AI43" s="73" t="s">
        <v>22</v>
      </c>
      <c r="AJ43" s="73" t="s">
        <v>18</v>
      </c>
      <c r="AK43" s="73">
        <v>3.5</v>
      </c>
      <c r="AL43" s="82" t="s">
        <v>109</v>
      </c>
      <c r="AM43" s="73" t="s">
        <v>74</v>
      </c>
      <c r="AN43" s="73" t="s">
        <v>11</v>
      </c>
      <c r="AO43" s="83">
        <v>17</v>
      </c>
      <c r="AP43" s="82"/>
      <c r="AS43" s="83"/>
      <c r="AW43" s="83"/>
      <c r="BA43" s="84"/>
    </row>
    <row r="44" spans="1:53" s="334" customFormat="1">
      <c r="A44" s="386">
        <v>1975</v>
      </c>
      <c r="B44" s="355">
        <v>27728</v>
      </c>
      <c r="C44" s="965" t="s">
        <v>357</v>
      </c>
      <c r="D44" s="965"/>
      <c r="E44" s="334">
        <v>32</v>
      </c>
      <c r="F44" s="334">
        <v>1</v>
      </c>
      <c r="G44" s="419">
        <v>2</v>
      </c>
      <c r="H44" s="334">
        <v>5</v>
      </c>
      <c r="I44" s="334">
        <v>9</v>
      </c>
      <c r="J44" s="435">
        <v>18</v>
      </c>
      <c r="K44" s="384">
        <f t="shared" si="14"/>
        <v>11.111111111111111</v>
      </c>
      <c r="L44" s="384">
        <f t="shared" si="15"/>
        <v>27.777777777777779</v>
      </c>
      <c r="M44" s="384">
        <f t="shared" si="16"/>
        <v>50</v>
      </c>
      <c r="N44" s="421">
        <f t="shared" si="3"/>
        <v>88.888888888888886</v>
      </c>
      <c r="O44" s="383">
        <v>5</v>
      </c>
      <c r="P44" s="384">
        <v>24</v>
      </c>
      <c r="Q44" s="384">
        <v>47</v>
      </c>
      <c r="R44" s="385">
        <f t="shared" si="4"/>
        <v>76</v>
      </c>
      <c r="S44" s="388">
        <v>3</v>
      </c>
      <c r="T44" s="342">
        <v>27658</v>
      </c>
      <c r="U44" s="355">
        <v>27728</v>
      </c>
      <c r="V44" s="343" t="s">
        <v>108</v>
      </c>
      <c r="W44" s="334" t="s">
        <v>75</v>
      </c>
      <c r="X44" s="334" t="s">
        <v>18</v>
      </c>
      <c r="Y44" s="344">
        <v>19.5</v>
      </c>
      <c r="Z44" s="343" t="s">
        <v>112</v>
      </c>
      <c r="AA44" s="334" t="s">
        <v>20</v>
      </c>
      <c r="AB44" s="334" t="s">
        <v>12</v>
      </c>
      <c r="AC44" s="344">
        <v>27</v>
      </c>
      <c r="AD44" s="343" t="s">
        <v>113</v>
      </c>
      <c r="AE44" s="334" t="s">
        <v>114</v>
      </c>
      <c r="AF44" s="334" t="s">
        <v>12</v>
      </c>
      <c r="AG44" s="344">
        <v>20</v>
      </c>
      <c r="AH44" s="343" t="s">
        <v>110</v>
      </c>
      <c r="AI44" s="334" t="s">
        <v>90</v>
      </c>
      <c r="AJ44" s="334" t="s">
        <v>11</v>
      </c>
      <c r="AK44" s="344">
        <v>5</v>
      </c>
      <c r="AL44" s="334" t="s">
        <v>111</v>
      </c>
      <c r="AM44" s="334" t="s">
        <v>22</v>
      </c>
      <c r="AN44" s="334" t="s">
        <v>18</v>
      </c>
      <c r="AO44" s="334">
        <v>4.5</v>
      </c>
      <c r="AP44" s="343"/>
      <c r="AS44" s="344"/>
      <c r="AW44" s="344"/>
      <c r="BA44" s="345"/>
    </row>
    <row r="45" spans="1:53" s="334" customFormat="1">
      <c r="A45" s="386">
        <v>1976</v>
      </c>
      <c r="B45" s="355"/>
      <c r="C45" s="965" t="s">
        <v>357</v>
      </c>
      <c r="D45" s="965"/>
      <c r="E45" s="334">
        <v>272</v>
      </c>
      <c r="G45" s="419">
        <v>2</v>
      </c>
      <c r="H45" s="334">
        <v>5</v>
      </c>
      <c r="I45" s="334">
        <v>9</v>
      </c>
      <c r="J45" s="435">
        <v>18</v>
      </c>
      <c r="K45" s="384">
        <f t="shared" si="14"/>
        <v>11.111111111111111</v>
      </c>
      <c r="L45" s="384">
        <f t="shared" si="15"/>
        <v>27.777777777777779</v>
      </c>
      <c r="M45" s="384">
        <f t="shared" si="16"/>
        <v>50</v>
      </c>
      <c r="N45" s="421">
        <f t="shared" si="3"/>
        <v>88.888888888888886</v>
      </c>
      <c r="O45" s="383">
        <v>5</v>
      </c>
      <c r="P45" s="384">
        <v>24</v>
      </c>
      <c r="Q45" s="384">
        <v>47</v>
      </c>
      <c r="R45" s="385">
        <f t="shared" si="4"/>
        <v>76</v>
      </c>
      <c r="S45" s="388">
        <v>3</v>
      </c>
      <c r="T45" s="342"/>
      <c r="U45" s="355"/>
      <c r="V45" s="343" t="s">
        <v>108</v>
      </c>
      <c r="W45" s="334" t="s">
        <v>75</v>
      </c>
      <c r="X45" s="334" t="s">
        <v>18</v>
      </c>
      <c r="Y45" s="344">
        <v>19.5</v>
      </c>
      <c r="Z45" s="343" t="s">
        <v>112</v>
      </c>
      <c r="AA45" s="334" t="s">
        <v>20</v>
      </c>
      <c r="AB45" s="334" t="s">
        <v>12</v>
      </c>
      <c r="AC45" s="344">
        <v>27</v>
      </c>
      <c r="AD45" s="343" t="s">
        <v>113</v>
      </c>
      <c r="AE45" s="334" t="s">
        <v>114</v>
      </c>
      <c r="AF45" s="334" t="s">
        <v>12</v>
      </c>
      <c r="AG45" s="344">
        <v>20</v>
      </c>
      <c r="AH45" s="343" t="s">
        <v>110</v>
      </c>
      <c r="AI45" s="334" t="s">
        <v>90</v>
      </c>
      <c r="AJ45" s="334" t="s">
        <v>11</v>
      </c>
      <c r="AK45" s="344">
        <v>5</v>
      </c>
      <c r="AL45" s="334" t="s">
        <v>111</v>
      </c>
      <c r="AM45" s="334" t="s">
        <v>22</v>
      </c>
      <c r="AN45" s="334" t="s">
        <v>18</v>
      </c>
      <c r="AO45" s="334">
        <v>4.5</v>
      </c>
      <c r="AP45" s="343"/>
      <c r="AS45" s="344"/>
      <c r="AW45" s="344"/>
      <c r="BA45" s="345"/>
    </row>
    <row r="46" spans="1:53" s="73" customFormat="1">
      <c r="A46" s="102">
        <v>1976</v>
      </c>
      <c r="B46" s="85">
        <v>28032</v>
      </c>
      <c r="C46" s="966" t="s">
        <v>358</v>
      </c>
      <c r="D46" s="966"/>
      <c r="E46" s="73">
        <v>94</v>
      </c>
      <c r="F46" s="73">
        <v>4</v>
      </c>
      <c r="G46" s="123">
        <v>3</v>
      </c>
      <c r="H46" s="73">
        <v>12</v>
      </c>
      <c r="J46" s="134">
        <v>16</v>
      </c>
      <c r="K46" s="92">
        <f t="shared" si="14"/>
        <v>18.75</v>
      </c>
      <c r="L46" s="92">
        <f t="shared" si="15"/>
        <v>75</v>
      </c>
      <c r="M46" s="92">
        <f t="shared" si="16"/>
        <v>0</v>
      </c>
      <c r="N46" s="125">
        <f t="shared" si="3"/>
        <v>93.75</v>
      </c>
      <c r="O46" s="91">
        <v>5</v>
      </c>
      <c r="P46" s="92">
        <v>24</v>
      </c>
      <c r="Q46" s="92"/>
      <c r="R46" s="93">
        <f t="shared" si="4"/>
        <v>29</v>
      </c>
      <c r="S46" s="97">
        <v>5</v>
      </c>
      <c r="T46" s="95"/>
      <c r="U46" s="85">
        <v>28032</v>
      </c>
      <c r="V46" s="82" t="s">
        <v>108</v>
      </c>
      <c r="W46" s="73" t="s">
        <v>75</v>
      </c>
      <c r="X46" s="73" t="s">
        <v>18</v>
      </c>
      <c r="Y46" s="83">
        <v>19.5</v>
      </c>
      <c r="Z46" s="82" t="s">
        <v>110</v>
      </c>
      <c r="AA46" s="73" t="s">
        <v>90</v>
      </c>
      <c r="AB46" s="73" t="s">
        <v>11</v>
      </c>
      <c r="AC46" s="83">
        <v>5</v>
      </c>
      <c r="AD46" s="73" t="s">
        <v>111</v>
      </c>
      <c r="AE46" s="73" t="s">
        <v>22</v>
      </c>
      <c r="AF46" s="73" t="s">
        <v>18</v>
      </c>
      <c r="AG46" s="83">
        <v>4.5</v>
      </c>
      <c r="AL46" s="82"/>
      <c r="AO46" s="83"/>
      <c r="AP46" s="82"/>
      <c r="AS46" s="83"/>
      <c r="AW46" s="83"/>
      <c r="BA46" s="84"/>
    </row>
    <row r="47" spans="1:53" s="73" customFormat="1">
      <c r="A47" s="102">
        <v>1977</v>
      </c>
      <c r="B47" s="85"/>
      <c r="C47" s="966" t="s">
        <v>358</v>
      </c>
      <c r="D47" s="966"/>
      <c r="E47" s="73">
        <v>134</v>
      </c>
      <c r="G47" s="123">
        <v>3</v>
      </c>
      <c r="H47" s="73">
        <v>12</v>
      </c>
      <c r="J47" s="134">
        <v>16</v>
      </c>
      <c r="K47" s="92">
        <f t="shared" si="14"/>
        <v>18.75</v>
      </c>
      <c r="L47" s="92">
        <f t="shared" si="15"/>
        <v>75</v>
      </c>
      <c r="M47" s="92">
        <f t="shared" si="16"/>
        <v>0</v>
      </c>
      <c r="N47" s="125">
        <f t="shared" si="3"/>
        <v>93.75</v>
      </c>
      <c r="O47" s="91">
        <v>5</v>
      </c>
      <c r="P47" s="92">
        <v>24</v>
      </c>
      <c r="Q47" s="92"/>
      <c r="R47" s="93">
        <f t="shared" si="4"/>
        <v>29</v>
      </c>
      <c r="S47" s="97">
        <v>5</v>
      </c>
      <c r="T47" s="95"/>
      <c r="U47" s="85"/>
      <c r="V47" s="82" t="s">
        <v>108</v>
      </c>
      <c r="W47" s="73" t="s">
        <v>75</v>
      </c>
      <c r="X47" s="73" t="s">
        <v>18</v>
      </c>
      <c r="Y47" s="83">
        <v>19.5</v>
      </c>
      <c r="Z47" s="82" t="s">
        <v>110</v>
      </c>
      <c r="AA47" s="73" t="s">
        <v>90</v>
      </c>
      <c r="AB47" s="73" t="s">
        <v>11</v>
      </c>
      <c r="AC47" s="83">
        <v>5</v>
      </c>
      <c r="AD47" s="73" t="s">
        <v>111</v>
      </c>
      <c r="AE47" s="73" t="s">
        <v>22</v>
      </c>
      <c r="AF47" s="73" t="s">
        <v>18</v>
      </c>
      <c r="AG47" s="83">
        <v>4.5</v>
      </c>
      <c r="AL47" s="82"/>
      <c r="AO47" s="83"/>
      <c r="AP47" s="82"/>
      <c r="AS47" s="83"/>
      <c r="AW47" s="83"/>
      <c r="BA47" s="84"/>
    </row>
    <row r="48" spans="1:53" s="334" customFormat="1">
      <c r="A48" s="386">
        <v>1977</v>
      </c>
      <c r="B48" s="355">
        <v>28260</v>
      </c>
      <c r="C48" s="965" t="s">
        <v>359</v>
      </c>
      <c r="D48" s="965"/>
      <c r="E48" s="334">
        <v>231</v>
      </c>
      <c r="F48" s="334">
        <v>6</v>
      </c>
      <c r="G48" s="419">
        <v>1</v>
      </c>
      <c r="H48" s="334">
        <v>6</v>
      </c>
      <c r="I48" s="334">
        <v>7</v>
      </c>
      <c r="J48" s="435">
        <v>15</v>
      </c>
      <c r="K48" s="384">
        <f>G48/J48*100</f>
        <v>6.666666666666667</v>
      </c>
      <c r="L48" s="384">
        <f>H48/J48*100</f>
        <v>40</v>
      </c>
      <c r="M48" s="384">
        <f>I48/J48*100</f>
        <v>46.666666666666664</v>
      </c>
      <c r="N48" s="421">
        <f t="shared" si="3"/>
        <v>93.333333333333329</v>
      </c>
      <c r="O48" s="383">
        <v>5</v>
      </c>
      <c r="P48" s="384">
        <v>24</v>
      </c>
      <c r="Q48" s="384">
        <v>47</v>
      </c>
      <c r="R48" s="385">
        <f t="shared" si="4"/>
        <v>76</v>
      </c>
      <c r="S48" s="388">
        <v>3</v>
      </c>
      <c r="T48" s="342"/>
      <c r="U48" s="355">
        <v>28260</v>
      </c>
      <c r="V48" s="343" t="s">
        <v>112</v>
      </c>
      <c r="W48" s="334" t="s">
        <v>20</v>
      </c>
      <c r="X48" s="334" t="s">
        <v>12</v>
      </c>
      <c r="Y48" s="344">
        <v>27</v>
      </c>
      <c r="Z48" s="343" t="s">
        <v>108</v>
      </c>
      <c r="AA48" s="334" t="s">
        <v>75</v>
      </c>
      <c r="AB48" s="334" t="s">
        <v>18</v>
      </c>
      <c r="AC48" s="344">
        <v>19.5</v>
      </c>
      <c r="AD48" s="343" t="s">
        <v>113</v>
      </c>
      <c r="AE48" s="334" t="s">
        <v>114</v>
      </c>
      <c r="AF48" s="334" t="s">
        <v>12</v>
      </c>
      <c r="AG48" s="344">
        <v>20</v>
      </c>
      <c r="AH48" s="343" t="s">
        <v>110</v>
      </c>
      <c r="AI48" s="334" t="s">
        <v>90</v>
      </c>
      <c r="AJ48" s="334" t="s">
        <v>11</v>
      </c>
      <c r="AK48" s="344">
        <v>5</v>
      </c>
      <c r="AL48" s="334" t="s">
        <v>111</v>
      </c>
      <c r="AM48" s="334" t="s">
        <v>22</v>
      </c>
      <c r="AN48" s="334" t="s">
        <v>18</v>
      </c>
      <c r="AO48" s="334">
        <v>4.5</v>
      </c>
      <c r="AP48" s="343"/>
      <c r="AS48" s="344"/>
      <c r="AW48" s="344"/>
      <c r="BA48" s="345"/>
    </row>
    <row r="49" spans="1:53" s="334" customFormat="1">
      <c r="A49" s="386">
        <v>1978</v>
      </c>
      <c r="B49" s="355"/>
      <c r="C49" s="965" t="s">
        <v>359</v>
      </c>
      <c r="D49" s="965"/>
      <c r="E49" s="334">
        <v>60</v>
      </c>
      <c r="G49" s="419">
        <v>1</v>
      </c>
      <c r="H49" s="334">
        <v>6</v>
      </c>
      <c r="I49" s="334">
        <v>7</v>
      </c>
      <c r="J49" s="435">
        <v>15</v>
      </c>
      <c r="K49" s="384">
        <f t="shared" ref="K49:K54" si="17">G49/J49*100</f>
        <v>6.666666666666667</v>
      </c>
      <c r="L49" s="384">
        <f t="shared" ref="L49:L54" si="18">H49/J49*100</f>
        <v>40</v>
      </c>
      <c r="M49" s="384">
        <f t="shared" ref="M49:M54" si="19">I49/J49*100</f>
        <v>46.666666666666664</v>
      </c>
      <c r="N49" s="421">
        <f t="shared" si="3"/>
        <v>93.333333333333329</v>
      </c>
      <c r="O49" s="383">
        <v>5</v>
      </c>
      <c r="P49" s="384">
        <v>24</v>
      </c>
      <c r="Q49" s="384">
        <v>47</v>
      </c>
      <c r="R49" s="385">
        <f t="shared" si="4"/>
        <v>76</v>
      </c>
      <c r="S49" s="388">
        <v>3</v>
      </c>
      <c r="T49" s="342"/>
      <c r="U49" s="355"/>
      <c r="V49" s="343" t="s">
        <v>112</v>
      </c>
      <c r="W49" s="334" t="s">
        <v>20</v>
      </c>
      <c r="X49" s="334" t="s">
        <v>12</v>
      </c>
      <c r="Y49" s="344">
        <v>27</v>
      </c>
      <c r="Z49" s="343" t="s">
        <v>108</v>
      </c>
      <c r="AA49" s="334" t="s">
        <v>75</v>
      </c>
      <c r="AB49" s="334" t="s">
        <v>18</v>
      </c>
      <c r="AC49" s="344">
        <v>19.5</v>
      </c>
      <c r="AD49" s="343" t="s">
        <v>113</v>
      </c>
      <c r="AE49" s="334" t="s">
        <v>114</v>
      </c>
      <c r="AF49" s="334" t="s">
        <v>12</v>
      </c>
      <c r="AG49" s="344">
        <v>20</v>
      </c>
      <c r="AH49" s="343" t="s">
        <v>110</v>
      </c>
      <c r="AI49" s="334" t="s">
        <v>90</v>
      </c>
      <c r="AJ49" s="334" t="s">
        <v>11</v>
      </c>
      <c r="AK49" s="344">
        <v>5</v>
      </c>
      <c r="AL49" s="334" t="s">
        <v>111</v>
      </c>
      <c r="AM49" s="334" t="s">
        <v>22</v>
      </c>
      <c r="AN49" s="334" t="s">
        <v>18</v>
      </c>
      <c r="AO49" s="334">
        <v>4.5</v>
      </c>
      <c r="AP49" s="343"/>
      <c r="AS49" s="344"/>
      <c r="AW49" s="344"/>
      <c r="BA49" s="345"/>
    </row>
    <row r="50" spans="1:53" s="73" customFormat="1">
      <c r="A50" s="102">
        <v>1978</v>
      </c>
      <c r="B50" s="85">
        <v>28551</v>
      </c>
      <c r="C50" s="966" t="s">
        <v>360</v>
      </c>
      <c r="D50" s="966"/>
      <c r="E50" s="73">
        <v>305</v>
      </c>
      <c r="F50" s="73">
        <v>4</v>
      </c>
      <c r="G50" s="123"/>
      <c r="H50" s="73">
        <v>7</v>
      </c>
      <c r="I50" s="73">
        <v>7</v>
      </c>
      <c r="J50" s="134">
        <v>15</v>
      </c>
      <c r="K50" s="92">
        <f t="shared" si="17"/>
        <v>0</v>
      </c>
      <c r="L50" s="92">
        <f t="shared" si="18"/>
        <v>46.666666666666664</v>
      </c>
      <c r="M50" s="92">
        <f t="shared" si="19"/>
        <v>46.666666666666664</v>
      </c>
      <c r="N50" s="125">
        <f t="shared" si="3"/>
        <v>93.333333333333329</v>
      </c>
      <c r="O50" s="91"/>
      <c r="P50" s="92">
        <v>24</v>
      </c>
      <c r="Q50" s="92">
        <v>47</v>
      </c>
      <c r="R50" s="93">
        <f t="shared" si="4"/>
        <v>71</v>
      </c>
      <c r="S50" s="97">
        <v>3</v>
      </c>
      <c r="T50" s="95"/>
      <c r="U50" s="85">
        <v>28551</v>
      </c>
      <c r="V50" s="82" t="s">
        <v>112</v>
      </c>
      <c r="W50" s="73" t="s">
        <v>20</v>
      </c>
      <c r="X50" s="73" t="s">
        <v>12</v>
      </c>
      <c r="Y50" s="83">
        <v>27</v>
      </c>
      <c r="Z50" s="82" t="s">
        <v>108</v>
      </c>
      <c r="AA50" s="73" t="s">
        <v>75</v>
      </c>
      <c r="AB50" s="73" t="s">
        <v>18</v>
      </c>
      <c r="AC50" s="83">
        <v>19.5</v>
      </c>
      <c r="AD50" s="82" t="s">
        <v>113</v>
      </c>
      <c r="AE50" s="73" t="s">
        <v>114</v>
      </c>
      <c r="AF50" s="73" t="s">
        <v>12</v>
      </c>
      <c r="AG50" s="83">
        <v>20</v>
      </c>
      <c r="AH50" s="73" t="s">
        <v>111</v>
      </c>
      <c r="AI50" s="73" t="s">
        <v>22</v>
      </c>
      <c r="AJ50" s="73" t="s">
        <v>18</v>
      </c>
      <c r="AK50" s="73">
        <v>4.5</v>
      </c>
      <c r="AL50" s="82"/>
      <c r="AO50" s="83"/>
      <c r="AP50" s="82"/>
      <c r="AS50" s="83"/>
      <c r="AW50" s="83"/>
      <c r="BA50" s="84"/>
    </row>
    <row r="51" spans="1:53" s="73" customFormat="1">
      <c r="A51" s="102">
        <v>1979</v>
      </c>
      <c r="B51" s="85"/>
      <c r="C51" s="966" t="s">
        <v>360</v>
      </c>
      <c r="D51" s="966"/>
      <c r="E51" s="73">
        <v>144</v>
      </c>
      <c r="G51" s="123"/>
      <c r="H51" s="73">
        <v>7</v>
      </c>
      <c r="I51" s="73">
        <v>7</v>
      </c>
      <c r="J51" s="134">
        <v>15</v>
      </c>
      <c r="K51" s="92">
        <f t="shared" si="17"/>
        <v>0</v>
      </c>
      <c r="L51" s="92">
        <f t="shared" si="18"/>
        <v>46.666666666666664</v>
      </c>
      <c r="M51" s="92">
        <f t="shared" si="19"/>
        <v>46.666666666666664</v>
      </c>
      <c r="N51" s="125">
        <f t="shared" si="3"/>
        <v>93.333333333333329</v>
      </c>
      <c r="O51" s="91"/>
      <c r="P51" s="92">
        <v>24</v>
      </c>
      <c r="Q51" s="92">
        <v>47</v>
      </c>
      <c r="R51" s="93">
        <f t="shared" si="4"/>
        <v>71</v>
      </c>
      <c r="S51" s="97">
        <v>3</v>
      </c>
      <c r="T51" s="95"/>
      <c r="U51" s="85"/>
      <c r="V51" s="82" t="s">
        <v>112</v>
      </c>
      <c r="W51" s="73" t="s">
        <v>20</v>
      </c>
      <c r="X51" s="73" t="s">
        <v>12</v>
      </c>
      <c r="Y51" s="83">
        <v>27</v>
      </c>
      <c r="Z51" s="82" t="s">
        <v>108</v>
      </c>
      <c r="AA51" s="73" t="s">
        <v>75</v>
      </c>
      <c r="AB51" s="73" t="s">
        <v>18</v>
      </c>
      <c r="AC51" s="83">
        <v>19.5</v>
      </c>
      <c r="AD51" s="82" t="s">
        <v>113</v>
      </c>
      <c r="AE51" s="73" t="s">
        <v>114</v>
      </c>
      <c r="AF51" s="73" t="s">
        <v>12</v>
      </c>
      <c r="AG51" s="83">
        <v>20</v>
      </c>
      <c r="AH51" s="73" t="s">
        <v>111</v>
      </c>
      <c r="AI51" s="73" t="s">
        <v>22</v>
      </c>
      <c r="AJ51" s="73" t="s">
        <v>18</v>
      </c>
      <c r="AK51" s="73">
        <v>4.5</v>
      </c>
      <c r="AL51" s="82"/>
      <c r="AO51" s="83"/>
      <c r="AP51" s="82"/>
      <c r="AS51" s="83"/>
      <c r="AW51" s="83"/>
      <c r="BA51" s="84"/>
    </row>
    <row r="52" spans="1:53" s="334" customFormat="1">
      <c r="A52" s="386">
        <v>1979</v>
      </c>
      <c r="B52" s="355">
        <v>29000</v>
      </c>
      <c r="C52" s="965" t="s">
        <v>361</v>
      </c>
      <c r="D52" s="965"/>
      <c r="E52" s="334">
        <v>221</v>
      </c>
      <c r="F52" s="334">
        <v>1</v>
      </c>
      <c r="G52" s="419">
        <v>2</v>
      </c>
      <c r="H52" s="334">
        <v>6</v>
      </c>
      <c r="I52" s="334">
        <v>8</v>
      </c>
      <c r="J52" s="435">
        <v>17</v>
      </c>
      <c r="K52" s="384">
        <f t="shared" si="17"/>
        <v>11.76470588235294</v>
      </c>
      <c r="L52" s="384">
        <f t="shared" si="18"/>
        <v>35.294117647058826</v>
      </c>
      <c r="M52" s="384">
        <f t="shared" si="19"/>
        <v>47.058823529411761</v>
      </c>
      <c r="N52" s="421">
        <f t="shared" si="3"/>
        <v>94.117647058823536</v>
      </c>
      <c r="O52" s="383">
        <v>5</v>
      </c>
      <c r="P52" s="384">
        <v>18</v>
      </c>
      <c r="Q52" s="384">
        <v>43.5</v>
      </c>
      <c r="R52" s="385">
        <f t="shared" si="4"/>
        <v>66.5</v>
      </c>
      <c r="S52" s="388">
        <v>3</v>
      </c>
      <c r="T52" s="342">
        <v>28926</v>
      </c>
      <c r="U52" s="355">
        <v>29000</v>
      </c>
      <c r="V52" s="343" t="s">
        <v>112</v>
      </c>
      <c r="W52" s="334" t="s">
        <v>20</v>
      </c>
      <c r="X52" s="334" t="s">
        <v>12</v>
      </c>
      <c r="Y52" s="344">
        <v>26</v>
      </c>
      <c r="Z52" s="343" t="s">
        <v>108</v>
      </c>
      <c r="AA52" s="334" t="s">
        <v>75</v>
      </c>
      <c r="AB52" s="334" t="s">
        <v>18</v>
      </c>
      <c r="AC52" s="344">
        <v>18</v>
      </c>
      <c r="AD52" s="343" t="s">
        <v>113</v>
      </c>
      <c r="AE52" s="334" t="s">
        <v>114</v>
      </c>
      <c r="AF52" s="334" t="s">
        <v>12</v>
      </c>
      <c r="AG52" s="344">
        <v>17.5</v>
      </c>
      <c r="AH52" s="343" t="s">
        <v>110</v>
      </c>
      <c r="AI52" s="334" t="s">
        <v>90</v>
      </c>
      <c r="AJ52" s="334" t="s">
        <v>11</v>
      </c>
      <c r="AK52" s="344">
        <v>5</v>
      </c>
      <c r="AL52" s="343"/>
      <c r="AO52" s="344"/>
      <c r="AP52" s="343"/>
      <c r="AS52" s="344"/>
      <c r="AW52" s="344"/>
      <c r="BA52" s="345"/>
    </row>
    <row r="53" spans="1:53" s="334" customFormat="1">
      <c r="A53" s="386">
        <v>1980</v>
      </c>
      <c r="B53" s="355"/>
      <c r="C53" s="965" t="s">
        <v>361</v>
      </c>
      <c r="D53" s="965"/>
      <c r="E53" s="334">
        <v>0</v>
      </c>
      <c r="G53" s="419">
        <v>2</v>
      </c>
      <c r="H53" s="334">
        <v>6</v>
      </c>
      <c r="I53" s="334">
        <v>8</v>
      </c>
      <c r="J53" s="435">
        <v>17</v>
      </c>
      <c r="K53" s="384">
        <f t="shared" si="17"/>
        <v>11.76470588235294</v>
      </c>
      <c r="L53" s="384">
        <f t="shared" si="18"/>
        <v>35.294117647058826</v>
      </c>
      <c r="M53" s="384">
        <f t="shared" si="19"/>
        <v>47.058823529411761</v>
      </c>
      <c r="N53" s="421">
        <f t="shared" si="3"/>
        <v>94.117647058823536</v>
      </c>
      <c r="O53" s="383">
        <v>5</v>
      </c>
      <c r="P53" s="384">
        <v>18</v>
      </c>
      <c r="Q53" s="384">
        <v>43.5</v>
      </c>
      <c r="R53" s="385">
        <f t="shared" si="4"/>
        <v>66.5</v>
      </c>
      <c r="S53" s="388">
        <v>3</v>
      </c>
      <c r="T53" s="342"/>
      <c r="U53" s="355"/>
      <c r="V53" s="343" t="s">
        <v>112</v>
      </c>
      <c r="W53" s="334" t="s">
        <v>20</v>
      </c>
      <c r="X53" s="334" t="s">
        <v>12</v>
      </c>
      <c r="Y53" s="344">
        <v>26</v>
      </c>
      <c r="Z53" s="343" t="s">
        <v>108</v>
      </c>
      <c r="AA53" s="334" t="s">
        <v>75</v>
      </c>
      <c r="AB53" s="334" t="s">
        <v>18</v>
      </c>
      <c r="AC53" s="344">
        <v>18</v>
      </c>
      <c r="AD53" s="343" t="s">
        <v>113</v>
      </c>
      <c r="AE53" s="334" t="s">
        <v>114</v>
      </c>
      <c r="AF53" s="334" t="s">
        <v>12</v>
      </c>
      <c r="AG53" s="344">
        <v>17.5</v>
      </c>
      <c r="AH53" s="343" t="s">
        <v>110</v>
      </c>
      <c r="AI53" s="334" t="s">
        <v>90</v>
      </c>
      <c r="AJ53" s="334" t="s">
        <v>11</v>
      </c>
      <c r="AK53" s="344">
        <v>5</v>
      </c>
      <c r="AL53" s="343"/>
      <c r="AO53" s="344"/>
      <c r="AP53" s="343"/>
      <c r="AS53" s="344"/>
      <c r="AW53" s="344"/>
      <c r="BA53" s="345"/>
    </row>
    <row r="54" spans="1:53" s="334" customFormat="1">
      <c r="A54" s="386">
        <v>1980</v>
      </c>
      <c r="B54" s="355"/>
      <c r="C54" s="965" t="s">
        <v>361</v>
      </c>
      <c r="D54" s="965"/>
      <c r="E54" s="334">
        <v>366</v>
      </c>
      <c r="G54" s="419">
        <v>2</v>
      </c>
      <c r="H54" s="334">
        <v>6</v>
      </c>
      <c r="I54" s="334">
        <v>8</v>
      </c>
      <c r="J54" s="435">
        <v>17</v>
      </c>
      <c r="K54" s="384">
        <f t="shared" si="17"/>
        <v>11.76470588235294</v>
      </c>
      <c r="L54" s="384">
        <f t="shared" si="18"/>
        <v>35.294117647058826</v>
      </c>
      <c r="M54" s="384">
        <f t="shared" si="19"/>
        <v>47.058823529411761</v>
      </c>
      <c r="N54" s="421">
        <f t="shared" si="3"/>
        <v>94.117647058823536</v>
      </c>
      <c r="O54" s="383">
        <v>5</v>
      </c>
      <c r="P54" s="384">
        <v>18</v>
      </c>
      <c r="Q54" s="384">
        <v>43.5</v>
      </c>
      <c r="R54" s="385">
        <f t="shared" si="4"/>
        <v>66.5</v>
      </c>
      <c r="S54" s="388">
        <v>3</v>
      </c>
      <c r="T54" s="342"/>
      <c r="U54" s="355"/>
      <c r="V54" s="343" t="s">
        <v>112</v>
      </c>
      <c r="W54" s="334" t="s">
        <v>20</v>
      </c>
      <c r="X54" s="334" t="s">
        <v>12</v>
      </c>
      <c r="Y54" s="344">
        <v>26</v>
      </c>
      <c r="Z54" s="343" t="s">
        <v>108</v>
      </c>
      <c r="AA54" s="334" t="s">
        <v>75</v>
      </c>
      <c r="AB54" s="334" t="s">
        <v>18</v>
      </c>
      <c r="AC54" s="344">
        <v>18</v>
      </c>
      <c r="AD54" s="343" t="s">
        <v>113</v>
      </c>
      <c r="AE54" s="334" t="s">
        <v>114</v>
      </c>
      <c r="AF54" s="334" t="s">
        <v>12</v>
      </c>
      <c r="AG54" s="344">
        <v>17.5</v>
      </c>
      <c r="AH54" s="343" t="s">
        <v>110</v>
      </c>
      <c r="AI54" s="334" t="s">
        <v>90</v>
      </c>
      <c r="AJ54" s="334" t="s">
        <v>11</v>
      </c>
      <c r="AK54" s="344">
        <v>5</v>
      </c>
      <c r="AL54" s="343"/>
      <c r="AO54" s="344"/>
      <c r="AP54" s="343"/>
      <c r="AS54" s="344"/>
      <c r="AW54" s="344"/>
      <c r="BA54" s="345"/>
    </row>
    <row r="55" spans="1:53" s="334" customFormat="1">
      <c r="A55" s="386">
        <v>1981</v>
      </c>
      <c r="B55" s="355"/>
      <c r="C55" s="965" t="s">
        <v>361</v>
      </c>
      <c r="D55" s="965"/>
      <c r="E55" s="334">
        <v>0</v>
      </c>
      <c r="G55" s="419">
        <v>2</v>
      </c>
      <c r="H55" s="334">
        <v>6</v>
      </c>
      <c r="I55" s="334">
        <v>8</v>
      </c>
      <c r="J55" s="435">
        <v>17</v>
      </c>
      <c r="K55" s="384">
        <f>G55/J55*100</f>
        <v>11.76470588235294</v>
      </c>
      <c r="L55" s="384">
        <f>H55/J55*100</f>
        <v>35.294117647058826</v>
      </c>
      <c r="M55" s="384">
        <f>I55/J55*100</f>
        <v>47.058823529411761</v>
      </c>
      <c r="N55" s="421">
        <f t="shared" si="3"/>
        <v>94.117647058823536</v>
      </c>
      <c r="O55" s="383">
        <v>5</v>
      </c>
      <c r="P55" s="384">
        <v>18</v>
      </c>
      <c r="Q55" s="384">
        <v>43.5</v>
      </c>
      <c r="R55" s="385">
        <f t="shared" si="4"/>
        <v>66.5</v>
      </c>
      <c r="S55" s="388">
        <v>3</v>
      </c>
      <c r="T55" s="342"/>
      <c r="U55" s="355"/>
      <c r="V55" s="343" t="s">
        <v>112</v>
      </c>
      <c r="W55" s="334" t="s">
        <v>20</v>
      </c>
      <c r="X55" s="334" t="s">
        <v>12</v>
      </c>
      <c r="Y55" s="344">
        <v>26</v>
      </c>
      <c r="Z55" s="343" t="s">
        <v>108</v>
      </c>
      <c r="AA55" s="334" t="s">
        <v>75</v>
      </c>
      <c r="AB55" s="334" t="s">
        <v>18</v>
      </c>
      <c r="AC55" s="344">
        <v>18</v>
      </c>
      <c r="AD55" s="343" t="s">
        <v>113</v>
      </c>
      <c r="AE55" s="334" t="s">
        <v>114</v>
      </c>
      <c r="AF55" s="334" t="s">
        <v>12</v>
      </c>
      <c r="AG55" s="344">
        <v>17.5</v>
      </c>
      <c r="AH55" s="343" t="s">
        <v>110</v>
      </c>
      <c r="AI55" s="334" t="s">
        <v>90</v>
      </c>
      <c r="AJ55" s="334" t="s">
        <v>11</v>
      </c>
      <c r="AK55" s="344">
        <v>5</v>
      </c>
      <c r="AL55" s="343"/>
      <c r="AO55" s="344"/>
      <c r="AP55" s="343"/>
      <c r="AS55" s="344"/>
      <c r="AW55" s="344"/>
      <c r="BA55" s="345"/>
    </row>
    <row r="56" spans="1:53" s="334" customFormat="1">
      <c r="A56" s="386">
        <v>1981</v>
      </c>
      <c r="B56" s="355"/>
      <c r="C56" s="965" t="s">
        <v>361</v>
      </c>
      <c r="D56" s="965"/>
      <c r="E56" s="334">
        <v>365</v>
      </c>
      <c r="G56" s="419">
        <v>2</v>
      </c>
      <c r="H56" s="334">
        <v>6</v>
      </c>
      <c r="I56" s="334">
        <v>8</v>
      </c>
      <c r="J56" s="435">
        <v>17</v>
      </c>
      <c r="K56" s="384">
        <f t="shared" ref="K56:K62" si="20">G56/J56*100</f>
        <v>11.76470588235294</v>
      </c>
      <c r="L56" s="384">
        <f t="shared" ref="L56:L62" si="21">H56/J56*100</f>
        <v>35.294117647058826</v>
      </c>
      <c r="M56" s="384">
        <f t="shared" ref="M56:M62" si="22">I56/J56*100</f>
        <v>47.058823529411761</v>
      </c>
      <c r="N56" s="421">
        <f t="shared" si="3"/>
        <v>94.117647058823536</v>
      </c>
      <c r="O56" s="383">
        <v>5</v>
      </c>
      <c r="P56" s="384">
        <v>18</v>
      </c>
      <c r="Q56" s="384">
        <v>43.5</v>
      </c>
      <c r="R56" s="385">
        <f t="shared" si="4"/>
        <v>66.5</v>
      </c>
      <c r="S56" s="388">
        <v>3</v>
      </c>
      <c r="T56" s="342"/>
      <c r="U56" s="355"/>
      <c r="V56" s="343" t="s">
        <v>112</v>
      </c>
      <c r="W56" s="334" t="s">
        <v>20</v>
      </c>
      <c r="X56" s="334" t="s">
        <v>12</v>
      </c>
      <c r="Y56" s="344">
        <v>26</v>
      </c>
      <c r="Z56" s="343" t="s">
        <v>108</v>
      </c>
      <c r="AA56" s="334" t="s">
        <v>75</v>
      </c>
      <c r="AB56" s="334" t="s">
        <v>18</v>
      </c>
      <c r="AC56" s="344">
        <v>18</v>
      </c>
      <c r="AD56" s="343" t="s">
        <v>113</v>
      </c>
      <c r="AE56" s="334" t="s">
        <v>114</v>
      </c>
      <c r="AF56" s="334" t="s">
        <v>12</v>
      </c>
      <c r="AG56" s="344">
        <v>17.5</v>
      </c>
      <c r="AH56" s="343" t="s">
        <v>110</v>
      </c>
      <c r="AI56" s="334" t="s">
        <v>90</v>
      </c>
      <c r="AJ56" s="334" t="s">
        <v>11</v>
      </c>
      <c r="AK56" s="344">
        <v>5</v>
      </c>
      <c r="AL56" s="343"/>
      <c r="AO56" s="344"/>
      <c r="AP56" s="343"/>
      <c r="AS56" s="344"/>
      <c r="AW56" s="344"/>
      <c r="BA56" s="345"/>
    </row>
    <row r="57" spans="1:53" s="334" customFormat="1">
      <c r="A57" s="386">
        <v>1982</v>
      </c>
      <c r="B57" s="355"/>
      <c r="C57" s="965" t="s">
        <v>361</v>
      </c>
      <c r="D57" s="965"/>
      <c r="E57" s="334">
        <v>55</v>
      </c>
      <c r="G57" s="419">
        <v>2</v>
      </c>
      <c r="H57" s="334">
        <v>6</v>
      </c>
      <c r="I57" s="334">
        <v>8</v>
      </c>
      <c r="J57" s="435">
        <v>17</v>
      </c>
      <c r="K57" s="384">
        <f t="shared" si="20"/>
        <v>11.76470588235294</v>
      </c>
      <c r="L57" s="384">
        <f t="shared" si="21"/>
        <v>35.294117647058826</v>
      </c>
      <c r="M57" s="384">
        <f t="shared" si="22"/>
        <v>47.058823529411761</v>
      </c>
      <c r="N57" s="421">
        <f t="shared" si="3"/>
        <v>94.117647058823536</v>
      </c>
      <c r="O57" s="383">
        <v>5</v>
      </c>
      <c r="P57" s="384">
        <v>18</v>
      </c>
      <c r="Q57" s="384">
        <v>43.5</v>
      </c>
      <c r="R57" s="385">
        <f t="shared" si="4"/>
        <v>66.5</v>
      </c>
      <c r="S57" s="388">
        <v>3</v>
      </c>
      <c r="T57" s="342"/>
      <c r="U57" s="355"/>
      <c r="V57" s="343" t="s">
        <v>112</v>
      </c>
      <c r="W57" s="334" t="s">
        <v>20</v>
      </c>
      <c r="X57" s="334" t="s">
        <v>12</v>
      </c>
      <c r="Y57" s="344">
        <v>26</v>
      </c>
      <c r="Z57" s="343" t="s">
        <v>108</v>
      </c>
      <c r="AA57" s="334" t="s">
        <v>75</v>
      </c>
      <c r="AB57" s="334" t="s">
        <v>18</v>
      </c>
      <c r="AC57" s="344">
        <v>18</v>
      </c>
      <c r="AD57" s="343" t="s">
        <v>113</v>
      </c>
      <c r="AE57" s="334" t="s">
        <v>114</v>
      </c>
      <c r="AF57" s="334" t="s">
        <v>12</v>
      </c>
      <c r="AG57" s="344">
        <v>17.5</v>
      </c>
      <c r="AH57" s="343" t="s">
        <v>110</v>
      </c>
      <c r="AI57" s="334" t="s">
        <v>90</v>
      </c>
      <c r="AJ57" s="334" t="s">
        <v>11</v>
      </c>
      <c r="AK57" s="344">
        <v>5</v>
      </c>
      <c r="AL57" s="343"/>
      <c r="AO57" s="344"/>
      <c r="AP57" s="343"/>
      <c r="AS57" s="344"/>
      <c r="AW57" s="344"/>
      <c r="BA57" s="345"/>
    </row>
    <row r="58" spans="1:53" s="73" customFormat="1">
      <c r="A58" s="102">
        <v>1982</v>
      </c>
      <c r="B58" s="85">
        <v>30007</v>
      </c>
      <c r="C58" s="966" t="s">
        <v>362</v>
      </c>
      <c r="D58" s="966"/>
      <c r="E58" s="73">
        <v>308</v>
      </c>
      <c r="F58" s="73">
        <v>2</v>
      </c>
      <c r="G58" s="123">
        <v>2</v>
      </c>
      <c r="H58" s="73">
        <v>6</v>
      </c>
      <c r="I58" s="73">
        <v>8</v>
      </c>
      <c r="J58" s="134">
        <v>17</v>
      </c>
      <c r="K58" s="92">
        <f>G58/J58*100</f>
        <v>11.76470588235294</v>
      </c>
      <c r="L58" s="92">
        <f>H58/J58*100</f>
        <v>35.294117647058826</v>
      </c>
      <c r="M58" s="92">
        <f>I58/J58*100</f>
        <v>47.058823529411761</v>
      </c>
      <c r="N58" s="125">
        <f t="shared" si="3"/>
        <v>94.117647058823536</v>
      </c>
      <c r="O58" s="91">
        <v>5</v>
      </c>
      <c r="P58" s="92">
        <v>18</v>
      </c>
      <c r="Q58" s="92">
        <v>43.5</v>
      </c>
      <c r="R58" s="93">
        <f t="shared" si="4"/>
        <v>66.5</v>
      </c>
      <c r="S58" s="97">
        <v>3</v>
      </c>
      <c r="T58" s="95"/>
      <c r="U58" s="85">
        <v>30007</v>
      </c>
      <c r="V58" s="82" t="s">
        <v>112</v>
      </c>
      <c r="W58" s="73" t="s">
        <v>20</v>
      </c>
      <c r="X58" s="73" t="s">
        <v>12</v>
      </c>
      <c r="Y58" s="83">
        <v>26</v>
      </c>
      <c r="Z58" s="82" t="s">
        <v>108</v>
      </c>
      <c r="AA58" s="73" t="s">
        <v>75</v>
      </c>
      <c r="AB58" s="73" t="s">
        <v>18</v>
      </c>
      <c r="AC58" s="83">
        <v>18</v>
      </c>
      <c r="AD58" s="82" t="s">
        <v>113</v>
      </c>
      <c r="AE58" s="73" t="s">
        <v>114</v>
      </c>
      <c r="AF58" s="73" t="s">
        <v>12</v>
      </c>
      <c r="AG58" s="83">
        <v>17.5</v>
      </c>
      <c r="AH58" s="82" t="s">
        <v>110</v>
      </c>
      <c r="AI58" s="73" t="s">
        <v>90</v>
      </c>
      <c r="AJ58" s="73" t="s">
        <v>11</v>
      </c>
      <c r="AK58" s="83">
        <v>5</v>
      </c>
      <c r="AL58" s="82"/>
      <c r="AO58" s="83"/>
      <c r="AP58" s="82"/>
      <c r="AS58" s="83"/>
      <c r="AW58" s="83"/>
      <c r="BA58" s="84"/>
    </row>
    <row r="59" spans="1:53" s="334" customFormat="1">
      <c r="A59" s="386">
        <v>1982</v>
      </c>
      <c r="B59" s="355">
        <v>30315</v>
      </c>
      <c r="C59" s="965" t="s">
        <v>363</v>
      </c>
      <c r="D59" s="965"/>
      <c r="E59" s="334">
        <v>2</v>
      </c>
      <c r="F59" s="334">
        <v>4</v>
      </c>
      <c r="G59" s="419">
        <v>2</v>
      </c>
      <c r="H59" s="334">
        <v>7</v>
      </c>
      <c r="I59" s="334">
        <v>8</v>
      </c>
      <c r="J59" s="435">
        <v>17</v>
      </c>
      <c r="K59" s="384">
        <f t="shared" si="20"/>
        <v>11.76470588235294</v>
      </c>
      <c r="L59" s="384">
        <f t="shared" si="21"/>
        <v>41.17647058823529</v>
      </c>
      <c r="M59" s="384">
        <f t="shared" si="22"/>
        <v>47.058823529411761</v>
      </c>
      <c r="N59" s="421">
        <f t="shared" si="3"/>
        <v>100</v>
      </c>
      <c r="O59" s="383">
        <v>5</v>
      </c>
      <c r="P59" s="384">
        <v>18</v>
      </c>
      <c r="Q59" s="384">
        <v>26</v>
      </c>
      <c r="R59" s="385">
        <f t="shared" si="4"/>
        <v>49</v>
      </c>
      <c r="S59" s="388">
        <v>5</v>
      </c>
      <c r="T59" s="342"/>
      <c r="U59" s="355">
        <v>30315</v>
      </c>
      <c r="V59" s="343" t="s">
        <v>112</v>
      </c>
      <c r="W59" s="334" t="s">
        <v>20</v>
      </c>
      <c r="X59" s="334" t="s">
        <v>12</v>
      </c>
      <c r="Y59" s="344">
        <v>26</v>
      </c>
      <c r="Z59" s="343" t="s">
        <v>108</v>
      </c>
      <c r="AA59" s="334" t="s">
        <v>75</v>
      </c>
      <c r="AB59" s="334" t="s">
        <v>18</v>
      </c>
      <c r="AC59" s="344">
        <v>18</v>
      </c>
      <c r="AD59" s="343" t="s">
        <v>110</v>
      </c>
      <c r="AE59" s="334" t="s">
        <v>90</v>
      </c>
      <c r="AF59" s="334" t="s">
        <v>11</v>
      </c>
      <c r="AG59" s="344">
        <v>5</v>
      </c>
      <c r="AL59" s="343"/>
      <c r="AO59" s="344"/>
      <c r="AP59" s="343"/>
      <c r="AS59" s="344"/>
      <c r="AW59" s="344"/>
      <c r="BA59" s="345"/>
    </row>
    <row r="60" spans="1:53" s="334" customFormat="1">
      <c r="A60" s="386">
        <v>1983</v>
      </c>
      <c r="B60" s="355"/>
      <c r="C60" s="965" t="s">
        <v>363</v>
      </c>
      <c r="D60" s="965"/>
      <c r="E60" s="334">
        <v>126</v>
      </c>
      <c r="G60" s="419">
        <v>2</v>
      </c>
      <c r="H60" s="334">
        <v>7</v>
      </c>
      <c r="I60" s="334">
        <v>8</v>
      </c>
      <c r="J60" s="435">
        <v>17</v>
      </c>
      <c r="K60" s="384">
        <f t="shared" si="20"/>
        <v>11.76470588235294</v>
      </c>
      <c r="L60" s="384">
        <f t="shared" si="21"/>
        <v>41.17647058823529</v>
      </c>
      <c r="M60" s="384">
        <f t="shared" si="22"/>
        <v>47.058823529411761</v>
      </c>
      <c r="N60" s="421">
        <f t="shared" si="3"/>
        <v>100</v>
      </c>
      <c r="O60" s="383">
        <v>5</v>
      </c>
      <c r="P60" s="384">
        <v>18</v>
      </c>
      <c r="Q60" s="384">
        <v>26</v>
      </c>
      <c r="R60" s="385">
        <f t="shared" si="4"/>
        <v>49</v>
      </c>
      <c r="S60" s="388">
        <v>5</v>
      </c>
      <c r="T60" s="342"/>
      <c r="U60" s="355"/>
      <c r="V60" s="343" t="s">
        <v>112</v>
      </c>
      <c r="W60" s="334" t="s">
        <v>20</v>
      </c>
      <c r="X60" s="334" t="s">
        <v>12</v>
      </c>
      <c r="Y60" s="344">
        <v>26</v>
      </c>
      <c r="Z60" s="343" t="s">
        <v>108</v>
      </c>
      <c r="AA60" s="334" t="s">
        <v>75</v>
      </c>
      <c r="AB60" s="334" t="s">
        <v>18</v>
      </c>
      <c r="AC60" s="344">
        <v>18</v>
      </c>
      <c r="AD60" s="343" t="s">
        <v>110</v>
      </c>
      <c r="AE60" s="334" t="s">
        <v>90</v>
      </c>
      <c r="AF60" s="334" t="s">
        <v>11</v>
      </c>
      <c r="AG60" s="344">
        <v>5</v>
      </c>
      <c r="AL60" s="343"/>
      <c r="AO60" s="344"/>
      <c r="AP60" s="343"/>
      <c r="AS60" s="344"/>
      <c r="AW60" s="344"/>
      <c r="BA60" s="345"/>
    </row>
    <row r="61" spans="1:53" s="73" customFormat="1">
      <c r="A61" s="102">
        <v>1983</v>
      </c>
      <c r="B61" s="85">
        <v>30443</v>
      </c>
      <c r="C61" s="966" t="s">
        <v>364</v>
      </c>
      <c r="D61" s="966"/>
      <c r="E61" s="73">
        <v>239</v>
      </c>
      <c r="F61" s="73">
        <v>1</v>
      </c>
      <c r="G61" s="123">
        <v>2</v>
      </c>
      <c r="H61" s="73">
        <v>7</v>
      </c>
      <c r="I61" s="73">
        <v>8</v>
      </c>
      <c r="J61" s="134">
        <v>17</v>
      </c>
      <c r="K61" s="92">
        <f t="shared" si="20"/>
        <v>11.76470588235294</v>
      </c>
      <c r="L61" s="92">
        <f t="shared" si="21"/>
        <v>41.17647058823529</v>
      </c>
      <c r="M61" s="92">
        <f t="shared" si="22"/>
        <v>47.058823529411761</v>
      </c>
      <c r="N61" s="125">
        <f t="shared" si="3"/>
        <v>100</v>
      </c>
      <c r="O61" s="91">
        <v>5.5</v>
      </c>
      <c r="P61" s="92">
        <v>27.5</v>
      </c>
      <c r="Q61" s="92">
        <v>28.5</v>
      </c>
      <c r="R61" s="93">
        <f t="shared" si="4"/>
        <v>61.5</v>
      </c>
      <c r="S61" s="97">
        <v>3</v>
      </c>
      <c r="T61" s="95">
        <v>30395</v>
      </c>
      <c r="U61" s="85">
        <v>30443</v>
      </c>
      <c r="V61" s="82" t="s">
        <v>112</v>
      </c>
      <c r="W61" s="73" t="s">
        <v>20</v>
      </c>
      <c r="X61" s="73" t="s">
        <v>12</v>
      </c>
      <c r="Y61" s="83">
        <v>28.5</v>
      </c>
      <c r="Z61" s="82" t="s">
        <v>108</v>
      </c>
      <c r="AA61" s="73" t="s">
        <v>75</v>
      </c>
      <c r="AB61" s="73" t="s">
        <v>18</v>
      </c>
      <c r="AC61" s="83">
        <v>19</v>
      </c>
      <c r="AD61" s="82" t="s">
        <v>117</v>
      </c>
      <c r="AE61" s="73" t="s">
        <v>118</v>
      </c>
      <c r="AF61" s="73" t="s">
        <v>18</v>
      </c>
      <c r="AG61" s="83">
        <v>8.5</v>
      </c>
      <c r="AH61" s="82" t="s">
        <v>110</v>
      </c>
      <c r="AI61" s="73" t="s">
        <v>90</v>
      </c>
      <c r="AJ61" s="73" t="s">
        <v>11</v>
      </c>
      <c r="AK61" s="83">
        <v>5.5</v>
      </c>
      <c r="AL61" s="82"/>
      <c r="AO61" s="83"/>
      <c r="AP61" s="82"/>
      <c r="AS61" s="83"/>
      <c r="AW61" s="83"/>
      <c r="BA61" s="84"/>
    </row>
    <row r="62" spans="1:53" s="73" customFormat="1">
      <c r="A62" s="102">
        <v>1984</v>
      </c>
      <c r="B62" s="85"/>
      <c r="C62" s="966" t="s">
        <v>364</v>
      </c>
      <c r="D62" s="966"/>
      <c r="E62" s="73">
        <v>0</v>
      </c>
      <c r="G62" s="123">
        <v>2</v>
      </c>
      <c r="H62" s="73">
        <v>7</v>
      </c>
      <c r="I62" s="73">
        <v>8</v>
      </c>
      <c r="J62" s="134">
        <v>17</v>
      </c>
      <c r="K62" s="92">
        <f t="shared" si="20"/>
        <v>11.76470588235294</v>
      </c>
      <c r="L62" s="92">
        <f t="shared" si="21"/>
        <v>41.17647058823529</v>
      </c>
      <c r="M62" s="92">
        <f t="shared" si="22"/>
        <v>47.058823529411761</v>
      </c>
      <c r="N62" s="125">
        <f t="shared" si="3"/>
        <v>100</v>
      </c>
      <c r="O62" s="91">
        <v>5.5</v>
      </c>
      <c r="P62" s="92">
        <v>27.5</v>
      </c>
      <c r="Q62" s="92">
        <v>28.5</v>
      </c>
      <c r="R62" s="93">
        <f t="shared" si="4"/>
        <v>61.5</v>
      </c>
      <c r="S62" s="97">
        <v>3</v>
      </c>
      <c r="T62" s="95"/>
      <c r="U62" s="85"/>
      <c r="V62" s="82" t="s">
        <v>112</v>
      </c>
      <c r="W62" s="73" t="s">
        <v>20</v>
      </c>
      <c r="X62" s="73" t="s">
        <v>12</v>
      </c>
      <c r="Y62" s="83">
        <v>28.5</v>
      </c>
      <c r="Z62" s="82" t="s">
        <v>108</v>
      </c>
      <c r="AA62" s="73" t="s">
        <v>75</v>
      </c>
      <c r="AB62" s="73" t="s">
        <v>18</v>
      </c>
      <c r="AC62" s="83">
        <v>19</v>
      </c>
      <c r="AD62" s="82" t="s">
        <v>117</v>
      </c>
      <c r="AE62" s="73" t="s">
        <v>118</v>
      </c>
      <c r="AF62" s="73" t="s">
        <v>18</v>
      </c>
      <c r="AG62" s="83">
        <v>8.5</v>
      </c>
      <c r="AH62" s="82" t="s">
        <v>110</v>
      </c>
      <c r="AI62" s="73" t="s">
        <v>90</v>
      </c>
      <c r="AJ62" s="73" t="s">
        <v>11</v>
      </c>
      <c r="AK62" s="83">
        <v>5.5</v>
      </c>
      <c r="AL62" s="82"/>
      <c r="AO62" s="83"/>
      <c r="AP62" s="82"/>
      <c r="AS62" s="83"/>
      <c r="AW62" s="83"/>
      <c r="BA62" s="84"/>
    </row>
    <row r="63" spans="1:53" s="73" customFormat="1">
      <c r="A63" s="102">
        <v>1984</v>
      </c>
      <c r="B63" s="85"/>
      <c r="C63" s="966" t="s">
        <v>364</v>
      </c>
      <c r="D63" s="966"/>
      <c r="E63" s="73">
        <v>366</v>
      </c>
      <c r="G63" s="123">
        <v>2</v>
      </c>
      <c r="H63" s="73">
        <v>7</v>
      </c>
      <c r="I63" s="73">
        <v>8</v>
      </c>
      <c r="J63" s="134">
        <v>17</v>
      </c>
      <c r="K63" s="92">
        <f>G63/J63*100</f>
        <v>11.76470588235294</v>
      </c>
      <c r="L63" s="92">
        <f>H63/J63*100</f>
        <v>41.17647058823529</v>
      </c>
      <c r="M63" s="92">
        <f>I63/J63*100</f>
        <v>47.058823529411761</v>
      </c>
      <c r="N63" s="125">
        <f t="shared" si="3"/>
        <v>100</v>
      </c>
      <c r="O63" s="91">
        <v>5.5</v>
      </c>
      <c r="P63" s="92">
        <v>27.5</v>
      </c>
      <c r="Q63" s="92">
        <v>28.5</v>
      </c>
      <c r="R63" s="93">
        <f t="shared" si="4"/>
        <v>61.5</v>
      </c>
      <c r="S63" s="97">
        <v>3</v>
      </c>
      <c r="T63" s="95"/>
      <c r="U63" s="85"/>
      <c r="V63" s="82" t="s">
        <v>112</v>
      </c>
      <c r="W63" s="73" t="s">
        <v>20</v>
      </c>
      <c r="X63" s="73" t="s">
        <v>12</v>
      </c>
      <c r="Y63" s="83">
        <v>28.5</v>
      </c>
      <c r="Z63" s="82" t="s">
        <v>108</v>
      </c>
      <c r="AA63" s="73" t="s">
        <v>75</v>
      </c>
      <c r="AB63" s="73" t="s">
        <v>18</v>
      </c>
      <c r="AC63" s="83">
        <v>19</v>
      </c>
      <c r="AD63" s="82" t="s">
        <v>117</v>
      </c>
      <c r="AE63" s="73" t="s">
        <v>118</v>
      </c>
      <c r="AF63" s="73" t="s">
        <v>18</v>
      </c>
      <c r="AG63" s="83">
        <v>8.5</v>
      </c>
      <c r="AH63" s="82" t="s">
        <v>110</v>
      </c>
      <c r="AI63" s="73" t="s">
        <v>90</v>
      </c>
      <c r="AJ63" s="73" t="s">
        <v>11</v>
      </c>
      <c r="AK63" s="83">
        <v>5.5</v>
      </c>
      <c r="AL63" s="82"/>
      <c r="AO63" s="83"/>
      <c r="AP63" s="82"/>
      <c r="AS63" s="83"/>
      <c r="AW63" s="83"/>
      <c r="BA63" s="84"/>
    </row>
    <row r="64" spans="1:53" s="73" customFormat="1">
      <c r="A64" s="102">
        <v>1985</v>
      </c>
      <c r="B64" s="85"/>
      <c r="C64" s="966" t="s">
        <v>364</v>
      </c>
      <c r="D64" s="966"/>
      <c r="E64" s="73">
        <v>0</v>
      </c>
      <c r="G64" s="123">
        <v>2</v>
      </c>
      <c r="H64" s="73">
        <v>7</v>
      </c>
      <c r="I64" s="73">
        <v>8</v>
      </c>
      <c r="J64" s="134">
        <v>17</v>
      </c>
      <c r="K64" s="92">
        <f t="shared" ref="K64:K69" si="23">G64/J64*100</f>
        <v>11.76470588235294</v>
      </c>
      <c r="L64" s="92">
        <f t="shared" ref="L64:L69" si="24">H64/J64*100</f>
        <v>41.17647058823529</v>
      </c>
      <c r="M64" s="92">
        <f t="shared" ref="M64:M69" si="25">I64/J64*100</f>
        <v>47.058823529411761</v>
      </c>
      <c r="N64" s="125">
        <f t="shared" si="3"/>
        <v>100</v>
      </c>
      <c r="O64" s="91">
        <v>5.5</v>
      </c>
      <c r="P64" s="92">
        <v>27.5</v>
      </c>
      <c r="Q64" s="92">
        <v>28.5</v>
      </c>
      <c r="R64" s="93">
        <f t="shared" si="4"/>
        <v>61.5</v>
      </c>
      <c r="S64" s="97">
        <v>3</v>
      </c>
      <c r="T64" s="95"/>
      <c r="U64" s="85"/>
      <c r="V64" s="82" t="s">
        <v>112</v>
      </c>
      <c r="W64" s="73" t="s">
        <v>20</v>
      </c>
      <c r="X64" s="73" t="s">
        <v>12</v>
      </c>
      <c r="Y64" s="83">
        <v>28.5</v>
      </c>
      <c r="Z64" s="82" t="s">
        <v>108</v>
      </c>
      <c r="AA64" s="73" t="s">
        <v>75</v>
      </c>
      <c r="AB64" s="73" t="s">
        <v>18</v>
      </c>
      <c r="AC64" s="83">
        <v>19</v>
      </c>
      <c r="AD64" s="82" t="s">
        <v>117</v>
      </c>
      <c r="AE64" s="73" t="s">
        <v>118</v>
      </c>
      <c r="AF64" s="73" t="s">
        <v>18</v>
      </c>
      <c r="AG64" s="83">
        <v>8.5</v>
      </c>
      <c r="AH64" s="82" t="s">
        <v>110</v>
      </c>
      <c r="AI64" s="73" t="s">
        <v>90</v>
      </c>
      <c r="AJ64" s="73" t="s">
        <v>11</v>
      </c>
      <c r="AK64" s="83">
        <v>5.5</v>
      </c>
      <c r="AL64" s="82"/>
      <c r="AO64" s="83"/>
      <c r="AP64" s="82"/>
      <c r="AS64" s="83"/>
      <c r="AW64" s="83"/>
      <c r="BA64" s="84"/>
    </row>
    <row r="65" spans="1:53" s="73" customFormat="1">
      <c r="A65" s="102">
        <v>1985</v>
      </c>
      <c r="B65" s="85"/>
      <c r="C65" s="966" t="s">
        <v>364</v>
      </c>
      <c r="D65" s="966"/>
      <c r="E65" s="73">
        <v>365</v>
      </c>
      <c r="G65" s="123">
        <v>2</v>
      </c>
      <c r="H65" s="73">
        <v>7</v>
      </c>
      <c r="I65" s="73">
        <v>8</v>
      </c>
      <c r="J65" s="134">
        <v>17</v>
      </c>
      <c r="K65" s="92">
        <f t="shared" si="23"/>
        <v>11.76470588235294</v>
      </c>
      <c r="L65" s="92">
        <f t="shared" si="24"/>
        <v>41.17647058823529</v>
      </c>
      <c r="M65" s="92">
        <f t="shared" si="25"/>
        <v>47.058823529411761</v>
      </c>
      <c r="N65" s="125">
        <f t="shared" si="3"/>
        <v>100</v>
      </c>
      <c r="O65" s="91">
        <v>5.5</v>
      </c>
      <c r="P65" s="92">
        <v>27.5</v>
      </c>
      <c r="Q65" s="92">
        <v>28.5</v>
      </c>
      <c r="R65" s="93">
        <f t="shared" si="4"/>
        <v>61.5</v>
      </c>
      <c r="S65" s="97">
        <v>3</v>
      </c>
      <c r="T65" s="95"/>
      <c r="U65" s="85"/>
      <c r="V65" s="82" t="s">
        <v>112</v>
      </c>
      <c r="W65" s="73" t="s">
        <v>20</v>
      </c>
      <c r="X65" s="73" t="s">
        <v>12</v>
      </c>
      <c r="Y65" s="83">
        <v>28.5</v>
      </c>
      <c r="Z65" s="82" t="s">
        <v>108</v>
      </c>
      <c r="AA65" s="73" t="s">
        <v>75</v>
      </c>
      <c r="AB65" s="73" t="s">
        <v>18</v>
      </c>
      <c r="AC65" s="83">
        <v>19</v>
      </c>
      <c r="AD65" s="82" t="s">
        <v>117</v>
      </c>
      <c r="AE65" s="73" t="s">
        <v>118</v>
      </c>
      <c r="AF65" s="73" t="s">
        <v>18</v>
      </c>
      <c r="AG65" s="83">
        <v>8.5</v>
      </c>
      <c r="AH65" s="82" t="s">
        <v>110</v>
      </c>
      <c r="AI65" s="73" t="s">
        <v>90</v>
      </c>
      <c r="AJ65" s="73" t="s">
        <v>11</v>
      </c>
      <c r="AK65" s="83">
        <v>5.5</v>
      </c>
      <c r="AL65" s="82"/>
      <c r="AO65" s="83"/>
      <c r="AP65" s="82"/>
      <c r="AS65" s="83"/>
      <c r="AW65" s="83"/>
      <c r="BA65" s="84"/>
    </row>
    <row r="66" spans="1:53" s="73" customFormat="1">
      <c r="A66" s="102">
        <v>1986</v>
      </c>
      <c r="B66" s="85"/>
      <c r="C66" s="966" t="s">
        <v>364</v>
      </c>
      <c r="D66" s="966"/>
      <c r="E66" s="73">
        <v>0</v>
      </c>
      <c r="G66" s="123">
        <v>2</v>
      </c>
      <c r="H66" s="73">
        <v>7</v>
      </c>
      <c r="I66" s="73">
        <v>8</v>
      </c>
      <c r="J66" s="134">
        <v>17</v>
      </c>
      <c r="K66" s="92">
        <f t="shared" si="23"/>
        <v>11.76470588235294</v>
      </c>
      <c r="L66" s="92">
        <f t="shared" si="24"/>
        <v>41.17647058823529</v>
      </c>
      <c r="M66" s="92">
        <f t="shared" si="25"/>
        <v>47.058823529411761</v>
      </c>
      <c r="N66" s="125">
        <f t="shared" si="3"/>
        <v>100</v>
      </c>
      <c r="O66" s="91">
        <v>5.5</v>
      </c>
      <c r="P66" s="92">
        <v>27.5</v>
      </c>
      <c r="Q66" s="92">
        <v>28.5</v>
      </c>
      <c r="R66" s="93">
        <f t="shared" si="4"/>
        <v>61.5</v>
      </c>
      <c r="S66" s="97">
        <v>3</v>
      </c>
      <c r="T66" s="95"/>
      <c r="U66" s="85"/>
      <c r="V66" s="82" t="s">
        <v>112</v>
      </c>
      <c r="W66" s="73" t="s">
        <v>20</v>
      </c>
      <c r="X66" s="73" t="s">
        <v>12</v>
      </c>
      <c r="Y66" s="83">
        <v>28.5</v>
      </c>
      <c r="Z66" s="82" t="s">
        <v>108</v>
      </c>
      <c r="AA66" s="73" t="s">
        <v>75</v>
      </c>
      <c r="AB66" s="73" t="s">
        <v>18</v>
      </c>
      <c r="AC66" s="83">
        <v>19</v>
      </c>
      <c r="AD66" s="82" t="s">
        <v>117</v>
      </c>
      <c r="AE66" s="73" t="s">
        <v>118</v>
      </c>
      <c r="AF66" s="73" t="s">
        <v>18</v>
      </c>
      <c r="AG66" s="83">
        <v>8.5</v>
      </c>
      <c r="AH66" s="82" t="s">
        <v>110</v>
      </c>
      <c r="AI66" s="73" t="s">
        <v>90</v>
      </c>
      <c r="AJ66" s="73" t="s">
        <v>11</v>
      </c>
      <c r="AK66" s="83">
        <v>5.5</v>
      </c>
      <c r="AL66" s="82"/>
      <c r="AO66" s="83"/>
      <c r="AP66" s="82"/>
      <c r="AS66" s="83"/>
      <c r="AW66" s="83"/>
      <c r="BA66" s="84"/>
    </row>
    <row r="67" spans="1:53" s="73" customFormat="1">
      <c r="A67" s="102">
        <v>1986</v>
      </c>
      <c r="B67" s="85"/>
      <c r="C67" s="966" t="s">
        <v>364</v>
      </c>
      <c r="D67" s="966"/>
      <c r="E67" s="73">
        <v>365</v>
      </c>
      <c r="G67" s="123">
        <v>2</v>
      </c>
      <c r="H67" s="73">
        <v>7</v>
      </c>
      <c r="I67" s="73">
        <v>8</v>
      </c>
      <c r="J67" s="134">
        <v>17</v>
      </c>
      <c r="K67" s="92">
        <f t="shared" si="23"/>
        <v>11.76470588235294</v>
      </c>
      <c r="L67" s="92">
        <f t="shared" si="24"/>
        <v>41.17647058823529</v>
      </c>
      <c r="M67" s="92">
        <f t="shared" si="25"/>
        <v>47.058823529411761</v>
      </c>
      <c r="N67" s="125">
        <f t="shared" si="3"/>
        <v>100</v>
      </c>
      <c r="O67" s="91">
        <v>5.5</v>
      </c>
      <c r="P67" s="92">
        <v>27.5</v>
      </c>
      <c r="Q67" s="92">
        <v>28.5</v>
      </c>
      <c r="R67" s="93">
        <f t="shared" si="4"/>
        <v>61.5</v>
      </c>
      <c r="S67" s="97">
        <v>3</v>
      </c>
      <c r="T67" s="95"/>
      <c r="U67" s="85"/>
      <c r="V67" s="82" t="s">
        <v>112</v>
      </c>
      <c r="W67" s="73" t="s">
        <v>20</v>
      </c>
      <c r="X67" s="73" t="s">
        <v>12</v>
      </c>
      <c r="Y67" s="83">
        <v>28.5</v>
      </c>
      <c r="Z67" s="82" t="s">
        <v>108</v>
      </c>
      <c r="AA67" s="73" t="s">
        <v>75</v>
      </c>
      <c r="AB67" s="73" t="s">
        <v>18</v>
      </c>
      <c r="AC67" s="83">
        <v>19</v>
      </c>
      <c r="AD67" s="82" t="s">
        <v>117</v>
      </c>
      <c r="AE67" s="73" t="s">
        <v>118</v>
      </c>
      <c r="AF67" s="73" t="s">
        <v>18</v>
      </c>
      <c r="AG67" s="83">
        <v>8.5</v>
      </c>
      <c r="AH67" s="82" t="s">
        <v>110</v>
      </c>
      <c r="AI67" s="73" t="s">
        <v>90</v>
      </c>
      <c r="AJ67" s="73" t="s">
        <v>11</v>
      </c>
      <c r="AK67" s="83">
        <v>5.5</v>
      </c>
      <c r="AL67" s="82"/>
      <c r="AO67" s="83"/>
      <c r="AP67" s="82"/>
      <c r="AS67" s="83"/>
      <c r="AW67" s="83"/>
      <c r="BA67" s="84"/>
    </row>
    <row r="68" spans="1:53" s="73" customFormat="1">
      <c r="A68" s="102">
        <v>1987</v>
      </c>
      <c r="B68" s="85"/>
      <c r="C68" s="966" t="s">
        <v>364</v>
      </c>
      <c r="D68" s="966"/>
      <c r="E68" s="73">
        <v>119</v>
      </c>
      <c r="G68" s="123">
        <v>2</v>
      </c>
      <c r="H68" s="73">
        <v>7</v>
      </c>
      <c r="I68" s="73">
        <v>8</v>
      </c>
      <c r="J68" s="134">
        <v>17</v>
      </c>
      <c r="K68" s="92">
        <f t="shared" si="23"/>
        <v>11.76470588235294</v>
      </c>
      <c r="L68" s="92">
        <f t="shared" si="24"/>
        <v>41.17647058823529</v>
      </c>
      <c r="M68" s="92">
        <f t="shared" si="25"/>
        <v>47.058823529411761</v>
      </c>
      <c r="N68" s="125">
        <f t="shared" si="3"/>
        <v>100</v>
      </c>
      <c r="O68" s="91">
        <v>5.5</v>
      </c>
      <c r="P68" s="92">
        <v>27.5</v>
      </c>
      <c r="Q68" s="92">
        <v>28.5</v>
      </c>
      <c r="R68" s="93">
        <f t="shared" si="4"/>
        <v>61.5</v>
      </c>
      <c r="S68" s="97">
        <v>3</v>
      </c>
      <c r="T68" s="95"/>
      <c r="U68" s="85"/>
      <c r="V68" s="82" t="s">
        <v>112</v>
      </c>
      <c r="W68" s="73" t="s">
        <v>20</v>
      </c>
      <c r="X68" s="73" t="s">
        <v>12</v>
      </c>
      <c r="Y68" s="83">
        <v>28.5</v>
      </c>
      <c r="Z68" s="82" t="s">
        <v>108</v>
      </c>
      <c r="AA68" s="73" t="s">
        <v>75</v>
      </c>
      <c r="AB68" s="73" t="s">
        <v>18</v>
      </c>
      <c r="AC68" s="83">
        <v>19</v>
      </c>
      <c r="AD68" s="82" t="s">
        <v>117</v>
      </c>
      <c r="AE68" s="73" t="s">
        <v>118</v>
      </c>
      <c r="AF68" s="73" t="s">
        <v>18</v>
      </c>
      <c r="AG68" s="83">
        <v>8.5</v>
      </c>
      <c r="AH68" s="82" t="s">
        <v>110</v>
      </c>
      <c r="AI68" s="73" t="s">
        <v>90</v>
      </c>
      <c r="AJ68" s="73" t="s">
        <v>11</v>
      </c>
      <c r="AK68" s="83">
        <v>5.5</v>
      </c>
      <c r="AL68" s="82"/>
      <c r="AO68" s="83"/>
      <c r="AP68" s="82"/>
      <c r="AS68" s="83"/>
      <c r="AW68" s="83"/>
      <c r="BA68" s="84"/>
    </row>
    <row r="69" spans="1:53" s="334" customFormat="1">
      <c r="A69" s="386">
        <v>1987</v>
      </c>
      <c r="B69" s="355">
        <v>31897</v>
      </c>
      <c r="C69" s="965" t="s">
        <v>365</v>
      </c>
      <c r="D69" s="965"/>
      <c r="E69" s="334">
        <v>246</v>
      </c>
      <c r="F69" s="334">
        <v>1</v>
      </c>
      <c r="G69" s="419">
        <v>9</v>
      </c>
      <c r="H69" s="334">
        <v>1</v>
      </c>
      <c r="I69" s="334">
        <v>8</v>
      </c>
      <c r="J69" s="435">
        <v>18</v>
      </c>
      <c r="K69" s="384">
        <f t="shared" si="23"/>
        <v>50</v>
      </c>
      <c r="L69" s="384">
        <f t="shared" si="24"/>
        <v>5.5555555555555554</v>
      </c>
      <c r="M69" s="384">
        <f t="shared" si="25"/>
        <v>44.444444444444443</v>
      </c>
      <c r="N69" s="421">
        <f t="shared" si="3"/>
        <v>100</v>
      </c>
      <c r="O69" s="383">
        <v>33</v>
      </c>
      <c r="P69" s="384">
        <v>4.5</v>
      </c>
      <c r="Q69" s="384">
        <v>28</v>
      </c>
      <c r="R69" s="385">
        <f t="shared" si="4"/>
        <v>65.5</v>
      </c>
      <c r="S69" s="388">
        <v>3</v>
      </c>
      <c r="T69" s="342">
        <v>31851</v>
      </c>
      <c r="U69" s="355">
        <v>31897</v>
      </c>
      <c r="V69" s="343" t="s">
        <v>109</v>
      </c>
      <c r="W69" s="334" t="s">
        <v>74</v>
      </c>
      <c r="X69" s="334" t="s">
        <v>11</v>
      </c>
      <c r="Y69" s="344">
        <v>26.5</v>
      </c>
      <c r="Z69" s="343" t="s">
        <v>112</v>
      </c>
      <c r="AA69" s="334" t="s">
        <v>20</v>
      </c>
      <c r="AB69" s="334" t="s">
        <v>12</v>
      </c>
      <c r="AC69" s="344">
        <v>28</v>
      </c>
      <c r="AD69" s="343" t="s">
        <v>110</v>
      </c>
      <c r="AE69" s="334" t="s">
        <v>90</v>
      </c>
      <c r="AF69" s="334" t="s">
        <v>11</v>
      </c>
      <c r="AG69" s="344">
        <v>6.5</v>
      </c>
      <c r="AH69" s="343" t="s">
        <v>117</v>
      </c>
      <c r="AI69" s="334" t="s">
        <v>118</v>
      </c>
      <c r="AJ69" s="334" t="s">
        <v>18</v>
      </c>
      <c r="AK69" s="344">
        <v>4.5</v>
      </c>
      <c r="AL69" s="343"/>
      <c r="AO69" s="344"/>
      <c r="AP69" s="343"/>
      <c r="AS69" s="344"/>
      <c r="AW69" s="344"/>
      <c r="BA69" s="345"/>
    </row>
    <row r="70" spans="1:53" s="334" customFormat="1">
      <c r="A70" s="386">
        <v>1988</v>
      </c>
      <c r="B70" s="355"/>
      <c r="C70" s="965" t="s">
        <v>365</v>
      </c>
      <c r="D70" s="965"/>
      <c r="E70" s="334">
        <v>0</v>
      </c>
      <c r="G70" s="419">
        <v>9</v>
      </c>
      <c r="H70" s="334">
        <v>1</v>
      </c>
      <c r="I70" s="334">
        <v>8</v>
      </c>
      <c r="J70" s="435">
        <v>18</v>
      </c>
      <c r="K70" s="384">
        <f>G70/J70*100</f>
        <v>50</v>
      </c>
      <c r="L70" s="384">
        <f>H70/J70*100</f>
        <v>5.5555555555555554</v>
      </c>
      <c r="M70" s="384">
        <f>I70/J70*100</f>
        <v>44.444444444444443</v>
      </c>
      <c r="N70" s="421">
        <f t="shared" si="3"/>
        <v>100</v>
      </c>
      <c r="O70" s="383">
        <v>33</v>
      </c>
      <c r="P70" s="384">
        <v>4.5</v>
      </c>
      <c r="Q70" s="384">
        <v>28</v>
      </c>
      <c r="R70" s="385">
        <f t="shared" si="4"/>
        <v>65.5</v>
      </c>
      <c r="S70" s="388">
        <v>3</v>
      </c>
      <c r="T70" s="342"/>
      <c r="U70" s="355"/>
      <c r="V70" s="343" t="s">
        <v>109</v>
      </c>
      <c r="W70" s="334" t="s">
        <v>74</v>
      </c>
      <c r="X70" s="334" t="s">
        <v>11</v>
      </c>
      <c r="Y70" s="344">
        <v>26.5</v>
      </c>
      <c r="Z70" s="343" t="s">
        <v>112</v>
      </c>
      <c r="AA70" s="334" t="s">
        <v>20</v>
      </c>
      <c r="AB70" s="334" t="s">
        <v>12</v>
      </c>
      <c r="AC70" s="344">
        <v>28</v>
      </c>
      <c r="AD70" s="343" t="s">
        <v>110</v>
      </c>
      <c r="AE70" s="334" t="s">
        <v>90</v>
      </c>
      <c r="AF70" s="334" t="s">
        <v>11</v>
      </c>
      <c r="AG70" s="344">
        <v>6.5</v>
      </c>
      <c r="AH70" s="343" t="s">
        <v>117</v>
      </c>
      <c r="AI70" s="334" t="s">
        <v>118</v>
      </c>
      <c r="AJ70" s="334" t="s">
        <v>18</v>
      </c>
      <c r="AK70" s="344">
        <v>4.5</v>
      </c>
      <c r="AL70" s="343"/>
      <c r="AO70" s="344"/>
      <c r="AP70" s="343"/>
      <c r="AS70" s="344"/>
      <c r="AW70" s="344"/>
      <c r="BA70" s="345"/>
    </row>
    <row r="71" spans="1:53" s="334" customFormat="1">
      <c r="A71" s="386">
        <v>1988</v>
      </c>
      <c r="B71" s="355"/>
      <c r="C71" s="965" t="s">
        <v>365</v>
      </c>
      <c r="D71" s="965"/>
      <c r="E71" s="334">
        <v>366</v>
      </c>
      <c r="G71" s="419">
        <v>9</v>
      </c>
      <c r="H71" s="334">
        <v>1</v>
      </c>
      <c r="I71" s="334">
        <v>8</v>
      </c>
      <c r="J71" s="435">
        <v>18</v>
      </c>
      <c r="K71" s="384">
        <f>G71/J71*100</f>
        <v>50</v>
      </c>
      <c r="L71" s="384">
        <f>H71/J71*100</f>
        <v>5.5555555555555554</v>
      </c>
      <c r="M71" s="384">
        <f>I71/J71*100</f>
        <v>44.444444444444443</v>
      </c>
      <c r="N71" s="421">
        <f t="shared" si="3"/>
        <v>100</v>
      </c>
      <c r="O71" s="383">
        <v>33</v>
      </c>
      <c r="P71" s="384">
        <v>4.5</v>
      </c>
      <c r="Q71" s="384">
        <v>28</v>
      </c>
      <c r="R71" s="385">
        <f t="shared" si="4"/>
        <v>65.5</v>
      </c>
      <c r="S71" s="388">
        <v>3</v>
      </c>
      <c r="T71" s="342"/>
      <c r="U71" s="355"/>
      <c r="V71" s="343" t="s">
        <v>109</v>
      </c>
      <c r="W71" s="334" t="s">
        <v>74</v>
      </c>
      <c r="X71" s="334" t="s">
        <v>11</v>
      </c>
      <c r="Y71" s="344">
        <v>26.5</v>
      </c>
      <c r="Z71" s="343" t="s">
        <v>112</v>
      </c>
      <c r="AA71" s="334" t="s">
        <v>20</v>
      </c>
      <c r="AB71" s="334" t="s">
        <v>12</v>
      </c>
      <c r="AC71" s="344">
        <v>28</v>
      </c>
      <c r="AD71" s="343" t="s">
        <v>110</v>
      </c>
      <c r="AE71" s="334" t="s">
        <v>90</v>
      </c>
      <c r="AF71" s="334" t="s">
        <v>11</v>
      </c>
      <c r="AG71" s="344">
        <v>6.5</v>
      </c>
      <c r="AH71" s="343" t="s">
        <v>117</v>
      </c>
      <c r="AI71" s="334" t="s">
        <v>118</v>
      </c>
      <c r="AJ71" s="334" t="s">
        <v>18</v>
      </c>
      <c r="AK71" s="344">
        <v>4.5</v>
      </c>
      <c r="AL71" s="343"/>
      <c r="AO71" s="344"/>
      <c r="AP71" s="343"/>
      <c r="AS71" s="344"/>
      <c r="AW71" s="344"/>
      <c r="BA71" s="345"/>
    </row>
    <row r="72" spans="1:53" s="334" customFormat="1">
      <c r="A72" s="334">
        <v>1989</v>
      </c>
      <c r="B72" s="355"/>
      <c r="C72" s="965" t="s">
        <v>365</v>
      </c>
      <c r="D72" s="965"/>
      <c r="E72" s="334">
        <v>0</v>
      </c>
      <c r="G72" s="419">
        <v>9</v>
      </c>
      <c r="H72" s="334">
        <v>1</v>
      </c>
      <c r="I72" s="334">
        <v>8</v>
      </c>
      <c r="J72" s="435">
        <v>18</v>
      </c>
      <c r="K72" s="384">
        <f>G72/J72*100</f>
        <v>50</v>
      </c>
      <c r="L72" s="384">
        <f>H72/J72*100</f>
        <v>5.5555555555555554</v>
      </c>
      <c r="M72" s="384">
        <f>I72/J72*100</f>
        <v>44.444444444444443</v>
      </c>
      <c r="N72" s="421">
        <f t="shared" si="3"/>
        <v>100</v>
      </c>
      <c r="O72" s="383">
        <v>33</v>
      </c>
      <c r="P72" s="384">
        <v>4.5</v>
      </c>
      <c r="Q72" s="384">
        <v>28</v>
      </c>
      <c r="R72" s="385">
        <f t="shared" si="4"/>
        <v>65.5</v>
      </c>
      <c r="S72" s="388">
        <v>3</v>
      </c>
      <c r="T72" s="342"/>
      <c r="U72" s="355"/>
      <c r="V72" s="343" t="s">
        <v>109</v>
      </c>
      <c r="W72" s="334" t="s">
        <v>74</v>
      </c>
      <c r="X72" s="334" t="s">
        <v>11</v>
      </c>
      <c r="Y72" s="344">
        <v>26.5</v>
      </c>
      <c r="Z72" s="343" t="s">
        <v>112</v>
      </c>
      <c r="AA72" s="334" t="s">
        <v>20</v>
      </c>
      <c r="AB72" s="334" t="s">
        <v>12</v>
      </c>
      <c r="AC72" s="344">
        <v>28</v>
      </c>
      <c r="AD72" s="343" t="s">
        <v>110</v>
      </c>
      <c r="AE72" s="334" t="s">
        <v>90</v>
      </c>
      <c r="AF72" s="334" t="s">
        <v>11</v>
      </c>
      <c r="AG72" s="344">
        <v>6.5</v>
      </c>
      <c r="AH72" s="343" t="s">
        <v>117</v>
      </c>
      <c r="AI72" s="334" t="s">
        <v>118</v>
      </c>
      <c r="AJ72" s="334" t="s">
        <v>18</v>
      </c>
      <c r="AK72" s="344">
        <v>4.5</v>
      </c>
      <c r="AL72" s="343"/>
      <c r="AO72" s="344"/>
      <c r="AP72" s="343"/>
      <c r="AS72" s="344"/>
      <c r="AW72" s="344"/>
      <c r="BA72" s="345"/>
    </row>
    <row r="73" spans="1:53" s="104" customFormat="1">
      <c r="A73" s="104">
        <v>1989</v>
      </c>
      <c r="B73" s="407"/>
      <c r="C73" s="964" t="s">
        <v>365</v>
      </c>
      <c r="D73" s="964"/>
      <c r="E73" s="104">
        <f>365-E72</f>
        <v>365</v>
      </c>
      <c r="G73" s="447">
        <v>9</v>
      </c>
      <c r="H73" s="104">
        <v>1</v>
      </c>
      <c r="I73" s="104">
        <v>8</v>
      </c>
      <c r="J73" s="448">
        <v>18</v>
      </c>
      <c r="K73" s="404">
        <f>G73/J73*100</f>
        <v>50</v>
      </c>
      <c r="L73" s="404">
        <f>H73/J73*100</f>
        <v>5.5555555555555554</v>
      </c>
      <c r="M73" s="404">
        <f>I73/J73*100</f>
        <v>44.444444444444443</v>
      </c>
      <c r="N73" s="426">
        <f t="shared" ref="N73:N123" si="26">SUM(K73:M73)</f>
        <v>100</v>
      </c>
      <c r="O73" s="403">
        <v>33</v>
      </c>
      <c r="P73" s="404">
        <v>4.5</v>
      </c>
      <c r="Q73" s="404">
        <v>28</v>
      </c>
      <c r="R73" s="405">
        <f t="shared" ref="R73:R121" si="27">SUM(O73:Q73)</f>
        <v>65.5</v>
      </c>
      <c r="S73" s="409">
        <v>3</v>
      </c>
      <c r="T73" s="406"/>
      <c r="U73" s="407"/>
      <c r="V73" s="105" t="s">
        <v>109</v>
      </c>
      <c r="W73" s="104" t="s">
        <v>74</v>
      </c>
      <c r="X73" s="104" t="s">
        <v>11</v>
      </c>
      <c r="Y73" s="106">
        <v>26.5</v>
      </c>
      <c r="Z73" s="105" t="s">
        <v>112</v>
      </c>
      <c r="AA73" s="104" t="s">
        <v>20</v>
      </c>
      <c r="AB73" s="104" t="s">
        <v>12</v>
      </c>
      <c r="AC73" s="106">
        <v>28</v>
      </c>
      <c r="AD73" s="105" t="s">
        <v>110</v>
      </c>
      <c r="AE73" s="104" t="s">
        <v>90</v>
      </c>
      <c r="AF73" s="104" t="s">
        <v>11</v>
      </c>
      <c r="AG73" s="106">
        <v>6.5</v>
      </c>
      <c r="AH73" s="105" t="s">
        <v>117</v>
      </c>
      <c r="AI73" s="104" t="s">
        <v>118</v>
      </c>
      <c r="AJ73" s="104" t="s">
        <v>18</v>
      </c>
      <c r="AK73" s="106">
        <v>4.5</v>
      </c>
      <c r="AL73" s="105"/>
      <c r="AO73" s="106"/>
      <c r="AP73" s="105"/>
      <c r="AS73" s="106"/>
      <c r="AW73" s="106"/>
      <c r="BA73" s="107"/>
    </row>
    <row r="74" spans="1:53" s="334" customFormat="1">
      <c r="A74" s="334">
        <v>1990</v>
      </c>
      <c r="C74" s="965" t="s">
        <v>365</v>
      </c>
      <c r="D74" s="965"/>
      <c r="E74" s="334">
        <v>239</v>
      </c>
      <c r="G74" s="419">
        <v>9</v>
      </c>
      <c r="H74" s="334">
        <v>1</v>
      </c>
      <c r="I74" s="334">
        <v>8</v>
      </c>
      <c r="J74" s="435">
        <v>18</v>
      </c>
      <c r="K74" s="384">
        <v>44.4</v>
      </c>
      <c r="L74" s="384">
        <v>11.1</v>
      </c>
      <c r="M74" s="384">
        <v>44.4</v>
      </c>
      <c r="N74" s="421">
        <f t="shared" si="26"/>
        <v>99.9</v>
      </c>
      <c r="O74" s="383">
        <v>33</v>
      </c>
      <c r="P74" s="384">
        <v>4.5</v>
      </c>
      <c r="Q74" s="384">
        <v>28</v>
      </c>
      <c r="R74" s="385">
        <f t="shared" si="27"/>
        <v>65.5</v>
      </c>
      <c r="S74" s="388">
        <v>3</v>
      </c>
      <c r="T74" s="342"/>
      <c r="U74" s="355"/>
      <c r="V74" s="343" t="s">
        <v>109</v>
      </c>
      <c r="W74" s="334" t="s">
        <v>74</v>
      </c>
      <c r="X74" s="334" t="s">
        <v>11</v>
      </c>
      <c r="Y74" s="344">
        <v>26.5</v>
      </c>
      <c r="Z74" s="343" t="s">
        <v>112</v>
      </c>
      <c r="AA74" s="334" t="s">
        <v>20</v>
      </c>
      <c r="AB74" s="334" t="s">
        <v>12</v>
      </c>
      <c r="AC74" s="344">
        <v>28</v>
      </c>
      <c r="AD74" s="343" t="s">
        <v>110</v>
      </c>
      <c r="AE74" s="334" t="s">
        <v>90</v>
      </c>
      <c r="AF74" s="334" t="s">
        <v>11</v>
      </c>
      <c r="AG74" s="344">
        <v>6.5</v>
      </c>
      <c r="AH74" s="343" t="s">
        <v>117</v>
      </c>
      <c r="AI74" s="334" t="s">
        <v>118</v>
      </c>
      <c r="AJ74" s="334" t="s">
        <v>18</v>
      </c>
      <c r="AK74" s="344">
        <v>4.5</v>
      </c>
      <c r="AL74" s="343"/>
      <c r="AO74" s="344"/>
      <c r="AP74" s="343"/>
      <c r="AS74" s="344"/>
      <c r="AW74" s="344"/>
      <c r="BA74" s="345"/>
    </row>
    <row r="75" spans="1:53" s="73" customFormat="1">
      <c r="A75" s="73">
        <v>1990</v>
      </c>
      <c r="B75" s="85">
        <v>33113</v>
      </c>
      <c r="C75" s="988" t="s">
        <v>366</v>
      </c>
      <c r="D75" s="988"/>
      <c r="E75" s="73">
        <f>365-E74</f>
        <v>126</v>
      </c>
      <c r="F75" s="73">
        <v>4</v>
      </c>
      <c r="G75" s="123">
        <v>9</v>
      </c>
      <c r="I75" s="73">
        <v>8</v>
      </c>
      <c r="J75" s="134">
        <v>17</v>
      </c>
      <c r="K75" s="92">
        <f>G75/J75*100</f>
        <v>52.941176470588239</v>
      </c>
      <c r="L75" s="92">
        <f>H75/J75*100</f>
        <v>0</v>
      </c>
      <c r="M75" s="92">
        <f>I75/J75*100</f>
        <v>47.058823529411761</v>
      </c>
      <c r="N75" s="125">
        <f t="shared" si="26"/>
        <v>100</v>
      </c>
      <c r="O75" s="91">
        <v>33</v>
      </c>
      <c r="P75" s="92"/>
      <c r="Q75" s="92">
        <v>28</v>
      </c>
      <c r="R75" s="93">
        <f t="shared" si="27"/>
        <v>61</v>
      </c>
      <c r="S75" s="97">
        <v>3</v>
      </c>
      <c r="T75" s="95"/>
      <c r="U75" s="85">
        <v>33113</v>
      </c>
      <c r="V75" s="82" t="s">
        <v>109</v>
      </c>
      <c r="W75" s="73" t="s">
        <v>74</v>
      </c>
      <c r="X75" s="73" t="s">
        <v>11</v>
      </c>
      <c r="Y75" s="83">
        <v>26.5</v>
      </c>
      <c r="Z75" s="82" t="s">
        <v>112</v>
      </c>
      <c r="AA75" s="73" t="s">
        <v>20</v>
      </c>
      <c r="AB75" s="73" t="s">
        <v>12</v>
      </c>
      <c r="AC75" s="83">
        <v>28</v>
      </c>
      <c r="AD75" s="82" t="s">
        <v>110</v>
      </c>
      <c r="AE75" s="73" t="s">
        <v>90</v>
      </c>
      <c r="AF75" s="73" t="s">
        <v>11</v>
      </c>
      <c r="AG75" s="83">
        <v>6.5</v>
      </c>
      <c r="AL75" s="82"/>
      <c r="AO75" s="83"/>
      <c r="AP75" s="82"/>
      <c r="AS75" s="83"/>
      <c r="AW75" s="83"/>
      <c r="BA75" s="84"/>
    </row>
    <row r="76" spans="1:53" s="73" customFormat="1">
      <c r="A76" s="73">
        <v>1991</v>
      </c>
      <c r="C76" s="988" t="s">
        <v>366</v>
      </c>
      <c r="D76" s="988"/>
      <c r="E76" s="73">
        <v>115</v>
      </c>
      <c r="G76" s="123">
        <v>9</v>
      </c>
      <c r="I76" s="73">
        <v>8</v>
      </c>
      <c r="J76" s="134">
        <v>17</v>
      </c>
      <c r="K76" s="92">
        <f>G76/J76*100</f>
        <v>52.941176470588239</v>
      </c>
      <c r="L76" s="92">
        <f>H76/J76*100</f>
        <v>0</v>
      </c>
      <c r="M76" s="92">
        <f>I76/J76*100</f>
        <v>47.058823529411761</v>
      </c>
      <c r="N76" s="125">
        <f t="shared" si="26"/>
        <v>100</v>
      </c>
      <c r="O76" s="91">
        <v>33</v>
      </c>
      <c r="P76" s="92"/>
      <c r="Q76" s="92">
        <v>28</v>
      </c>
      <c r="R76" s="93">
        <f t="shared" si="27"/>
        <v>61</v>
      </c>
      <c r="S76" s="97">
        <v>3</v>
      </c>
      <c r="T76" s="95"/>
      <c r="U76" s="85"/>
      <c r="V76" s="82" t="s">
        <v>109</v>
      </c>
      <c r="W76" s="73" t="s">
        <v>74</v>
      </c>
      <c r="X76" s="73" t="s">
        <v>11</v>
      </c>
      <c r="Y76" s="83">
        <v>26.5</v>
      </c>
      <c r="Z76" s="82" t="s">
        <v>112</v>
      </c>
      <c r="AA76" s="73" t="s">
        <v>20</v>
      </c>
      <c r="AB76" s="73" t="s">
        <v>12</v>
      </c>
      <c r="AC76" s="83">
        <v>28</v>
      </c>
      <c r="AD76" s="82" t="s">
        <v>110</v>
      </c>
      <c r="AE76" s="73" t="s">
        <v>90</v>
      </c>
      <c r="AF76" s="73" t="s">
        <v>11</v>
      </c>
      <c r="AG76" s="83">
        <v>6.5</v>
      </c>
      <c r="AL76" s="82"/>
      <c r="AO76" s="83"/>
      <c r="AP76" s="82"/>
      <c r="AS76" s="83"/>
      <c r="AW76" s="83"/>
      <c r="BA76" s="84"/>
    </row>
    <row r="77" spans="1:53" s="334" customFormat="1">
      <c r="A77" s="334">
        <v>1991</v>
      </c>
      <c r="B77" s="355">
        <v>33354</v>
      </c>
      <c r="C77" s="992" t="s">
        <v>367</v>
      </c>
      <c r="D77" s="992"/>
      <c r="E77" s="334">
        <f>365-E76</f>
        <v>250</v>
      </c>
      <c r="F77" s="334">
        <v>1</v>
      </c>
      <c r="G77" s="419">
        <v>8</v>
      </c>
      <c r="H77" s="334">
        <v>9</v>
      </c>
      <c r="J77" s="435">
        <v>17</v>
      </c>
      <c r="K77" s="384">
        <f>G77/J77*100</f>
        <v>47.058823529411761</v>
      </c>
      <c r="L77" s="384">
        <f>H77/J77*100</f>
        <v>52.941176470588239</v>
      </c>
      <c r="M77" s="384">
        <f>I77/J77*100</f>
        <v>0</v>
      </c>
      <c r="N77" s="421">
        <f t="shared" si="26"/>
        <v>100</v>
      </c>
      <c r="O77" s="383">
        <v>26</v>
      </c>
      <c r="P77" s="384">
        <v>31.5</v>
      </c>
      <c r="Q77" s="384"/>
      <c r="R77" s="385">
        <f t="shared" si="27"/>
        <v>57.5</v>
      </c>
      <c r="S77" s="388">
        <v>3</v>
      </c>
      <c r="T77" s="342">
        <v>33314</v>
      </c>
      <c r="U77" s="355">
        <v>33354</v>
      </c>
      <c r="V77" s="343" t="s">
        <v>108</v>
      </c>
      <c r="W77" s="334" t="s">
        <v>75</v>
      </c>
      <c r="X77" s="334" t="s">
        <v>18</v>
      </c>
      <c r="Y77" s="344">
        <v>27.5</v>
      </c>
      <c r="Z77" s="343" t="s">
        <v>109</v>
      </c>
      <c r="AA77" s="334" t="s">
        <v>74</v>
      </c>
      <c r="AB77" s="334" t="s">
        <v>11</v>
      </c>
      <c r="AC77" s="344">
        <v>20</v>
      </c>
      <c r="AD77" s="343" t="s">
        <v>110</v>
      </c>
      <c r="AE77" s="334" t="s">
        <v>90</v>
      </c>
      <c r="AF77" s="334" t="s">
        <v>11</v>
      </c>
      <c r="AG77" s="344">
        <v>6</v>
      </c>
      <c r="AH77" s="334" t="s">
        <v>368</v>
      </c>
      <c r="AI77" s="334" t="s">
        <v>17</v>
      </c>
      <c r="AJ77" s="334" t="s">
        <v>18</v>
      </c>
      <c r="AK77" s="334">
        <v>4</v>
      </c>
      <c r="AL77" s="343"/>
      <c r="AO77" s="344"/>
      <c r="AP77" s="343"/>
      <c r="AS77" s="344"/>
      <c r="AW77" s="344"/>
      <c r="BA77" s="345"/>
    </row>
    <row r="78" spans="1:53" s="334" customFormat="1">
      <c r="A78" s="334">
        <v>1992</v>
      </c>
      <c r="C78" s="992" t="s">
        <v>367</v>
      </c>
      <c r="D78" s="992"/>
      <c r="E78" s="334">
        <v>0</v>
      </c>
      <c r="G78" s="419">
        <v>8</v>
      </c>
      <c r="H78" s="334">
        <v>9</v>
      </c>
      <c r="J78" s="435">
        <v>17</v>
      </c>
      <c r="K78" s="384">
        <f>G78/J78*100</f>
        <v>47.058823529411761</v>
      </c>
      <c r="L78" s="384">
        <f>H78/J78*100</f>
        <v>52.941176470588239</v>
      </c>
      <c r="M78" s="384">
        <f>I78/J78*100</f>
        <v>0</v>
      </c>
      <c r="N78" s="421">
        <f t="shared" si="26"/>
        <v>100</v>
      </c>
      <c r="O78" s="383">
        <v>26</v>
      </c>
      <c r="P78" s="384">
        <v>31.5</v>
      </c>
      <c r="Q78" s="384"/>
      <c r="R78" s="385">
        <f t="shared" si="27"/>
        <v>57.5</v>
      </c>
      <c r="S78" s="388">
        <v>3</v>
      </c>
      <c r="T78" s="342"/>
      <c r="U78" s="355"/>
      <c r="V78" s="343" t="s">
        <v>108</v>
      </c>
      <c r="W78" s="334" t="s">
        <v>75</v>
      </c>
      <c r="X78" s="334" t="s">
        <v>18</v>
      </c>
      <c r="Y78" s="344">
        <v>27.5</v>
      </c>
      <c r="Z78" s="343" t="s">
        <v>109</v>
      </c>
      <c r="AA78" s="334" t="s">
        <v>74</v>
      </c>
      <c r="AB78" s="334" t="s">
        <v>11</v>
      </c>
      <c r="AC78" s="344">
        <v>20</v>
      </c>
      <c r="AD78" s="343" t="s">
        <v>110</v>
      </c>
      <c r="AE78" s="334" t="s">
        <v>90</v>
      </c>
      <c r="AF78" s="334" t="s">
        <v>11</v>
      </c>
      <c r="AG78" s="344">
        <v>6</v>
      </c>
      <c r="AH78" s="334" t="s">
        <v>368</v>
      </c>
      <c r="AI78" s="334" t="s">
        <v>17</v>
      </c>
      <c r="AJ78" s="334" t="s">
        <v>18</v>
      </c>
      <c r="AK78" s="334">
        <v>4</v>
      </c>
      <c r="AL78" s="343"/>
      <c r="AO78" s="344"/>
      <c r="AP78" s="343"/>
      <c r="AS78" s="344"/>
      <c r="AW78" s="344"/>
      <c r="BA78" s="345"/>
    </row>
    <row r="79" spans="1:53" s="334" customFormat="1">
      <c r="A79" s="334">
        <v>1992</v>
      </c>
      <c r="C79" s="992" t="s">
        <v>367</v>
      </c>
      <c r="D79" s="992"/>
      <c r="E79" s="334">
        <v>366</v>
      </c>
      <c r="G79" s="419">
        <v>8</v>
      </c>
      <c r="H79" s="334">
        <v>9</v>
      </c>
      <c r="J79" s="435">
        <v>17</v>
      </c>
      <c r="K79" s="384">
        <f>G79/J79*100</f>
        <v>47.058823529411761</v>
      </c>
      <c r="L79" s="384">
        <f>H79/J79*100</f>
        <v>52.941176470588239</v>
      </c>
      <c r="M79" s="384">
        <f>I79/J79*100</f>
        <v>0</v>
      </c>
      <c r="N79" s="421">
        <f t="shared" si="26"/>
        <v>100</v>
      </c>
      <c r="O79" s="383">
        <v>26</v>
      </c>
      <c r="P79" s="384">
        <v>31.5</v>
      </c>
      <c r="Q79" s="384"/>
      <c r="R79" s="385">
        <f t="shared" si="27"/>
        <v>57.5</v>
      </c>
      <c r="S79" s="388">
        <v>3</v>
      </c>
      <c r="T79" s="342"/>
      <c r="U79" s="355"/>
      <c r="V79" s="343" t="s">
        <v>108</v>
      </c>
      <c r="W79" s="334" t="s">
        <v>75</v>
      </c>
      <c r="X79" s="334" t="s">
        <v>18</v>
      </c>
      <c r="Y79" s="344">
        <v>27.5</v>
      </c>
      <c r="Z79" s="343" t="s">
        <v>109</v>
      </c>
      <c r="AA79" s="334" t="s">
        <v>74</v>
      </c>
      <c r="AB79" s="334" t="s">
        <v>11</v>
      </c>
      <c r="AC79" s="344">
        <v>20</v>
      </c>
      <c r="AD79" s="343" t="s">
        <v>110</v>
      </c>
      <c r="AE79" s="334" t="s">
        <v>90</v>
      </c>
      <c r="AF79" s="334" t="s">
        <v>11</v>
      </c>
      <c r="AG79" s="344">
        <v>6</v>
      </c>
      <c r="AH79" s="334" t="s">
        <v>368</v>
      </c>
      <c r="AI79" s="334" t="s">
        <v>17</v>
      </c>
      <c r="AJ79" s="334" t="s">
        <v>18</v>
      </c>
      <c r="AK79" s="334">
        <v>4</v>
      </c>
      <c r="AL79" s="343"/>
      <c r="AO79" s="344"/>
      <c r="AP79" s="343"/>
      <c r="AS79" s="344"/>
      <c r="AW79" s="344"/>
      <c r="BA79" s="345"/>
    </row>
    <row r="80" spans="1:53" s="334" customFormat="1">
      <c r="A80" s="334">
        <v>1993</v>
      </c>
      <c r="C80" s="992" t="s">
        <v>367</v>
      </c>
      <c r="D80" s="992"/>
      <c r="E80" s="334">
        <v>0</v>
      </c>
      <c r="G80" s="419">
        <v>8</v>
      </c>
      <c r="H80" s="334">
        <v>9</v>
      </c>
      <c r="J80" s="435">
        <v>17</v>
      </c>
      <c r="K80" s="384">
        <f t="shared" ref="K80:K107" si="28">G80/J80*100</f>
        <v>47.058823529411761</v>
      </c>
      <c r="L80" s="384">
        <f t="shared" ref="L80:L107" si="29">H80/J80*100</f>
        <v>52.941176470588239</v>
      </c>
      <c r="M80" s="384">
        <f t="shared" ref="M80:M107" si="30">I80/J80*100</f>
        <v>0</v>
      </c>
      <c r="N80" s="421">
        <f t="shared" si="26"/>
        <v>100</v>
      </c>
      <c r="O80" s="383">
        <v>26</v>
      </c>
      <c r="P80" s="384">
        <v>31.5</v>
      </c>
      <c r="Q80" s="384"/>
      <c r="R80" s="385">
        <f t="shared" si="27"/>
        <v>57.5</v>
      </c>
      <c r="S80" s="388">
        <v>3</v>
      </c>
      <c r="T80" s="342"/>
      <c r="U80" s="355"/>
      <c r="V80" s="343" t="s">
        <v>108</v>
      </c>
      <c r="W80" s="334" t="s">
        <v>75</v>
      </c>
      <c r="X80" s="334" t="s">
        <v>18</v>
      </c>
      <c r="Y80" s="344">
        <v>27.5</v>
      </c>
      <c r="Z80" s="343" t="s">
        <v>109</v>
      </c>
      <c r="AA80" s="334" t="s">
        <v>74</v>
      </c>
      <c r="AB80" s="334" t="s">
        <v>11</v>
      </c>
      <c r="AC80" s="344">
        <v>20</v>
      </c>
      <c r="AD80" s="343" t="s">
        <v>110</v>
      </c>
      <c r="AE80" s="334" t="s">
        <v>90</v>
      </c>
      <c r="AF80" s="334" t="s">
        <v>11</v>
      </c>
      <c r="AG80" s="344">
        <v>6</v>
      </c>
      <c r="AH80" s="334" t="s">
        <v>368</v>
      </c>
      <c r="AI80" s="334" t="s">
        <v>17</v>
      </c>
      <c r="AJ80" s="334" t="s">
        <v>18</v>
      </c>
      <c r="AK80" s="334">
        <v>4</v>
      </c>
      <c r="AL80" s="343"/>
      <c r="AO80" s="344"/>
      <c r="AP80" s="343"/>
      <c r="AS80" s="344"/>
      <c r="AW80" s="344"/>
      <c r="BA80" s="345"/>
    </row>
    <row r="81" spans="1:53" s="334" customFormat="1">
      <c r="A81" s="334">
        <v>1993</v>
      </c>
      <c r="C81" s="992" t="s">
        <v>367</v>
      </c>
      <c r="D81" s="992"/>
      <c r="E81" s="334">
        <f>365-E80</f>
        <v>365</v>
      </c>
      <c r="G81" s="419">
        <v>8</v>
      </c>
      <c r="H81" s="334">
        <v>9</v>
      </c>
      <c r="J81" s="435">
        <v>17</v>
      </c>
      <c r="K81" s="384">
        <f t="shared" si="28"/>
        <v>47.058823529411761</v>
      </c>
      <c r="L81" s="384">
        <f t="shared" si="29"/>
        <v>52.941176470588239</v>
      </c>
      <c r="M81" s="384">
        <f t="shared" si="30"/>
        <v>0</v>
      </c>
      <c r="N81" s="421">
        <f t="shared" si="26"/>
        <v>100</v>
      </c>
      <c r="O81" s="383">
        <v>26</v>
      </c>
      <c r="P81" s="384">
        <v>31.5</v>
      </c>
      <c r="Q81" s="384"/>
      <c r="R81" s="385">
        <f t="shared" si="27"/>
        <v>57.5</v>
      </c>
      <c r="S81" s="388">
        <v>3</v>
      </c>
      <c r="T81" s="342"/>
      <c r="U81" s="355"/>
      <c r="V81" s="343" t="s">
        <v>108</v>
      </c>
      <c r="W81" s="334" t="s">
        <v>75</v>
      </c>
      <c r="X81" s="334" t="s">
        <v>18</v>
      </c>
      <c r="Y81" s="344">
        <v>27.5</v>
      </c>
      <c r="Z81" s="343" t="s">
        <v>109</v>
      </c>
      <c r="AA81" s="334" t="s">
        <v>74</v>
      </c>
      <c r="AB81" s="334" t="s">
        <v>11</v>
      </c>
      <c r="AC81" s="344">
        <v>20</v>
      </c>
      <c r="AD81" s="343" t="s">
        <v>110</v>
      </c>
      <c r="AE81" s="334" t="s">
        <v>90</v>
      </c>
      <c r="AF81" s="334" t="s">
        <v>11</v>
      </c>
      <c r="AG81" s="344">
        <v>6</v>
      </c>
      <c r="AH81" s="334" t="s">
        <v>368</v>
      </c>
      <c r="AI81" s="334" t="s">
        <v>17</v>
      </c>
      <c r="AJ81" s="334" t="s">
        <v>18</v>
      </c>
      <c r="AK81" s="334">
        <v>4</v>
      </c>
      <c r="AL81" s="343"/>
      <c r="AO81" s="344"/>
      <c r="AP81" s="343"/>
      <c r="AS81" s="344"/>
      <c r="AW81" s="344"/>
      <c r="BA81" s="345"/>
    </row>
    <row r="82" spans="1:53" s="334" customFormat="1">
      <c r="A82" s="334">
        <v>1994</v>
      </c>
      <c r="C82" s="992" t="s">
        <v>367</v>
      </c>
      <c r="D82" s="992"/>
      <c r="E82" s="334">
        <v>170</v>
      </c>
      <c r="G82" s="419">
        <v>8</v>
      </c>
      <c r="H82" s="334">
        <v>9</v>
      </c>
      <c r="J82" s="435">
        <v>17</v>
      </c>
      <c r="K82" s="384">
        <f t="shared" si="28"/>
        <v>47.058823529411761</v>
      </c>
      <c r="L82" s="384">
        <f t="shared" si="29"/>
        <v>52.941176470588239</v>
      </c>
      <c r="M82" s="384">
        <f t="shared" si="30"/>
        <v>0</v>
      </c>
      <c r="N82" s="421">
        <f t="shared" si="26"/>
        <v>100</v>
      </c>
      <c r="O82" s="383">
        <v>26</v>
      </c>
      <c r="P82" s="384">
        <v>31.5</v>
      </c>
      <c r="Q82" s="384"/>
      <c r="R82" s="385">
        <f t="shared" si="27"/>
        <v>57.5</v>
      </c>
      <c r="S82" s="388">
        <v>3</v>
      </c>
      <c r="T82" s="342"/>
      <c r="U82" s="355"/>
      <c r="V82" s="343" t="s">
        <v>108</v>
      </c>
      <c r="W82" s="334" t="s">
        <v>75</v>
      </c>
      <c r="X82" s="334" t="s">
        <v>18</v>
      </c>
      <c r="Y82" s="344">
        <v>27.5</v>
      </c>
      <c r="Z82" s="343" t="s">
        <v>109</v>
      </c>
      <c r="AA82" s="334" t="s">
        <v>74</v>
      </c>
      <c r="AB82" s="334" t="s">
        <v>11</v>
      </c>
      <c r="AC82" s="344">
        <v>20</v>
      </c>
      <c r="AD82" s="343" t="s">
        <v>110</v>
      </c>
      <c r="AE82" s="334" t="s">
        <v>90</v>
      </c>
      <c r="AF82" s="334" t="s">
        <v>11</v>
      </c>
      <c r="AG82" s="344">
        <v>6</v>
      </c>
      <c r="AH82" s="334" t="s">
        <v>368</v>
      </c>
      <c r="AI82" s="334" t="s">
        <v>17</v>
      </c>
      <c r="AJ82" s="334" t="s">
        <v>18</v>
      </c>
      <c r="AK82" s="334">
        <v>4</v>
      </c>
      <c r="AL82" s="343"/>
      <c r="AO82" s="344"/>
      <c r="AP82" s="343"/>
      <c r="AS82" s="344"/>
      <c r="AW82" s="344"/>
      <c r="BA82" s="345"/>
    </row>
    <row r="83" spans="1:53" s="73" customFormat="1">
      <c r="A83" s="73">
        <v>1994</v>
      </c>
      <c r="B83" s="85">
        <v>34505</v>
      </c>
      <c r="C83" s="988" t="s">
        <v>369</v>
      </c>
      <c r="D83" s="988"/>
      <c r="E83" s="73">
        <f>365-E82</f>
        <v>195</v>
      </c>
      <c r="F83" s="73">
        <v>4</v>
      </c>
      <c r="G83" s="123">
        <v>8</v>
      </c>
      <c r="H83" s="73">
        <v>8</v>
      </c>
      <c r="J83" s="134">
        <v>16</v>
      </c>
      <c r="K83" s="92">
        <f t="shared" si="28"/>
        <v>50</v>
      </c>
      <c r="L83" s="92">
        <f t="shared" si="29"/>
        <v>50</v>
      </c>
      <c r="M83" s="92">
        <f t="shared" si="30"/>
        <v>0</v>
      </c>
      <c r="N83" s="125">
        <f t="shared" si="26"/>
        <v>100</v>
      </c>
      <c r="O83" s="91">
        <v>26</v>
      </c>
      <c r="P83" s="92">
        <v>27.5</v>
      </c>
      <c r="Q83" s="92"/>
      <c r="R83" s="93">
        <f t="shared" si="27"/>
        <v>53.5</v>
      </c>
      <c r="S83" s="97">
        <v>2</v>
      </c>
      <c r="T83" s="95"/>
      <c r="U83" s="85">
        <v>34505</v>
      </c>
      <c r="V83" s="82" t="s">
        <v>108</v>
      </c>
      <c r="W83" s="73" t="s">
        <v>75</v>
      </c>
      <c r="X83" s="73" t="s">
        <v>18</v>
      </c>
      <c r="Y83" s="83">
        <v>27.5</v>
      </c>
      <c r="Z83" s="82" t="s">
        <v>109</v>
      </c>
      <c r="AA83" s="73" t="s">
        <v>74</v>
      </c>
      <c r="AB83" s="73" t="s">
        <v>11</v>
      </c>
      <c r="AC83" s="83">
        <v>20</v>
      </c>
      <c r="AD83" s="82" t="s">
        <v>110</v>
      </c>
      <c r="AE83" s="73" t="s">
        <v>90</v>
      </c>
      <c r="AF83" s="73" t="s">
        <v>11</v>
      </c>
      <c r="AG83" s="83">
        <v>6</v>
      </c>
      <c r="AL83" s="82"/>
      <c r="AO83" s="83"/>
      <c r="AP83" s="82"/>
      <c r="AS83" s="83"/>
      <c r="AW83" s="83"/>
      <c r="BA83" s="84"/>
    </row>
    <row r="84" spans="1:53" s="73" customFormat="1">
      <c r="A84" s="73">
        <v>1995</v>
      </c>
      <c r="C84" s="988" t="s">
        <v>369</v>
      </c>
      <c r="D84" s="988"/>
      <c r="E84" s="73">
        <v>102</v>
      </c>
      <c r="G84" s="123">
        <v>8</v>
      </c>
      <c r="H84" s="73">
        <v>8</v>
      </c>
      <c r="J84" s="134">
        <v>16</v>
      </c>
      <c r="K84" s="92">
        <f t="shared" si="28"/>
        <v>50</v>
      </c>
      <c r="L84" s="92">
        <f t="shared" si="29"/>
        <v>50</v>
      </c>
      <c r="M84" s="92">
        <f t="shared" si="30"/>
        <v>0</v>
      </c>
      <c r="N84" s="125">
        <f t="shared" si="26"/>
        <v>100</v>
      </c>
      <c r="O84" s="91">
        <v>26</v>
      </c>
      <c r="P84" s="92">
        <v>27.5</v>
      </c>
      <c r="Q84" s="92"/>
      <c r="R84" s="93">
        <f t="shared" si="27"/>
        <v>53.5</v>
      </c>
      <c r="S84" s="97">
        <v>2</v>
      </c>
      <c r="T84" s="95"/>
      <c r="U84" s="85"/>
      <c r="V84" s="82" t="s">
        <v>108</v>
      </c>
      <c r="W84" s="73" t="s">
        <v>75</v>
      </c>
      <c r="X84" s="73" t="s">
        <v>18</v>
      </c>
      <c r="Y84" s="83">
        <v>27.5</v>
      </c>
      <c r="Z84" s="82" t="s">
        <v>109</v>
      </c>
      <c r="AA84" s="73" t="s">
        <v>74</v>
      </c>
      <c r="AB84" s="73" t="s">
        <v>11</v>
      </c>
      <c r="AC84" s="83">
        <v>20</v>
      </c>
      <c r="AD84" s="82" t="s">
        <v>110</v>
      </c>
      <c r="AE84" s="73" t="s">
        <v>90</v>
      </c>
      <c r="AF84" s="73" t="s">
        <v>11</v>
      </c>
      <c r="AG84" s="83">
        <v>6</v>
      </c>
      <c r="AL84" s="82"/>
      <c r="AO84" s="83"/>
      <c r="AP84" s="82"/>
      <c r="AS84" s="83"/>
      <c r="AW84" s="83"/>
      <c r="BA84" s="84"/>
    </row>
    <row r="85" spans="1:53" s="334" customFormat="1">
      <c r="A85" s="334">
        <v>1995</v>
      </c>
      <c r="B85" s="355">
        <v>34802</v>
      </c>
      <c r="C85" s="992" t="s">
        <v>370</v>
      </c>
      <c r="D85" s="992"/>
      <c r="E85" s="334">
        <f>365-E84</f>
        <v>263</v>
      </c>
      <c r="F85" s="334">
        <v>1</v>
      </c>
      <c r="G85" s="419">
        <v>7</v>
      </c>
      <c r="I85" s="334">
        <v>10</v>
      </c>
      <c r="J85" s="435">
        <v>18</v>
      </c>
      <c r="K85" s="384">
        <f t="shared" si="28"/>
        <v>38.888888888888893</v>
      </c>
      <c r="L85" s="384">
        <f t="shared" si="29"/>
        <v>0</v>
      </c>
      <c r="M85" s="384">
        <f t="shared" si="30"/>
        <v>55.555555555555557</v>
      </c>
      <c r="N85" s="421">
        <f t="shared" si="26"/>
        <v>94.444444444444457</v>
      </c>
      <c r="O85" s="383">
        <v>25.5</v>
      </c>
      <c r="P85" s="384"/>
      <c r="Q85" s="384">
        <v>47</v>
      </c>
      <c r="R85" s="385">
        <f t="shared" si="27"/>
        <v>72.5</v>
      </c>
      <c r="S85" s="388">
        <v>3</v>
      </c>
      <c r="T85" s="342">
        <v>34777</v>
      </c>
      <c r="U85" s="355">
        <v>34802</v>
      </c>
      <c r="V85" s="343" t="s">
        <v>112</v>
      </c>
      <c r="W85" s="334" t="s">
        <v>20</v>
      </c>
      <c r="X85" s="334" t="s">
        <v>12</v>
      </c>
      <c r="Y85" s="344">
        <v>31.5</v>
      </c>
      <c r="Z85" s="343" t="s">
        <v>109</v>
      </c>
      <c r="AA85" s="334" t="s">
        <v>74</v>
      </c>
      <c r="AB85" s="334" t="s">
        <v>11</v>
      </c>
      <c r="AC85" s="344">
        <v>19.5</v>
      </c>
      <c r="AD85" s="343" t="s">
        <v>110</v>
      </c>
      <c r="AE85" s="334" t="s">
        <v>90</v>
      </c>
      <c r="AF85" s="334" t="s">
        <v>11</v>
      </c>
      <c r="AG85" s="344">
        <v>6</v>
      </c>
      <c r="AH85" s="334" t="s">
        <v>371</v>
      </c>
      <c r="AI85" s="334" t="s">
        <v>193</v>
      </c>
      <c r="AJ85" s="334" t="s">
        <v>12</v>
      </c>
      <c r="AK85" s="334">
        <v>11</v>
      </c>
      <c r="AL85" s="343" t="s">
        <v>372</v>
      </c>
      <c r="AM85" s="334" t="s">
        <v>218</v>
      </c>
      <c r="AN85" s="334" t="s">
        <v>12</v>
      </c>
      <c r="AO85" s="344">
        <v>4.5</v>
      </c>
      <c r="AP85" s="343"/>
      <c r="AS85" s="344"/>
      <c r="AW85" s="344"/>
      <c r="BA85" s="345"/>
    </row>
    <row r="86" spans="1:53" s="334" customFormat="1">
      <c r="A86" s="334">
        <v>1996</v>
      </c>
      <c r="C86" s="992" t="s">
        <v>370</v>
      </c>
      <c r="D86" s="992"/>
      <c r="E86" s="334">
        <v>0</v>
      </c>
      <c r="G86" s="419">
        <v>7</v>
      </c>
      <c r="I86" s="334">
        <v>10</v>
      </c>
      <c r="J86" s="435">
        <v>18</v>
      </c>
      <c r="K86" s="384">
        <f t="shared" si="28"/>
        <v>38.888888888888893</v>
      </c>
      <c r="L86" s="384">
        <f t="shared" si="29"/>
        <v>0</v>
      </c>
      <c r="M86" s="384">
        <f t="shared" si="30"/>
        <v>55.555555555555557</v>
      </c>
      <c r="N86" s="421">
        <f t="shared" si="26"/>
        <v>94.444444444444457</v>
      </c>
      <c r="O86" s="383">
        <v>25.5</v>
      </c>
      <c r="P86" s="384"/>
      <c r="Q86" s="384">
        <v>47</v>
      </c>
      <c r="R86" s="385">
        <f t="shared" si="27"/>
        <v>72.5</v>
      </c>
      <c r="S86" s="388">
        <v>3</v>
      </c>
      <c r="T86" s="342"/>
      <c r="U86" s="355"/>
      <c r="V86" s="343" t="s">
        <v>112</v>
      </c>
      <c r="W86" s="334" t="s">
        <v>20</v>
      </c>
      <c r="X86" s="334" t="s">
        <v>12</v>
      </c>
      <c r="Y86" s="344">
        <v>31.5</v>
      </c>
      <c r="Z86" s="343" t="s">
        <v>109</v>
      </c>
      <c r="AA86" s="334" t="s">
        <v>74</v>
      </c>
      <c r="AB86" s="334" t="s">
        <v>11</v>
      </c>
      <c r="AC86" s="344">
        <v>19.5</v>
      </c>
      <c r="AD86" s="343" t="s">
        <v>110</v>
      </c>
      <c r="AE86" s="334" t="s">
        <v>90</v>
      </c>
      <c r="AF86" s="334" t="s">
        <v>11</v>
      </c>
      <c r="AG86" s="344">
        <v>6</v>
      </c>
      <c r="AH86" s="334" t="s">
        <v>371</v>
      </c>
      <c r="AI86" s="334" t="s">
        <v>193</v>
      </c>
      <c r="AJ86" s="334" t="s">
        <v>12</v>
      </c>
      <c r="AK86" s="334">
        <v>11</v>
      </c>
      <c r="AL86" s="343" t="s">
        <v>372</v>
      </c>
      <c r="AM86" s="334" t="s">
        <v>218</v>
      </c>
      <c r="AN86" s="334" t="s">
        <v>12</v>
      </c>
      <c r="AO86" s="344">
        <v>4.5</v>
      </c>
      <c r="AP86" s="343"/>
      <c r="AS86" s="344"/>
      <c r="AW86" s="344"/>
      <c r="BA86" s="345"/>
    </row>
    <row r="87" spans="1:53" s="334" customFormat="1">
      <c r="A87" s="334">
        <v>1996</v>
      </c>
      <c r="C87" s="992" t="s">
        <v>370</v>
      </c>
      <c r="D87" s="992"/>
      <c r="E87" s="334">
        <v>366</v>
      </c>
      <c r="G87" s="419">
        <v>7</v>
      </c>
      <c r="I87" s="334">
        <v>10</v>
      </c>
      <c r="J87" s="435">
        <v>18</v>
      </c>
      <c r="K87" s="384">
        <f t="shared" si="28"/>
        <v>38.888888888888893</v>
      </c>
      <c r="L87" s="384">
        <f t="shared" si="29"/>
        <v>0</v>
      </c>
      <c r="M87" s="384">
        <f t="shared" si="30"/>
        <v>55.555555555555557</v>
      </c>
      <c r="N87" s="421">
        <f t="shared" si="26"/>
        <v>94.444444444444457</v>
      </c>
      <c r="O87" s="383">
        <v>25.5</v>
      </c>
      <c r="P87" s="384"/>
      <c r="Q87" s="384">
        <v>47</v>
      </c>
      <c r="R87" s="385">
        <f t="shared" si="27"/>
        <v>72.5</v>
      </c>
      <c r="S87" s="388">
        <v>3</v>
      </c>
      <c r="T87" s="342"/>
      <c r="U87" s="355"/>
      <c r="V87" s="343" t="s">
        <v>112</v>
      </c>
      <c r="W87" s="334" t="s">
        <v>20</v>
      </c>
      <c r="X87" s="334" t="s">
        <v>12</v>
      </c>
      <c r="Y87" s="344">
        <v>31.5</v>
      </c>
      <c r="Z87" s="343" t="s">
        <v>109</v>
      </c>
      <c r="AA87" s="334" t="s">
        <v>74</v>
      </c>
      <c r="AB87" s="334" t="s">
        <v>11</v>
      </c>
      <c r="AC87" s="344">
        <v>19.5</v>
      </c>
      <c r="AD87" s="343" t="s">
        <v>110</v>
      </c>
      <c r="AE87" s="334" t="s">
        <v>90</v>
      </c>
      <c r="AF87" s="334" t="s">
        <v>11</v>
      </c>
      <c r="AG87" s="344">
        <v>6</v>
      </c>
      <c r="AH87" s="334" t="s">
        <v>371</v>
      </c>
      <c r="AI87" s="334" t="s">
        <v>193</v>
      </c>
      <c r="AJ87" s="334" t="s">
        <v>12</v>
      </c>
      <c r="AK87" s="334">
        <v>11</v>
      </c>
      <c r="AL87" s="343" t="s">
        <v>372</v>
      </c>
      <c r="AM87" s="334" t="s">
        <v>218</v>
      </c>
      <c r="AN87" s="334" t="s">
        <v>12</v>
      </c>
      <c r="AO87" s="344">
        <v>4.5</v>
      </c>
      <c r="AP87" s="343"/>
      <c r="AS87" s="344"/>
      <c r="AW87" s="344"/>
      <c r="BA87" s="345"/>
    </row>
    <row r="88" spans="1:53" s="334" customFormat="1">
      <c r="A88" s="334">
        <v>1997</v>
      </c>
      <c r="C88" s="992" t="s">
        <v>370</v>
      </c>
      <c r="D88" s="992"/>
      <c r="E88" s="334">
        <v>0</v>
      </c>
      <c r="G88" s="419">
        <v>7</v>
      </c>
      <c r="I88" s="334">
        <v>10</v>
      </c>
      <c r="J88" s="435">
        <v>18</v>
      </c>
      <c r="K88" s="384">
        <f t="shared" si="28"/>
        <v>38.888888888888893</v>
      </c>
      <c r="L88" s="384">
        <f t="shared" si="29"/>
        <v>0</v>
      </c>
      <c r="M88" s="384">
        <f t="shared" si="30"/>
        <v>55.555555555555557</v>
      </c>
      <c r="N88" s="421">
        <f t="shared" si="26"/>
        <v>94.444444444444457</v>
      </c>
      <c r="O88" s="383">
        <v>25.5</v>
      </c>
      <c r="P88" s="384"/>
      <c r="Q88" s="384">
        <v>47</v>
      </c>
      <c r="R88" s="385">
        <f t="shared" si="27"/>
        <v>72.5</v>
      </c>
      <c r="S88" s="388">
        <v>3</v>
      </c>
      <c r="T88" s="342"/>
      <c r="U88" s="355"/>
      <c r="V88" s="343" t="s">
        <v>112</v>
      </c>
      <c r="W88" s="334" t="s">
        <v>20</v>
      </c>
      <c r="X88" s="334" t="s">
        <v>12</v>
      </c>
      <c r="Y88" s="344">
        <v>31.5</v>
      </c>
      <c r="Z88" s="343" t="s">
        <v>109</v>
      </c>
      <c r="AA88" s="334" t="s">
        <v>74</v>
      </c>
      <c r="AB88" s="334" t="s">
        <v>11</v>
      </c>
      <c r="AC88" s="344">
        <v>19.5</v>
      </c>
      <c r="AD88" s="343" t="s">
        <v>110</v>
      </c>
      <c r="AE88" s="334" t="s">
        <v>90</v>
      </c>
      <c r="AF88" s="334" t="s">
        <v>11</v>
      </c>
      <c r="AG88" s="344">
        <v>6</v>
      </c>
      <c r="AH88" s="334" t="s">
        <v>371</v>
      </c>
      <c r="AI88" s="334" t="s">
        <v>193</v>
      </c>
      <c r="AJ88" s="334" t="s">
        <v>12</v>
      </c>
      <c r="AK88" s="334">
        <v>11</v>
      </c>
      <c r="AL88" s="343" t="s">
        <v>372</v>
      </c>
      <c r="AM88" s="334" t="s">
        <v>218</v>
      </c>
      <c r="AN88" s="334" t="s">
        <v>12</v>
      </c>
      <c r="AO88" s="344">
        <v>4.5</v>
      </c>
      <c r="AP88" s="343"/>
      <c r="AS88" s="344"/>
      <c r="AW88" s="344"/>
      <c r="BA88" s="345"/>
    </row>
    <row r="89" spans="1:53" s="334" customFormat="1">
      <c r="A89" s="334">
        <v>1997</v>
      </c>
      <c r="C89" s="992" t="s">
        <v>370</v>
      </c>
      <c r="D89" s="992"/>
      <c r="E89" s="334">
        <f>365-E88</f>
        <v>365</v>
      </c>
      <c r="G89" s="419">
        <v>7</v>
      </c>
      <c r="I89" s="334">
        <v>10</v>
      </c>
      <c r="J89" s="435">
        <v>18</v>
      </c>
      <c r="K89" s="384">
        <f t="shared" si="28"/>
        <v>38.888888888888893</v>
      </c>
      <c r="L89" s="384">
        <f t="shared" si="29"/>
        <v>0</v>
      </c>
      <c r="M89" s="384">
        <f t="shared" si="30"/>
        <v>55.555555555555557</v>
      </c>
      <c r="N89" s="421">
        <f t="shared" si="26"/>
        <v>94.444444444444457</v>
      </c>
      <c r="O89" s="383">
        <v>25.5</v>
      </c>
      <c r="P89" s="384"/>
      <c r="Q89" s="384">
        <v>47</v>
      </c>
      <c r="R89" s="385">
        <f t="shared" si="27"/>
        <v>72.5</v>
      </c>
      <c r="S89" s="388">
        <v>3</v>
      </c>
      <c r="T89" s="342"/>
      <c r="U89" s="355"/>
      <c r="V89" s="343" t="s">
        <v>112</v>
      </c>
      <c r="W89" s="334" t="s">
        <v>20</v>
      </c>
      <c r="X89" s="334" t="s">
        <v>12</v>
      </c>
      <c r="Y89" s="344">
        <v>31.5</v>
      </c>
      <c r="Z89" s="343" t="s">
        <v>109</v>
      </c>
      <c r="AA89" s="334" t="s">
        <v>74</v>
      </c>
      <c r="AB89" s="334" t="s">
        <v>11</v>
      </c>
      <c r="AC89" s="344">
        <v>19.5</v>
      </c>
      <c r="AD89" s="343" t="s">
        <v>110</v>
      </c>
      <c r="AE89" s="334" t="s">
        <v>90</v>
      </c>
      <c r="AF89" s="334" t="s">
        <v>11</v>
      </c>
      <c r="AG89" s="344">
        <v>6</v>
      </c>
      <c r="AH89" s="334" t="s">
        <v>371</v>
      </c>
      <c r="AI89" s="334" t="s">
        <v>193</v>
      </c>
      <c r="AJ89" s="334" t="s">
        <v>12</v>
      </c>
      <c r="AK89" s="334">
        <v>11</v>
      </c>
      <c r="AL89" s="343" t="s">
        <v>372</v>
      </c>
      <c r="AM89" s="334" t="s">
        <v>218</v>
      </c>
      <c r="AN89" s="334" t="s">
        <v>12</v>
      </c>
      <c r="AO89" s="344">
        <v>4.5</v>
      </c>
      <c r="AP89" s="343"/>
      <c r="AS89" s="344"/>
      <c r="AW89" s="344"/>
      <c r="BA89" s="345"/>
    </row>
    <row r="90" spans="1:53" s="334" customFormat="1">
      <c r="A90" s="334">
        <v>1998</v>
      </c>
      <c r="C90" s="992" t="s">
        <v>370</v>
      </c>
      <c r="D90" s="992"/>
      <c r="E90" s="334">
        <v>0</v>
      </c>
      <c r="G90" s="419">
        <v>7</v>
      </c>
      <c r="I90" s="334">
        <v>10</v>
      </c>
      <c r="J90" s="435">
        <v>18</v>
      </c>
      <c r="K90" s="384">
        <f t="shared" si="28"/>
        <v>38.888888888888893</v>
      </c>
      <c r="L90" s="384">
        <f t="shared" si="29"/>
        <v>0</v>
      </c>
      <c r="M90" s="384">
        <f t="shared" si="30"/>
        <v>55.555555555555557</v>
      </c>
      <c r="N90" s="421">
        <f t="shared" si="26"/>
        <v>94.444444444444457</v>
      </c>
      <c r="O90" s="383">
        <v>25.5</v>
      </c>
      <c r="P90" s="384"/>
      <c r="Q90" s="384">
        <v>47</v>
      </c>
      <c r="R90" s="385">
        <f t="shared" si="27"/>
        <v>72.5</v>
      </c>
      <c r="S90" s="388">
        <v>3</v>
      </c>
      <c r="T90" s="342"/>
      <c r="U90" s="355"/>
      <c r="V90" s="343" t="s">
        <v>112</v>
      </c>
      <c r="W90" s="334" t="s">
        <v>20</v>
      </c>
      <c r="X90" s="334" t="s">
        <v>12</v>
      </c>
      <c r="Y90" s="344">
        <v>31.5</v>
      </c>
      <c r="Z90" s="343" t="s">
        <v>109</v>
      </c>
      <c r="AA90" s="334" t="s">
        <v>74</v>
      </c>
      <c r="AB90" s="334" t="s">
        <v>11</v>
      </c>
      <c r="AC90" s="344">
        <v>19.5</v>
      </c>
      <c r="AD90" s="343" t="s">
        <v>110</v>
      </c>
      <c r="AE90" s="334" t="s">
        <v>90</v>
      </c>
      <c r="AF90" s="334" t="s">
        <v>11</v>
      </c>
      <c r="AG90" s="344">
        <v>6</v>
      </c>
      <c r="AH90" s="334" t="s">
        <v>371</v>
      </c>
      <c r="AI90" s="334" t="s">
        <v>193</v>
      </c>
      <c r="AJ90" s="334" t="s">
        <v>12</v>
      </c>
      <c r="AK90" s="334">
        <v>11</v>
      </c>
      <c r="AL90" s="343" t="s">
        <v>372</v>
      </c>
      <c r="AM90" s="334" t="s">
        <v>218</v>
      </c>
      <c r="AN90" s="334" t="s">
        <v>12</v>
      </c>
      <c r="AO90" s="344">
        <v>4.5</v>
      </c>
      <c r="AP90" s="343"/>
      <c r="AS90" s="344"/>
      <c r="AW90" s="344"/>
      <c r="BA90" s="345"/>
    </row>
    <row r="91" spans="1:53" s="334" customFormat="1">
      <c r="A91" s="334">
        <v>1998</v>
      </c>
      <c r="C91" s="992" t="s">
        <v>370</v>
      </c>
      <c r="D91" s="992"/>
      <c r="E91" s="334">
        <f>365-E90</f>
        <v>365</v>
      </c>
      <c r="G91" s="419">
        <v>7</v>
      </c>
      <c r="I91" s="334">
        <v>10</v>
      </c>
      <c r="J91" s="435">
        <v>18</v>
      </c>
      <c r="K91" s="384">
        <f t="shared" si="28"/>
        <v>38.888888888888893</v>
      </c>
      <c r="L91" s="384">
        <f t="shared" si="29"/>
        <v>0</v>
      </c>
      <c r="M91" s="384">
        <f t="shared" si="30"/>
        <v>55.555555555555557</v>
      </c>
      <c r="N91" s="421">
        <f t="shared" si="26"/>
        <v>94.444444444444457</v>
      </c>
      <c r="O91" s="383">
        <v>25.5</v>
      </c>
      <c r="P91" s="384"/>
      <c r="Q91" s="384">
        <v>47</v>
      </c>
      <c r="R91" s="385">
        <f t="shared" si="27"/>
        <v>72.5</v>
      </c>
      <c r="S91" s="388">
        <v>3</v>
      </c>
      <c r="T91" s="342"/>
      <c r="U91" s="355"/>
      <c r="V91" s="343" t="s">
        <v>112</v>
      </c>
      <c r="W91" s="334" t="s">
        <v>20</v>
      </c>
      <c r="X91" s="334" t="s">
        <v>12</v>
      </c>
      <c r="Y91" s="344">
        <v>31.5</v>
      </c>
      <c r="Z91" s="343" t="s">
        <v>109</v>
      </c>
      <c r="AA91" s="334" t="s">
        <v>74</v>
      </c>
      <c r="AB91" s="334" t="s">
        <v>11</v>
      </c>
      <c r="AC91" s="344">
        <v>19.5</v>
      </c>
      <c r="AD91" s="343" t="s">
        <v>110</v>
      </c>
      <c r="AE91" s="334" t="s">
        <v>90</v>
      </c>
      <c r="AF91" s="334" t="s">
        <v>11</v>
      </c>
      <c r="AG91" s="344">
        <v>6</v>
      </c>
      <c r="AH91" s="334" t="s">
        <v>371</v>
      </c>
      <c r="AI91" s="334" t="s">
        <v>193</v>
      </c>
      <c r="AJ91" s="334" t="s">
        <v>12</v>
      </c>
      <c r="AK91" s="334">
        <v>11</v>
      </c>
      <c r="AL91" s="343" t="s">
        <v>372</v>
      </c>
      <c r="AM91" s="334" t="s">
        <v>218</v>
      </c>
      <c r="AN91" s="334" t="s">
        <v>12</v>
      </c>
      <c r="AO91" s="344">
        <v>4.5</v>
      </c>
      <c r="AP91" s="343"/>
      <c r="AS91" s="344"/>
      <c r="AW91" s="344"/>
      <c r="BA91" s="345"/>
    </row>
    <row r="92" spans="1:53" s="334" customFormat="1">
      <c r="A92" s="334">
        <v>1999</v>
      </c>
      <c r="C92" s="992" t="s">
        <v>370</v>
      </c>
      <c r="D92" s="992"/>
      <c r="E92" s="334">
        <v>104</v>
      </c>
      <c r="G92" s="419">
        <v>7</v>
      </c>
      <c r="I92" s="334">
        <v>10</v>
      </c>
      <c r="J92" s="435">
        <v>18</v>
      </c>
      <c r="K92" s="384">
        <f t="shared" si="28"/>
        <v>38.888888888888893</v>
      </c>
      <c r="L92" s="384">
        <f t="shared" si="29"/>
        <v>0</v>
      </c>
      <c r="M92" s="384">
        <f t="shared" si="30"/>
        <v>55.555555555555557</v>
      </c>
      <c r="N92" s="421">
        <f t="shared" si="26"/>
        <v>94.444444444444457</v>
      </c>
      <c r="O92" s="383">
        <v>25.5</v>
      </c>
      <c r="P92" s="384"/>
      <c r="Q92" s="384">
        <v>47</v>
      </c>
      <c r="R92" s="385">
        <f t="shared" si="27"/>
        <v>72.5</v>
      </c>
      <c r="S92" s="388">
        <v>3</v>
      </c>
      <c r="T92" s="342"/>
      <c r="U92" s="355"/>
      <c r="V92" s="343" t="s">
        <v>112</v>
      </c>
      <c r="W92" s="334" t="s">
        <v>20</v>
      </c>
      <c r="X92" s="334" t="s">
        <v>12</v>
      </c>
      <c r="Y92" s="344">
        <v>31.5</v>
      </c>
      <c r="Z92" s="343" t="s">
        <v>109</v>
      </c>
      <c r="AA92" s="334" t="s">
        <v>74</v>
      </c>
      <c r="AB92" s="334" t="s">
        <v>11</v>
      </c>
      <c r="AC92" s="344">
        <v>19.5</v>
      </c>
      <c r="AD92" s="343" t="s">
        <v>110</v>
      </c>
      <c r="AE92" s="334" t="s">
        <v>90</v>
      </c>
      <c r="AF92" s="334" t="s">
        <v>11</v>
      </c>
      <c r="AG92" s="344">
        <v>6</v>
      </c>
      <c r="AH92" s="334" t="s">
        <v>371</v>
      </c>
      <c r="AI92" s="334" t="s">
        <v>193</v>
      </c>
      <c r="AJ92" s="334" t="s">
        <v>12</v>
      </c>
      <c r="AK92" s="334">
        <v>11</v>
      </c>
      <c r="AL92" s="343" t="s">
        <v>372</v>
      </c>
      <c r="AM92" s="334" t="s">
        <v>218</v>
      </c>
      <c r="AN92" s="334" t="s">
        <v>12</v>
      </c>
      <c r="AO92" s="344">
        <v>4.5</v>
      </c>
      <c r="AP92" s="343"/>
      <c r="AS92" s="344"/>
      <c r="AW92" s="344"/>
      <c r="BA92" s="345"/>
    </row>
    <row r="93" spans="1:53" s="73" customFormat="1">
      <c r="A93" s="73">
        <v>1999</v>
      </c>
      <c r="B93" s="85">
        <v>36265</v>
      </c>
      <c r="C93" s="988" t="s">
        <v>373</v>
      </c>
      <c r="D93" s="988"/>
      <c r="E93" s="73">
        <f>365-E92</f>
        <v>261</v>
      </c>
      <c r="F93" s="73">
        <v>1</v>
      </c>
      <c r="G93" s="123">
        <v>8</v>
      </c>
      <c r="I93" s="73">
        <v>9</v>
      </c>
      <c r="J93" s="134">
        <v>18</v>
      </c>
      <c r="K93" s="92">
        <f t="shared" si="28"/>
        <v>44.444444444444443</v>
      </c>
      <c r="L93" s="92">
        <f t="shared" si="29"/>
        <v>0</v>
      </c>
      <c r="M93" s="92">
        <f t="shared" si="30"/>
        <v>50</v>
      </c>
      <c r="N93" s="125">
        <f t="shared" si="26"/>
        <v>94.444444444444443</v>
      </c>
      <c r="O93" s="91">
        <v>29</v>
      </c>
      <c r="P93" s="92"/>
      <c r="Q93" s="92">
        <v>41</v>
      </c>
      <c r="R93" s="93">
        <f t="shared" si="27"/>
        <v>70</v>
      </c>
      <c r="S93" s="97">
        <v>3</v>
      </c>
      <c r="T93" s="95">
        <v>36240</v>
      </c>
      <c r="U93" s="85">
        <v>36265</v>
      </c>
      <c r="V93" s="82" t="s">
        <v>112</v>
      </c>
      <c r="W93" s="73" t="s">
        <v>20</v>
      </c>
      <c r="X93" s="73" t="s">
        <v>12</v>
      </c>
      <c r="Y93" s="83">
        <v>25.5</v>
      </c>
      <c r="Z93" s="82" t="s">
        <v>109</v>
      </c>
      <c r="AA93" s="73" t="s">
        <v>74</v>
      </c>
      <c r="AB93" s="73" t="s">
        <v>11</v>
      </c>
      <c r="AC93" s="83">
        <v>23</v>
      </c>
      <c r="AD93" s="82" t="s">
        <v>110</v>
      </c>
      <c r="AE93" s="73" t="s">
        <v>90</v>
      </c>
      <c r="AF93" s="73" t="s">
        <v>11</v>
      </c>
      <c r="AG93" s="83">
        <v>6</v>
      </c>
      <c r="AH93" s="73" t="s">
        <v>371</v>
      </c>
      <c r="AI93" s="73" t="s">
        <v>193</v>
      </c>
      <c r="AJ93" s="73" t="s">
        <v>12</v>
      </c>
      <c r="AK93" s="73">
        <v>10</v>
      </c>
      <c r="AL93" s="82" t="s">
        <v>372</v>
      </c>
      <c r="AM93" s="73" t="s">
        <v>218</v>
      </c>
      <c r="AN93" s="73" t="s">
        <v>12</v>
      </c>
      <c r="AO93" s="83">
        <v>5.5</v>
      </c>
      <c r="AP93" s="82"/>
      <c r="AS93" s="83"/>
      <c r="AW93" s="83"/>
      <c r="BA93" s="84"/>
    </row>
    <row r="94" spans="1:53" s="73" customFormat="1">
      <c r="A94" s="73">
        <v>2000</v>
      </c>
      <c r="C94" s="988" t="s">
        <v>373</v>
      </c>
      <c r="D94" s="988"/>
      <c r="E94" s="73">
        <v>0</v>
      </c>
      <c r="G94" s="123">
        <v>8</v>
      </c>
      <c r="I94" s="73">
        <v>9</v>
      </c>
      <c r="J94" s="134">
        <v>18</v>
      </c>
      <c r="K94" s="92">
        <f t="shared" si="28"/>
        <v>44.444444444444443</v>
      </c>
      <c r="L94" s="92">
        <f t="shared" si="29"/>
        <v>0</v>
      </c>
      <c r="M94" s="92">
        <f t="shared" si="30"/>
        <v>50</v>
      </c>
      <c r="N94" s="125">
        <f t="shared" si="26"/>
        <v>94.444444444444443</v>
      </c>
      <c r="O94" s="91">
        <v>29</v>
      </c>
      <c r="P94" s="92"/>
      <c r="Q94" s="92">
        <v>41</v>
      </c>
      <c r="R94" s="93">
        <f t="shared" si="27"/>
        <v>70</v>
      </c>
      <c r="S94" s="97">
        <v>3</v>
      </c>
      <c r="T94" s="95"/>
      <c r="U94" s="85"/>
      <c r="V94" s="82" t="s">
        <v>112</v>
      </c>
      <c r="W94" s="73" t="s">
        <v>20</v>
      </c>
      <c r="X94" s="73" t="s">
        <v>12</v>
      </c>
      <c r="Y94" s="83">
        <v>25.5</v>
      </c>
      <c r="Z94" s="82" t="s">
        <v>109</v>
      </c>
      <c r="AA94" s="73" t="s">
        <v>74</v>
      </c>
      <c r="AB94" s="73" t="s">
        <v>11</v>
      </c>
      <c r="AC94" s="83">
        <v>23</v>
      </c>
      <c r="AD94" s="82" t="s">
        <v>110</v>
      </c>
      <c r="AE94" s="73" t="s">
        <v>90</v>
      </c>
      <c r="AF94" s="73" t="s">
        <v>11</v>
      </c>
      <c r="AG94" s="83">
        <v>6</v>
      </c>
      <c r="AH94" s="73" t="s">
        <v>371</v>
      </c>
      <c r="AI94" s="73" t="s">
        <v>193</v>
      </c>
      <c r="AJ94" s="73" t="s">
        <v>12</v>
      </c>
      <c r="AK94" s="73">
        <v>10</v>
      </c>
      <c r="AL94" s="82" t="s">
        <v>372</v>
      </c>
      <c r="AM94" s="73" t="s">
        <v>218</v>
      </c>
      <c r="AN94" s="73" t="s">
        <v>12</v>
      </c>
      <c r="AO94" s="83">
        <v>5.5</v>
      </c>
      <c r="AP94" s="82"/>
      <c r="AS94" s="83"/>
      <c r="AW94" s="83"/>
      <c r="BA94" s="84"/>
    </row>
    <row r="95" spans="1:53" s="73" customFormat="1">
      <c r="A95" s="73">
        <v>2000</v>
      </c>
      <c r="C95" s="988" t="s">
        <v>373</v>
      </c>
      <c r="D95" s="988"/>
      <c r="E95" s="73">
        <v>366</v>
      </c>
      <c r="G95" s="123">
        <v>8</v>
      </c>
      <c r="I95" s="73">
        <v>9</v>
      </c>
      <c r="J95" s="134">
        <v>18</v>
      </c>
      <c r="K95" s="92">
        <f t="shared" si="28"/>
        <v>44.444444444444443</v>
      </c>
      <c r="L95" s="92">
        <f t="shared" si="29"/>
        <v>0</v>
      </c>
      <c r="M95" s="92">
        <f t="shared" si="30"/>
        <v>50</v>
      </c>
      <c r="N95" s="125">
        <f t="shared" si="26"/>
        <v>94.444444444444443</v>
      </c>
      <c r="O95" s="91">
        <v>29</v>
      </c>
      <c r="P95" s="92"/>
      <c r="Q95" s="92">
        <v>41</v>
      </c>
      <c r="R95" s="93">
        <f t="shared" si="27"/>
        <v>70</v>
      </c>
      <c r="S95" s="97">
        <v>3</v>
      </c>
      <c r="T95" s="95"/>
      <c r="U95" s="85"/>
      <c r="V95" s="82" t="s">
        <v>112</v>
      </c>
      <c r="W95" s="73" t="s">
        <v>20</v>
      </c>
      <c r="X95" s="73" t="s">
        <v>12</v>
      </c>
      <c r="Y95" s="83">
        <v>25.5</v>
      </c>
      <c r="Z95" s="82" t="s">
        <v>109</v>
      </c>
      <c r="AA95" s="73" t="s">
        <v>74</v>
      </c>
      <c r="AB95" s="73" t="s">
        <v>11</v>
      </c>
      <c r="AC95" s="83">
        <v>23</v>
      </c>
      <c r="AD95" s="82" t="s">
        <v>110</v>
      </c>
      <c r="AE95" s="73" t="s">
        <v>90</v>
      </c>
      <c r="AF95" s="73" t="s">
        <v>11</v>
      </c>
      <c r="AG95" s="83">
        <v>6</v>
      </c>
      <c r="AH95" s="73" t="s">
        <v>371</v>
      </c>
      <c r="AI95" s="73" t="s">
        <v>193</v>
      </c>
      <c r="AJ95" s="73" t="s">
        <v>12</v>
      </c>
      <c r="AK95" s="73">
        <v>10</v>
      </c>
      <c r="AL95" s="82" t="s">
        <v>372</v>
      </c>
      <c r="AM95" s="73" t="s">
        <v>218</v>
      </c>
      <c r="AN95" s="73" t="s">
        <v>12</v>
      </c>
      <c r="AO95" s="83">
        <v>5.5</v>
      </c>
      <c r="AP95" s="82"/>
      <c r="AS95" s="83"/>
      <c r="AW95" s="83"/>
      <c r="BA95" s="84"/>
    </row>
    <row r="96" spans="1:53" s="73" customFormat="1">
      <c r="A96" s="73">
        <v>2001</v>
      </c>
      <c r="C96" s="988" t="s">
        <v>373</v>
      </c>
      <c r="D96" s="988"/>
      <c r="E96" s="73">
        <v>0</v>
      </c>
      <c r="G96" s="123">
        <v>8</v>
      </c>
      <c r="I96" s="73">
        <v>9</v>
      </c>
      <c r="J96" s="134">
        <v>18</v>
      </c>
      <c r="K96" s="92">
        <f t="shared" si="28"/>
        <v>44.444444444444443</v>
      </c>
      <c r="L96" s="92">
        <f t="shared" si="29"/>
        <v>0</v>
      </c>
      <c r="M96" s="92">
        <f t="shared" si="30"/>
        <v>50</v>
      </c>
      <c r="N96" s="125">
        <f t="shared" si="26"/>
        <v>94.444444444444443</v>
      </c>
      <c r="O96" s="91">
        <v>29</v>
      </c>
      <c r="P96" s="92"/>
      <c r="Q96" s="92">
        <v>41</v>
      </c>
      <c r="R96" s="93">
        <f t="shared" si="27"/>
        <v>70</v>
      </c>
      <c r="S96" s="97">
        <v>3</v>
      </c>
      <c r="T96" s="95"/>
      <c r="U96" s="85"/>
      <c r="V96" s="82" t="s">
        <v>112</v>
      </c>
      <c r="W96" s="73" t="s">
        <v>20</v>
      </c>
      <c r="X96" s="73" t="s">
        <v>12</v>
      </c>
      <c r="Y96" s="83">
        <v>25.5</v>
      </c>
      <c r="Z96" s="82" t="s">
        <v>109</v>
      </c>
      <c r="AA96" s="73" t="s">
        <v>74</v>
      </c>
      <c r="AB96" s="73" t="s">
        <v>11</v>
      </c>
      <c r="AC96" s="83">
        <v>23</v>
      </c>
      <c r="AD96" s="82" t="s">
        <v>110</v>
      </c>
      <c r="AE96" s="73" t="s">
        <v>90</v>
      </c>
      <c r="AF96" s="73" t="s">
        <v>11</v>
      </c>
      <c r="AG96" s="83">
        <v>6</v>
      </c>
      <c r="AH96" s="73" t="s">
        <v>371</v>
      </c>
      <c r="AI96" s="73" t="s">
        <v>193</v>
      </c>
      <c r="AJ96" s="73" t="s">
        <v>12</v>
      </c>
      <c r="AK96" s="73">
        <v>10</v>
      </c>
      <c r="AL96" s="82" t="s">
        <v>372</v>
      </c>
      <c r="AM96" s="73" t="s">
        <v>218</v>
      </c>
      <c r="AN96" s="73" t="s">
        <v>12</v>
      </c>
      <c r="AO96" s="83">
        <v>5.5</v>
      </c>
      <c r="AP96" s="82"/>
      <c r="AS96" s="83"/>
      <c r="AW96" s="83"/>
      <c r="BA96" s="84"/>
    </row>
    <row r="97" spans="1:53" s="73" customFormat="1">
      <c r="A97" s="73">
        <v>2001</v>
      </c>
      <c r="C97" s="988" t="s">
        <v>373</v>
      </c>
      <c r="D97" s="988"/>
      <c r="E97" s="73">
        <f>365-E96</f>
        <v>365</v>
      </c>
      <c r="G97" s="123">
        <v>8</v>
      </c>
      <c r="I97" s="73">
        <v>9</v>
      </c>
      <c r="J97" s="134">
        <v>18</v>
      </c>
      <c r="K97" s="92">
        <f t="shared" si="28"/>
        <v>44.444444444444443</v>
      </c>
      <c r="L97" s="92">
        <f t="shared" si="29"/>
        <v>0</v>
      </c>
      <c r="M97" s="92">
        <f t="shared" si="30"/>
        <v>50</v>
      </c>
      <c r="N97" s="125">
        <f t="shared" si="26"/>
        <v>94.444444444444443</v>
      </c>
      <c r="O97" s="91">
        <v>29</v>
      </c>
      <c r="P97" s="92"/>
      <c r="Q97" s="92">
        <v>41</v>
      </c>
      <c r="R97" s="93">
        <f t="shared" si="27"/>
        <v>70</v>
      </c>
      <c r="S97" s="97">
        <v>3</v>
      </c>
      <c r="T97" s="95"/>
      <c r="U97" s="85"/>
      <c r="V97" s="82" t="s">
        <v>112</v>
      </c>
      <c r="W97" s="73" t="s">
        <v>20</v>
      </c>
      <c r="X97" s="73" t="s">
        <v>12</v>
      </c>
      <c r="Y97" s="83">
        <v>25.5</v>
      </c>
      <c r="Z97" s="82" t="s">
        <v>109</v>
      </c>
      <c r="AA97" s="73" t="s">
        <v>74</v>
      </c>
      <c r="AB97" s="73" t="s">
        <v>11</v>
      </c>
      <c r="AC97" s="83">
        <v>23</v>
      </c>
      <c r="AD97" s="82" t="s">
        <v>110</v>
      </c>
      <c r="AE97" s="73" t="s">
        <v>90</v>
      </c>
      <c r="AF97" s="73" t="s">
        <v>11</v>
      </c>
      <c r="AG97" s="83">
        <v>6</v>
      </c>
      <c r="AH97" s="73" t="s">
        <v>371</v>
      </c>
      <c r="AI97" s="73" t="s">
        <v>193</v>
      </c>
      <c r="AJ97" s="73" t="s">
        <v>12</v>
      </c>
      <c r="AK97" s="73">
        <v>10</v>
      </c>
      <c r="AL97" s="82" t="s">
        <v>372</v>
      </c>
      <c r="AM97" s="73" t="s">
        <v>218</v>
      </c>
      <c r="AN97" s="73" t="s">
        <v>12</v>
      </c>
      <c r="AO97" s="83">
        <v>5.5</v>
      </c>
      <c r="AP97" s="82"/>
      <c r="AS97" s="83"/>
      <c r="AW97" s="83"/>
      <c r="BA97" s="84"/>
    </row>
    <row r="98" spans="1:53" s="73" customFormat="1">
      <c r="A98" s="73">
        <v>2002</v>
      </c>
      <c r="C98" s="988" t="s">
        <v>373</v>
      </c>
      <c r="D98" s="988"/>
      <c r="E98" s="73">
        <v>108</v>
      </c>
      <c r="G98" s="123">
        <v>8</v>
      </c>
      <c r="I98" s="73">
        <v>9</v>
      </c>
      <c r="J98" s="134">
        <v>18</v>
      </c>
      <c r="K98" s="92">
        <f t="shared" si="28"/>
        <v>44.444444444444443</v>
      </c>
      <c r="L98" s="92">
        <f t="shared" si="29"/>
        <v>0</v>
      </c>
      <c r="M98" s="92">
        <f t="shared" si="30"/>
        <v>50</v>
      </c>
      <c r="N98" s="125">
        <f t="shared" si="26"/>
        <v>94.444444444444443</v>
      </c>
      <c r="O98" s="91">
        <v>29</v>
      </c>
      <c r="P98" s="92"/>
      <c r="Q98" s="92">
        <v>41</v>
      </c>
      <c r="R98" s="93">
        <f t="shared" si="27"/>
        <v>70</v>
      </c>
      <c r="S98" s="97">
        <v>3</v>
      </c>
      <c r="T98" s="95"/>
      <c r="U98" s="85"/>
      <c r="V98" s="82" t="s">
        <v>112</v>
      </c>
      <c r="W98" s="73" t="s">
        <v>20</v>
      </c>
      <c r="X98" s="73" t="s">
        <v>12</v>
      </c>
      <c r="Y98" s="83">
        <v>25.5</v>
      </c>
      <c r="Z98" s="82" t="s">
        <v>109</v>
      </c>
      <c r="AA98" s="73" t="s">
        <v>74</v>
      </c>
      <c r="AB98" s="73" t="s">
        <v>11</v>
      </c>
      <c r="AC98" s="83">
        <v>23</v>
      </c>
      <c r="AD98" s="82" t="s">
        <v>110</v>
      </c>
      <c r="AE98" s="73" t="s">
        <v>90</v>
      </c>
      <c r="AF98" s="73" t="s">
        <v>11</v>
      </c>
      <c r="AG98" s="83">
        <v>6</v>
      </c>
      <c r="AH98" s="73" t="s">
        <v>371</v>
      </c>
      <c r="AI98" s="73" t="s">
        <v>193</v>
      </c>
      <c r="AJ98" s="73" t="s">
        <v>12</v>
      </c>
      <c r="AK98" s="73">
        <v>10</v>
      </c>
      <c r="AL98" s="82" t="s">
        <v>372</v>
      </c>
      <c r="AM98" s="73" t="s">
        <v>218</v>
      </c>
      <c r="AN98" s="73" t="s">
        <v>12</v>
      </c>
      <c r="AO98" s="83">
        <v>5.5</v>
      </c>
      <c r="AP98" s="82"/>
      <c r="AS98" s="83"/>
      <c r="AW98" s="83"/>
      <c r="BA98" s="84"/>
    </row>
    <row r="99" spans="1:53" s="334" customFormat="1">
      <c r="A99" s="334">
        <v>2002</v>
      </c>
      <c r="B99" s="355">
        <v>37365</v>
      </c>
      <c r="C99" s="992" t="s">
        <v>374</v>
      </c>
      <c r="D99" s="992"/>
      <c r="E99" s="334">
        <v>42</v>
      </c>
      <c r="F99" s="334">
        <v>4</v>
      </c>
      <c r="G99" s="419">
        <v>9</v>
      </c>
      <c r="I99" s="334">
        <v>8</v>
      </c>
      <c r="J99" s="435">
        <v>18</v>
      </c>
      <c r="K99" s="384">
        <f>G99/J99*100</f>
        <v>50</v>
      </c>
      <c r="L99" s="384">
        <f>H99/J99*100</f>
        <v>0</v>
      </c>
      <c r="M99" s="384">
        <f>I99/J99*100</f>
        <v>44.444444444444443</v>
      </c>
      <c r="N99" s="421">
        <f>SUM(K99:M99)</f>
        <v>94.444444444444443</v>
      </c>
      <c r="O99" s="383">
        <v>29</v>
      </c>
      <c r="P99" s="384"/>
      <c r="Q99" s="384">
        <v>35.5</v>
      </c>
      <c r="R99" s="385">
        <f>SUM(O99:Q99)</f>
        <v>64.5</v>
      </c>
      <c r="S99" s="388">
        <v>3</v>
      </c>
      <c r="T99" s="342"/>
      <c r="U99" s="355">
        <v>37365</v>
      </c>
      <c r="V99" s="343" t="s">
        <v>112</v>
      </c>
      <c r="W99" s="334" t="s">
        <v>20</v>
      </c>
      <c r="X99" s="334" t="s">
        <v>12</v>
      </c>
      <c r="Y99" s="344">
        <v>25.5</v>
      </c>
      <c r="Z99" s="343" t="s">
        <v>109</v>
      </c>
      <c r="AA99" s="334" t="s">
        <v>74</v>
      </c>
      <c r="AB99" s="334" t="s">
        <v>11</v>
      </c>
      <c r="AC99" s="344">
        <v>23</v>
      </c>
      <c r="AD99" s="343" t="s">
        <v>110</v>
      </c>
      <c r="AE99" s="334" t="s">
        <v>90</v>
      </c>
      <c r="AF99" s="334" t="s">
        <v>11</v>
      </c>
      <c r="AG99" s="344">
        <v>6</v>
      </c>
      <c r="AH99" s="334" t="s">
        <v>371</v>
      </c>
      <c r="AI99" s="334" t="s">
        <v>193</v>
      </c>
      <c r="AJ99" s="334" t="s">
        <v>12</v>
      </c>
      <c r="AK99" s="334">
        <v>10</v>
      </c>
      <c r="AL99" s="343"/>
      <c r="AO99" s="344"/>
      <c r="AP99" s="343"/>
      <c r="AS99" s="344"/>
      <c r="AW99" s="344"/>
      <c r="BA99" s="345"/>
    </row>
    <row r="100" spans="1:53" s="334" customFormat="1">
      <c r="A100" s="334">
        <v>2002</v>
      </c>
      <c r="B100" s="445">
        <v>37407</v>
      </c>
      <c r="C100" s="992" t="s">
        <v>374</v>
      </c>
      <c r="D100" s="992"/>
      <c r="E100" s="334">
        <v>215</v>
      </c>
      <c r="F100" s="441">
        <v>0</v>
      </c>
      <c r="G100" s="419">
        <v>10</v>
      </c>
      <c r="I100" s="334">
        <v>8</v>
      </c>
      <c r="J100" s="435">
        <v>18</v>
      </c>
      <c r="K100" s="384">
        <f t="shared" si="28"/>
        <v>55.555555555555557</v>
      </c>
      <c r="L100" s="384">
        <f t="shared" si="29"/>
        <v>0</v>
      </c>
      <c r="M100" s="384">
        <f t="shared" si="30"/>
        <v>44.444444444444443</v>
      </c>
      <c r="N100" s="421">
        <f t="shared" si="26"/>
        <v>100</v>
      </c>
      <c r="O100" s="383">
        <v>29</v>
      </c>
      <c r="P100" s="384"/>
      <c r="Q100" s="384">
        <v>35.5</v>
      </c>
      <c r="R100" s="385">
        <f t="shared" si="27"/>
        <v>64.5</v>
      </c>
      <c r="S100" s="388">
        <v>3</v>
      </c>
      <c r="T100" s="342"/>
      <c r="U100" s="355"/>
      <c r="V100" s="343" t="s">
        <v>112</v>
      </c>
      <c r="W100" s="334" t="s">
        <v>20</v>
      </c>
      <c r="X100" s="334" t="s">
        <v>12</v>
      </c>
      <c r="Y100" s="344">
        <v>25.5</v>
      </c>
      <c r="Z100" s="343" t="s">
        <v>109</v>
      </c>
      <c r="AA100" s="334" t="s">
        <v>74</v>
      </c>
      <c r="AB100" s="334" t="s">
        <v>11</v>
      </c>
      <c r="AC100" s="344">
        <v>23</v>
      </c>
      <c r="AD100" s="343" t="s">
        <v>110</v>
      </c>
      <c r="AE100" s="334" t="s">
        <v>90</v>
      </c>
      <c r="AF100" s="334" t="s">
        <v>11</v>
      </c>
      <c r="AG100" s="344">
        <v>6</v>
      </c>
      <c r="AH100" s="334" t="s">
        <v>371</v>
      </c>
      <c r="AI100" s="334" t="s">
        <v>193</v>
      </c>
      <c r="AJ100" s="334" t="s">
        <v>12</v>
      </c>
      <c r="AK100" s="334">
        <v>10</v>
      </c>
      <c r="AL100" s="343"/>
      <c r="AO100" s="344"/>
      <c r="AP100" s="343"/>
      <c r="AS100" s="344"/>
      <c r="AW100" s="344"/>
      <c r="BA100" s="345"/>
    </row>
    <row r="101" spans="1:53" s="334" customFormat="1">
      <c r="A101" s="334">
        <v>2003</v>
      </c>
      <c r="C101" s="992" t="s">
        <v>374</v>
      </c>
      <c r="D101" s="992"/>
      <c r="E101" s="334">
        <v>106</v>
      </c>
      <c r="G101" s="419">
        <v>10</v>
      </c>
      <c r="I101" s="334">
        <v>8</v>
      </c>
      <c r="J101" s="435">
        <v>18</v>
      </c>
      <c r="K101" s="384">
        <f t="shared" si="28"/>
        <v>55.555555555555557</v>
      </c>
      <c r="L101" s="384">
        <f t="shared" si="29"/>
        <v>0</v>
      </c>
      <c r="M101" s="384">
        <f t="shared" si="30"/>
        <v>44.444444444444443</v>
      </c>
      <c r="N101" s="421">
        <f t="shared" si="26"/>
        <v>100</v>
      </c>
      <c r="O101" s="383">
        <v>29</v>
      </c>
      <c r="P101" s="384"/>
      <c r="Q101" s="384">
        <v>35.5</v>
      </c>
      <c r="R101" s="385">
        <f t="shared" si="27"/>
        <v>64.5</v>
      </c>
      <c r="S101" s="388">
        <v>3</v>
      </c>
      <c r="T101" s="342"/>
      <c r="U101" s="355"/>
      <c r="V101" s="343" t="s">
        <v>112</v>
      </c>
      <c r="W101" s="334" t="s">
        <v>20</v>
      </c>
      <c r="X101" s="334" t="s">
        <v>12</v>
      </c>
      <c r="Y101" s="344">
        <v>25.5</v>
      </c>
      <c r="Z101" s="343" t="s">
        <v>109</v>
      </c>
      <c r="AA101" s="334" t="s">
        <v>74</v>
      </c>
      <c r="AB101" s="334" t="s">
        <v>11</v>
      </c>
      <c r="AC101" s="344">
        <v>23</v>
      </c>
      <c r="AD101" s="343" t="s">
        <v>110</v>
      </c>
      <c r="AE101" s="334" t="s">
        <v>90</v>
      </c>
      <c r="AF101" s="334" t="s">
        <v>11</v>
      </c>
      <c r="AG101" s="344">
        <v>6</v>
      </c>
      <c r="AH101" s="334" t="s">
        <v>371</v>
      </c>
      <c r="AI101" s="334" t="s">
        <v>193</v>
      </c>
      <c r="AJ101" s="334" t="s">
        <v>12</v>
      </c>
      <c r="AK101" s="334">
        <v>10</v>
      </c>
      <c r="AL101" s="343"/>
      <c r="AO101" s="344"/>
      <c r="AP101" s="343"/>
      <c r="AS101" s="344"/>
      <c r="AW101" s="344"/>
      <c r="BA101" s="345"/>
    </row>
    <row r="102" spans="1:53" s="73" customFormat="1">
      <c r="A102" s="73">
        <v>2003</v>
      </c>
      <c r="B102" s="85">
        <v>37728</v>
      </c>
      <c r="C102" s="988" t="s">
        <v>375</v>
      </c>
      <c r="D102" s="988"/>
      <c r="E102" s="73">
        <v>68</v>
      </c>
      <c r="F102" s="73">
        <v>1</v>
      </c>
      <c r="G102" s="123">
        <v>2</v>
      </c>
      <c r="H102" s="73">
        <v>8</v>
      </c>
      <c r="I102" s="73">
        <v>8</v>
      </c>
      <c r="J102" s="134">
        <v>18</v>
      </c>
      <c r="K102" s="92">
        <f>G102/J102*100</f>
        <v>11.111111111111111</v>
      </c>
      <c r="L102" s="92">
        <f>H102/J102*100</f>
        <v>44.444444444444443</v>
      </c>
      <c r="M102" s="92">
        <f>I102/J102*100</f>
        <v>44.444444444444443</v>
      </c>
      <c r="N102" s="125">
        <f>SUM(K102:M102)</f>
        <v>100</v>
      </c>
      <c r="O102" s="91">
        <v>4.5</v>
      </c>
      <c r="P102" s="92">
        <v>27.5</v>
      </c>
      <c r="Q102" s="92">
        <v>26.5</v>
      </c>
      <c r="R102" s="93">
        <f>SUM(O102:Q102)</f>
        <v>58.5</v>
      </c>
      <c r="S102" s="97">
        <v>3</v>
      </c>
      <c r="T102" s="95">
        <v>37696</v>
      </c>
      <c r="U102" s="85">
        <v>37728</v>
      </c>
      <c r="V102" s="82" t="s">
        <v>108</v>
      </c>
      <c r="W102" s="73" t="s">
        <v>75</v>
      </c>
      <c r="X102" s="73" t="s">
        <v>18</v>
      </c>
      <c r="Y102" s="83">
        <v>27.5</v>
      </c>
      <c r="Z102" s="73" t="s">
        <v>112</v>
      </c>
      <c r="AA102" s="73" t="s">
        <v>20</v>
      </c>
      <c r="AB102" s="73" t="s">
        <v>12</v>
      </c>
      <c r="AC102" s="73">
        <v>26.5</v>
      </c>
      <c r="AD102" s="82" t="s">
        <v>110</v>
      </c>
      <c r="AE102" s="73" t="s">
        <v>90</v>
      </c>
      <c r="AF102" s="73" t="s">
        <v>11</v>
      </c>
      <c r="AG102" s="83">
        <v>4.5</v>
      </c>
      <c r="AL102" s="82"/>
      <c r="AO102" s="83"/>
      <c r="AP102" s="82"/>
      <c r="AS102" s="83"/>
      <c r="AW102" s="83"/>
      <c r="BA102" s="84"/>
    </row>
    <row r="103" spans="1:53" s="334" customFormat="1">
      <c r="A103" s="334">
        <v>2003</v>
      </c>
      <c r="B103" s="355">
        <v>37796</v>
      </c>
      <c r="C103" s="992" t="s">
        <v>376</v>
      </c>
      <c r="D103" s="992"/>
      <c r="E103" s="334">
        <v>191</v>
      </c>
      <c r="F103" s="334">
        <v>2</v>
      </c>
      <c r="G103" s="419">
        <v>2</v>
      </c>
      <c r="H103" s="334">
        <v>8</v>
      </c>
      <c r="I103" s="334">
        <v>8</v>
      </c>
      <c r="J103" s="435">
        <v>18</v>
      </c>
      <c r="K103" s="384">
        <f t="shared" si="28"/>
        <v>11.111111111111111</v>
      </c>
      <c r="L103" s="384">
        <f t="shared" si="29"/>
        <v>44.444444444444443</v>
      </c>
      <c r="M103" s="384">
        <f t="shared" si="30"/>
        <v>44.444444444444443</v>
      </c>
      <c r="N103" s="421">
        <f t="shared" si="26"/>
        <v>100</v>
      </c>
      <c r="O103" s="383">
        <v>4.5</v>
      </c>
      <c r="P103" s="384">
        <v>27.5</v>
      </c>
      <c r="Q103" s="384">
        <v>26.5</v>
      </c>
      <c r="R103" s="385">
        <f t="shared" si="27"/>
        <v>58.5</v>
      </c>
      <c r="S103" s="388">
        <v>3</v>
      </c>
      <c r="T103" s="342"/>
      <c r="U103" s="355">
        <v>37796</v>
      </c>
      <c r="V103" s="343" t="s">
        <v>108</v>
      </c>
      <c r="W103" s="334" t="s">
        <v>75</v>
      </c>
      <c r="X103" s="334" t="s">
        <v>18</v>
      </c>
      <c r="Y103" s="344">
        <v>27.5</v>
      </c>
      <c r="Z103" s="334" t="s">
        <v>112</v>
      </c>
      <c r="AA103" s="334" t="s">
        <v>20</v>
      </c>
      <c r="AB103" s="334" t="s">
        <v>12</v>
      </c>
      <c r="AC103" s="334">
        <v>26.5</v>
      </c>
      <c r="AD103" s="343" t="s">
        <v>110</v>
      </c>
      <c r="AE103" s="334" t="s">
        <v>90</v>
      </c>
      <c r="AF103" s="334" t="s">
        <v>11</v>
      </c>
      <c r="AG103" s="344">
        <v>4.5</v>
      </c>
      <c r="AL103" s="343"/>
      <c r="AO103" s="344"/>
      <c r="AP103" s="343"/>
      <c r="AS103" s="344"/>
      <c r="AW103" s="344"/>
      <c r="BA103" s="345"/>
    </row>
    <row r="104" spans="1:53" s="334" customFormat="1">
      <c r="A104" s="334">
        <v>2004</v>
      </c>
      <c r="C104" s="992" t="s">
        <v>376</v>
      </c>
      <c r="D104" s="992"/>
      <c r="E104" s="334">
        <v>0</v>
      </c>
      <c r="G104" s="419">
        <v>2</v>
      </c>
      <c r="H104" s="334">
        <v>8</v>
      </c>
      <c r="I104" s="334">
        <v>8</v>
      </c>
      <c r="J104" s="435">
        <v>18</v>
      </c>
      <c r="K104" s="384">
        <f t="shared" si="28"/>
        <v>11.111111111111111</v>
      </c>
      <c r="L104" s="384">
        <f t="shared" si="29"/>
        <v>44.444444444444443</v>
      </c>
      <c r="M104" s="384">
        <f t="shared" si="30"/>
        <v>44.444444444444443</v>
      </c>
      <c r="N104" s="421">
        <f t="shared" si="26"/>
        <v>100</v>
      </c>
      <c r="O104" s="383">
        <v>4.5</v>
      </c>
      <c r="P104" s="384">
        <v>27.5</v>
      </c>
      <c r="Q104" s="384">
        <v>26.5</v>
      </c>
      <c r="R104" s="385">
        <f t="shared" si="27"/>
        <v>58.5</v>
      </c>
      <c r="S104" s="388">
        <v>3</v>
      </c>
      <c r="T104" s="342"/>
      <c r="U104" s="355"/>
      <c r="V104" s="343" t="s">
        <v>108</v>
      </c>
      <c r="W104" s="334" t="s">
        <v>75</v>
      </c>
      <c r="X104" s="334" t="s">
        <v>18</v>
      </c>
      <c r="Y104" s="344">
        <v>27.5</v>
      </c>
      <c r="Z104" s="334" t="s">
        <v>112</v>
      </c>
      <c r="AA104" s="334" t="s">
        <v>20</v>
      </c>
      <c r="AB104" s="334" t="s">
        <v>12</v>
      </c>
      <c r="AC104" s="334">
        <v>26.5</v>
      </c>
      <c r="AD104" s="343" t="s">
        <v>110</v>
      </c>
      <c r="AE104" s="334" t="s">
        <v>90</v>
      </c>
      <c r="AF104" s="334" t="s">
        <v>11</v>
      </c>
      <c r="AG104" s="344">
        <v>4.5</v>
      </c>
      <c r="AL104" s="343"/>
      <c r="AO104" s="344"/>
      <c r="AP104" s="343"/>
      <c r="AS104" s="344"/>
      <c r="AW104" s="344"/>
      <c r="BA104" s="345"/>
    </row>
    <row r="105" spans="1:53" s="334" customFormat="1">
      <c r="A105" s="334">
        <v>2004</v>
      </c>
      <c r="C105" s="992" t="s">
        <v>376</v>
      </c>
      <c r="D105" s="992"/>
      <c r="E105" s="334">
        <v>366</v>
      </c>
      <c r="G105" s="419">
        <v>2</v>
      </c>
      <c r="H105" s="334">
        <v>8</v>
      </c>
      <c r="I105" s="334">
        <v>8</v>
      </c>
      <c r="J105" s="435">
        <v>18</v>
      </c>
      <c r="K105" s="384">
        <f t="shared" si="28"/>
        <v>11.111111111111111</v>
      </c>
      <c r="L105" s="384">
        <f t="shared" si="29"/>
        <v>44.444444444444443</v>
      </c>
      <c r="M105" s="384">
        <f t="shared" si="30"/>
        <v>44.444444444444443</v>
      </c>
      <c r="N105" s="421">
        <f t="shared" si="26"/>
        <v>100</v>
      </c>
      <c r="O105" s="383">
        <v>4.5</v>
      </c>
      <c r="P105" s="384">
        <v>27.5</v>
      </c>
      <c r="Q105" s="384">
        <v>26.5</v>
      </c>
      <c r="R105" s="385">
        <f t="shared" si="27"/>
        <v>58.5</v>
      </c>
      <c r="S105" s="388">
        <v>3</v>
      </c>
      <c r="T105" s="342"/>
      <c r="U105" s="355"/>
      <c r="V105" s="343" t="s">
        <v>108</v>
      </c>
      <c r="W105" s="334" t="s">
        <v>75</v>
      </c>
      <c r="X105" s="334" t="s">
        <v>18</v>
      </c>
      <c r="Y105" s="344">
        <v>27.5</v>
      </c>
      <c r="Z105" s="334" t="s">
        <v>112</v>
      </c>
      <c r="AA105" s="334" t="s">
        <v>20</v>
      </c>
      <c r="AB105" s="334" t="s">
        <v>12</v>
      </c>
      <c r="AC105" s="334">
        <v>26.5</v>
      </c>
      <c r="AD105" s="343" t="s">
        <v>110</v>
      </c>
      <c r="AE105" s="334" t="s">
        <v>90</v>
      </c>
      <c r="AF105" s="334" t="s">
        <v>11</v>
      </c>
      <c r="AG105" s="344">
        <v>4.5</v>
      </c>
      <c r="AL105" s="343"/>
      <c r="AO105" s="344"/>
      <c r="AP105" s="343"/>
      <c r="AS105" s="344"/>
      <c r="AW105" s="344"/>
      <c r="BA105" s="345"/>
    </row>
    <row r="106" spans="1:53" s="334" customFormat="1">
      <c r="A106" s="334">
        <v>2005</v>
      </c>
      <c r="C106" s="992" t="s">
        <v>376</v>
      </c>
      <c r="D106" s="992"/>
      <c r="E106" s="334">
        <v>0</v>
      </c>
      <c r="G106" s="419">
        <v>2</v>
      </c>
      <c r="H106" s="334">
        <v>8</v>
      </c>
      <c r="I106" s="334">
        <v>8</v>
      </c>
      <c r="J106" s="435">
        <v>18</v>
      </c>
      <c r="K106" s="384">
        <f t="shared" si="28"/>
        <v>11.111111111111111</v>
      </c>
      <c r="L106" s="384">
        <f t="shared" si="29"/>
        <v>44.444444444444443</v>
      </c>
      <c r="M106" s="384">
        <f t="shared" si="30"/>
        <v>44.444444444444443</v>
      </c>
      <c r="N106" s="421">
        <f t="shared" si="26"/>
        <v>100</v>
      </c>
      <c r="O106" s="383">
        <v>4.5</v>
      </c>
      <c r="P106" s="384">
        <v>27.5</v>
      </c>
      <c r="Q106" s="384">
        <v>26.5</v>
      </c>
      <c r="R106" s="385">
        <f t="shared" si="27"/>
        <v>58.5</v>
      </c>
      <c r="S106" s="388">
        <v>3</v>
      </c>
      <c r="T106" s="342"/>
      <c r="U106" s="355"/>
      <c r="V106" s="343" t="s">
        <v>108</v>
      </c>
      <c r="W106" s="334" t="s">
        <v>75</v>
      </c>
      <c r="X106" s="334" t="s">
        <v>18</v>
      </c>
      <c r="Y106" s="344">
        <v>27.5</v>
      </c>
      <c r="Z106" s="334" t="s">
        <v>112</v>
      </c>
      <c r="AA106" s="334" t="s">
        <v>20</v>
      </c>
      <c r="AB106" s="334" t="s">
        <v>12</v>
      </c>
      <c r="AC106" s="334">
        <v>26.5</v>
      </c>
      <c r="AD106" s="343" t="s">
        <v>110</v>
      </c>
      <c r="AE106" s="334" t="s">
        <v>90</v>
      </c>
      <c r="AF106" s="334" t="s">
        <v>11</v>
      </c>
      <c r="AG106" s="344">
        <v>4.5</v>
      </c>
      <c r="AL106" s="343"/>
      <c r="AO106" s="344"/>
      <c r="AP106" s="343"/>
      <c r="AS106" s="344"/>
      <c r="AW106" s="344"/>
      <c r="BA106" s="345"/>
    </row>
    <row r="107" spans="1:53" s="334" customFormat="1">
      <c r="A107" s="334">
        <v>2005</v>
      </c>
      <c r="C107" s="992" t="s">
        <v>376</v>
      </c>
      <c r="D107" s="992"/>
      <c r="E107" s="334">
        <f>365-E106</f>
        <v>365</v>
      </c>
      <c r="G107" s="419">
        <v>2</v>
      </c>
      <c r="H107" s="334">
        <v>8</v>
      </c>
      <c r="I107" s="334">
        <v>8</v>
      </c>
      <c r="J107" s="435">
        <v>18</v>
      </c>
      <c r="K107" s="384">
        <f t="shared" si="28"/>
        <v>11.111111111111111</v>
      </c>
      <c r="L107" s="384">
        <f t="shared" si="29"/>
        <v>44.444444444444443</v>
      </c>
      <c r="M107" s="384">
        <f t="shared" si="30"/>
        <v>44.444444444444443</v>
      </c>
      <c r="N107" s="421">
        <f t="shared" si="26"/>
        <v>100</v>
      </c>
      <c r="O107" s="383">
        <v>4.5</v>
      </c>
      <c r="P107" s="384">
        <v>27.5</v>
      </c>
      <c r="Q107" s="384">
        <v>26.5</v>
      </c>
      <c r="R107" s="385">
        <f t="shared" si="27"/>
        <v>58.5</v>
      </c>
      <c r="S107" s="388">
        <v>3</v>
      </c>
      <c r="T107" s="342"/>
      <c r="U107" s="355"/>
      <c r="V107" s="343" t="s">
        <v>108</v>
      </c>
      <c r="W107" s="334" t="s">
        <v>75</v>
      </c>
      <c r="X107" s="334" t="s">
        <v>18</v>
      </c>
      <c r="Y107" s="344">
        <v>27.5</v>
      </c>
      <c r="Z107" s="334" t="s">
        <v>112</v>
      </c>
      <c r="AA107" s="334" t="s">
        <v>20</v>
      </c>
      <c r="AB107" s="334" t="s">
        <v>12</v>
      </c>
      <c r="AC107" s="334">
        <v>26.5</v>
      </c>
      <c r="AD107" s="343" t="s">
        <v>110</v>
      </c>
      <c r="AE107" s="334" t="s">
        <v>90</v>
      </c>
      <c r="AF107" s="334" t="s">
        <v>11</v>
      </c>
      <c r="AG107" s="344">
        <v>4.5</v>
      </c>
      <c r="AL107" s="343"/>
      <c r="AO107" s="344"/>
      <c r="AP107" s="343"/>
      <c r="AS107" s="344"/>
      <c r="AW107" s="344"/>
      <c r="BA107" s="345"/>
    </row>
    <row r="108" spans="1:53" s="334" customFormat="1">
      <c r="A108" s="334">
        <v>2006</v>
      </c>
      <c r="C108" s="992" t="s">
        <v>376</v>
      </c>
      <c r="D108" s="992"/>
      <c r="E108" s="334">
        <v>0</v>
      </c>
      <c r="G108" s="419">
        <v>2</v>
      </c>
      <c r="H108" s="334">
        <v>8</v>
      </c>
      <c r="I108" s="334">
        <v>8</v>
      </c>
      <c r="J108" s="435">
        <v>18</v>
      </c>
      <c r="K108" s="384">
        <f t="shared" ref="K108:K117" si="31">G108/J108*100</f>
        <v>11.111111111111111</v>
      </c>
      <c r="L108" s="384">
        <f t="shared" ref="L108:L117" si="32">H108/J108*100</f>
        <v>44.444444444444443</v>
      </c>
      <c r="M108" s="384">
        <f t="shared" ref="M108:M117" si="33">I108/J108*100</f>
        <v>44.444444444444443</v>
      </c>
      <c r="N108" s="421">
        <f t="shared" si="26"/>
        <v>100</v>
      </c>
      <c r="O108" s="383">
        <v>4.5</v>
      </c>
      <c r="P108" s="384">
        <v>27.5</v>
      </c>
      <c r="Q108" s="384">
        <v>26.5</v>
      </c>
      <c r="R108" s="385">
        <f t="shared" si="27"/>
        <v>58.5</v>
      </c>
      <c r="S108" s="388">
        <v>3</v>
      </c>
      <c r="T108" s="342"/>
      <c r="U108" s="355"/>
      <c r="V108" s="343" t="s">
        <v>108</v>
      </c>
      <c r="W108" s="334" t="s">
        <v>75</v>
      </c>
      <c r="X108" s="334" t="s">
        <v>18</v>
      </c>
      <c r="Y108" s="344">
        <v>27.5</v>
      </c>
      <c r="Z108" s="334" t="s">
        <v>112</v>
      </c>
      <c r="AA108" s="334" t="s">
        <v>20</v>
      </c>
      <c r="AB108" s="334" t="s">
        <v>12</v>
      </c>
      <c r="AC108" s="334">
        <v>26.5</v>
      </c>
      <c r="AD108" s="343" t="s">
        <v>110</v>
      </c>
      <c r="AE108" s="334" t="s">
        <v>90</v>
      </c>
      <c r="AF108" s="334" t="s">
        <v>11</v>
      </c>
      <c r="AG108" s="344">
        <v>4.5</v>
      </c>
      <c r="AL108" s="343"/>
      <c r="AO108" s="344"/>
      <c r="AP108" s="343"/>
      <c r="AS108" s="344"/>
      <c r="AW108" s="344"/>
      <c r="BA108" s="345"/>
    </row>
    <row r="109" spans="1:53" s="334" customFormat="1">
      <c r="A109" s="334">
        <v>2006</v>
      </c>
      <c r="C109" s="992" t="s">
        <v>376</v>
      </c>
      <c r="D109" s="992"/>
      <c r="E109" s="334">
        <v>365</v>
      </c>
      <c r="G109" s="419">
        <v>2</v>
      </c>
      <c r="H109" s="334">
        <v>8</v>
      </c>
      <c r="I109" s="334">
        <v>8</v>
      </c>
      <c r="J109" s="435">
        <v>18</v>
      </c>
      <c r="K109" s="384">
        <f t="shared" si="31"/>
        <v>11.111111111111111</v>
      </c>
      <c r="L109" s="384">
        <f t="shared" si="32"/>
        <v>44.444444444444443</v>
      </c>
      <c r="M109" s="384">
        <f t="shared" si="33"/>
        <v>44.444444444444443</v>
      </c>
      <c r="N109" s="421">
        <f t="shared" si="26"/>
        <v>100</v>
      </c>
      <c r="O109" s="383">
        <v>4.5</v>
      </c>
      <c r="P109" s="384">
        <v>27.5</v>
      </c>
      <c r="Q109" s="384">
        <v>26.5</v>
      </c>
      <c r="R109" s="385">
        <f t="shared" si="27"/>
        <v>58.5</v>
      </c>
      <c r="S109" s="388">
        <v>3</v>
      </c>
      <c r="T109" s="342"/>
      <c r="U109" s="355"/>
      <c r="V109" s="343" t="s">
        <v>108</v>
      </c>
      <c r="W109" s="334" t="s">
        <v>75</v>
      </c>
      <c r="X109" s="334" t="s">
        <v>18</v>
      </c>
      <c r="Y109" s="344">
        <v>27.5</v>
      </c>
      <c r="Z109" s="334" t="s">
        <v>112</v>
      </c>
      <c r="AA109" s="334" t="s">
        <v>20</v>
      </c>
      <c r="AB109" s="334" t="s">
        <v>12</v>
      </c>
      <c r="AC109" s="334">
        <v>26.5</v>
      </c>
      <c r="AD109" s="343" t="s">
        <v>110</v>
      </c>
      <c r="AE109" s="334" t="s">
        <v>90</v>
      </c>
      <c r="AF109" s="334" t="s">
        <v>11</v>
      </c>
      <c r="AG109" s="344">
        <v>4.5</v>
      </c>
      <c r="AL109" s="343"/>
      <c r="AO109" s="344"/>
      <c r="AP109" s="343"/>
      <c r="AS109" s="344"/>
      <c r="AW109" s="344"/>
      <c r="BA109" s="345"/>
    </row>
    <row r="110" spans="1:53" s="334" customFormat="1">
      <c r="A110" s="334">
        <v>2007</v>
      </c>
      <c r="C110" s="992" t="s">
        <v>376</v>
      </c>
      <c r="D110" s="992"/>
      <c r="E110" s="334">
        <v>108</v>
      </c>
      <c r="G110" s="419">
        <v>2</v>
      </c>
      <c r="H110" s="334">
        <v>8</v>
      </c>
      <c r="I110" s="334">
        <v>8</v>
      </c>
      <c r="J110" s="435">
        <v>18</v>
      </c>
      <c r="K110" s="384">
        <f t="shared" si="31"/>
        <v>11.111111111111111</v>
      </c>
      <c r="L110" s="384">
        <f t="shared" si="32"/>
        <v>44.444444444444443</v>
      </c>
      <c r="M110" s="384">
        <f t="shared" si="33"/>
        <v>44.444444444444443</v>
      </c>
      <c r="N110" s="421">
        <f t="shared" si="26"/>
        <v>100</v>
      </c>
      <c r="O110" s="383">
        <v>4.5</v>
      </c>
      <c r="P110" s="384">
        <v>27.5</v>
      </c>
      <c r="Q110" s="384">
        <v>26.5</v>
      </c>
      <c r="R110" s="385">
        <f t="shared" si="27"/>
        <v>58.5</v>
      </c>
      <c r="S110" s="388">
        <v>3</v>
      </c>
      <c r="T110" s="342"/>
      <c r="U110" s="355"/>
      <c r="V110" s="343" t="s">
        <v>108</v>
      </c>
      <c r="W110" s="334" t="s">
        <v>75</v>
      </c>
      <c r="X110" s="334" t="s">
        <v>18</v>
      </c>
      <c r="Y110" s="344">
        <v>27.5</v>
      </c>
      <c r="Z110" s="334" t="s">
        <v>112</v>
      </c>
      <c r="AA110" s="334" t="s">
        <v>20</v>
      </c>
      <c r="AB110" s="334" t="s">
        <v>12</v>
      </c>
      <c r="AC110" s="334">
        <v>26.5</v>
      </c>
      <c r="AD110" s="343" t="s">
        <v>110</v>
      </c>
      <c r="AE110" s="334" t="s">
        <v>90</v>
      </c>
      <c r="AF110" s="334" t="s">
        <v>11</v>
      </c>
      <c r="AG110" s="344">
        <v>4.5</v>
      </c>
      <c r="AL110" s="343"/>
      <c r="AO110" s="344"/>
      <c r="AP110" s="343"/>
      <c r="AS110" s="344"/>
      <c r="AW110" s="344"/>
      <c r="BA110" s="345"/>
    </row>
    <row r="111" spans="1:53" s="73" customFormat="1">
      <c r="A111" s="73">
        <v>2007</v>
      </c>
      <c r="B111" s="85">
        <v>39191</v>
      </c>
      <c r="C111" s="988" t="s">
        <v>377</v>
      </c>
      <c r="D111" s="988"/>
      <c r="E111" s="73">
        <f>365-E110</f>
        <v>257</v>
      </c>
      <c r="F111" s="73">
        <v>1</v>
      </c>
      <c r="G111" s="123">
        <v>10</v>
      </c>
      <c r="H111" s="73">
        <v>8</v>
      </c>
      <c r="I111" s="73">
        <v>2</v>
      </c>
      <c r="J111" s="134">
        <v>20</v>
      </c>
      <c r="K111" s="92">
        <f t="shared" si="31"/>
        <v>50</v>
      </c>
      <c r="L111" s="92">
        <f t="shared" si="32"/>
        <v>40</v>
      </c>
      <c r="M111" s="92">
        <f t="shared" si="33"/>
        <v>10</v>
      </c>
      <c r="N111" s="125">
        <f t="shared" si="26"/>
        <v>100</v>
      </c>
      <c r="O111" s="91">
        <v>30</v>
      </c>
      <c r="P111" s="92">
        <v>25.5</v>
      </c>
      <c r="Q111" s="92">
        <v>7.5</v>
      </c>
      <c r="R111" s="93">
        <f t="shared" si="27"/>
        <v>63</v>
      </c>
      <c r="S111" s="97">
        <v>3</v>
      </c>
      <c r="T111" s="95">
        <v>39159</v>
      </c>
      <c r="U111" s="85">
        <v>39191</v>
      </c>
      <c r="V111" s="82" t="s">
        <v>108</v>
      </c>
      <c r="W111" s="73" t="s">
        <v>75</v>
      </c>
      <c r="X111" s="73" t="s">
        <v>18</v>
      </c>
      <c r="Y111" s="83">
        <v>25.5</v>
      </c>
      <c r="Z111" s="82" t="s">
        <v>109</v>
      </c>
      <c r="AA111" s="73" t="s">
        <v>74</v>
      </c>
      <c r="AB111" s="73" t="s">
        <v>11</v>
      </c>
      <c r="AC111" s="73">
        <v>25</v>
      </c>
      <c r="AD111" s="82" t="s">
        <v>110</v>
      </c>
      <c r="AE111" s="73" t="s">
        <v>90</v>
      </c>
      <c r="AF111" s="73" t="s">
        <v>11</v>
      </c>
      <c r="AG111" s="83">
        <v>5</v>
      </c>
      <c r="AH111" s="82" t="s">
        <v>372</v>
      </c>
      <c r="AI111" s="73" t="s">
        <v>218</v>
      </c>
      <c r="AJ111" s="73" t="s">
        <v>12</v>
      </c>
      <c r="AK111" s="73">
        <v>7.5</v>
      </c>
      <c r="AL111" s="82"/>
      <c r="AO111" s="83"/>
      <c r="AP111" s="82"/>
      <c r="AS111" s="83"/>
      <c r="AW111" s="83"/>
      <c r="BA111" s="84"/>
    </row>
    <row r="112" spans="1:53" s="73" customFormat="1">
      <c r="A112" s="73">
        <v>2008</v>
      </c>
      <c r="C112" s="988" t="s">
        <v>377</v>
      </c>
      <c r="D112" s="988"/>
      <c r="E112" s="73">
        <v>0</v>
      </c>
      <c r="G112" s="123">
        <v>10</v>
      </c>
      <c r="H112" s="73">
        <v>8</v>
      </c>
      <c r="I112" s="73">
        <v>2</v>
      </c>
      <c r="J112" s="134">
        <v>20</v>
      </c>
      <c r="K112" s="92">
        <f t="shared" si="31"/>
        <v>50</v>
      </c>
      <c r="L112" s="92">
        <f t="shared" si="32"/>
        <v>40</v>
      </c>
      <c r="M112" s="92">
        <f t="shared" si="33"/>
        <v>10</v>
      </c>
      <c r="N112" s="125">
        <f t="shared" si="26"/>
        <v>100</v>
      </c>
      <c r="O112" s="91">
        <v>30</v>
      </c>
      <c r="P112" s="92">
        <v>25.5</v>
      </c>
      <c r="Q112" s="92">
        <v>7.5</v>
      </c>
      <c r="R112" s="93">
        <f t="shared" si="27"/>
        <v>63</v>
      </c>
      <c r="S112" s="97">
        <v>3</v>
      </c>
      <c r="T112" s="95"/>
      <c r="U112" s="85"/>
      <c r="V112" s="82" t="s">
        <v>108</v>
      </c>
      <c r="W112" s="73" t="s">
        <v>75</v>
      </c>
      <c r="X112" s="73" t="s">
        <v>18</v>
      </c>
      <c r="Y112" s="83">
        <v>25.5</v>
      </c>
      <c r="Z112" s="82" t="s">
        <v>109</v>
      </c>
      <c r="AA112" s="73" t="s">
        <v>74</v>
      </c>
      <c r="AB112" s="73" t="s">
        <v>11</v>
      </c>
      <c r="AC112" s="73">
        <v>25</v>
      </c>
      <c r="AD112" s="82" t="s">
        <v>110</v>
      </c>
      <c r="AE112" s="73" t="s">
        <v>90</v>
      </c>
      <c r="AF112" s="73" t="s">
        <v>11</v>
      </c>
      <c r="AG112" s="83">
        <v>5</v>
      </c>
      <c r="AH112" s="82" t="s">
        <v>372</v>
      </c>
      <c r="AI112" s="73" t="s">
        <v>218</v>
      </c>
      <c r="AJ112" s="73" t="s">
        <v>12</v>
      </c>
      <c r="AK112" s="73">
        <v>7.5</v>
      </c>
      <c r="AL112" s="82"/>
      <c r="AO112" s="83"/>
      <c r="AP112" s="82"/>
      <c r="AS112" s="83"/>
      <c r="AW112" s="83"/>
      <c r="BA112" s="84"/>
    </row>
    <row r="113" spans="1:53" s="73" customFormat="1">
      <c r="A113" s="73">
        <v>2008</v>
      </c>
      <c r="C113" s="988" t="s">
        <v>377</v>
      </c>
      <c r="D113" s="988"/>
      <c r="E113" s="73">
        <v>366</v>
      </c>
      <c r="G113" s="123">
        <v>10</v>
      </c>
      <c r="H113" s="73">
        <v>8</v>
      </c>
      <c r="I113" s="73">
        <v>2</v>
      </c>
      <c r="J113" s="134">
        <v>20</v>
      </c>
      <c r="K113" s="92">
        <f t="shared" si="31"/>
        <v>50</v>
      </c>
      <c r="L113" s="92">
        <f t="shared" si="32"/>
        <v>40</v>
      </c>
      <c r="M113" s="92">
        <f t="shared" si="33"/>
        <v>10</v>
      </c>
      <c r="N113" s="125">
        <f t="shared" si="26"/>
        <v>100</v>
      </c>
      <c r="O113" s="91">
        <v>30</v>
      </c>
      <c r="P113" s="92">
        <v>25.5</v>
      </c>
      <c r="Q113" s="92">
        <v>7.5</v>
      </c>
      <c r="R113" s="93">
        <f t="shared" si="27"/>
        <v>63</v>
      </c>
      <c r="S113" s="97">
        <v>3</v>
      </c>
      <c r="T113" s="95"/>
      <c r="U113" s="85"/>
      <c r="V113" s="82" t="s">
        <v>108</v>
      </c>
      <c r="W113" s="73" t="s">
        <v>75</v>
      </c>
      <c r="X113" s="73" t="s">
        <v>18</v>
      </c>
      <c r="Y113" s="83">
        <v>25.5</v>
      </c>
      <c r="Z113" s="82" t="s">
        <v>109</v>
      </c>
      <c r="AA113" s="73" t="s">
        <v>74</v>
      </c>
      <c r="AB113" s="73" t="s">
        <v>11</v>
      </c>
      <c r="AC113" s="73">
        <v>25</v>
      </c>
      <c r="AD113" s="82" t="s">
        <v>110</v>
      </c>
      <c r="AE113" s="73" t="s">
        <v>90</v>
      </c>
      <c r="AF113" s="73" t="s">
        <v>11</v>
      </c>
      <c r="AG113" s="83">
        <v>5</v>
      </c>
      <c r="AH113" s="82" t="s">
        <v>372</v>
      </c>
      <c r="AI113" s="73" t="s">
        <v>218</v>
      </c>
      <c r="AJ113" s="73" t="s">
        <v>12</v>
      </c>
      <c r="AK113" s="73">
        <v>7.5</v>
      </c>
      <c r="AL113" s="82"/>
      <c r="AO113" s="83"/>
      <c r="AP113" s="82"/>
      <c r="AS113" s="83"/>
      <c r="AW113" s="83"/>
      <c r="BA113" s="84"/>
    </row>
    <row r="114" spans="1:53" s="73" customFormat="1">
      <c r="A114" s="73">
        <v>2009</v>
      </c>
      <c r="C114" s="988" t="s">
        <v>377</v>
      </c>
      <c r="D114" s="988"/>
      <c r="E114" s="73">
        <v>0</v>
      </c>
      <c r="G114" s="123">
        <v>10</v>
      </c>
      <c r="H114" s="73">
        <v>8</v>
      </c>
      <c r="I114" s="73">
        <v>2</v>
      </c>
      <c r="J114" s="134">
        <v>20</v>
      </c>
      <c r="K114" s="92">
        <f t="shared" si="31"/>
        <v>50</v>
      </c>
      <c r="L114" s="92">
        <f t="shared" si="32"/>
        <v>40</v>
      </c>
      <c r="M114" s="92">
        <f t="shared" si="33"/>
        <v>10</v>
      </c>
      <c r="N114" s="125">
        <f t="shared" si="26"/>
        <v>100</v>
      </c>
      <c r="O114" s="91">
        <v>30</v>
      </c>
      <c r="P114" s="92">
        <v>25.5</v>
      </c>
      <c r="Q114" s="92">
        <v>7.5</v>
      </c>
      <c r="R114" s="93">
        <f t="shared" si="27"/>
        <v>63</v>
      </c>
      <c r="S114" s="97">
        <v>3</v>
      </c>
      <c r="T114" s="95"/>
      <c r="U114" s="85"/>
      <c r="V114" s="82" t="s">
        <v>108</v>
      </c>
      <c r="W114" s="73" t="s">
        <v>75</v>
      </c>
      <c r="X114" s="73" t="s">
        <v>18</v>
      </c>
      <c r="Y114" s="83">
        <v>25.5</v>
      </c>
      <c r="Z114" s="82" t="s">
        <v>109</v>
      </c>
      <c r="AA114" s="73" t="s">
        <v>74</v>
      </c>
      <c r="AB114" s="73" t="s">
        <v>11</v>
      </c>
      <c r="AC114" s="73">
        <v>25</v>
      </c>
      <c r="AD114" s="82" t="s">
        <v>110</v>
      </c>
      <c r="AE114" s="73" t="s">
        <v>90</v>
      </c>
      <c r="AF114" s="73" t="s">
        <v>11</v>
      </c>
      <c r="AG114" s="83">
        <v>5</v>
      </c>
      <c r="AH114" s="82" t="s">
        <v>372</v>
      </c>
      <c r="AI114" s="73" t="s">
        <v>218</v>
      </c>
      <c r="AJ114" s="73" t="s">
        <v>12</v>
      </c>
      <c r="AK114" s="73">
        <v>7.5</v>
      </c>
      <c r="AL114" s="82"/>
      <c r="AO114" s="83"/>
      <c r="AP114" s="82"/>
      <c r="AS114" s="83"/>
      <c r="AW114" s="83"/>
      <c r="BA114" s="84"/>
    </row>
    <row r="115" spans="1:53" s="73" customFormat="1">
      <c r="A115" s="73">
        <v>2009</v>
      </c>
      <c r="C115" s="988" t="s">
        <v>377</v>
      </c>
      <c r="D115" s="988"/>
      <c r="E115" s="73">
        <v>365</v>
      </c>
      <c r="G115" s="123">
        <v>10</v>
      </c>
      <c r="H115" s="73">
        <v>8</v>
      </c>
      <c r="I115" s="73">
        <v>2</v>
      </c>
      <c r="J115" s="134">
        <v>20</v>
      </c>
      <c r="K115" s="92">
        <f t="shared" si="31"/>
        <v>50</v>
      </c>
      <c r="L115" s="92">
        <f t="shared" si="32"/>
        <v>40</v>
      </c>
      <c r="M115" s="92">
        <f t="shared" si="33"/>
        <v>10</v>
      </c>
      <c r="N115" s="125">
        <f t="shared" si="26"/>
        <v>100</v>
      </c>
      <c r="O115" s="91">
        <v>30</v>
      </c>
      <c r="P115" s="92">
        <v>25.5</v>
      </c>
      <c r="Q115" s="92">
        <v>7.5</v>
      </c>
      <c r="R115" s="93">
        <f t="shared" si="27"/>
        <v>63</v>
      </c>
      <c r="S115" s="97">
        <v>3</v>
      </c>
      <c r="T115" s="95"/>
      <c r="U115" s="85"/>
      <c r="V115" s="82" t="s">
        <v>108</v>
      </c>
      <c r="W115" s="73" t="s">
        <v>75</v>
      </c>
      <c r="X115" s="73" t="s">
        <v>18</v>
      </c>
      <c r="Y115" s="83">
        <v>25.5</v>
      </c>
      <c r="Z115" s="82" t="s">
        <v>109</v>
      </c>
      <c r="AA115" s="73" t="s">
        <v>74</v>
      </c>
      <c r="AB115" s="73" t="s">
        <v>11</v>
      </c>
      <c r="AC115" s="73">
        <v>25</v>
      </c>
      <c r="AD115" s="82" t="s">
        <v>110</v>
      </c>
      <c r="AE115" s="73" t="s">
        <v>90</v>
      </c>
      <c r="AF115" s="73" t="s">
        <v>11</v>
      </c>
      <c r="AG115" s="83">
        <v>5</v>
      </c>
      <c r="AH115" s="82" t="s">
        <v>372</v>
      </c>
      <c r="AI115" s="73" t="s">
        <v>218</v>
      </c>
      <c r="AJ115" s="73" t="s">
        <v>12</v>
      </c>
      <c r="AK115" s="73">
        <v>7.5</v>
      </c>
      <c r="AL115" s="82"/>
      <c r="AO115" s="83"/>
      <c r="AP115" s="82"/>
      <c r="AS115" s="83"/>
      <c r="AW115" s="83"/>
      <c r="BA115" s="84"/>
    </row>
    <row r="116" spans="1:53" s="73" customFormat="1">
      <c r="A116" s="73">
        <v>2010</v>
      </c>
      <c r="C116" s="988" t="s">
        <v>377</v>
      </c>
      <c r="D116" s="988"/>
      <c r="E116" s="73">
        <v>172</v>
      </c>
      <c r="G116" s="123">
        <v>10</v>
      </c>
      <c r="H116" s="73">
        <v>8</v>
      </c>
      <c r="I116" s="73">
        <v>2</v>
      </c>
      <c r="J116" s="134">
        <v>20</v>
      </c>
      <c r="K116" s="92">
        <f t="shared" si="31"/>
        <v>50</v>
      </c>
      <c r="L116" s="92">
        <f t="shared" si="32"/>
        <v>40</v>
      </c>
      <c r="M116" s="92">
        <f t="shared" si="33"/>
        <v>10</v>
      </c>
      <c r="N116" s="125">
        <f t="shared" si="26"/>
        <v>100</v>
      </c>
      <c r="O116" s="91">
        <v>30</v>
      </c>
      <c r="P116" s="92">
        <v>25.5</v>
      </c>
      <c r="Q116" s="92">
        <v>7.5</v>
      </c>
      <c r="R116" s="93">
        <f t="shared" si="27"/>
        <v>63</v>
      </c>
      <c r="S116" s="97">
        <v>3</v>
      </c>
      <c r="T116" s="95"/>
      <c r="U116" s="85"/>
      <c r="V116" s="82" t="s">
        <v>108</v>
      </c>
      <c r="W116" s="73" t="s">
        <v>75</v>
      </c>
      <c r="X116" s="73" t="s">
        <v>18</v>
      </c>
      <c r="Y116" s="83">
        <v>25.5</v>
      </c>
      <c r="Z116" s="82" t="s">
        <v>109</v>
      </c>
      <c r="AA116" s="73" t="s">
        <v>74</v>
      </c>
      <c r="AB116" s="73" t="s">
        <v>11</v>
      </c>
      <c r="AC116" s="73">
        <v>25</v>
      </c>
      <c r="AD116" s="82" t="s">
        <v>110</v>
      </c>
      <c r="AE116" s="73" t="s">
        <v>90</v>
      </c>
      <c r="AF116" s="73" t="s">
        <v>11</v>
      </c>
      <c r="AG116" s="83">
        <v>5</v>
      </c>
      <c r="AH116" s="82" t="s">
        <v>372</v>
      </c>
      <c r="AI116" s="73" t="s">
        <v>218</v>
      </c>
      <c r="AJ116" s="73" t="s">
        <v>12</v>
      </c>
      <c r="AK116" s="73">
        <v>7.5</v>
      </c>
      <c r="AL116" s="82"/>
      <c r="AO116" s="83"/>
      <c r="AP116" s="82"/>
      <c r="AS116" s="83"/>
      <c r="AW116" s="83"/>
      <c r="BA116" s="84"/>
    </row>
    <row r="117" spans="1:53" s="334" customFormat="1">
      <c r="A117" s="334">
        <v>2010</v>
      </c>
      <c r="B117" s="355">
        <v>40351</v>
      </c>
      <c r="C117" s="992" t="s">
        <v>378</v>
      </c>
      <c r="D117" s="992"/>
      <c r="E117" s="334">
        <f>365-E116</f>
        <v>193</v>
      </c>
      <c r="F117" s="334">
        <v>2</v>
      </c>
      <c r="G117" s="419">
        <v>10</v>
      </c>
      <c r="H117" s="334">
        <v>8</v>
      </c>
      <c r="I117" s="334">
        <v>2</v>
      </c>
      <c r="J117" s="435">
        <v>20</v>
      </c>
      <c r="K117" s="384">
        <f t="shared" si="31"/>
        <v>50</v>
      </c>
      <c r="L117" s="384">
        <f t="shared" si="32"/>
        <v>40</v>
      </c>
      <c r="M117" s="384">
        <f t="shared" si="33"/>
        <v>10</v>
      </c>
      <c r="N117" s="421">
        <f t="shared" si="26"/>
        <v>100</v>
      </c>
      <c r="O117" s="383">
        <v>30</v>
      </c>
      <c r="P117" s="384">
        <v>25.5</v>
      </c>
      <c r="Q117" s="384">
        <v>7.5</v>
      </c>
      <c r="R117" s="385">
        <f t="shared" si="27"/>
        <v>63</v>
      </c>
      <c r="S117" s="388">
        <v>3</v>
      </c>
      <c r="T117" s="342"/>
      <c r="U117" s="355">
        <v>40351</v>
      </c>
      <c r="V117" s="343" t="s">
        <v>108</v>
      </c>
      <c r="W117" s="334" t="s">
        <v>75</v>
      </c>
      <c r="X117" s="334" t="s">
        <v>18</v>
      </c>
      <c r="Y117" s="344">
        <v>25.5</v>
      </c>
      <c r="Z117" s="343" t="s">
        <v>109</v>
      </c>
      <c r="AA117" s="334" t="s">
        <v>74</v>
      </c>
      <c r="AB117" s="334" t="s">
        <v>11</v>
      </c>
      <c r="AC117" s="334">
        <v>25</v>
      </c>
      <c r="AD117" s="343" t="s">
        <v>110</v>
      </c>
      <c r="AE117" s="334" t="s">
        <v>90</v>
      </c>
      <c r="AF117" s="334" t="s">
        <v>11</v>
      </c>
      <c r="AG117" s="344">
        <v>5</v>
      </c>
      <c r="AH117" s="343" t="s">
        <v>372</v>
      </c>
      <c r="AI117" s="334" t="s">
        <v>218</v>
      </c>
      <c r="AJ117" s="334" t="s">
        <v>12</v>
      </c>
      <c r="AK117" s="334">
        <v>7.5</v>
      </c>
      <c r="AL117" s="343"/>
      <c r="AO117" s="344"/>
      <c r="AP117" s="343"/>
      <c r="AS117" s="344"/>
      <c r="AW117" s="344"/>
      <c r="BA117" s="345"/>
    </row>
    <row r="118" spans="1:53" s="334" customFormat="1">
      <c r="A118" s="334">
        <v>2011</v>
      </c>
      <c r="C118" s="992" t="s">
        <v>378</v>
      </c>
      <c r="D118" s="992"/>
      <c r="E118" s="334">
        <v>172</v>
      </c>
      <c r="G118" s="419">
        <v>10</v>
      </c>
      <c r="H118" s="334">
        <v>8</v>
      </c>
      <c r="I118" s="334">
        <v>2</v>
      </c>
      <c r="J118" s="435">
        <v>20</v>
      </c>
      <c r="K118" s="384">
        <f t="shared" ref="K118:K123" si="34">G118/J118*100</f>
        <v>50</v>
      </c>
      <c r="L118" s="384">
        <f t="shared" ref="L118:L123" si="35">H118/J118*100</f>
        <v>40</v>
      </c>
      <c r="M118" s="384">
        <f t="shared" ref="M118:M123" si="36">I118/J118*100</f>
        <v>10</v>
      </c>
      <c r="N118" s="421">
        <f t="shared" si="26"/>
        <v>100</v>
      </c>
      <c r="O118" s="383">
        <v>30</v>
      </c>
      <c r="P118" s="384">
        <v>25.5</v>
      </c>
      <c r="Q118" s="384">
        <v>7.5</v>
      </c>
      <c r="R118" s="385">
        <f t="shared" si="27"/>
        <v>63</v>
      </c>
      <c r="S118" s="388">
        <v>3</v>
      </c>
      <c r="T118" s="342"/>
      <c r="U118" s="355"/>
      <c r="V118" s="343" t="s">
        <v>108</v>
      </c>
      <c r="W118" s="334" t="s">
        <v>75</v>
      </c>
      <c r="X118" s="334" t="s">
        <v>18</v>
      </c>
      <c r="Y118" s="344">
        <v>25.5</v>
      </c>
      <c r="Z118" s="343" t="s">
        <v>109</v>
      </c>
      <c r="AA118" s="334" t="s">
        <v>74</v>
      </c>
      <c r="AB118" s="334" t="s">
        <v>11</v>
      </c>
      <c r="AC118" s="334">
        <v>25</v>
      </c>
      <c r="AD118" s="343" t="s">
        <v>110</v>
      </c>
      <c r="AE118" s="334" t="s">
        <v>90</v>
      </c>
      <c r="AF118" s="334" t="s">
        <v>11</v>
      </c>
      <c r="AG118" s="344">
        <v>5</v>
      </c>
      <c r="AH118" s="343" t="s">
        <v>372</v>
      </c>
      <c r="AI118" s="334" t="s">
        <v>218</v>
      </c>
      <c r="AJ118" s="334" t="s">
        <v>12</v>
      </c>
      <c r="AK118" s="334">
        <v>7.5</v>
      </c>
      <c r="AL118" s="343"/>
      <c r="AO118" s="344"/>
      <c r="AP118" s="343"/>
      <c r="AS118" s="344"/>
      <c r="AW118" s="344"/>
      <c r="BA118" s="345"/>
    </row>
    <row r="119" spans="1:53" s="73" customFormat="1">
      <c r="A119" s="73">
        <v>2011</v>
      </c>
      <c r="B119" s="85">
        <v>40716</v>
      </c>
      <c r="C119" s="988" t="s">
        <v>379</v>
      </c>
      <c r="D119" s="988"/>
      <c r="E119" s="73">
        <v>193</v>
      </c>
      <c r="F119" s="73">
        <v>1</v>
      </c>
      <c r="G119" s="123">
        <v>8</v>
      </c>
      <c r="H119" s="73">
        <v>1</v>
      </c>
      <c r="I119" s="73">
        <v>10</v>
      </c>
      <c r="J119" s="134">
        <v>19</v>
      </c>
      <c r="K119" s="92">
        <f t="shared" si="34"/>
        <v>42.105263157894733</v>
      </c>
      <c r="L119" s="92">
        <f t="shared" si="35"/>
        <v>5.2631578947368416</v>
      </c>
      <c r="M119" s="92">
        <f t="shared" si="36"/>
        <v>52.631578947368418</v>
      </c>
      <c r="N119" s="125">
        <f t="shared" si="26"/>
        <v>100</v>
      </c>
      <c r="O119" s="91">
        <v>27</v>
      </c>
      <c r="P119" s="92">
        <v>3</v>
      </c>
      <c r="Q119" s="92">
        <v>33</v>
      </c>
      <c r="R119" s="93">
        <f t="shared" si="27"/>
        <v>63</v>
      </c>
      <c r="S119" s="97">
        <v>3</v>
      </c>
      <c r="T119" s="95">
        <v>40650</v>
      </c>
      <c r="U119" s="85">
        <v>40716</v>
      </c>
      <c r="V119" s="82" t="s">
        <v>109</v>
      </c>
      <c r="W119" s="73" t="s">
        <v>74</v>
      </c>
      <c r="X119" s="73" t="s">
        <v>11</v>
      </c>
      <c r="Y119" s="83">
        <v>22</v>
      </c>
      <c r="Z119" s="73" t="s">
        <v>112</v>
      </c>
      <c r="AA119" s="73" t="s">
        <v>20</v>
      </c>
      <c r="AB119" s="73" t="s">
        <v>12</v>
      </c>
      <c r="AC119" s="73">
        <v>21</v>
      </c>
      <c r="AD119" s="82" t="s">
        <v>110</v>
      </c>
      <c r="AE119" s="73" t="s">
        <v>90</v>
      </c>
      <c r="AF119" s="73" t="s">
        <v>11</v>
      </c>
      <c r="AG119" s="83">
        <v>5</v>
      </c>
      <c r="AH119" s="82" t="s">
        <v>372</v>
      </c>
      <c r="AI119" s="73" t="s">
        <v>218</v>
      </c>
      <c r="AJ119" s="73" t="s">
        <v>12</v>
      </c>
      <c r="AK119" s="73">
        <v>5</v>
      </c>
      <c r="AL119" s="82" t="s">
        <v>371</v>
      </c>
      <c r="AM119" s="73" t="s">
        <v>193</v>
      </c>
      <c r="AN119" s="73" t="s">
        <v>12</v>
      </c>
      <c r="AO119" s="83">
        <v>7</v>
      </c>
      <c r="AP119" s="82" t="s">
        <v>380</v>
      </c>
      <c r="AQ119" s="73" t="s">
        <v>17</v>
      </c>
      <c r="AR119" s="73" t="s">
        <v>18</v>
      </c>
      <c r="AS119" s="83">
        <v>3</v>
      </c>
      <c r="AW119" s="83"/>
      <c r="BA119" s="84"/>
    </row>
    <row r="120" spans="1:53" s="73" customFormat="1">
      <c r="A120" s="73">
        <v>2012</v>
      </c>
      <c r="C120" s="988" t="s">
        <v>379</v>
      </c>
      <c r="D120" s="988"/>
      <c r="E120" s="73">
        <v>0</v>
      </c>
      <c r="G120" s="123">
        <v>8</v>
      </c>
      <c r="H120" s="73">
        <v>1</v>
      </c>
      <c r="I120" s="73">
        <v>10</v>
      </c>
      <c r="J120" s="134">
        <v>19</v>
      </c>
      <c r="K120" s="92">
        <f t="shared" si="34"/>
        <v>42.105263157894733</v>
      </c>
      <c r="L120" s="92">
        <f t="shared" si="35"/>
        <v>5.2631578947368416</v>
      </c>
      <c r="M120" s="92">
        <f t="shared" si="36"/>
        <v>52.631578947368418</v>
      </c>
      <c r="N120" s="125">
        <f t="shared" si="26"/>
        <v>100</v>
      </c>
      <c r="O120" s="91">
        <v>27</v>
      </c>
      <c r="P120" s="92">
        <v>3</v>
      </c>
      <c r="Q120" s="92">
        <v>33</v>
      </c>
      <c r="R120" s="93">
        <f t="shared" si="27"/>
        <v>63</v>
      </c>
      <c r="S120" s="97">
        <v>3</v>
      </c>
      <c r="T120" s="95"/>
      <c r="U120" s="85"/>
      <c r="V120" s="82" t="s">
        <v>109</v>
      </c>
      <c r="W120" s="73" t="s">
        <v>74</v>
      </c>
      <c r="X120" s="73" t="s">
        <v>11</v>
      </c>
      <c r="Y120" s="83">
        <v>22</v>
      </c>
      <c r="Z120" s="73" t="s">
        <v>112</v>
      </c>
      <c r="AA120" s="73" t="s">
        <v>20</v>
      </c>
      <c r="AB120" s="73" t="s">
        <v>12</v>
      </c>
      <c r="AC120" s="73">
        <v>21</v>
      </c>
      <c r="AD120" s="82" t="s">
        <v>110</v>
      </c>
      <c r="AE120" s="73" t="s">
        <v>90</v>
      </c>
      <c r="AF120" s="73" t="s">
        <v>11</v>
      </c>
      <c r="AG120" s="83">
        <v>5</v>
      </c>
      <c r="AH120" s="82" t="s">
        <v>372</v>
      </c>
      <c r="AI120" s="73" t="s">
        <v>218</v>
      </c>
      <c r="AJ120" s="73" t="s">
        <v>12</v>
      </c>
      <c r="AK120" s="73">
        <v>5</v>
      </c>
      <c r="AL120" s="82" t="s">
        <v>371</v>
      </c>
      <c r="AM120" s="73" t="s">
        <v>193</v>
      </c>
      <c r="AN120" s="73" t="s">
        <v>12</v>
      </c>
      <c r="AO120" s="83">
        <v>7</v>
      </c>
      <c r="AP120" s="82" t="s">
        <v>380</v>
      </c>
      <c r="AQ120" s="73" t="s">
        <v>17</v>
      </c>
      <c r="AR120" s="73" t="s">
        <v>18</v>
      </c>
      <c r="AS120" s="83">
        <v>3</v>
      </c>
      <c r="AW120" s="83"/>
      <c r="BA120" s="84"/>
    </row>
    <row r="121" spans="1:53" s="73" customFormat="1">
      <c r="A121" s="73">
        <v>2012</v>
      </c>
      <c r="C121" s="988" t="s">
        <v>379</v>
      </c>
      <c r="D121" s="988"/>
      <c r="E121" s="73">
        <v>366</v>
      </c>
      <c r="G121" s="123">
        <v>8</v>
      </c>
      <c r="H121" s="73">
        <v>1</v>
      </c>
      <c r="I121" s="73">
        <v>10</v>
      </c>
      <c r="J121" s="134">
        <v>19</v>
      </c>
      <c r="K121" s="92">
        <f t="shared" si="34"/>
        <v>42.105263157894733</v>
      </c>
      <c r="L121" s="92">
        <f t="shared" si="35"/>
        <v>5.2631578947368416</v>
      </c>
      <c r="M121" s="92">
        <f t="shared" si="36"/>
        <v>52.631578947368418</v>
      </c>
      <c r="N121" s="125">
        <f t="shared" si="26"/>
        <v>100</v>
      </c>
      <c r="O121" s="91">
        <v>27</v>
      </c>
      <c r="P121" s="92">
        <v>3</v>
      </c>
      <c r="Q121" s="92">
        <v>33</v>
      </c>
      <c r="R121" s="93">
        <f t="shared" si="27"/>
        <v>63</v>
      </c>
      <c r="S121" s="97">
        <v>3</v>
      </c>
      <c r="T121" s="95"/>
      <c r="U121" s="85"/>
      <c r="V121" s="82" t="s">
        <v>109</v>
      </c>
      <c r="W121" s="73" t="s">
        <v>74</v>
      </c>
      <c r="X121" s="73" t="s">
        <v>11</v>
      </c>
      <c r="Y121" s="83">
        <v>22</v>
      </c>
      <c r="Z121" s="73" t="s">
        <v>112</v>
      </c>
      <c r="AA121" s="73" t="s">
        <v>20</v>
      </c>
      <c r="AB121" s="73" t="s">
        <v>12</v>
      </c>
      <c r="AC121" s="73">
        <v>21</v>
      </c>
      <c r="AD121" s="82" t="s">
        <v>110</v>
      </c>
      <c r="AE121" s="73" t="s">
        <v>90</v>
      </c>
      <c r="AF121" s="73" t="s">
        <v>11</v>
      </c>
      <c r="AG121" s="83">
        <v>5</v>
      </c>
      <c r="AH121" s="82" t="s">
        <v>372</v>
      </c>
      <c r="AI121" s="73" t="s">
        <v>218</v>
      </c>
      <c r="AJ121" s="73" t="s">
        <v>12</v>
      </c>
      <c r="AK121" s="73">
        <v>5</v>
      </c>
      <c r="AL121" s="82" t="s">
        <v>371</v>
      </c>
      <c r="AM121" s="73" t="s">
        <v>193</v>
      </c>
      <c r="AN121" s="73" t="s">
        <v>12</v>
      </c>
      <c r="AO121" s="83">
        <v>7</v>
      </c>
      <c r="AP121" s="82" t="s">
        <v>380</v>
      </c>
      <c r="AQ121" s="73" t="s">
        <v>17</v>
      </c>
      <c r="AR121" s="73" t="s">
        <v>18</v>
      </c>
      <c r="AS121" s="83">
        <v>3</v>
      </c>
      <c r="AW121" s="83"/>
      <c r="BA121" s="84"/>
    </row>
    <row r="122" spans="1:53" s="297" customFormat="1">
      <c r="A122" s="297">
        <v>2013</v>
      </c>
      <c r="C122" s="988" t="s">
        <v>379</v>
      </c>
      <c r="D122" s="988"/>
      <c r="E122" s="297">
        <v>0</v>
      </c>
      <c r="G122" s="123">
        <v>8</v>
      </c>
      <c r="H122" s="297">
        <v>1</v>
      </c>
      <c r="I122" s="297">
        <v>10</v>
      </c>
      <c r="J122" s="134">
        <v>19</v>
      </c>
      <c r="K122" s="92">
        <f t="shared" si="34"/>
        <v>42.105263157894733</v>
      </c>
      <c r="L122" s="92">
        <f t="shared" si="35"/>
        <v>5.2631578947368416</v>
      </c>
      <c r="M122" s="92">
        <f t="shared" si="36"/>
        <v>52.631578947368418</v>
      </c>
      <c r="N122" s="125">
        <f t="shared" si="26"/>
        <v>100</v>
      </c>
      <c r="O122" s="91">
        <v>27</v>
      </c>
      <c r="P122" s="92">
        <v>3</v>
      </c>
      <c r="Q122" s="92">
        <v>33</v>
      </c>
      <c r="R122" s="93">
        <f t="shared" ref="R122:R127" si="37">SUM(O122:Q122)</f>
        <v>63</v>
      </c>
      <c r="S122" s="97">
        <v>3</v>
      </c>
      <c r="T122" s="95"/>
      <c r="U122" s="295"/>
      <c r="V122" s="82" t="s">
        <v>109</v>
      </c>
      <c r="W122" s="297" t="s">
        <v>74</v>
      </c>
      <c r="X122" s="297" t="s">
        <v>11</v>
      </c>
      <c r="Y122" s="83">
        <v>22</v>
      </c>
      <c r="Z122" s="297" t="s">
        <v>112</v>
      </c>
      <c r="AA122" s="297" t="s">
        <v>20</v>
      </c>
      <c r="AB122" s="297" t="s">
        <v>12</v>
      </c>
      <c r="AC122" s="297">
        <v>21</v>
      </c>
      <c r="AD122" s="82" t="s">
        <v>110</v>
      </c>
      <c r="AE122" s="297" t="s">
        <v>90</v>
      </c>
      <c r="AF122" s="297" t="s">
        <v>11</v>
      </c>
      <c r="AG122" s="83">
        <v>5</v>
      </c>
      <c r="AH122" s="82" t="s">
        <v>372</v>
      </c>
      <c r="AI122" s="297" t="s">
        <v>218</v>
      </c>
      <c r="AJ122" s="297" t="s">
        <v>12</v>
      </c>
      <c r="AK122" s="297">
        <v>5</v>
      </c>
      <c r="AL122" s="82" t="s">
        <v>371</v>
      </c>
      <c r="AM122" s="297" t="s">
        <v>193</v>
      </c>
      <c r="AN122" s="297" t="s">
        <v>12</v>
      </c>
      <c r="AO122" s="83">
        <v>7</v>
      </c>
      <c r="AP122" s="82" t="s">
        <v>380</v>
      </c>
      <c r="AQ122" s="297" t="s">
        <v>17</v>
      </c>
      <c r="AR122" s="297" t="s">
        <v>18</v>
      </c>
      <c r="AS122" s="83">
        <v>3</v>
      </c>
      <c r="AW122" s="83"/>
      <c r="BA122" s="84"/>
    </row>
    <row r="123" spans="1:53" s="531" customFormat="1">
      <c r="A123" s="531">
        <v>2013</v>
      </c>
      <c r="B123" s="528"/>
      <c r="C123" s="988" t="s">
        <v>379</v>
      </c>
      <c r="D123" s="988"/>
      <c r="E123" s="531">
        <v>365</v>
      </c>
      <c r="G123" s="480">
        <v>8</v>
      </c>
      <c r="H123" s="531">
        <v>1</v>
      </c>
      <c r="I123" s="531">
        <v>10</v>
      </c>
      <c r="J123" s="482">
        <v>19</v>
      </c>
      <c r="K123" s="477">
        <f t="shared" si="34"/>
        <v>42.105263157894733</v>
      </c>
      <c r="L123" s="477">
        <f t="shared" si="35"/>
        <v>5.2631578947368416</v>
      </c>
      <c r="M123" s="477">
        <f t="shared" si="36"/>
        <v>52.631578947368418</v>
      </c>
      <c r="N123" s="481">
        <f t="shared" si="26"/>
        <v>100</v>
      </c>
      <c r="O123" s="476">
        <v>27</v>
      </c>
      <c r="P123" s="477">
        <v>3</v>
      </c>
      <c r="Q123" s="477">
        <v>33</v>
      </c>
      <c r="R123" s="478">
        <f t="shared" si="37"/>
        <v>63</v>
      </c>
      <c r="S123" s="97">
        <v>3</v>
      </c>
      <c r="T123" s="479"/>
      <c r="U123" s="528"/>
      <c r="V123" s="472" t="s">
        <v>109</v>
      </c>
      <c r="W123" s="531" t="s">
        <v>74</v>
      </c>
      <c r="X123" s="531" t="s">
        <v>11</v>
      </c>
      <c r="Y123" s="473">
        <v>22</v>
      </c>
      <c r="Z123" s="531" t="s">
        <v>112</v>
      </c>
      <c r="AA123" s="531" t="s">
        <v>20</v>
      </c>
      <c r="AB123" s="531" t="s">
        <v>12</v>
      </c>
      <c r="AC123" s="531">
        <v>21</v>
      </c>
      <c r="AD123" s="472" t="s">
        <v>110</v>
      </c>
      <c r="AE123" s="531" t="s">
        <v>90</v>
      </c>
      <c r="AF123" s="531" t="s">
        <v>11</v>
      </c>
      <c r="AG123" s="473">
        <v>5</v>
      </c>
      <c r="AH123" s="531" t="s">
        <v>372</v>
      </c>
      <c r="AI123" s="531" t="s">
        <v>218</v>
      </c>
      <c r="AJ123" s="531" t="s">
        <v>12</v>
      </c>
      <c r="AK123" s="531">
        <v>5</v>
      </c>
      <c r="AL123" s="472" t="s">
        <v>371</v>
      </c>
      <c r="AM123" s="531" t="s">
        <v>193</v>
      </c>
      <c r="AN123" s="531" t="s">
        <v>12</v>
      </c>
      <c r="AO123" s="473">
        <v>7</v>
      </c>
      <c r="AP123" s="472" t="s">
        <v>380</v>
      </c>
      <c r="AQ123" s="531" t="s">
        <v>17</v>
      </c>
      <c r="AR123" s="531" t="s">
        <v>18</v>
      </c>
      <c r="AS123" s="473">
        <v>3</v>
      </c>
      <c r="AW123" s="473"/>
      <c r="BA123" s="474"/>
    </row>
    <row r="124" spans="1:53" s="531" customFormat="1">
      <c r="A124" s="531">
        <v>2014</v>
      </c>
      <c r="B124" s="528"/>
      <c r="C124" s="988" t="s">
        <v>379</v>
      </c>
      <c r="D124" s="988"/>
      <c r="E124" s="531">
        <v>93</v>
      </c>
      <c r="G124" s="480">
        <v>8</v>
      </c>
      <c r="H124" s="531">
        <v>1</v>
      </c>
      <c r="I124" s="531">
        <v>10</v>
      </c>
      <c r="J124" s="482">
        <v>19</v>
      </c>
      <c r="K124" s="477">
        <f t="shared" ref="K124:K129" si="38">G124/J124*100</f>
        <v>42.105263157894733</v>
      </c>
      <c r="L124" s="477">
        <f t="shared" ref="L124:L129" si="39">H124/J124*100</f>
        <v>5.2631578947368416</v>
      </c>
      <c r="M124" s="477">
        <f t="shared" ref="M124:M129" si="40">I124/J124*100</f>
        <v>52.631578947368418</v>
      </c>
      <c r="N124" s="481">
        <f t="shared" ref="N124:N129" si="41">SUM(K124:M124)</f>
        <v>100</v>
      </c>
      <c r="O124" s="476">
        <v>27</v>
      </c>
      <c r="P124" s="477">
        <v>3</v>
      </c>
      <c r="Q124" s="477">
        <v>33</v>
      </c>
      <c r="R124" s="478">
        <f t="shared" si="37"/>
        <v>63</v>
      </c>
      <c r="S124" s="97">
        <v>3</v>
      </c>
      <c r="T124" s="479"/>
      <c r="U124" s="528"/>
      <c r="V124" s="472" t="s">
        <v>109</v>
      </c>
      <c r="W124" s="531" t="s">
        <v>74</v>
      </c>
      <c r="X124" s="531" t="s">
        <v>11</v>
      </c>
      <c r="Y124" s="473">
        <v>22</v>
      </c>
      <c r="Z124" s="531" t="s">
        <v>112</v>
      </c>
      <c r="AA124" s="531" t="s">
        <v>20</v>
      </c>
      <c r="AB124" s="531" t="s">
        <v>12</v>
      </c>
      <c r="AC124" s="531">
        <v>21</v>
      </c>
      <c r="AD124" s="472" t="s">
        <v>110</v>
      </c>
      <c r="AE124" s="531" t="s">
        <v>90</v>
      </c>
      <c r="AF124" s="531" t="s">
        <v>11</v>
      </c>
      <c r="AG124" s="473">
        <v>5</v>
      </c>
      <c r="AH124" s="531" t="s">
        <v>372</v>
      </c>
      <c r="AI124" s="531" t="s">
        <v>218</v>
      </c>
      <c r="AJ124" s="531" t="s">
        <v>12</v>
      </c>
      <c r="AK124" s="531">
        <v>5</v>
      </c>
      <c r="AL124" s="472" t="s">
        <v>371</v>
      </c>
      <c r="AM124" s="531" t="s">
        <v>193</v>
      </c>
      <c r="AN124" s="531" t="s">
        <v>12</v>
      </c>
      <c r="AO124" s="473">
        <v>7</v>
      </c>
      <c r="AP124" s="472" t="s">
        <v>380</v>
      </c>
      <c r="AQ124" s="531" t="s">
        <v>17</v>
      </c>
      <c r="AR124" s="531" t="s">
        <v>18</v>
      </c>
      <c r="AS124" s="473">
        <v>3</v>
      </c>
      <c r="AW124" s="473"/>
      <c r="BA124" s="474"/>
    </row>
    <row r="125" spans="1:53" s="531" customFormat="1">
      <c r="A125" s="531">
        <v>2014</v>
      </c>
      <c r="B125" s="483">
        <v>41733</v>
      </c>
      <c r="C125" s="988" t="s">
        <v>379</v>
      </c>
      <c r="D125" s="988"/>
      <c r="E125" s="531">
        <v>81</v>
      </c>
      <c r="F125" s="484">
        <v>0</v>
      </c>
      <c r="G125" s="480">
        <v>9</v>
      </c>
      <c r="H125" s="531">
        <v>1</v>
      </c>
      <c r="I125" s="531">
        <v>9</v>
      </c>
      <c r="J125" s="482">
        <v>19</v>
      </c>
      <c r="K125" s="477">
        <f t="shared" si="38"/>
        <v>47.368421052631575</v>
      </c>
      <c r="L125" s="477">
        <f t="shared" si="39"/>
        <v>5.2631578947368416</v>
      </c>
      <c r="M125" s="477">
        <f t="shared" si="40"/>
        <v>47.368421052631575</v>
      </c>
      <c r="N125" s="481">
        <f t="shared" si="41"/>
        <v>100</v>
      </c>
      <c r="O125" s="476">
        <v>27</v>
      </c>
      <c r="P125" s="477">
        <v>3</v>
      </c>
      <c r="Q125" s="477">
        <v>26</v>
      </c>
      <c r="R125" s="478">
        <f t="shared" si="37"/>
        <v>56</v>
      </c>
      <c r="S125" s="97">
        <v>3</v>
      </c>
      <c r="T125" s="479"/>
      <c r="U125" s="528"/>
      <c r="V125" s="472" t="s">
        <v>109</v>
      </c>
      <c r="W125" s="531" t="s">
        <v>74</v>
      </c>
      <c r="X125" s="531" t="s">
        <v>11</v>
      </c>
      <c r="Y125" s="473">
        <v>22</v>
      </c>
      <c r="Z125" s="531" t="s">
        <v>112</v>
      </c>
      <c r="AA125" s="531" t="s">
        <v>20</v>
      </c>
      <c r="AB125" s="531" t="s">
        <v>12</v>
      </c>
      <c r="AC125" s="531">
        <v>21</v>
      </c>
      <c r="AD125" s="472" t="s">
        <v>110</v>
      </c>
      <c r="AE125" s="531" t="s">
        <v>90</v>
      </c>
      <c r="AF125" s="531" t="s">
        <v>11</v>
      </c>
      <c r="AG125" s="473">
        <v>5</v>
      </c>
      <c r="AH125" s="531" t="s">
        <v>372</v>
      </c>
      <c r="AI125" s="531" t="s">
        <v>218</v>
      </c>
      <c r="AJ125" s="531" t="s">
        <v>12</v>
      </c>
      <c r="AK125" s="531">
        <v>5</v>
      </c>
      <c r="AL125" s="472" t="s">
        <v>380</v>
      </c>
      <c r="AM125" s="531" t="s">
        <v>17</v>
      </c>
      <c r="AN125" s="531" t="s">
        <v>18</v>
      </c>
      <c r="AO125" s="473">
        <v>3</v>
      </c>
      <c r="AP125" s="472"/>
      <c r="AS125" s="473"/>
      <c r="AW125" s="473"/>
      <c r="BA125" s="474"/>
    </row>
    <row r="126" spans="1:53" s="532" customFormat="1">
      <c r="A126" s="532">
        <v>2014</v>
      </c>
      <c r="B126" s="529">
        <v>41814</v>
      </c>
      <c r="C126" s="992" t="s">
        <v>1320</v>
      </c>
      <c r="D126" s="992"/>
      <c r="E126" s="532">
        <v>97</v>
      </c>
      <c r="F126" s="532">
        <v>2</v>
      </c>
      <c r="G126" s="497">
        <v>8</v>
      </c>
      <c r="H126" s="532">
        <v>1</v>
      </c>
      <c r="I126" s="532">
        <v>8</v>
      </c>
      <c r="J126" s="499">
        <v>17</v>
      </c>
      <c r="K126" s="495">
        <f t="shared" si="38"/>
        <v>47.058823529411761</v>
      </c>
      <c r="L126" s="495">
        <f t="shared" si="39"/>
        <v>5.8823529411764701</v>
      </c>
      <c r="M126" s="495">
        <f t="shared" si="40"/>
        <v>47.058823529411761</v>
      </c>
      <c r="N126" s="498">
        <f t="shared" si="41"/>
        <v>100</v>
      </c>
      <c r="O126" s="494">
        <v>27</v>
      </c>
      <c r="P126" s="495">
        <v>3</v>
      </c>
      <c r="Q126" s="495">
        <v>26</v>
      </c>
      <c r="R126" s="496">
        <f t="shared" si="37"/>
        <v>56</v>
      </c>
      <c r="S126" s="388">
        <v>3</v>
      </c>
      <c r="T126" s="487"/>
      <c r="U126" s="529">
        <v>41814</v>
      </c>
      <c r="V126" s="488" t="s">
        <v>109</v>
      </c>
      <c r="W126" s="532" t="s">
        <v>74</v>
      </c>
      <c r="X126" s="532" t="s">
        <v>11</v>
      </c>
      <c r="Y126" s="489">
        <v>22</v>
      </c>
      <c r="Z126" s="488" t="s">
        <v>112</v>
      </c>
      <c r="AA126" s="532" t="s">
        <v>20</v>
      </c>
      <c r="AB126" s="532" t="s">
        <v>12</v>
      </c>
      <c r="AC126" s="532">
        <v>21</v>
      </c>
      <c r="AD126" s="488" t="s">
        <v>110</v>
      </c>
      <c r="AE126" s="532" t="s">
        <v>90</v>
      </c>
      <c r="AF126" s="532" t="s">
        <v>11</v>
      </c>
      <c r="AG126" s="489">
        <v>5</v>
      </c>
      <c r="AH126" s="488" t="s">
        <v>372</v>
      </c>
      <c r="AI126" s="532" t="s">
        <v>218</v>
      </c>
      <c r="AJ126" s="532" t="s">
        <v>12</v>
      </c>
      <c r="AK126" s="532">
        <v>5</v>
      </c>
      <c r="AL126" s="488" t="s">
        <v>380</v>
      </c>
      <c r="AM126" s="532" t="s">
        <v>17</v>
      </c>
      <c r="AN126" s="532" t="s">
        <v>18</v>
      </c>
      <c r="AO126" s="489">
        <v>3</v>
      </c>
      <c r="AP126" s="488"/>
      <c r="AS126" s="489"/>
      <c r="AW126" s="489"/>
      <c r="BA126" s="490"/>
    </row>
    <row r="127" spans="1:53" s="532" customFormat="1">
      <c r="A127" s="532">
        <v>2014</v>
      </c>
      <c r="B127" s="502">
        <v>41911</v>
      </c>
      <c r="C127" s="992" t="s">
        <v>1320</v>
      </c>
      <c r="D127" s="992"/>
      <c r="E127" s="532">
        <v>94</v>
      </c>
      <c r="F127" s="501">
        <v>0</v>
      </c>
      <c r="G127" s="497">
        <v>9</v>
      </c>
      <c r="H127" s="532">
        <v>1</v>
      </c>
      <c r="I127" s="532">
        <v>7</v>
      </c>
      <c r="J127" s="499">
        <v>17</v>
      </c>
      <c r="K127" s="495">
        <f t="shared" si="38"/>
        <v>52.941176470588239</v>
      </c>
      <c r="L127" s="495">
        <f t="shared" si="39"/>
        <v>5.8823529411764701</v>
      </c>
      <c r="M127" s="495">
        <f t="shared" si="40"/>
        <v>41.17647058823529</v>
      </c>
      <c r="N127" s="498">
        <f t="shared" si="41"/>
        <v>100</v>
      </c>
      <c r="O127" s="494">
        <v>27</v>
      </c>
      <c r="P127" s="495">
        <v>3</v>
      </c>
      <c r="Q127" s="495">
        <v>21</v>
      </c>
      <c r="R127" s="496">
        <f t="shared" si="37"/>
        <v>51</v>
      </c>
      <c r="S127" s="388">
        <v>2</v>
      </c>
      <c r="T127" s="487"/>
      <c r="U127" s="529"/>
      <c r="V127" s="488" t="s">
        <v>109</v>
      </c>
      <c r="W127" s="532" t="s">
        <v>74</v>
      </c>
      <c r="X127" s="532" t="s">
        <v>11</v>
      </c>
      <c r="Y127" s="489">
        <v>22</v>
      </c>
      <c r="Z127" s="488" t="s">
        <v>112</v>
      </c>
      <c r="AA127" s="532" t="s">
        <v>20</v>
      </c>
      <c r="AB127" s="532" t="s">
        <v>12</v>
      </c>
      <c r="AC127" s="532">
        <v>21</v>
      </c>
      <c r="AD127" s="488" t="s">
        <v>110</v>
      </c>
      <c r="AE127" s="532" t="s">
        <v>90</v>
      </c>
      <c r="AF127" s="532" t="s">
        <v>11</v>
      </c>
      <c r="AG127" s="489">
        <v>5</v>
      </c>
      <c r="AH127" s="488" t="s">
        <v>380</v>
      </c>
      <c r="AI127" s="532" t="s">
        <v>17</v>
      </c>
      <c r="AJ127" s="532" t="s">
        <v>18</v>
      </c>
      <c r="AK127" s="489">
        <v>3</v>
      </c>
      <c r="AL127" s="488"/>
      <c r="AO127" s="489"/>
      <c r="AP127" s="488"/>
      <c r="AS127" s="489"/>
      <c r="AW127" s="489"/>
      <c r="BA127" s="490"/>
    </row>
    <row r="128" spans="1:53" s="713" customFormat="1">
      <c r="A128" s="713">
        <v>2015</v>
      </c>
      <c r="B128" s="502"/>
      <c r="C128" s="992" t="s">
        <v>1320</v>
      </c>
      <c r="D128" s="992"/>
      <c r="E128" s="713">
        <v>148</v>
      </c>
      <c r="F128" s="501"/>
      <c r="G128" s="642">
        <v>9</v>
      </c>
      <c r="H128" s="713">
        <v>1</v>
      </c>
      <c r="I128" s="713">
        <v>7</v>
      </c>
      <c r="J128" s="644">
        <v>17</v>
      </c>
      <c r="K128" s="640">
        <f t="shared" si="38"/>
        <v>52.941176470588239</v>
      </c>
      <c r="L128" s="640">
        <f t="shared" si="39"/>
        <v>5.8823529411764701</v>
      </c>
      <c r="M128" s="640">
        <f t="shared" si="40"/>
        <v>41.17647058823529</v>
      </c>
      <c r="N128" s="643">
        <f t="shared" si="41"/>
        <v>100</v>
      </c>
      <c r="O128" s="639">
        <v>27</v>
      </c>
      <c r="P128" s="640">
        <v>3</v>
      </c>
      <c r="Q128" s="640">
        <v>21</v>
      </c>
      <c r="R128" s="641">
        <f t="shared" ref="R128:R129" si="42">SUM(O128:Q128)</f>
        <v>51</v>
      </c>
      <c r="S128" s="388">
        <v>2</v>
      </c>
      <c r="T128" s="487"/>
      <c r="U128" s="708"/>
      <c r="V128" s="634" t="s">
        <v>109</v>
      </c>
      <c r="W128" s="713" t="s">
        <v>74</v>
      </c>
      <c r="X128" s="713" t="s">
        <v>11</v>
      </c>
      <c r="Y128" s="635">
        <v>22</v>
      </c>
      <c r="Z128" s="634" t="s">
        <v>112</v>
      </c>
      <c r="AA128" s="713" t="s">
        <v>20</v>
      </c>
      <c r="AB128" s="713" t="s">
        <v>12</v>
      </c>
      <c r="AC128" s="713">
        <v>21</v>
      </c>
      <c r="AD128" s="634" t="s">
        <v>110</v>
      </c>
      <c r="AE128" s="713" t="s">
        <v>90</v>
      </c>
      <c r="AF128" s="713" t="s">
        <v>11</v>
      </c>
      <c r="AG128" s="635">
        <v>5</v>
      </c>
      <c r="AH128" s="634" t="s">
        <v>380</v>
      </c>
      <c r="AI128" s="713" t="s">
        <v>17</v>
      </c>
      <c r="AJ128" s="713" t="s">
        <v>18</v>
      </c>
      <c r="AK128" s="635">
        <v>3</v>
      </c>
      <c r="AL128" s="634"/>
      <c r="AO128" s="635"/>
      <c r="AP128" s="634"/>
      <c r="AS128" s="635"/>
      <c r="AW128" s="635"/>
      <c r="BA128" s="636"/>
    </row>
    <row r="129" spans="1:53" s="712" customFormat="1">
      <c r="A129" s="712">
        <v>2015</v>
      </c>
      <c r="B129" s="709">
        <v>42153</v>
      </c>
      <c r="C129" s="988" t="s">
        <v>1332</v>
      </c>
      <c r="D129" s="988"/>
      <c r="E129" s="712">
        <v>217</v>
      </c>
      <c r="F129" s="712">
        <v>1</v>
      </c>
      <c r="G129" s="596">
        <v>8</v>
      </c>
      <c r="H129" s="712">
        <v>6</v>
      </c>
      <c r="J129" s="598">
        <v>14</v>
      </c>
      <c r="K129" s="593">
        <f t="shared" si="38"/>
        <v>57.142857142857139</v>
      </c>
      <c r="L129" s="593">
        <f t="shared" si="39"/>
        <v>42.857142857142854</v>
      </c>
      <c r="M129" s="593">
        <f t="shared" si="40"/>
        <v>0</v>
      </c>
      <c r="N129" s="597">
        <f t="shared" si="41"/>
        <v>100</v>
      </c>
      <c r="O129" s="592">
        <v>37.5</v>
      </c>
      <c r="P129" s="593">
        <v>24.5</v>
      </c>
      <c r="Q129" s="593"/>
      <c r="R129" s="594">
        <f t="shared" si="42"/>
        <v>62</v>
      </c>
      <c r="S129" s="97">
        <v>2</v>
      </c>
      <c r="T129" s="595">
        <v>42113</v>
      </c>
      <c r="U129" s="709">
        <v>42153</v>
      </c>
      <c r="V129" s="588" t="s">
        <v>108</v>
      </c>
      <c r="W129" s="712" t="s">
        <v>75</v>
      </c>
      <c r="X129" s="712" t="s">
        <v>18</v>
      </c>
      <c r="Y129" s="589">
        <v>24.5</v>
      </c>
      <c r="Z129" s="712" t="s">
        <v>96</v>
      </c>
      <c r="AA129" s="712" t="s">
        <v>27</v>
      </c>
      <c r="AB129" s="767" t="s">
        <v>11</v>
      </c>
      <c r="AC129" s="712">
        <v>19</v>
      </c>
      <c r="AD129" s="588" t="s">
        <v>109</v>
      </c>
      <c r="AE129" s="712" t="s">
        <v>74</v>
      </c>
      <c r="AF129" s="712" t="s">
        <v>11</v>
      </c>
      <c r="AG129" s="589">
        <v>18.5</v>
      </c>
      <c r="AH129" s="588"/>
      <c r="AL129" s="588"/>
      <c r="AO129" s="589"/>
      <c r="AP129" s="588"/>
      <c r="AS129" s="589"/>
      <c r="AW129" s="589"/>
      <c r="BA129" s="590"/>
    </row>
    <row r="130" spans="1:53" s="806" customFormat="1">
      <c r="A130" s="806">
        <v>2016</v>
      </c>
      <c r="B130" s="803"/>
      <c r="C130" s="988" t="s">
        <v>1332</v>
      </c>
      <c r="D130" s="988"/>
      <c r="E130" s="806">
        <v>0</v>
      </c>
      <c r="G130" s="596">
        <v>8</v>
      </c>
      <c r="H130" s="806">
        <v>6</v>
      </c>
      <c r="J130" s="598">
        <v>14</v>
      </c>
      <c r="K130" s="593">
        <f t="shared" ref="K130:K135" si="43">G130/J130*100</f>
        <v>57.142857142857139</v>
      </c>
      <c r="L130" s="593">
        <f t="shared" ref="L130:L135" si="44">H130/J130*100</f>
        <v>42.857142857142854</v>
      </c>
      <c r="M130" s="593">
        <f t="shared" ref="M130:M135" si="45">I130/J130*100</f>
        <v>0</v>
      </c>
      <c r="N130" s="597">
        <f t="shared" ref="N130:N135" si="46">SUM(K130:M130)</f>
        <v>100</v>
      </c>
      <c r="O130" s="592">
        <v>37.5</v>
      </c>
      <c r="P130" s="593">
        <v>24.5</v>
      </c>
      <c r="Q130" s="593"/>
      <c r="R130" s="594">
        <f t="shared" ref="R130:R131" si="47">SUM(O130:Q130)</f>
        <v>62</v>
      </c>
      <c r="S130" s="97">
        <v>2</v>
      </c>
      <c r="T130" s="595"/>
      <c r="U130" s="803"/>
      <c r="V130" s="588" t="s">
        <v>108</v>
      </c>
      <c r="W130" s="806" t="s">
        <v>75</v>
      </c>
      <c r="X130" s="806" t="s">
        <v>18</v>
      </c>
      <c r="Y130" s="589">
        <v>24.5</v>
      </c>
      <c r="Z130" s="806" t="s">
        <v>96</v>
      </c>
      <c r="AA130" s="806" t="s">
        <v>27</v>
      </c>
      <c r="AB130" s="806" t="s">
        <v>11</v>
      </c>
      <c r="AC130" s="806">
        <v>19</v>
      </c>
      <c r="AD130" s="588" t="s">
        <v>109</v>
      </c>
      <c r="AE130" s="806" t="s">
        <v>74</v>
      </c>
      <c r="AF130" s="806" t="s">
        <v>11</v>
      </c>
      <c r="AG130" s="589">
        <v>18.5</v>
      </c>
      <c r="AH130" s="588"/>
      <c r="AL130" s="588"/>
      <c r="AO130" s="589"/>
      <c r="AP130" s="588"/>
      <c r="AS130" s="589"/>
      <c r="AW130" s="589"/>
      <c r="BA130" s="590"/>
    </row>
    <row r="131" spans="1:53" s="806" customFormat="1">
      <c r="A131" s="806">
        <v>2016</v>
      </c>
      <c r="B131" s="803"/>
      <c r="C131" s="988" t="s">
        <v>1332</v>
      </c>
      <c r="D131" s="988"/>
      <c r="E131" s="806">
        <v>366</v>
      </c>
      <c r="G131" s="596">
        <v>8</v>
      </c>
      <c r="H131" s="806">
        <v>6</v>
      </c>
      <c r="J131" s="598">
        <v>14</v>
      </c>
      <c r="K131" s="593">
        <f t="shared" si="43"/>
        <v>57.142857142857139</v>
      </c>
      <c r="L131" s="593">
        <f t="shared" si="44"/>
        <v>42.857142857142854</v>
      </c>
      <c r="M131" s="593">
        <f t="shared" si="45"/>
        <v>0</v>
      </c>
      <c r="N131" s="597">
        <f t="shared" si="46"/>
        <v>100</v>
      </c>
      <c r="O131" s="592">
        <v>37.5</v>
      </c>
      <c r="P131" s="593">
        <v>24.5</v>
      </c>
      <c r="Q131" s="593"/>
      <c r="R131" s="594">
        <f t="shared" si="47"/>
        <v>62</v>
      </c>
      <c r="S131" s="97">
        <v>2</v>
      </c>
      <c r="T131" s="595"/>
      <c r="U131" s="803"/>
      <c r="V131" s="588" t="s">
        <v>108</v>
      </c>
      <c r="W131" s="806" t="s">
        <v>75</v>
      </c>
      <c r="X131" s="806" t="s">
        <v>18</v>
      </c>
      <c r="Y131" s="589">
        <v>24.5</v>
      </c>
      <c r="Z131" s="806" t="s">
        <v>96</v>
      </c>
      <c r="AA131" s="806" t="s">
        <v>27</v>
      </c>
      <c r="AB131" s="806" t="s">
        <v>11</v>
      </c>
      <c r="AC131" s="806">
        <v>19</v>
      </c>
      <c r="AD131" s="588" t="s">
        <v>109</v>
      </c>
      <c r="AE131" s="806" t="s">
        <v>74</v>
      </c>
      <c r="AF131" s="806" t="s">
        <v>11</v>
      </c>
      <c r="AG131" s="589">
        <v>18.5</v>
      </c>
      <c r="AH131" s="588"/>
      <c r="AL131" s="588"/>
      <c r="AO131" s="589"/>
      <c r="AP131" s="588"/>
      <c r="AS131" s="589"/>
      <c r="AW131" s="589"/>
      <c r="BA131" s="590"/>
    </row>
    <row r="132" spans="1:53" s="896" customFormat="1">
      <c r="A132" s="896">
        <v>2017</v>
      </c>
      <c r="B132" s="894"/>
      <c r="C132" s="988" t="s">
        <v>1332</v>
      </c>
      <c r="D132" s="988"/>
      <c r="E132" s="896">
        <v>124</v>
      </c>
      <c r="G132" s="596">
        <v>8</v>
      </c>
      <c r="H132" s="896">
        <v>6</v>
      </c>
      <c r="J132" s="598">
        <v>14</v>
      </c>
      <c r="K132" s="593">
        <f t="shared" ref="K132" si="48">G132/J132*100</f>
        <v>57.142857142857139</v>
      </c>
      <c r="L132" s="593">
        <f t="shared" ref="L132" si="49">H132/J132*100</f>
        <v>42.857142857142854</v>
      </c>
      <c r="M132" s="593">
        <f t="shared" ref="M132" si="50">I132/J132*100</f>
        <v>0</v>
      </c>
      <c r="N132" s="597">
        <f t="shared" ref="N132" si="51">SUM(K132:M132)</f>
        <v>100</v>
      </c>
      <c r="O132" s="592">
        <v>37.5</v>
      </c>
      <c r="P132" s="593">
        <v>24.5</v>
      </c>
      <c r="Q132" s="593"/>
      <c r="R132" s="594">
        <f t="shared" ref="R132" si="52">SUM(O132:Q132)</f>
        <v>62</v>
      </c>
      <c r="S132" s="97">
        <v>2</v>
      </c>
      <c r="T132" s="595"/>
      <c r="U132" s="894"/>
      <c r="V132" s="588" t="s">
        <v>108</v>
      </c>
      <c r="W132" s="896" t="s">
        <v>75</v>
      </c>
      <c r="X132" s="896" t="s">
        <v>18</v>
      </c>
      <c r="Y132" s="589">
        <v>24.5</v>
      </c>
      <c r="Z132" s="896" t="s">
        <v>96</v>
      </c>
      <c r="AA132" s="896" t="s">
        <v>27</v>
      </c>
      <c r="AB132" s="896" t="s">
        <v>11</v>
      </c>
      <c r="AC132" s="896">
        <v>19</v>
      </c>
      <c r="AD132" s="588" t="s">
        <v>109</v>
      </c>
      <c r="AE132" s="896" t="s">
        <v>74</v>
      </c>
      <c r="AF132" s="896" t="s">
        <v>11</v>
      </c>
      <c r="AG132" s="589">
        <v>18.5</v>
      </c>
      <c r="AH132" s="588"/>
      <c r="AL132" s="588"/>
      <c r="AO132" s="589"/>
      <c r="AP132" s="588"/>
      <c r="AS132" s="589"/>
      <c r="AW132" s="589"/>
      <c r="BA132" s="590"/>
    </row>
    <row r="133" spans="1:53" s="896" customFormat="1">
      <c r="A133" s="896">
        <v>2017</v>
      </c>
      <c r="B133" s="599">
        <v>42860</v>
      </c>
      <c r="C133" s="988" t="s">
        <v>1332</v>
      </c>
      <c r="D133" s="988"/>
      <c r="E133" s="896">
        <v>54</v>
      </c>
      <c r="F133" s="600">
        <v>0</v>
      </c>
      <c r="G133" s="596">
        <v>9</v>
      </c>
      <c r="H133" s="896">
        <v>7</v>
      </c>
      <c r="J133" s="598">
        <v>16</v>
      </c>
      <c r="K133" s="593">
        <f t="shared" si="43"/>
        <v>56.25</v>
      </c>
      <c r="L133" s="593">
        <f t="shared" si="44"/>
        <v>43.75</v>
      </c>
      <c r="M133" s="593">
        <f t="shared" si="45"/>
        <v>0</v>
      </c>
      <c r="N133" s="597">
        <f t="shared" si="46"/>
        <v>100</v>
      </c>
      <c r="O133" s="592">
        <v>37.5</v>
      </c>
      <c r="P133" s="593">
        <v>24.5</v>
      </c>
      <c r="Q133" s="593"/>
      <c r="R133" s="594">
        <f t="shared" ref="R133:R134" si="53">SUM(O133:Q133)</f>
        <v>62</v>
      </c>
      <c r="S133" s="97">
        <v>2</v>
      </c>
      <c r="T133" s="595"/>
      <c r="U133" s="894"/>
      <c r="V133" s="588" t="s">
        <v>108</v>
      </c>
      <c r="W133" s="896" t="s">
        <v>75</v>
      </c>
      <c r="X133" s="896" t="s">
        <v>18</v>
      </c>
      <c r="Y133" s="589">
        <v>24.5</v>
      </c>
      <c r="Z133" s="896" t="s">
        <v>96</v>
      </c>
      <c r="AA133" s="896" t="s">
        <v>27</v>
      </c>
      <c r="AB133" s="896" t="s">
        <v>11</v>
      </c>
      <c r="AC133" s="896">
        <v>19</v>
      </c>
      <c r="AD133" s="588" t="s">
        <v>109</v>
      </c>
      <c r="AE133" s="896" t="s">
        <v>74</v>
      </c>
      <c r="AF133" s="896" t="s">
        <v>11</v>
      </c>
      <c r="AG133" s="589">
        <v>18.5</v>
      </c>
      <c r="AH133" s="588"/>
      <c r="AL133" s="588"/>
      <c r="AO133" s="589"/>
      <c r="AP133" s="588"/>
      <c r="AS133" s="589"/>
      <c r="AW133" s="589"/>
      <c r="BA133" s="590"/>
    </row>
    <row r="134" spans="1:53" s="957" customFormat="1">
      <c r="A134" s="957">
        <v>2017</v>
      </c>
      <c r="B134" s="1047">
        <v>42914</v>
      </c>
      <c r="C134" s="992" t="s">
        <v>1426</v>
      </c>
      <c r="D134" s="992"/>
      <c r="E134" s="957">
        <v>187</v>
      </c>
      <c r="F134" s="550">
        <v>4</v>
      </c>
      <c r="G134" s="642">
        <v>10</v>
      </c>
      <c r="H134" s="957">
        <v>7</v>
      </c>
      <c r="J134" s="644">
        <v>17</v>
      </c>
      <c r="K134" s="640">
        <f t="shared" si="43"/>
        <v>58.82352941176471</v>
      </c>
      <c r="L134" s="640">
        <f t="shared" si="44"/>
        <v>41.17647058823529</v>
      </c>
      <c r="M134" s="640">
        <f t="shared" si="45"/>
        <v>0</v>
      </c>
      <c r="N134" s="643">
        <f t="shared" si="46"/>
        <v>100</v>
      </c>
      <c r="O134" s="639">
        <v>37.5</v>
      </c>
      <c r="P134" s="640">
        <v>24.5</v>
      </c>
      <c r="Q134" s="640"/>
      <c r="R134" s="641">
        <f t="shared" si="53"/>
        <v>62</v>
      </c>
      <c r="S134" s="388">
        <v>2</v>
      </c>
      <c r="T134" s="487"/>
      <c r="U134" s="1047">
        <v>42914</v>
      </c>
      <c r="V134" s="634" t="s">
        <v>108</v>
      </c>
      <c r="W134" s="957" t="s">
        <v>75</v>
      </c>
      <c r="X134" s="957" t="s">
        <v>18</v>
      </c>
      <c r="Y134" s="635">
        <v>24.5</v>
      </c>
      <c r="Z134" s="634" t="s">
        <v>96</v>
      </c>
      <c r="AA134" s="957" t="s">
        <v>27</v>
      </c>
      <c r="AB134" s="957" t="s">
        <v>11</v>
      </c>
      <c r="AC134" s="957">
        <v>19</v>
      </c>
      <c r="AD134" s="634" t="s">
        <v>109</v>
      </c>
      <c r="AE134" s="957" t="s">
        <v>74</v>
      </c>
      <c r="AF134" s="957" t="s">
        <v>11</v>
      </c>
      <c r="AG134" s="635">
        <v>18.5</v>
      </c>
      <c r="AH134" s="634"/>
      <c r="AK134" s="635"/>
      <c r="AL134" s="634"/>
      <c r="AO134" s="635"/>
      <c r="AP134" s="634"/>
      <c r="AS134" s="635"/>
      <c r="AW134" s="635"/>
      <c r="BA134" s="636"/>
    </row>
    <row r="135" spans="1:53" s="957" customFormat="1">
      <c r="A135" s="957">
        <v>2018</v>
      </c>
      <c r="B135" s="1047"/>
      <c r="C135" s="992" t="s">
        <v>1426</v>
      </c>
      <c r="D135" s="992"/>
      <c r="E135" s="957">
        <v>0</v>
      </c>
      <c r="F135" s="550"/>
      <c r="G135" s="642">
        <v>10</v>
      </c>
      <c r="H135" s="957">
        <v>7</v>
      </c>
      <c r="J135" s="644">
        <v>17</v>
      </c>
      <c r="K135" s="640">
        <f t="shared" si="43"/>
        <v>58.82352941176471</v>
      </c>
      <c r="L135" s="640">
        <f t="shared" si="44"/>
        <v>41.17647058823529</v>
      </c>
      <c r="M135" s="640">
        <f t="shared" si="45"/>
        <v>0</v>
      </c>
      <c r="N135" s="643">
        <f t="shared" si="46"/>
        <v>100</v>
      </c>
      <c r="O135" s="639">
        <v>37.5</v>
      </c>
      <c r="P135" s="640">
        <v>24.5</v>
      </c>
      <c r="Q135" s="640"/>
      <c r="R135" s="641">
        <f t="shared" ref="R135:R136" si="54">SUM(O135:Q135)</f>
        <v>62</v>
      </c>
      <c r="S135" s="388">
        <v>2</v>
      </c>
      <c r="T135" s="487"/>
      <c r="U135" s="956"/>
      <c r="V135" s="634" t="s">
        <v>108</v>
      </c>
      <c r="W135" s="957" t="s">
        <v>75</v>
      </c>
      <c r="X135" s="957" t="s">
        <v>18</v>
      </c>
      <c r="Y135" s="635">
        <v>24.5</v>
      </c>
      <c r="Z135" s="634" t="s">
        <v>1409</v>
      </c>
      <c r="AA135" s="957" t="s">
        <v>304</v>
      </c>
      <c r="AB135" s="957" t="s">
        <v>11</v>
      </c>
      <c r="AC135" s="957">
        <v>19</v>
      </c>
      <c r="AD135" s="634" t="s">
        <v>109</v>
      </c>
      <c r="AE135" s="957" t="s">
        <v>74</v>
      </c>
      <c r="AF135" s="957" t="s">
        <v>11</v>
      </c>
      <c r="AG135" s="635">
        <v>18.5</v>
      </c>
      <c r="AH135" s="634"/>
      <c r="AK135" s="635"/>
      <c r="AL135" s="634"/>
      <c r="AO135" s="635"/>
      <c r="AP135" s="634"/>
      <c r="AS135" s="635"/>
      <c r="AW135" s="635"/>
      <c r="BA135" s="636"/>
    </row>
    <row r="136" spans="1:53" s="957" customFormat="1">
      <c r="A136" s="957">
        <v>2018</v>
      </c>
      <c r="B136" s="1047"/>
      <c r="C136" s="992" t="s">
        <v>1426</v>
      </c>
      <c r="D136" s="992"/>
      <c r="E136" s="957">
        <v>365</v>
      </c>
      <c r="F136" s="550"/>
      <c r="G136" s="642">
        <v>10</v>
      </c>
      <c r="H136" s="957">
        <v>7</v>
      </c>
      <c r="J136" s="644">
        <v>17</v>
      </c>
      <c r="K136" s="640">
        <f t="shared" ref="K136" si="55">G136/J136*100</f>
        <v>58.82352941176471</v>
      </c>
      <c r="L136" s="640">
        <f t="shared" ref="L136" si="56">H136/J136*100</f>
        <v>41.17647058823529</v>
      </c>
      <c r="M136" s="640">
        <f t="shared" ref="M136" si="57">I136/J136*100</f>
        <v>0</v>
      </c>
      <c r="N136" s="643">
        <f t="shared" ref="N136" si="58">SUM(K136:M136)</f>
        <v>100</v>
      </c>
      <c r="O136" s="639">
        <v>37.5</v>
      </c>
      <c r="P136" s="640">
        <v>24.5</v>
      </c>
      <c r="Q136" s="640"/>
      <c r="R136" s="641">
        <f t="shared" si="54"/>
        <v>62</v>
      </c>
      <c r="S136" s="388">
        <v>2</v>
      </c>
      <c r="T136" s="487"/>
      <c r="U136" s="956"/>
      <c r="V136" s="634" t="s">
        <v>108</v>
      </c>
      <c r="W136" s="957" t="s">
        <v>75</v>
      </c>
      <c r="X136" s="957" t="s">
        <v>18</v>
      </c>
      <c r="Y136" s="635">
        <v>24.5</v>
      </c>
      <c r="Z136" s="634" t="s">
        <v>1409</v>
      </c>
      <c r="AA136" s="957" t="s">
        <v>304</v>
      </c>
      <c r="AB136" s="957" t="s">
        <v>11</v>
      </c>
      <c r="AC136" s="957">
        <v>19</v>
      </c>
      <c r="AD136" s="634" t="s">
        <v>109</v>
      </c>
      <c r="AE136" s="957" t="s">
        <v>74</v>
      </c>
      <c r="AF136" s="957" t="s">
        <v>11</v>
      </c>
      <c r="AG136" s="635">
        <v>18.5</v>
      </c>
      <c r="AH136" s="634"/>
      <c r="AK136" s="635"/>
      <c r="AL136" s="634"/>
      <c r="AO136" s="635"/>
      <c r="AP136" s="634"/>
      <c r="AS136" s="635"/>
      <c r="AW136" s="635"/>
      <c r="BA136" s="636"/>
    </row>
    <row r="137" spans="1:53" s="896" customFormat="1">
      <c r="B137" s="894"/>
      <c r="C137" s="988"/>
      <c r="D137" s="988"/>
      <c r="G137" s="596"/>
      <c r="J137" s="598"/>
      <c r="K137" s="593"/>
      <c r="L137" s="593"/>
      <c r="M137" s="593"/>
      <c r="N137" s="597"/>
      <c r="O137" s="592"/>
      <c r="P137" s="593"/>
      <c r="Q137" s="593"/>
      <c r="R137" s="594"/>
      <c r="S137" s="97"/>
      <c r="T137" s="595"/>
      <c r="U137" s="894"/>
      <c r="V137" s="588"/>
      <c r="Y137" s="589"/>
      <c r="AD137" s="588"/>
      <c r="AG137" s="589"/>
      <c r="AH137" s="588"/>
      <c r="AL137" s="588"/>
      <c r="AO137" s="589"/>
      <c r="AP137" s="588"/>
      <c r="AS137" s="589"/>
      <c r="AW137" s="589"/>
      <c r="BA137" s="590"/>
    </row>
    <row r="138" spans="1:53" s="896" customFormat="1">
      <c r="B138" s="894"/>
      <c r="C138" s="988"/>
      <c r="D138" s="988"/>
      <c r="G138" s="596"/>
      <c r="J138" s="598"/>
      <c r="K138" s="593"/>
      <c r="L138" s="593"/>
      <c r="M138" s="593"/>
      <c r="N138" s="597"/>
      <c r="O138" s="592"/>
      <c r="P138" s="593"/>
      <c r="Q138" s="593"/>
      <c r="R138" s="594"/>
      <c r="S138" s="97"/>
      <c r="T138" s="595"/>
      <c r="U138" s="894"/>
      <c r="V138" s="588"/>
      <c r="Y138" s="589"/>
      <c r="AD138" s="588"/>
      <c r="AG138" s="589"/>
      <c r="AH138" s="588"/>
      <c r="AL138" s="588"/>
      <c r="AO138" s="589"/>
      <c r="AP138" s="588"/>
      <c r="AS138" s="589"/>
      <c r="AW138" s="589"/>
      <c r="BA138" s="590"/>
    </row>
    <row r="139" spans="1:53" s="2" customFormat="1" ht="18" customHeight="1">
      <c r="B139" s="22" t="s">
        <v>1278</v>
      </c>
    </row>
    <row r="140" spans="1:53" s="2" customFormat="1" ht="9" customHeight="1"/>
    <row r="141" spans="1:53" s="364" customFormat="1" ht="9" customHeight="1">
      <c r="A141" s="362"/>
      <c r="B141" s="363" t="s">
        <v>1229</v>
      </c>
      <c r="C141" s="363"/>
      <c r="D141" s="363"/>
      <c r="E141" s="363"/>
      <c r="F141" s="363"/>
      <c r="G141" s="363" t="s">
        <v>1230</v>
      </c>
      <c r="H141" s="363"/>
      <c r="I141" s="363"/>
      <c r="J141" s="363"/>
      <c r="K141" s="363"/>
      <c r="L141" s="363"/>
      <c r="M141" s="363"/>
      <c r="N141" s="363"/>
      <c r="R141" s="982" t="s">
        <v>1231</v>
      </c>
      <c r="S141" s="982"/>
      <c r="T141" s="982"/>
      <c r="U141" s="982"/>
      <c r="V141" s="982"/>
      <c r="W141" s="982"/>
      <c r="X141" s="365"/>
      <c r="Y141" s="365"/>
      <c r="AA141" s="365"/>
      <c r="AB141" s="365"/>
      <c r="AC141" s="365"/>
      <c r="AD141" s="365"/>
    </row>
    <row r="142" spans="1:53" s="369" customFormat="1" ht="9" customHeight="1">
      <c r="A142" s="366"/>
      <c r="B142" s="367" t="s">
        <v>1233</v>
      </c>
      <c r="C142" s="368"/>
      <c r="D142" s="368"/>
      <c r="E142" s="368"/>
      <c r="F142" s="368"/>
      <c r="G142" s="367" t="s">
        <v>1232</v>
      </c>
      <c r="H142" s="368"/>
      <c r="I142" s="368"/>
      <c r="J142" s="368"/>
      <c r="K142" s="368"/>
      <c r="L142" s="368"/>
      <c r="M142" s="368"/>
      <c r="N142" s="368"/>
      <c r="R142" s="370" t="s">
        <v>1234</v>
      </c>
      <c r="S142" s="371"/>
      <c r="T142" s="372"/>
      <c r="U142" s="372"/>
      <c r="V142" s="372"/>
      <c r="W142" s="370" t="s">
        <v>1235</v>
      </c>
      <c r="X142" s="372"/>
      <c r="Y142" s="372"/>
      <c r="AA142" s="372"/>
      <c r="AB142" s="372"/>
      <c r="AC142" s="372"/>
      <c r="AD142" s="372"/>
    </row>
    <row r="143" spans="1:53" s="351" customFormat="1" ht="12" customHeight="1">
      <c r="A143" s="373" t="s">
        <v>3</v>
      </c>
      <c r="B143" s="374" t="s">
        <v>8</v>
      </c>
      <c r="C143" s="374" t="s">
        <v>9</v>
      </c>
      <c r="D143" s="374" t="s">
        <v>10</v>
      </c>
      <c r="E143" s="375" t="s">
        <v>1209</v>
      </c>
      <c r="F143" s="374"/>
      <c r="G143" s="351" t="s">
        <v>3</v>
      </c>
      <c r="H143" s="983" t="s">
        <v>0</v>
      </c>
      <c r="I143" s="983"/>
      <c r="J143" s="983" t="s">
        <v>1</v>
      </c>
      <c r="K143" s="983"/>
      <c r="L143" s="983" t="s">
        <v>2</v>
      </c>
      <c r="M143" s="983"/>
      <c r="N143" s="984" t="s">
        <v>1209</v>
      </c>
      <c r="O143" s="984"/>
      <c r="P143" s="376"/>
      <c r="Q143" s="376"/>
      <c r="R143" s="377" t="s">
        <v>3</v>
      </c>
      <c r="S143" s="378" t="s">
        <v>136</v>
      </c>
      <c r="T143" s="376" t="s">
        <v>134</v>
      </c>
      <c r="U143" s="374" t="s">
        <v>135</v>
      </c>
      <c r="V143" s="376"/>
      <c r="W143" s="379" t="s">
        <v>26</v>
      </c>
    </row>
    <row r="144" spans="1:53" s="273" customFormat="1">
      <c r="A144" s="273">
        <v>1959</v>
      </c>
      <c r="B144" s="274">
        <f>(K6*($E6/365))+(K7*($E7/365))</f>
        <v>0.8966376089663759</v>
      </c>
      <c r="C144" s="274">
        <f>(L6*($E6/365))+(L7*($E7/365))</f>
        <v>97.907845579078469</v>
      </c>
      <c r="D144" s="274">
        <f>(M6*($E6/365))+(M7*($E7/365))</f>
        <v>0.8966376089663759</v>
      </c>
      <c r="E144" s="276">
        <f>B144+C144+D144</f>
        <v>99.701120797011214</v>
      </c>
      <c r="G144" s="273">
        <v>1959</v>
      </c>
      <c r="H144" s="985">
        <f>(O6/$R6*100*($E6/365))+(O7/$R7*100*($E7/365))</f>
        <v>1.0005955926146517</v>
      </c>
      <c r="I144" s="985"/>
      <c r="J144" s="985">
        <f>(P6/$R6*100*($E6/365))+(P7/$R7*100*($E7/365))</f>
        <v>97.855866587254326</v>
      </c>
      <c r="K144" s="985"/>
      <c r="L144" s="985">
        <f>(Q6/$R6*100*($E6/365))+(Q7/$R7*100*($E7/365))</f>
        <v>1.1435378201310302</v>
      </c>
      <c r="M144" s="985"/>
      <c r="N144" s="1010">
        <f>H144+J144+K144</f>
        <v>98.856462179868984</v>
      </c>
      <c r="O144" s="1010"/>
      <c r="P144" s="275"/>
      <c r="Q144" s="275"/>
      <c r="R144" s="275">
        <v>1959</v>
      </c>
      <c r="S144" s="274">
        <f>(O6*($E6/365))+(O7*($E7/365))</f>
        <v>0.69041095890410953</v>
      </c>
      <c r="T144" s="274">
        <f>(P6*($E6/365))+(P7*($E7/365))</f>
        <v>24</v>
      </c>
      <c r="U144" s="274">
        <f>(Q6*($E6/365))+(Q7*($E7/365))</f>
        <v>0.78904109589041083</v>
      </c>
      <c r="V144" s="275"/>
      <c r="W144" s="274">
        <f>S144+T144+U144</f>
        <v>25.479452054794521</v>
      </c>
      <c r="X144" s="262"/>
      <c r="Y144" s="262"/>
    </row>
    <row r="145" spans="1:25">
      <c r="A145" s="1">
        <v>1960</v>
      </c>
      <c r="B145" s="7">
        <f>(K8*($E8/366))+(K9*($E9/366))</f>
        <v>0</v>
      </c>
      <c r="C145" s="7">
        <f>(L8*($E8/366))+(L9*($E9/366))</f>
        <v>100</v>
      </c>
      <c r="D145" s="7">
        <f>(M8*($E8/366))+(M9*($E9/366))</f>
        <v>0</v>
      </c>
      <c r="E145" s="35">
        <f>SUM(B145:D145)</f>
        <v>100</v>
      </c>
      <c r="G145" s="1">
        <v>1960</v>
      </c>
      <c r="H145" s="958">
        <f>(O8/$R8*100*($E8/366))+(O9/$R9*100*($E9/366))</f>
        <v>0</v>
      </c>
      <c r="I145" s="958"/>
      <c r="J145" s="958">
        <f>(P8/$R8*100*($E8/366))+(P9/$R9*100*($E9/366))</f>
        <v>100</v>
      </c>
      <c r="K145" s="958"/>
      <c r="L145" s="958">
        <f>(Q8/$R8*100*($E8/366))+(Q9/$R9*100*($E9/366))</f>
        <v>0</v>
      </c>
      <c r="M145" s="958"/>
      <c r="N145" s="990">
        <f t="shared" ref="N145:N175" si="59">SUM(H145:M145)</f>
        <v>100</v>
      </c>
      <c r="O145" s="990"/>
      <c r="P145" s="12"/>
      <c r="Q145" s="12"/>
      <c r="R145" s="12">
        <v>1960</v>
      </c>
      <c r="S145" s="7">
        <f>(O8*($E8/366))+(O9*($E9/366))</f>
        <v>0</v>
      </c>
      <c r="T145" s="7">
        <f>(P8*($E8/366))+(P9*($E9/366))</f>
        <v>24</v>
      </c>
      <c r="U145" s="7">
        <f>(Q8*($E8/366))+(Q9*($E9/366))</f>
        <v>0</v>
      </c>
      <c r="V145" s="12"/>
      <c r="W145" s="7">
        <f>SUM(S145:U145)</f>
        <v>24</v>
      </c>
      <c r="X145" s="5"/>
      <c r="Y145" s="5"/>
    </row>
    <row r="146" spans="1:25">
      <c r="A146" s="1">
        <v>1961</v>
      </c>
      <c r="B146" s="8">
        <f>(K10*($E10/365))+(K11*($E11/365))</f>
        <v>0</v>
      </c>
      <c r="C146" s="8">
        <f>(L10*($E10/365))+(L11*($E11/365))</f>
        <v>96.396206533192839</v>
      </c>
      <c r="D146" s="8">
        <f>(M10*($E10/365))+(M11*($E11/365))</f>
        <v>0</v>
      </c>
      <c r="E146" s="35">
        <f t="shared" ref="E146:E198" si="60">SUM(B146:D146)</f>
        <v>96.396206533192839</v>
      </c>
      <c r="G146" s="1">
        <v>1961</v>
      </c>
      <c r="H146" s="958">
        <f>(O10/$R10*100*($E10/365))+(O11/$R11*100*($E11/365))</f>
        <v>0</v>
      </c>
      <c r="I146" s="958"/>
      <c r="J146" s="958">
        <f>(P10/$R10*100*($E10/365))+(P11/$R11*100*($E11/365))</f>
        <v>100</v>
      </c>
      <c r="K146" s="958"/>
      <c r="L146" s="958">
        <f>(Q10/$R10*100*($E10/365))+(Q11/$R11*100*($E11/365))</f>
        <v>0</v>
      </c>
      <c r="M146" s="958"/>
      <c r="N146" s="990">
        <f t="shared" si="59"/>
        <v>100</v>
      </c>
      <c r="O146" s="990"/>
      <c r="P146" s="12"/>
      <c r="Q146" s="12"/>
      <c r="R146" s="12">
        <v>1961</v>
      </c>
      <c r="S146" s="8">
        <f>(O10*($E10/365))+(O11*($E11/365))</f>
        <v>0</v>
      </c>
      <c r="T146" s="8">
        <f>(P10*($E10/365))+(P11*($E11/365))</f>
        <v>24</v>
      </c>
      <c r="U146" s="8">
        <f>(Q10*($E10/365))+(Q11*($E11/365))</f>
        <v>0</v>
      </c>
      <c r="V146" s="12"/>
      <c r="W146" s="7">
        <f t="shared" ref="W146:W198" si="61">SUM(S146:U146)</f>
        <v>24</v>
      </c>
      <c r="X146" s="5"/>
      <c r="Y146" s="5"/>
    </row>
    <row r="147" spans="1:25">
      <c r="A147" s="1">
        <v>1962</v>
      </c>
      <c r="B147" s="8">
        <f>(K12*($E12/365))+(K13*($E13/365))</f>
        <v>19.651307596513075</v>
      </c>
      <c r="C147" s="8">
        <f>(L12*($E12/365))+(L13*($E13/365))</f>
        <v>71.648625347255489</v>
      </c>
      <c r="D147" s="8">
        <f>(M12*($E12/365))+(M13*($E13/365))</f>
        <v>0</v>
      </c>
      <c r="E147" s="35">
        <f t="shared" si="60"/>
        <v>91.299932943768567</v>
      </c>
      <c r="G147" s="1">
        <v>1962</v>
      </c>
      <c r="H147" s="958">
        <f>(O12/$R12*100*($E12/365))+(O13/$R13*100*($E13/365))</f>
        <v>29.593933463796478</v>
      </c>
      <c r="I147" s="958"/>
      <c r="J147" s="958">
        <f>(P12/$R12*100*($E12/365))+(P13/$R13*100*($E13/365))</f>
        <v>70.406066536203525</v>
      </c>
      <c r="K147" s="958"/>
      <c r="L147" s="958">
        <f>(Q12/$R12*100*($E12/365))+(Q13/$R13*100*($E13/365))</f>
        <v>0</v>
      </c>
      <c r="M147" s="958"/>
      <c r="N147" s="990">
        <f t="shared" si="59"/>
        <v>100</v>
      </c>
      <c r="O147" s="990"/>
      <c r="P147" s="12"/>
      <c r="Q147" s="12"/>
      <c r="R147" s="12">
        <v>1962</v>
      </c>
      <c r="S147" s="8">
        <f>(O12*($E12/365))+(O13*($E13/365))</f>
        <v>16.57260273972603</v>
      </c>
      <c r="T147" s="8">
        <f>(P12*($E12/365))+(P13*($E13/365))</f>
        <v>30.484931506849314</v>
      </c>
      <c r="U147" s="8">
        <f>(Q12*($E12/365))+(Q13*($E13/365))</f>
        <v>0</v>
      </c>
      <c r="V147" s="12"/>
      <c r="W147" s="7">
        <f t="shared" si="61"/>
        <v>47.057534246575344</v>
      </c>
      <c r="X147" s="5"/>
      <c r="Y147" s="5"/>
    </row>
    <row r="148" spans="1:25">
      <c r="A148" s="1">
        <v>1963</v>
      </c>
      <c r="B148" s="8">
        <f>(K14*($E14/365))+(K15*($E15/365))+(K16*($E16/365))</f>
        <v>26.65255292652553</v>
      </c>
      <c r="C148" s="8">
        <f>(L14*($E14/365))+(L15*($E15/365))+(L16*($E16/365))</f>
        <v>62.189290161892899</v>
      </c>
      <c r="D148" s="8">
        <f>(M14*($E14/365))+(M15*($E15/365))+(M16*($E16/365))</f>
        <v>0</v>
      </c>
      <c r="E148" s="35">
        <f t="shared" si="60"/>
        <v>88.841843088418429</v>
      </c>
      <c r="G148" s="1">
        <v>1963</v>
      </c>
      <c r="H148" s="1008">
        <f>(O14/$R14*100*($E14/365))+(O15/$R15*100*($E15/365))</f>
        <v>39.496086105675147</v>
      </c>
      <c r="I148" s="1008"/>
      <c r="J148" s="1008">
        <f>(P14/$R14*100*($E14/365))+(P15/$R15*100*($E15/365))</f>
        <v>56.668297455968691</v>
      </c>
      <c r="K148" s="1008"/>
      <c r="L148" s="1008">
        <f>(Q14/$R14*100*($E14/365))+(Q15/$R15*100*($E15/365))</f>
        <v>0</v>
      </c>
      <c r="M148" s="1008"/>
      <c r="N148" s="1004">
        <f t="shared" si="59"/>
        <v>96.164383561643831</v>
      </c>
      <c r="O148" s="1004"/>
      <c r="P148" s="12"/>
      <c r="Q148" s="12"/>
      <c r="R148" s="12">
        <v>1963</v>
      </c>
      <c r="S148" s="8">
        <f>(O14*($E14/365))+(O15*($E15/365))+(O16*($E16/365))</f>
        <v>22.117808219178084</v>
      </c>
      <c r="T148" s="8">
        <f>(P14*($E14/365))+(P15*($E15/365))+(P16*($E16/365))</f>
        <v>31.734246575342468</v>
      </c>
      <c r="U148" s="8">
        <f>(Q14*($E14/365))+(Q15*($E15/365))+(Q16*($E16/365))</f>
        <v>0</v>
      </c>
      <c r="V148" s="12"/>
      <c r="W148" s="7">
        <f t="shared" si="61"/>
        <v>53.852054794520555</v>
      </c>
      <c r="X148" s="5"/>
      <c r="Y148" s="5"/>
    </row>
    <row r="149" spans="1:25">
      <c r="A149" s="1">
        <v>1964</v>
      </c>
      <c r="B149" s="8">
        <f>(K17*($E17/366))+(K18*($E18/366))</f>
        <v>11.028315946348734</v>
      </c>
      <c r="C149" s="8">
        <f>(L17*($E17/366))+(L18*($E18/366))</f>
        <v>19.299552906110282</v>
      </c>
      <c r="D149" s="8">
        <f>(M17*($E17/366))+(M18*($E18/366))</f>
        <v>0</v>
      </c>
      <c r="E149" s="35">
        <f t="shared" si="60"/>
        <v>30.327868852459016</v>
      </c>
      <c r="G149" s="1">
        <v>1964</v>
      </c>
      <c r="H149" s="1008">
        <f>(O18/$R18*100*($E18/366))</f>
        <v>12.456088992974239</v>
      </c>
      <c r="I149" s="1008"/>
      <c r="J149" s="1008">
        <f>(P18/$R18*100*($E18/366))</f>
        <v>17.871779859484779</v>
      </c>
      <c r="K149" s="1008"/>
      <c r="L149" s="1008">
        <f>(Q18/$R18*100*($E18/366))</f>
        <v>0</v>
      </c>
      <c r="M149" s="1008"/>
      <c r="N149" s="1004">
        <f t="shared" si="59"/>
        <v>30.327868852459019</v>
      </c>
      <c r="O149" s="1004"/>
      <c r="P149" s="12"/>
      <c r="Q149" s="12"/>
      <c r="R149" s="12">
        <v>1964</v>
      </c>
      <c r="S149" s="8">
        <f>(O17*($E17/366))+(O18*($E18/366))</f>
        <v>6.9754098360655741</v>
      </c>
      <c r="T149" s="8">
        <f>(P17*($E17/366))+(P18*($E18/366))</f>
        <v>10.008196721311476</v>
      </c>
      <c r="U149" s="8">
        <f>(Q17*($E17/366))+(Q18*($E18/366))</f>
        <v>0</v>
      </c>
      <c r="V149" s="12"/>
      <c r="W149" s="7">
        <f t="shared" si="61"/>
        <v>16.983606557377051</v>
      </c>
      <c r="X149" s="5"/>
      <c r="Y149" s="5"/>
    </row>
    <row r="150" spans="1:25">
      <c r="A150" s="1">
        <v>1965</v>
      </c>
      <c r="B150" s="8">
        <f>(K19*($E19/365))+(K20*($E20/365))</f>
        <v>36.363636363636367</v>
      </c>
      <c r="C150" s="8">
        <f>(L19*($E19/365))+(L20*($E20/365))</f>
        <v>63.636363636363633</v>
      </c>
      <c r="D150" s="8">
        <f>(M19*($E19/365))+(M20*($E20/365))</f>
        <v>0</v>
      </c>
      <c r="E150" s="35">
        <f t="shared" si="60"/>
        <v>100</v>
      </c>
      <c r="G150" s="1">
        <v>1965</v>
      </c>
      <c r="H150" s="958">
        <f>(O19/$R19*100*($E19/365))+(O20/$R20*100*($E20/365))</f>
        <v>41.071428571428569</v>
      </c>
      <c r="I150" s="958"/>
      <c r="J150" s="958">
        <f>(P19/$R19*100*($E19/365))+(P20/$R20*100*($E20/365))</f>
        <v>58.928571428571431</v>
      </c>
      <c r="K150" s="958"/>
      <c r="L150" s="958">
        <f>(Q19/$R19*100*($E19/365))+(Q20/$R20*100*($E20/365))</f>
        <v>0</v>
      </c>
      <c r="M150" s="958"/>
      <c r="N150" s="990">
        <f t="shared" si="59"/>
        <v>100</v>
      </c>
      <c r="O150" s="990"/>
      <c r="P150" s="12"/>
      <c r="Q150" s="12"/>
      <c r="R150" s="12">
        <v>1965</v>
      </c>
      <c r="S150" s="8">
        <f>(O19*($E19/365))+(O20*($E20/365))</f>
        <v>23</v>
      </c>
      <c r="T150" s="8">
        <f>(P19*($E19/365))+(P20*($E20/365))</f>
        <v>33</v>
      </c>
      <c r="U150" s="8">
        <f>(Q19*($E19/365))+(Q20*($E20/365))</f>
        <v>0</v>
      </c>
      <c r="V150" s="12"/>
      <c r="W150" s="7">
        <f t="shared" si="61"/>
        <v>56</v>
      </c>
      <c r="X150" s="5"/>
      <c r="Y150" s="5"/>
    </row>
    <row r="151" spans="1:25">
      <c r="A151" s="1">
        <v>1966</v>
      </c>
      <c r="B151" s="8">
        <f>(K21*($E21/365))+(K22*($E22/365))</f>
        <v>14.545454545454547</v>
      </c>
      <c r="C151" s="8">
        <f>(L21*($E21/365))+(L22*($E22/365))</f>
        <v>45.454545454545453</v>
      </c>
      <c r="D151" s="8">
        <f>(M21*($E21/365))+(M22*($E22/365))</f>
        <v>39.999999999999993</v>
      </c>
      <c r="E151" s="35">
        <f t="shared" si="60"/>
        <v>100</v>
      </c>
      <c r="G151" s="1">
        <v>1966</v>
      </c>
      <c r="H151" s="958">
        <f>(O21/$R21*100*($E21/365))+(O22/$R22*100*($E22/365))</f>
        <v>16.428571428571427</v>
      </c>
      <c r="I151" s="958"/>
      <c r="J151" s="958">
        <f>(P21/$R21*100*($E21/365))+(P22/$R22*100*($E22/365))</f>
        <v>42.913533834586467</v>
      </c>
      <c r="K151" s="958"/>
      <c r="L151" s="958">
        <f>(Q21/$R21*100*($E21/365))+(Q22/$R22*100*($E22/365))</f>
        <v>40.65789473684211</v>
      </c>
      <c r="M151" s="958"/>
      <c r="N151" s="990">
        <f t="shared" si="59"/>
        <v>100</v>
      </c>
      <c r="O151" s="990"/>
      <c r="P151" s="12"/>
      <c r="Q151" s="12"/>
      <c r="R151" s="12">
        <v>1966</v>
      </c>
      <c r="S151" s="8">
        <f>(O21*($E21/365))+(O22*($E22/365))</f>
        <v>9.2000000000000011</v>
      </c>
      <c r="T151" s="8">
        <f>(P21*($E21/365))+(P22*($E22/365))</f>
        <v>27.9</v>
      </c>
      <c r="U151" s="8">
        <f>(Q21*($E21/365))+(Q22*($E22/365))</f>
        <v>30.9</v>
      </c>
      <c r="V151" s="12"/>
      <c r="W151" s="7">
        <f t="shared" si="61"/>
        <v>68</v>
      </c>
      <c r="X151" s="5"/>
      <c r="Y151" s="5"/>
    </row>
    <row r="152" spans="1:25">
      <c r="A152" s="1">
        <v>1967</v>
      </c>
      <c r="B152" s="8">
        <f>(K23*($E23/365))+(K24*($E24/365))</f>
        <v>0</v>
      </c>
      <c r="C152" s="8">
        <f>(L23*($E23/365))+(L24*($E24/365))</f>
        <v>33.333333333333329</v>
      </c>
      <c r="D152" s="8">
        <f>(M23*($E23/365))+(M24*($E24/365))</f>
        <v>66.666666666666657</v>
      </c>
      <c r="E152" s="35">
        <f t="shared" si="60"/>
        <v>99.999999999999986</v>
      </c>
      <c r="G152" s="1">
        <v>1967</v>
      </c>
      <c r="H152" s="958">
        <f>(O23/$R23*100*($E23/365))+(O24/$R24*100*($E24/365))</f>
        <v>0</v>
      </c>
      <c r="I152" s="958"/>
      <c r="J152" s="958">
        <f>(P23/$R23*100*($E23/365))+(P24/$R24*100*($E24/365))</f>
        <v>32.236842105263158</v>
      </c>
      <c r="K152" s="958"/>
      <c r="L152" s="958">
        <f>(Q23/$R23*100*($E23/365))+(Q24/$R24*100*($E24/365))</f>
        <v>67.76315789473685</v>
      </c>
      <c r="M152" s="958"/>
      <c r="N152" s="990">
        <f t="shared" si="59"/>
        <v>100</v>
      </c>
      <c r="O152" s="990"/>
      <c r="P152" s="12"/>
      <c r="Q152" s="12"/>
      <c r="R152" s="12">
        <v>1967</v>
      </c>
      <c r="S152" s="8">
        <f>(O23*($E23/365))+(O24*($E24/365))</f>
        <v>0</v>
      </c>
      <c r="T152" s="8">
        <f>(P23*($E23/365))+(P24*($E24/365))</f>
        <v>24.5</v>
      </c>
      <c r="U152" s="8">
        <f>(Q23*($E23/365))+(Q24*($E24/365))</f>
        <v>51.5</v>
      </c>
      <c r="V152" s="12"/>
      <c r="W152" s="7">
        <f t="shared" si="61"/>
        <v>76</v>
      </c>
      <c r="X152" s="5"/>
      <c r="Y152" s="5"/>
    </row>
    <row r="153" spans="1:25">
      <c r="A153" s="1">
        <v>1968</v>
      </c>
      <c r="B153" s="8">
        <f>(K25*($E25/366))+(K26*($E26/366))</f>
        <v>6.4890710382513648</v>
      </c>
      <c r="C153" s="8">
        <f>(L25*($E25/366))+(L26*($E26/366))</f>
        <v>33.333333333333329</v>
      </c>
      <c r="D153" s="8">
        <f>(M25*($E25/366))+(M26*($E26/366))</f>
        <v>60.177595628415304</v>
      </c>
      <c r="E153" s="35">
        <f t="shared" si="60"/>
        <v>100</v>
      </c>
      <c r="G153" s="1">
        <v>1968</v>
      </c>
      <c r="H153" s="958">
        <f>(O25/$R25*100*($E25/366))+(O26/$R26*100*($E26/366))</f>
        <v>7.3170731707317067</v>
      </c>
      <c r="I153" s="958"/>
      <c r="J153" s="958">
        <f>(P25/$R25*100*($E25/366))+(P26/$R26*100*($E26/366))</f>
        <v>29.878048780487802</v>
      </c>
      <c r="K153" s="958"/>
      <c r="L153" s="958">
        <f>(Q25/$R25*100*($E25/366))+(Q26/$R26*100*($E26/366))</f>
        <v>62.804878048780481</v>
      </c>
      <c r="M153" s="958"/>
      <c r="N153" s="990">
        <f t="shared" si="59"/>
        <v>99.999999999999986</v>
      </c>
      <c r="O153" s="990"/>
      <c r="P153" s="12"/>
      <c r="Q153" s="12"/>
      <c r="R153" s="12">
        <v>1968</v>
      </c>
      <c r="S153" s="8">
        <f>(O25*($E25/366))+(O26*($E26/366))</f>
        <v>6</v>
      </c>
      <c r="T153" s="8">
        <f>(P25*($E25/366))+(P26*($E26/366))</f>
        <v>24.5</v>
      </c>
      <c r="U153" s="8">
        <f>(Q25*($E25/366))+(Q26*($E26/366))</f>
        <v>51.5</v>
      </c>
      <c r="V153" s="12"/>
      <c r="W153" s="7">
        <f t="shared" si="61"/>
        <v>82</v>
      </c>
      <c r="X153" s="5"/>
      <c r="Y153" s="5"/>
    </row>
    <row r="154" spans="1:25">
      <c r="A154" s="1">
        <v>1969</v>
      </c>
      <c r="B154" s="8">
        <f>(K27*($E27/365))+(K28*($E28/365))</f>
        <v>8.3333333333333321</v>
      </c>
      <c r="C154" s="8">
        <f>(L27*($E27/365))+(L28*($E28/365))</f>
        <v>33.333333333333329</v>
      </c>
      <c r="D154" s="8">
        <f>(M27*($E27/365))+(M28*($E28/365))</f>
        <v>58.333333333333336</v>
      </c>
      <c r="E154" s="35">
        <f t="shared" si="60"/>
        <v>100</v>
      </c>
      <c r="G154" s="1">
        <v>1969</v>
      </c>
      <c r="H154" s="958">
        <f>(O27/$R27*100*($E27/365))+(O28/$R28*100*($E28/365))</f>
        <v>7.3170731707317067</v>
      </c>
      <c r="I154" s="958"/>
      <c r="J154" s="958">
        <f>(P27/$R27*100*($E27/365))+(P28/$R28*100*($E28/365))</f>
        <v>29.878048780487802</v>
      </c>
      <c r="K154" s="958"/>
      <c r="L154" s="958">
        <f>(Q27/$R27*100*($E27/365))+(Q28/$R28*100*($E28/365))</f>
        <v>62.804878048780488</v>
      </c>
      <c r="M154" s="958"/>
      <c r="N154" s="990">
        <f t="shared" si="59"/>
        <v>100</v>
      </c>
      <c r="O154" s="990"/>
      <c r="P154" s="12"/>
      <c r="Q154" s="12"/>
      <c r="R154" s="12">
        <v>1969</v>
      </c>
      <c r="S154" s="8">
        <f>(O27*($E27/365))+(O28*($E28/365))</f>
        <v>6</v>
      </c>
      <c r="T154" s="8">
        <f>(P27*($E27/365))+(P28*($E28/365))</f>
        <v>24.5</v>
      </c>
      <c r="U154" s="8">
        <f>(Q27*($E27/365))+(Q28*($E28/365))</f>
        <v>51.5</v>
      </c>
      <c r="V154" s="12"/>
      <c r="W154" s="7">
        <f t="shared" si="61"/>
        <v>82</v>
      </c>
      <c r="X154" s="5"/>
      <c r="Y154" s="5"/>
    </row>
    <row r="155" spans="1:25">
      <c r="A155" s="1">
        <v>1970</v>
      </c>
      <c r="B155" s="8">
        <f>(K29*($E29/365))+(K30*($E30/365))+(K31*($E31/365))</f>
        <v>11.617492096944151</v>
      </c>
      <c r="C155" s="8">
        <f>(L29*($E29/365))+(L30*($E30/365))+(L31*($E31/365))</f>
        <v>39.304531085352998</v>
      </c>
      <c r="D155" s="8">
        <f>(M29*($E29/365))+(M30*($E30/365))+(M31*($E31/365))</f>
        <v>49.077976817702847</v>
      </c>
      <c r="E155" s="35">
        <f t="shared" si="60"/>
        <v>100</v>
      </c>
      <c r="G155" s="1">
        <v>1970</v>
      </c>
      <c r="H155" s="958">
        <f>(O29/$R29*100*($E29/365))+(O30/$R30*100*($E30/365))+(O31/$R31*100*($E31/365))</f>
        <v>12.287698115526265</v>
      </c>
      <c r="I155" s="958"/>
      <c r="J155" s="958">
        <f>(P29/$R29*100*($E29/365))+(P30/$R30*100*($E30/365))+(P31/$R31*100*($E31/365))</f>
        <v>30.713475120107837</v>
      </c>
      <c r="K155" s="958"/>
      <c r="L155" s="958">
        <f>(Q29/$R29*100*($E29/365))+(Q30/$R30*100*($E30/365))+(Q31/$R31*100*($E31/365))</f>
        <v>56.998826764365894</v>
      </c>
      <c r="M155" s="958"/>
      <c r="N155" s="990">
        <f t="shared" si="59"/>
        <v>100</v>
      </c>
      <c r="O155" s="990"/>
      <c r="P155" s="12"/>
      <c r="Q155" s="12"/>
      <c r="R155" s="12">
        <v>1970</v>
      </c>
      <c r="S155" s="8">
        <f>(O29*($E29/365))+(O30*($E30/365))+(O31*($E31/365))</f>
        <v>9.1424657534246556</v>
      </c>
      <c r="T155" s="8">
        <f>(P29*($E29/365))+(P30*($E30/365))+(P31*($E31/365))</f>
        <v>23.228767123287668</v>
      </c>
      <c r="U155" s="8">
        <f>(Q29*($E29/365))+(Q30*($E30/365))+(Q31*($E31/365))</f>
        <v>43.357534246575341</v>
      </c>
      <c r="V155" s="12"/>
      <c r="W155" s="7">
        <f t="shared" si="61"/>
        <v>75.728767123287668</v>
      </c>
      <c r="X155" s="5"/>
      <c r="Y155" s="5"/>
    </row>
    <row r="156" spans="1:25">
      <c r="A156" s="1">
        <v>1971</v>
      </c>
      <c r="B156" s="8">
        <f>(K32*($E32/365))+(K33*($E33/365))+(K34*($E34/365))</f>
        <v>13.382507903055847</v>
      </c>
      <c r="C156" s="8">
        <f>(L32*($E32/365))+(L33*($E33/365))+(L34*($E34/365))</f>
        <v>41.496311907270808</v>
      </c>
      <c r="D156" s="8">
        <f>(M32*($E32/365))+(M33*($E33/365))+(M34*($E34/365))</f>
        <v>38.37723919915701</v>
      </c>
      <c r="E156" s="35">
        <f t="shared" si="60"/>
        <v>93.256059009483664</v>
      </c>
      <c r="G156" s="1">
        <v>1971</v>
      </c>
      <c r="H156" s="958">
        <f>(O32/$R32*100*($E32/365))+(O33/$R33*100*($E33/365))+(O34/$R34*100*($E34/365))</f>
        <v>13.401540380631944</v>
      </c>
      <c r="I156" s="958"/>
      <c r="J156" s="958">
        <f>(P32/$R32*100*($E32/365))+(P33/$R33*100*($E33/365))+(P34/$R34*100*($E34/365))</f>
        <v>37.896110138359603</v>
      </c>
      <c r="K156" s="958"/>
      <c r="L156" s="958">
        <f>(Q32/$R32*100*($E32/365))+(Q33/$R33*100*($E33/365))+(Q34/$R34*100*($E34/365))</f>
        <v>48.702349481008454</v>
      </c>
      <c r="M156" s="958"/>
      <c r="N156" s="990">
        <f t="shared" si="59"/>
        <v>100</v>
      </c>
      <c r="O156" s="990"/>
      <c r="P156" s="12"/>
      <c r="Q156" s="12"/>
      <c r="R156" s="12">
        <v>1971</v>
      </c>
      <c r="S156" s="8">
        <f>(O32*($E32/365))+(O33*($E33/365))+(O34*($E34/365))</f>
        <v>8.1917808219178099</v>
      </c>
      <c r="T156" s="8">
        <f>(P32*($E32/365))+(P33*($E33/365))+(P34*($E34/365))</f>
        <v>22.5</v>
      </c>
      <c r="U156" s="8">
        <f>(Q32*($E32/365))+(Q33*($E33/365))+(Q34*($E34/365))</f>
        <v>29.642465753424659</v>
      </c>
      <c r="V156" s="12"/>
      <c r="W156" s="7">
        <f t="shared" si="61"/>
        <v>60.334246575342469</v>
      </c>
      <c r="X156" s="5"/>
      <c r="Y156" s="5"/>
    </row>
    <row r="157" spans="1:25">
      <c r="A157" s="1">
        <v>1972</v>
      </c>
      <c r="B157" s="8">
        <f>(K35*($E35/366))+(K36*($E36/366))+(K37*($E37/366))</f>
        <v>5.1781210592685998</v>
      </c>
      <c r="C157" s="8">
        <f>(L35*($E35/366))+(L36*($E36/366))+(L37*($E37/366))</f>
        <v>16.648276586801178</v>
      </c>
      <c r="D157" s="8">
        <f>(M35*($E35/366))+(M36*($E36/366))+(M37*($E37/366))</f>
        <v>70.571931483816726</v>
      </c>
      <c r="E157" s="35">
        <f t="shared" si="60"/>
        <v>92.398329129886505</v>
      </c>
      <c r="G157" s="1">
        <v>1972</v>
      </c>
      <c r="H157" s="958">
        <f>(O35/$R35*100*($E35/366))+(O36/$R36*100*($E36/366))+(O37/$R37*100*($E37/366))</f>
        <v>7.0671738331580443</v>
      </c>
      <c r="I157" s="958"/>
      <c r="J157" s="958">
        <f>(P35/$R35*100*($E35/366))+(P36/$R36*100*($E36/366))+(P37/$R37*100*($E37/366))</f>
        <v>17.661915628661049</v>
      </c>
      <c r="K157" s="958"/>
      <c r="L157" s="958">
        <f>(Q35/$R35*100*($E35/366))+(Q36/$R36*100*($E36/366))+(Q37/$R37*100*($E37/366))</f>
        <v>75.270910538180914</v>
      </c>
      <c r="M157" s="958"/>
      <c r="N157" s="990">
        <f t="shared" si="59"/>
        <v>100</v>
      </c>
      <c r="O157" s="990"/>
      <c r="P157" s="12"/>
      <c r="Q157" s="12"/>
      <c r="R157" s="12">
        <v>1972</v>
      </c>
      <c r="S157" s="8">
        <f>(O35*($E35/366))+(O36*($E36/366))+(O37*($E37/366))</f>
        <v>4.304644808743169</v>
      </c>
      <c r="T157" s="8">
        <f>(P35*($E35/366))+(P36*($E36/366))+(P37*($E37/366))</f>
        <v>10.08606557377049</v>
      </c>
      <c r="U157" s="8">
        <f>(Q35*($E35/366))+(Q36*($E36/366))+(Q37*($E37/366))</f>
        <v>27.210382513661202</v>
      </c>
      <c r="V157" s="12"/>
      <c r="W157" s="7">
        <f t="shared" si="61"/>
        <v>41.601092896174862</v>
      </c>
      <c r="X157" s="5"/>
      <c r="Y157" s="5"/>
    </row>
    <row r="158" spans="1:25">
      <c r="A158" s="1">
        <v>1973</v>
      </c>
      <c r="B158" s="8">
        <f>(K38*($E38/365))+(K39*($E39/365))</f>
        <v>12.5</v>
      </c>
      <c r="C158" s="8">
        <f>(L38*($E38/365))+(L39*($E39/365))</f>
        <v>37.5</v>
      </c>
      <c r="D158" s="8">
        <f>(M38*($E38/365))+(M39*($E39/365))</f>
        <v>43.75</v>
      </c>
      <c r="E158" s="35">
        <f t="shared" si="60"/>
        <v>93.75</v>
      </c>
      <c r="G158" s="1">
        <v>1973</v>
      </c>
      <c r="H158" s="958">
        <f>(O38/$R38*100*($E38/365))+(O39/$R39*100*($E39/365))</f>
        <v>9.3457943925233646</v>
      </c>
      <c r="I158" s="958"/>
      <c r="J158" s="958">
        <f>(P38/$R38*100*($E38/365))+(P39/$R39*100*($E39/365))</f>
        <v>39.252336448598129</v>
      </c>
      <c r="K158" s="958"/>
      <c r="L158" s="958">
        <f>(Q38/$R38*100*($E38/365))+(Q39/$R39*100*($E39/365))</f>
        <v>51.401869158878498</v>
      </c>
      <c r="M158" s="958"/>
      <c r="N158" s="990">
        <f t="shared" si="59"/>
        <v>100</v>
      </c>
      <c r="O158" s="990"/>
      <c r="P158" s="12"/>
      <c r="Q158" s="12"/>
      <c r="R158" s="12">
        <v>1973</v>
      </c>
      <c r="S158" s="8">
        <f>(O38*($E38/365))+(O39*($E39/365))</f>
        <v>5</v>
      </c>
      <c r="T158" s="8">
        <f>(P38*($E38/365))+(P39*($E39/365))</f>
        <v>21</v>
      </c>
      <c r="U158" s="8">
        <f>(Q38*($E38/365))+(Q39*($E39/365))</f>
        <v>27.5</v>
      </c>
      <c r="V158" s="12"/>
      <c r="W158" s="7">
        <f t="shared" si="61"/>
        <v>53.5</v>
      </c>
      <c r="X158" s="5"/>
      <c r="Y158" s="5"/>
    </row>
    <row r="159" spans="1:25">
      <c r="A159" s="1">
        <v>1974</v>
      </c>
      <c r="B159" s="8">
        <f>(K40*($E40/365))+(K41*($E41/365))</f>
        <v>12.5</v>
      </c>
      <c r="C159" s="8">
        <f>(L40*($E40/365))+(L41*($E41/365))</f>
        <v>37.5</v>
      </c>
      <c r="D159" s="8">
        <f>(M40*($E40/365))+(M41*($E41/365))</f>
        <v>43.75</v>
      </c>
      <c r="E159" s="35">
        <f t="shared" si="60"/>
        <v>93.75</v>
      </c>
      <c r="G159" s="1">
        <v>1974</v>
      </c>
      <c r="H159" s="958">
        <f>(O40/$R40*100*($E40/365))+(O41/$R41*100*($E41/365))</f>
        <v>9.3457943925233646</v>
      </c>
      <c r="I159" s="958"/>
      <c r="J159" s="958">
        <f>(P40/$R40*100*($E40/365))+(P41/$R41*100*($E41/365))</f>
        <v>39.252336448598129</v>
      </c>
      <c r="K159" s="958"/>
      <c r="L159" s="958">
        <f>(Q40/$R40*100*($E40/365))+(Q41/$R41*100*($E41/365))</f>
        <v>51.401869158878498</v>
      </c>
      <c r="M159" s="958"/>
      <c r="N159" s="990">
        <f t="shared" si="59"/>
        <v>100</v>
      </c>
      <c r="O159" s="990"/>
      <c r="P159" s="12"/>
      <c r="Q159" s="12"/>
      <c r="R159" s="12">
        <v>1974</v>
      </c>
      <c r="S159" s="8">
        <f>(O40*($E40/365))+(O41*($E41/365))</f>
        <v>5</v>
      </c>
      <c r="T159" s="8">
        <f>(P40*($E40/365))+(P41*($E41/365))</f>
        <v>21</v>
      </c>
      <c r="U159" s="8">
        <f>(Q40*($E40/365))+(Q41*($E41/365))</f>
        <v>27.5</v>
      </c>
      <c r="V159" s="12"/>
      <c r="W159" s="7">
        <f t="shared" si="61"/>
        <v>53.5</v>
      </c>
      <c r="X159" s="5"/>
      <c r="Y159" s="5"/>
    </row>
    <row r="160" spans="1:25">
      <c r="A160" s="1">
        <v>1975</v>
      </c>
      <c r="B160" s="8">
        <f>(K42*($E42/365))+(K43*($E43/365))+(K44*($E44/365))</f>
        <v>12.035768645357686</v>
      </c>
      <c r="C160" s="8">
        <f>(L42*($E42/365))+(L43*($E43/365))+(L44*($E44/365))</f>
        <v>30.140791476407916</v>
      </c>
      <c r="D160" s="8">
        <f>(M42*($E42/365))+(M43*($E43/365))+(M44*($E44/365))</f>
        <v>37.619863013698634</v>
      </c>
      <c r="E160" s="35">
        <f t="shared" si="60"/>
        <v>79.796423135464238</v>
      </c>
      <c r="G160" s="1">
        <v>1975</v>
      </c>
      <c r="H160" s="1008">
        <f>(O42/$R42*100*($E42/365))+(O43/$R43*100*($E43/365))+(O44/$R44*100*($E44/365))</f>
        <v>19.388350533227189</v>
      </c>
      <c r="I160" s="1008"/>
      <c r="J160" s="1008">
        <f>(P42/$R42*100*($E42/365))+(P43/$R43*100*($E43/365))+(P44/$R44*100*($E44/365))</f>
        <v>34.270293580577999</v>
      </c>
      <c r="K160" s="1008"/>
      <c r="L160" s="1008">
        <f>(Q42/$R42*100*($E42/365))+(Q43/$R43*100*($E43/365))+(Q44/$R44*100*($E44/365))</f>
        <v>46.341355886194812</v>
      </c>
      <c r="M160" s="1008"/>
      <c r="N160" s="1004">
        <f t="shared" si="59"/>
        <v>100</v>
      </c>
      <c r="O160" s="1004"/>
      <c r="P160" s="12"/>
      <c r="Q160" s="12"/>
      <c r="R160" s="12">
        <v>1975</v>
      </c>
      <c r="S160" s="8">
        <f>(O42*($E42/365))+(O43*($E43/365))+(O44*($E44/365))</f>
        <v>12.917808219178083</v>
      </c>
      <c r="T160" s="8">
        <f>(P42*($E42/365))+(P43*($E43/365))+(P44*($E44/365))</f>
        <v>21.263013698630132</v>
      </c>
      <c r="U160" s="8">
        <f>(Q42*($E42/365))+(Q43*($E43/365))+(Q44*($E44/365))</f>
        <v>28.976712328767121</v>
      </c>
      <c r="V160" s="12"/>
      <c r="W160" s="7">
        <f t="shared" si="61"/>
        <v>63.157534246575338</v>
      </c>
      <c r="X160" s="5"/>
      <c r="Y160" s="5"/>
    </row>
    <row r="161" spans="1:25">
      <c r="A161" s="1">
        <v>1976</v>
      </c>
      <c r="B161" s="8">
        <f>(K45*($E45/366))+(K46*($E46/366))</f>
        <v>13.073011536126291</v>
      </c>
      <c r="C161" s="8">
        <f>(L45*($E45/366))+(L46*($E46/366))</f>
        <v>39.905889496053433</v>
      </c>
      <c r="D161" s="8">
        <f>(M45*($E45/366))+(M46*($E46/366))</f>
        <v>37.158469945355193</v>
      </c>
      <c r="E161" s="35">
        <f t="shared" si="60"/>
        <v>90.137370977534914</v>
      </c>
      <c r="G161" s="1">
        <v>1976</v>
      </c>
      <c r="H161" s="958">
        <f>(O45/$R45*100*($E45/366))+(O46/$R46*100*($E46/366))</f>
        <v>9.3173861731774323</v>
      </c>
      <c r="I161" s="958"/>
      <c r="J161" s="958">
        <f>(P45/$R45*100*($E45/366))+(P46/$R46*100*($E46/366))</f>
        <v>44.723453631251672</v>
      </c>
      <c r="K161" s="958"/>
      <c r="L161" s="958">
        <f>(Q45/$R45*100*($E45/366))+(Q46/$R46*100*($E46/366))</f>
        <v>45.959160195570902</v>
      </c>
      <c r="M161" s="958"/>
      <c r="N161" s="990">
        <f t="shared" si="59"/>
        <v>100</v>
      </c>
      <c r="O161" s="990"/>
      <c r="P161" s="12"/>
      <c r="Q161" s="12"/>
      <c r="R161" s="12">
        <v>1976</v>
      </c>
      <c r="S161" s="8">
        <f>(O45*($E45/366))+(O46*($E46/366))</f>
        <v>5</v>
      </c>
      <c r="T161" s="8">
        <f>(P45*($E45/366))+(P46*($E46/366))</f>
        <v>24</v>
      </c>
      <c r="U161" s="8">
        <f>(Q45*($E45/366))+(Q46*($E46/366))</f>
        <v>34.928961748633881</v>
      </c>
      <c r="V161" s="12"/>
      <c r="W161" s="7">
        <f t="shared" si="61"/>
        <v>63.928961748633881</v>
      </c>
      <c r="X161" s="5"/>
      <c r="Y161" s="5"/>
    </row>
    <row r="162" spans="1:25">
      <c r="A162" s="1">
        <v>1977</v>
      </c>
      <c r="B162" s="8">
        <f>(K47*($E47/365))+(K48*($E48/365))</f>
        <v>11.102739726027398</v>
      </c>
      <c r="C162" s="8">
        <f>(L47*($E47/365))+(L48*($E48/365))</f>
        <v>52.849315068493148</v>
      </c>
      <c r="D162" s="8">
        <f>(M47*($E47/365))+(M48*($E48/365))</f>
        <v>29.534246575342461</v>
      </c>
      <c r="E162" s="35">
        <f t="shared" si="60"/>
        <v>93.486301369863014</v>
      </c>
      <c r="G162" s="1">
        <v>1977</v>
      </c>
      <c r="H162" s="958">
        <f>(O47/$R47*100*($E47/365))+(O48/$R48*100*($E48/365))</f>
        <v>10.493374437510877</v>
      </c>
      <c r="I162" s="958"/>
      <c r="J162" s="958">
        <f>(P47/$R47*100*($E47/365))+(P48/$R48*100*($E48/365))</f>
        <v>50.368197300052202</v>
      </c>
      <c r="K162" s="958"/>
      <c r="L162" s="958">
        <f>(Q47/$R47*100*($E47/365))+(Q48/$R48*100*($E48/365))</f>
        <v>39.138428262436911</v>
      </c>
      <c r="M162" s="958"/>
      <c r="N162" s="990">
        <f t="shared" si="59"/>
        <v>100</v>
      </c>
      <c r="O162" s="990"/>
      <c r="P162" s="12"/>
      <c r="Q162" s="12"/>
      <c r="R162" s="12">
        <v>1977</v>
      </c>
      <c r="S162" s="8">
        <f>(O47*($E47/365))+(O48*($E48/365))</f>
        <v>5</v>
      </c>
      <c r="T162" s="8">
        <f>(P47*($E47/365))+(P48*($E48/365))</f>
        <v>24</v>
      </c>
      <c r="U162" s="8">
        <f>(Q47*($E47/365))+(Q48*($E48/365))</f>
        <v>29.745205479452054</v>
      </c>
      <c r="V162" s="12"/>
      <c r="W162" s="7">
        <f t="shared" si="61"/>
        <v>58.745205479452054</v>
      </c>
      <c r="X162" s="5"/>
      <c r="Y162" s="5"/>
    </row>
    <row r="163" spans="1:25">
      <c r="A163" s="1">
        <v>1978</v>
      </c>
      <c r="B163" s="8">
        <f>(K49*($E49/365))+(K50*($E50/365))</f>
        <v>1.095890410958904</v>
      </c>
      <c r="C163" s="8">
        <f>(L49*($E49/365))+(L50*($E50/365))</f>
        <v>45.570776255707756</v>
      </c>
      <c r="D163" s="8">
        <f>(M49*($E49/365))+(M50*($E50/365))</f>
        <v>46.666666666666664</v>
      </c>
      <c r="E163" s="35">
        <f t="shared" si="60"/>
        <v>93.333333333333314</v>
      </c>
      <c r="G163" s="1">
        <v>1978</v>
      </c>
      <c r="H163" s="958">
        <f>(O49/$R49*100*($E49/365))+(O50/$R50*100*($E50/365))</f>
        <v>1.0814708002883922</v>
      </c>
      <c r="I163" s="958"/>
      <c r="J163" s="958">
        <f>(P49/$R49*100*($E49/365))+(P50/$R50*100*($E50/365))</f>
        <v>33.437249306944764</v>
      </c>
      <c r="K163" s="958"/>
      <c r="L163" s="958">
        <f>(Q49/$R49*100*($E49/365))+(Q50/$R50*100*($E50/365))</f>
        <v>65.481279892766835</v>
      </c>
      <c r="M163" s="958"/>
      <c r="N163" s="990">
        <f t="shared" si="59"/>
        <v>100</v>
      </c>
      <c r="O163" s="990"/>
      <c r="P163" s="12"/>
      <c r="Q163" s="12"/>
      <c r="R163" s="12">
        <v>1978</v>
      </c>
      <c r="S163" s="8">
        <f>(O49*($E49/365))+(O50*($E50/365))</f>
        <v>0.82191780821917804</v>
      </c>
      <c r="T163" s="8">
        <f>(P49*($E49/365))+(P50*($E50/365))</f>
        <v>24</v>
      </c>
      <c r="U163" s="8">
        <f>(Q49*($E49/365))+(Q50*($E50/365))</f>
        <v>47</v>
      </c>
      <c r="V163" s="12"/>
      <c r="W163" s="7">
        <f t="shared" si="61"/>
        <v>71.821917808219183</v>
      </c>
      <c r="X163" s="5"/>
      <c r="Y163" s="5"/>
    </row>
    <row r="164" spans="1:25">
      <c r="A164" s="1">
        <v>1979</v>
      </c>
      <c r="B164" s="8">
        <f>(K51*($E51/365))+(K52*($E52/365))</f>
        <v>7.1232876712328759</v>
      </c>
      <c r="C164" s="8">
        <f>(L51*($E51/365))+(L52*($E52/365))</f>
        <v>39.780821917808218</v>
      </c>
      <c r="D164" s="8">
        <f>(M51*($E51/365))+(M52*($E52/365))</f>
        <v>46.904109589041092</v>
      </c>
      <c r="E164" s="35">
        <f t="shared" si="60"/>
        <v>93.808219178082183</v>
      </c>
      <c r="G164" s="1">
        <v>1979</v>
      </c>
      <c r="H164" s="958">
        <f>(O51/$R51*100*($E51/365))+(O52/$R52*100*($E52/365))</f>
        <v>4.5524770831187551</v>
      </c>
      <c r="I164" s="958"/>
      <c r="J164" s="958">
        <f>(P51/$R51*100*($E51/365))+(P52/$R52*100*($E52/365))</f>
        <v>29.724823345262635</v>
      </c>
      <c r="K164" s="958"/>
      <c r="L164" s="958">
        <f>(Q51/$R51*100*($E51/365))+(Q52/$R52*100*($E52/365))</f>
        <v>65.722699571618605</v>
      </c>
      <c r="M164" s="958"/>
      <c r="N164" s="990">
        <f t="shared" si="59"/>
        <v>100</v>
      </c>
      <c r="O164" s="990"/>
      <c r="P164" s="12"/>
      <c r="Q164" s="12"/>
      <c r="R164" s="12">
        <v>1979</v>
      </c>
      <c r="S164" s="8">
        <f>(O51*($E51/365))+(O52*($E52/365))</f>
        <v>3.0273972602739723</v>
      </c>
      <c r="T164" s="8">
        <f>(P51*($E51/365))+(P52*($E52/365))</f>
        <v>20.367123287671234</v>
      </c>
      <c r="U164" s="8">
        <f>(Q51*($E51/365))+(Q52*($E52/365))</f>
        <v>44.88082191780822</v>
      </c>
      <c r="V164" s="12"/>
      <c r="W164" s="7">
        <f t="shared" si="61"/>
        <v>68.275342465753425</v>
      </c>
      <c r="X164" s="5"/>
      <c r="Y164" s="5"/>
    </row>
    <row r="165" spans="1:25">
      <c r="A165" s="1">
        <v>1980</v>
      </c>
      <c r="B165" s="8">
        <f>(K53*($E53/366))+(K54*($E54/366))</f>
        <v>11.76470588235294</v>
      </c>
      <c r="C165" s="8">
        <f>(L53*($E53/366))+(L54*($E54/366))</f>
        <v>35.294117647058826</v>
      </c>
      <c r="D165" s="8">
        <f>(M53*($E53/366))+(M54*($E54/366))</f>
        <v>47.058823529411761</v>
      </c>
      <c r="E165" s="35">
        <f t="shared" si="60"/>
        <v>94.117647058823536</v>
      </c>
      <c r="G165" s="1">
        <v>1980</v>
      </c>
      <c r="H165" s="958">
        <f>(O53/$R53*100*($E53/366))+(O54/$R54*100*($E54/366))</f>
        <v>7.518796992481203</v>
      </c>
      <c r="I165" s="958"/>
      <c r="J165" s="958">
        <f>(P53/$R53*100*($E53/366))+(P54/$R54*100*($E54/366))</f>
        <v>27.06766917293233</v>
      </c>
      <c r="K165" s="958"/>
      <c r="L165" s="958">
        <f>(Q53/$R53*100*($E53/366))+(Q54/$R54*100*($E54/366))</f>
        <v>65.413533834586474</v>
      </c>
      <c r="M165" s="958"/>
      <c r="N165" s="990">
        <f t="shared" si="59"/>
        <v>100</v>
      </c>
      <c r="O165" s="990"/>
      <c r="P165" s="12"/>
      <c r="Q165" s="12"/>
      <c r="R165" s="12">
        <v>1980</v>
      </c>
      <c r="S165" s="8">
        <f>(O53*($E53/366))+(O54*($E54/366))</f>
        <v>5</v>
      </c>
      <c r="T165" s="8">
        <f>(P53*($E53/366))+(P54*($E54/366))</f>
        <v>18</v>
      </c>
      <c r="U165" s="8">
        <f>(Q53*($E53/366))+(Q54*($E54/366))</f>
        <v>43.5</v>
      </c>
      <c r="V165" s="12"/>
      <c r="W165" s="7">
        <f t="shared" si="61"/>
        <v>66.5</v>
      </c>
      <c r="X165" s="5"/>
      <c r="Y165" s="5"/>
    </row>
    <row r="166" spans="1:25">
      <c r="A166" s="1">
        <v>1981</v>
      </c>
      <c r="B166" s="8">
        <f>(K55*($E55/365))+(K56*($E56/365))</f>
        <v>11.76470588235294</v>
      </c>
      <c r="C166" s="8">
        <f>(L55*($E55/365))+(L56*($E56/365))</f>
        <v>35.294117647058826</v>
      </c>
      <c r="D166" s="8">
        <f>(M55*($E55/365))+(M56*($E56/365))</f>
        <v>47.058823529411761</v>
      </c>
      <c r="E166" s="35">
        <f t="shared" si="60"/>
        <v>94.117647058823536</v>
      </c>
      <c r="G166" s="1">
        <v>1981</v>
      </c>
      <c r="H166" s="958">
        <f>(O55/$R55*100*($E55/365))+(O56/$R56*100*($E56/365))</f>
        <v>7.518796992481203</v>
      </c>
      <c r="I166" s="958"/>
      <c r="J166" s="958">
        <f>(P55/$R55*100*($E55/365))+(P56/$R56*100*($E56/365))</f>
        <v>27.06766917293233</v>
      </c>
      <c r="K166" s="958"/>
      <c r="L166" s="958">
        <f>(Q55/$R55*100*($E55/365))+(Q56/$R56*100*($E56/365))</f>
        <v>65.413533834586474</v>
      </c>
      <c r="M166" s="958"/>
      <c r="N166" s="990">
        <f t="shared" si="59"/>
        <v>100</v>
      </c>
      <c r="O166" s="990"/>
      <c r="P166" s="12"/>
      <c r="Q166" s="12"/>
      <c r="R166" s="12">
        <v>1981</v>
      </c>
      <c r="S166" s="8">
        <f>(O55*($E55/365))+(O56*($E56/365))</f>
        <v>5</v>
      </c>
      <c r="T166" s="8">
        <f>(P55*($E55/365))+(P56*($E56/365))</f>
        <v>18</v>
      </c>
      <c r="U166" s="8">
        <f>(Q55*($E55/365))+(Q56*($E56/365))</f>
        <v>43.5</v>
      </c>
      <c r="V166" s="12"/>
      <c r="W166" s="7">
        <f t="shared" si="61"/>
        <v>66.5</v>
      </c>
      <c r="X166" s="5"/>
      <c r="Y166" s="5"/>
    </row>
    <row r="167" spans="1:25">
      <c r="A167" s="1">
        <v>1982</v>
      </c>
      <c r="B167" s="8">
        <f>(K57*($E57/365))+(K58*($E58/365))+(K59*($E59/365))</f>
        <v>11.76470588235294</v>
      </c>
      <c r="C167" s="8">
        <f>(L57*($E57/365))+(L58*($E58/365))+(L59*($E59/365))</f>
        <v>35.326349717969379</v>
      </c>
      <c r="D167" s="8">
        <f>(M57*($E57/365))+(M58*($E58/365))+(M59*($E59/365))</f>
        <v>47.058823529411761</v>
      </c>
      <c r="E167" s="35">
        <f t="shared" si="60"/>
        <v>94.149879129734074</v>
      </c>
      <c r="G167" s="1">
        <v>1982</v>
      </c>
      <c r="H167" s="958">
        <f>(O57/$R57*100*($E57/365))+(O58/$R58*100*($E58/365))+(O59/$R59*100*($E59/365))</f>
        <v>7.5335108809204998</v>
      </c>
      <c r="I167" s="958"/>
      <c r="J167" s="958">
        <f>(P57/$R57*100*($E57/365))+(P58/$R58*100*($E58/365))+(P59/$R59*100*($E59/365))</f>
        <v>27.120639171313801</v>
      </c>
      <c r="K167" s="958"/>
      <c r="L167" s="958">
        <f>(Q57/$R57*100*($E57/365))+(Q58/$R58*100*($E58/365))+(Q59/$R59*100*($E59/365))</f>
        <v>65.3458499477657</v>
      </c>
      <c r="M167" s="958"/>
      <c r="N167" s="990">
        <f t="shared" si="59"/>
        <v>100</v>
      </c>
      <c r="O167" s="990"/>
      <c r="P167" s="12"/>
      <c r="Q167" s="12"/>
      <c r="R167" s="12">
        <v>1982</v>
      </c>
      <c r="S167" s="8">
        <f>(O57*($E57/365))+(O58*($E58/365))+(O59*($E59/365))</f>
        <v>5</v>
      </c>
      <c r="T167" s="8">
        <f>(P57*($E57/365))+(P58*($E58/365))+(P59*($E59/365))</f>
        <v>18</v>
      </c>
      <c r="U167" s="8">
        <f>(Q57*($E57/365))+(Q58*($E58/365))+(Q59*($E59/365))</f>
        <v>43.404109589041092</v>
      </c>
      <c r="V167" s="12"/>
      <c r="W167" s="7">
        <f t="shared" si="61"/>
        <v>66.404109589041099</v>
      </c>
      <c r="X167" s="5"/>
      <c r="Y167" s="5"/>
    </row>
    <row r="168" spans="1:25">
      <c r="A168" s="1">
        <v>1983</v>
      </c>
      <c r="B168" s="8">
        <f>(K60*($E60/365))+(K61*($E61/365))</f>
        <v>11.76470588235294</v>
      </c>
      <c r="C168" s="8">
        <f>(L60*($E60/365))+(L61*($E61/365))</f>
        <v>41.17647058823529</v>
      </c>
      <c r="D168" s="8">
        <f>(M60*($E60/365))+(M61*($E61/365))</f>
        <v>47.058823529411761</v>
      </c>
      <c r="E168" s="35">
        <f t="shared" si="60"/>
        <v>100</v>
      </c>
      <c r="G168" s="1">
        <v>1983</v>
      </c>
      <c r="H168" s="958">
        <f>(O60/$R60*100*($E60/365))+(O61/$R61*100*($E61/365))</f>
        <v>9.3783908484877418</v>
      </c>
      <c r="I168" s="958"/>
      <c r="J168" s="958">
        <f>(P60/$R60*100*($E60/365))+(P61/$R61*100*($E61/365))</f>
        <v>41.960447393123637</v>
      </c>
      <c r="K168" s="958"/>
      <c r="L168" s="958">
        <f>(Q60/$R60*100*($E60/365))+(Q61/$R61*100*($E61/365))</f>
        <v>48.661161758388623</v>
      </c>
      <c r="M168" s="958"/>
      <c r="N168" s="990">
        <f t="shared" si="59"/>
        <v>100</v>
      </c>
      <c r="O168" s="990"/>
      <c r="P168" s="12"/>
      <c r="Q168" s="12"/>
      <c r="R168" s="12">
        <v>1983</v>
      </c>
      <c r="S168" s="8">
        <f>(O60*($E60/365))+(O61*($E61/365))</f>
        <v>5.3273972602739725</v>
      </c>
      <c r="T168" s="8">
        <f>(P60*($E60/365))+(P61*($E61/365))</f>
        <v>24.220547945205482</v>
      </c>
      <c r="U168" s="8">
        <f>(Q60*($E60/365))+(Q61*($E61/365))</f>
        <v>27.636986301369863</v>
      </c>
      <c r="V168" s="12"/>
      <c r="W168" s="7">
        <f t="shared" si="61"/>
        <v>57.184931506849317</v>
      </c>
      <c r="X168" s="5"/>
      <c r="Y168" s="5"/>
    </row>
    <row r="169" spans="1:25">
      <c r="A169" s="1">
        <v>1984</v>
      </c>
      <c r="B169" s="8">
        <f>(K62*($E62/366))+(K63*($E63/366))</f>
        <v>11.76470588235294</v>
      </c>
      <c r="C169" s="8">
        <f>(L62*($E62/366))+(L63*($E63/366))</f>
        <v>41.17647058823529</v>
      </c>
      <c r="D169" s="8">
        <f>(M62*($E62/366))+(M63*($E63/366))</f>
        <v>47.058823529411761</v>
      </c>
      <c r="E169" s="35">
        <f t="shared" si="60"/>
        <v>100</v>
      </c>
      <c r="G169" s="1">
        <v>1984</v>
      </c>
      <c r="H169" s="958">
        <f>(O62/$R62*100*($E62/366))+(O63/$R63*100*($E63/366))</f>
        <v>8.9430894308943092</v>
      </c>
      <c r="I169" s="958"/>
      <c r="J169" s="958">
        <f>(P62/$R62*100*($E62/366))+(P63/$R63*100*($E63/366))</f>
        <v>44.715447154471541</v>
      </c>
      <c r="K169" s="958"/>
      <c r="L169" s="958">
        <f>(Q62/$R62*100*($E62/366))+(Q63/$R63*100*($E63/366))</f>
        <v>46.341463414634148</v>
      </c>
      <c r="M169" s="958"/>
      <c r="N169" s="990">
        <f t="shared" si="59"/>
        <v>100</v>
      </c>
      <c r="O169" s="990"/>
      <c r="P169" s="12"/>
      <c r="Q169" s="12"/>
      <c r="R169" s="12">
        <v>1984</v>
      </c>
      <c r="S169" s="8">
        <f>(O62*($E62/366))+(O63*($E63/366))</f>
        <v>5.5</v>
      </c>
      <c r="T169" s="8">
        <f>(P62*($E62/366))+(P63*($E63/366))</f>
        <v>27.5</v>
      </c>
      <c r="U169" s="8">
        <f>(Q62*($E62/366))+(Q63*($E63/366))</f>
        <v>28.5</v>
      </c>
      <c r="V169" s="12"/>
      <c r="W169" s="7">
        <f t="shared" si="61"/>
        <v>61.5</v>
      </c>
      <c r="X169" s="5"/>
      <c r="Y169" s="5"/>
    </row>
    <row r="170" spans="1:25">
      <c r="A170" s="1">
        <v>1985</v>
      </c>
      <c r="B170" s="8">
        <f>(K64*($E64/365))+(K65*($E65/365))</f>
        <v>11.76470588235294</v>
      </c>
      <c r="C170" s="8">
        <f>(L64*($E64/365))+(L65*($E65/365))</f>
        <v>41.17647058823529</v>
      </c>
      <c r="D170" s="8">
        <f>(M64*($E64/365))+(M65*($E65/365))</f>
        <v>47.058823529411761</v>
      </c>
      <c r="E170" s="35">
        <f t="shared" si="60"/>
        <v>100</v>
      </c>
      <c r="G170" s="1">
        <v>1985</v>
      </c>
      <c r="H170" s="958">
        <f>(O64/$R64*100*($E64/365))+(O65/$R65*100*($E65/365))</f>
        <v>8.9430894308943092</v>
      </c>
      <c r="I170" s="958"/>
      <c r="J170" s="958">
        <f>(P64/$R64*100*($E64/365))+(P65/$R65*100*($E65/365))</f>
        <v>44.715447154471541</v>
      </c>
      <c r="K170" s="958"/>
      <c r="L170" s="958">
        <f>(Q64/$R64*100*($E64/365))+(Q65/$R65*100*($E65/365))</f>
        <v>46.341463414634148</v>
      </c>
      <c r="M170" s="958"/>
      <c r="N170" s="990">
        <f t="shared" si="59"/>
        <v>100</v>
      </c>
      <c r="O170" s="990"/>
      <c r="P170" s="12"/>
      <c r="Q170" s="12"/>
      <c r="R170" s="12">
        <v>1985</v>
      </c>
      <c r="S170" s="8">
        <f>(O64*($E64/365))+(O65*($E65/365))</f>
        <v>5.5</v>
      </c>
      <c r="T170" s="8">
        <f>(P64*($E64/365))+(P65*($E65/365))</f>
        <v>27.5</v>
      </c>
      <c r="U170" s="8">
        <f>(Q64*($E64/365))+(Q65*($E65/365))</f>
        <v>28.5</v>
      </c>
      <c r="V170" s="12"/>
      <c r="W170" s="7">
        <f t="shared" si="61"/>
        <v>61.5</v>
      </c>
      <c r="X170" s="5"/>
      <c r="Y170" s="5"/>
    </row>
    <row r="171" spans="1:25" ht="9" customHeight="1">
      <c r="A171" s="1">
        <v>1986</v>
      </c>
      <c r="B171" s="8">
        <f>(K66*($E66/365))+(K67*($E67/365))</f>
        <v>11.76470588235294</v>
      </c>
      <c r="C171" s="8">
        <f>(L66*($E66/365))+(L67*($E67/365))</f>
        <v>41.17647058823529</v>
      </c>
      <c r="D171" s="8">
        <f>(M66*($E66/365))+(M67*($E67/365))</f>
        <v>47.058823529411761</v>
      </c>
      <c r="E171" s="35">
        <f t="shared" si="60"/>
        <v>100</v>
      </c>
      <c r="G171" s="1">
        <v>1986</v>
      </c>
      <c r="H171" s="958">
        <f>(O66/$R66*100*($E66/365))+(O67/$R67*100*($E67/365))</f>
        <v>8.9430894308943092</v>
      </c>
      <c r="I171" s="958"/>
      <c r="J171" s="958">
        <f>(P66/$R66*100*($E66/365))+(P67/$R67*100*($E67/365))</f>
        <v>44.715447154471541</v>
      </c>
      <c r="K171" s="958"/>
      <c r="L171" s="958">
        <f>(Q66/$R66*100*($E66/365))+(Q67/$R67*100*($E67/365))</f>
        <v>46.341463414634148</v>
      </c>
      <c r="M171" s="958"/>
      <c r="N171" s="990">
        <f t="shared" si="59"/>
        <v>100</v>
      </c>
      <c r="O171" s="990"/>
      <c r="P171" s="12"/>
      <c r="Q171" s="12"/>
      <c r="R171" s="12">
        <v>1986</v>
      </c>
      <c r="S171" s="8">
        <f>(O66*($E66/365))+(O67*($E67/365))</f>
        <v>5.5</v>
      </c>
      <c r="T171" s="8">
        <f>(P66*($E66/365))+(P67*($E67/365))</f>
        <v>27.5</v>
      </c>
      <c r="U171" s="8">
        <f>(Q66*($E66/365))+(Q67*($E67/365))</f>
        <v>28.5</v>
      </c>
      <c r="V171" s="12"/>
      <c r="W171" s="7">
        <f t="shared" si="61"/>
        <v>61.5</v>
      </c>
      <c r="X171" s="5"/>
      <c r="Y171" s="5"/>
    </row>
    <row r="172" spans="1:25" ht="9" customHeight="1">
      <c r="A172" s="1">
        <v>1987</v>
      </c>
      <c r="B172" s="8">
        <f>(K68*($E68/365))+(K69*($E69/365))</f>
        <v>37.534246575342465</v>
      </c>
      <c r="C172" s="8">
        <f>(L68*($E68/365))+(L69*($E69/365))</f>
        <v>17.168949771689498</v>
      </c>
      <c r="D172" s="8">
        <f>(M68*($E68/365))+(M69*($E69/365))</f>
        <v>45.296803652968038</v>
      </c>
      <c r="E172" s="35">
        <f t="shared" si="60"/>
        <v>100</v>
      </c>
      <c r="G172" s="1">
        <v>1987</v>
      </c>
      <c r="H172" s="958">
        <f>(O68/$R68*100*($E68/365))+(O69/$R69*100*($E69/365))</f>
        <v>36.871563759034011</v>
      </c>
      <c r="I172" s="958"/>
      <c r="J172" s="958">
        <f>(P68/$R68*100*($E68/365))+(P69/$R69*100*($E69/365))</f>
        <v>19.208806978794456</v>
      </c>
      <c r="K172" s="958"/>
      <c r="L172" s="958">
        <f>(Q68/$R68*100*($E68/365))+(Q69/$R69*100*($E69/365))</f>
        <v>43.919629262171526</v>
      </c>
      <c r="M172" s="958"/>
      <c r="N172" s="990">
        <f t="shared" si="59"/>
        <v>100</v>
      </c>
      <c r="O172" s="990"/>
      <c r="P172" s="12"/>
      <c r="Q172" s="12"/>
      <c r="R172" s="12">
        <v>1987</v>
      </c>
      <c r="S172" s="8">
        <f>(O68*($E68/365))+(O69*($E69/365))</f>
        <v>24.034246575342468</v>
      </c>
      <c r="T172" s="8">
        <f>(P68*($E68/365))+(P69*($E69/365))</f>
        <v>11.9986301369863</v>
      </c>
      <c r="U172" s="8">
        <f>(Q68*($E68/365))+(Q69*($E69/365))</f>
        <v>28.163013698630138</v>
      </c>
      <c r="V172" s="12"/>
      <c r="W172" s="7">
        <f t="shared" si="61"/>
        <v>64.19589041095891</v>
      </c>
      <c r="X172" s="5"/>
      <c r="Y172" s="5"/>
    </row>
    <row r="173" spans="1:25" ht="9" customHeight="1">
      <c r="A173" s="1">
        <v>1988</v>
      </c>
      <c r="B173" s="8">
        <f>(K70*($E70/366))+(K71*($E71/366))</f>
        <v>50</v>
      </c>
      <c r="C173" s="8">
        <f>(L70*($E70/366))+(L71*($E71/366))</f>
        <v>5.5555555555555554</v>
      </c>
      <c r="D173" s="8">
        <f>(M70*($E70/366))+(M71*($E71/366))</f>
        <v>44.444444444444443</v>
      </c>
      <c r="E173" s="35">
        <f t="shared" si="60"/>
        <v>100</v>
      </c>
      <c r="G173" s="1">
        <v>1988</v>
      </c>
      <c r="H173" s="958">
        <f>(O70/$R70*100*($E70/366))+(O71/$R71*100*($E71/366))</f>
        <v>50.381679389312971</v>
      </c>
      <c r="I173" s="958"/>
      <c r="J173" s="958">
        <f>(P70/$R70*100*($E70/366))+(P71/$R71*100*($E71/366))</f>
        <v>6.8702290076335881</v>
      </c>
      <c r="K173" s="958"/>
      <c r="L173" s="958">
        <f>(Q70/$R70*100*($E70/366))+(Q71/$R71*100*($E71/366))</f>
        <v>42.748091603053432</v>
      </c>
      <c r="M173" s="958"/>
      <c r="N173" s="990">
        <f t="shared" si="59"/>
        <v>100</v>
      </c>
      <c r="O173" s="990"/>
      <c r="P173" s="12"/>
      <c r="Q173" s="12"/>
      <c r="R173" s="12">
        <v>1988</v>
      </c>
      <c r="S173" s="8">
        <f>(O70*($E70/366))+(O71*($E71/366))</f>
        <v>33</v>
      </c>
      <c r="T173" s="8">
        <f>(P70*($E70/366))+(P71*($E71/366))</f>
        <v>4.5</v>
      </c>
      <c r="U173" s="8">
        <f>(Q70*($E70/366))+(Q71*($E71/366))</f>
        <v>28</v>
      </c>
      <c r="V173" s="12"/>
      <c r="W173" s="7">
        <f t="shared" si="61"/>
        <v>65.5</v>
      </c>
      <c r="X173" s="5"/>
      <c r="Y173" s="5"/>
    </row>
    <row r="174" spans="1:25" s="4" customFormat="1" ht="9" customHeight="1">
      <c r="A174" s="4">
        <v>1989</v>
      </c>
      <c r="B174" s="11">
        <f>(K72*($E72/365))+(K73*($E73/365))</f>
        <v>50</v>
      </c>
      <c r="C174" s="11">
        <f>(L72*($E72/365))+(L73*($E73/365))</f>
        <v>5.5555555555555554</v>
      </c>
      <c r="D174" s="11">
        <f>(M72*($E72/365))+(M73*($E73/365))</f>
        <v>44.444444444444443</v>
      </c>
      <c r="E174" s="34">
        <f t="shared" si="60"/>
        <v>100</v>
      </c>
      <c r="G174" s="4">
        <v>1989</v>
      </c>
      <c r="H174" s="960">
        <f>(O72/$R72*100*($E72/365))+(O73/$R73*100*($E73/365))</f>
        <v>50.381679389312971</v>
      </c>
      <c r="I174" s="960"/>
      <c r="J174" s="960">
        <f>(P72/$R72*100*($E72/365))+(P73/$R73*100*($E73/365))</f>
        <v>6.8702290076335881</v>
      </c>
      <c r="K174" s="960"/>
      <c r="L174" s="960">
        <f>(Q72/$R72*100*($E72/365))+(Q73/$R73*100*($E73/365))</f>
        <v>42.748091603053432</v>
      </c>
      <c r="M174" s="960"/>
      <c r="N174" s="987">
        <f t="shared" si="59"/>
        <v>100</v>
      </c>
      <c r="O174" s="987"/>
      <c r="P174" s="27"/>
      <c r="Q174" s="27"/>
      <c r="R174" s="27">
        <v>1989</v>
      </c>
      <c r="S174" s="11">
        <f>(O72*($E72/365))+(O73*($E73/365))</f>
        <v>33</v>
      </c>
      <c r="T174" s="11">
        <f>(P72*($E72/365))+(P73*($E73/365))</f>
        <v>4.5</v>
      </c>
      <c r="U174" s="11">
        <f>(Q72*($E72/365))+(Q73*($E73/365))</f>
        <v>28</v>
      </c>
      <c r="V174" s="27"/>
      <c r="W174" s="11">
        <f t="shared" si="61"/>
        <v>65.5</v>
      </c>
      <c r="X174" s="19"/>
      <c r="Y174" s="19"/>
    </row>
    <row r="175" spans="1:25" ht="9" customHeight="1">
      <c r="A175" s="1">
        <v>1990</v>
      </c>
      <c r="B175" s="8">
        <f>(K74*($E74/365))+(K75*($E75/365))</f>
        <v>47.348460918614023</v>
      </c>
      <c r="C175" s="8">
        <f>(L74*($E74/365))+(L75*($E75/365))</f>
        <v>7.268219178082191</v>
      </c>
      <c r="D175" s="8">
        <f>(M74*($E74/365))+(M75*($E75/365))</f>
        <v>45.317840451248991</v>
      </c>
      <c r="E175" s="35">
        <f t="shared" si="60"/>
        <v>99.934520547945198</v>
      </c>
      <c r="G175" s="1">
        <v>1990</v>
      </c>
      <c r="H175" s="958">
        <f>(O74/$R74*100*($E74/365))+(O75/$R75*100*($E75/365))</f>
        <v>51.664698127859594</v>
      </c>
      <c r="I175" s="958"/>
      <c r="J175" s="958">
        <f>(P74/$R74*100*($E74/365))+(P75/$R75*100*($E75/365))</f>
        <v>4.4985883091080208</v>
      </c>
      <c r="K175" s="958"/>
      <c r="L175" s="958">
        <f>(Q74/$R74*100*($E74/365))+(Q75/$R75*100*($E75/365))</f>
        <v>43.836713563032376</v>
      </c>
      <c r="M175" s="958"/>
      <c r="N175" s="990">
        <f t="shared" si="59"/>
        <v>100</v>
      </c>
      <c r="O175" s="990"/>
      <c r="P175" s="12"/>
      <c r="Q175" s="12"/>
      <c r="R175" s="12">
        <v>1990</v>
      </c>
      <c r="S175" s="8">
        <f>(O74*($E74/365))+(O75*($E75/365))</f>
        <v>33</v>
      </c>
      <c r="T175" s="8">
        <f>(P74*($E74/365))+(P75*($E75/365))</f>
        <v>2.9465753424657533</v>
      </c>
      <c r="U175" s="8">
        <f>(Q74*($E74/365))+(Q75*($E75/365))</f>
        <v>28</v>
      </c>
      <c r="V175" s="12"/>
      <c r="W175" s="7">
        <f t="shared" si="61"/>
        <v>63.946575342465756</v>
      </c>
      <c r="X175" s="5"/>
      <c r="Y175" s="5"/>
    </row>
    <row r="176" spans="1:25" ht="9" customHeight="1">
      <c r="A176" s="1">
        <v>1991</v>
      </c>
      <c r="B176" s="8">
        <f>(K76*($E76/365))+(K77*($E77/365))</f>
        <v>48.912167606768733</v>
      </c>
      <c r="C176" s="8">
        <f>(L76*($E76/365))+(L77*($E77/365))</f>
        <v>36.261079774375503</v>
      </c>
      <c r="D176" s="8">
        <f>(M76*($E76/365))+(M77*($E77/365))</f>
        <v>14.82675261885576</v>
      </c>
      <c r="E176" s="35">
        <f t="shared" si="60"/>
        <v>100</v>
      </c>
      <c r="G176" s="1">
        <v>1991</v>
      </c>
      <c r="H176" s="958">
        <f>(O76/$R76*100*($E76/365))+(O77/$R77*100*($E77/365))</f>
        <v>48.015504935607652</v>
      </c>
      <c r="I176" s="958"/>
      <c r="J176" s="958">
        <f>(P76/$R76*100*($E76/365))+(P77/$R77*100*($E77/365))</f>
        <v>37.522334723049433</v>
      </c>
      <c r="K176" s="958"/>
      <c r="L176" s="958">
        <f>(Q76/$R76*100*($E76/365))+(Q77/$R77*100*($E77/365))</f>
        <v>14.462160341342914</v>
      </c>
      <c r="M176" s="958"/>
      <c r="N176" s="990">
        <f t="shared" ref="N176:N197" si="62">SUM(H176:M176)</f>
        <v>99.999999999999986</v>
      </c>
      <c r="O176" s="990"/>
      <c r="P176" s="12"/>
      <c r="Q176" s="12"/>
      <c r="R176" s="12">
        <v>1991</v>
      </c>
      <c r="S176" s="8">
        <f>(O76*($E76/365))+(O77*($E77/365))</f>
        <v>28.205479452054792</v>
      </c>
      <c r="T176" s="8">
        <f>(P76*($E76/365))+(P77*($E77/365))</f>
        <v>21.575342465753423</v>
      </c>
      <c r="U176" s="8">
        <f>(Q76*($E76/365))+(Q77*($E77/365))</f>
        <v>8.8219178082191778</v>
      </c>
      <c r="V176" s="12"/>
      <c r="W176" s="7">
        <f t="shared" si="61"/>
        <v>58.602739726027387</v>
      </c>
      <c r="X176" s="5"/>
      <c r="Y176" s="5"/>
    </row>
    <row r="177" spans="1:25" ht="9" customHeight="1">
      <c r="A177" s="1">
        <v>1992</v>
      </c>
      <c r="B177" s="8">
        <f>(K78*($E78/366))+(K79*($E79/366))</f>
        <v>47.058823529411761</v>
      </c>
      <c r="C177" s="8">
        <f>(L78*($E78/366))+(L79*($E79/366))</f>
        <v>52.941176470588239</v>
      </c>
      <c r="D177" s="8">
        <f>(M78*($E78/366))+(M79*($E79/366))</f>
        <v>0</v>
      </c>
      <c r="E177" s="35">
        <f t="shared" si="60"/>
        <v>100</v>
      </c>
      <c r="G177" s="1">
        <v>1992</v>
      </c>
      <c r="H177" s="958">
        <f>(O78/$R78*100*($E78/366))+(O79/$R79*100*($E79/366))</f>
        <v>45.217391304347828</v>
      </c>
      <c r="I177" s="958"/>
      <c r="J177" s="958">
        <f>(P78/$R78*100*($E78/366))+(P79/$R79*100*($E79/366))</f>
        <v>54.782608695652172</v>
      </c>
      <c r="K177" s="958"/>
      <c r="L177" s="958">
        <f>(Q78/$R78*100*($E78/366))+(Q79/$R79*100*($E79/366))</f>
        <v>0</v>
      </c>
      <c r="M177" s="958"/>
      <c r="N177" s="990">
        <f t="shared" si="62"/>
        <v>100</v>
      </c>
      <c r="O177" s="990"/>
      <c r="P177" s="12"/>
      <c r="Q177" s="12"/>
      <c r="R177" s="12">
        <v>1992</v>
      </c>
      <c r="S177" s="8">
        <f>(O78*($E78/366))+(O79*($E79/366))</f>
        <v>26</v>
      </c>
      <c r="T177" s="8">
        <f>(P78*($E78/366))+(P79*($E79/366))</f>
        <v>31.5</v>
      </c>
      <c r="U177" s="8">
        <f>(Q78*($E78/366))+(Q79*($E79/366))</f>
        <v>0</v>
      </c>
      <c r="V177" s="12"/>
      <c r="W177" s="7">
        <f t="shared" si="61"/>
        <v>57.5</v>
      </c>
      <c r="X177" s="5"/>
      <c r="Y177" s="5"/>
    </row>
    <row r="178" spans="1:25" ht="9" customHeight="1">
      <c r="A178" s="1">
        <v>1993</v>
      </c>
      <c r="B178" s="8">
        <f>(K80*($E80/365))+(K81*($E81/365))</f>
        <v>47.058823529411761</v>
      </c>
      <c r="C178" s="8">
        <f>(L80*($E80/365))+(L81*($E81/365))</f>
        <v>52.941176470588239</v>
      </c>
      <c r="D178" s="8">
        <f>(M80*($E80/365))+(M81*($E81/365))</f>
        <v>0</v>
      </c>
      <c r="E178" s="35">
        <f t="shared" si="60"/>
        <v>100</v>
      </c>
      <c r="G178" s="1">
        <v>1993</v>
      </c>
      <c r="H178" s="958">
        <f>(O80/$R80*100*($E80/365))+(O81/$R81*100*($E81/365))</f>
        <v>45.217391304347828</v>
      </c>
      <c r="I178" s="958"/>
      <c r="J178" s="958">
        <f>(P80/$R80*100*($E80/365))+(P81/$R81*100*($E81/365))</f>
        <v>54.782608695652172</v>
      </c>
      <c r="K178" s="958"/>
      <c r="L178" s="958">
        <f>(Q80/$R80*100*($E80/365))+(Q81/$R81*100*($E81/365))</f>
        <v>0</v>
      </c>
      <c r="M178" s="958"/>
      <c r="N178" s="990">
        <f t="shared" si="62"/>
        <v>100</v>
      </c>
      <c r="O178" s="990"/>
      <c r="P178" s="12"/>
      <c r="Q178" s="12"/>
      <c r="R178" s="12">
        <v>1993</v>
      </c>
      <c r="S178" s="8">
        <f>(O80*($E80/365))+(O81*($E81/365))</f>
        <v>26</v>
      </c>
      <c r="T178" s="8">
        <f>(P80*($E80/365))+(P81*($E81/365))</f>
        <v>31.5</v>
      </c>
      <c r="U178" s="8">
        <f>(Q80*($E80/365))+(Q81*($E81/365))</f>
        <v>0</v>
      </c>
      <c r="V178" s="12"/>
      <c r="W178" s="7">
        <f t="shared" si="61"/>
        <v>57.5</v>
      </c>
      <c r="X178" s="5"/>
      <c r="Y178" s="5"/>
    </row>
    <row r="179" spans="1:25" ht="9" customHeight="1">
      <c r="A179" s="1">
        <v>1994</v>
      </c>
      <c r="B179" s="8">
        <f>(K82*($E82/365))+(K83*($E83/365))</f>
        <v>48.630136986301366</v>
      </c>
      <c r="C179" s="8">
        <f>(L82*($E82/365))+(L83*($E83/365))</f>
        <v>51.369863013698634</v>
      </c>
      <c r="D179" s="8">
        <f>(M82*($E82/365))+(M83*($E83/365))</f>
        <v>0</v>
      </c>
      <c r="E179" s="35">
        <f t="shared" si="60"/>
        <v>100</v>
      </c>
      <c r="G179" s="1">
        <v>1994</v>
      </c>
      <c r="H179" s="958">
        <f>(O82/$R82*100*($E82/365))+(O83/$R83*100*($E83/365))</f>
        <v>47.023539823994028</v>
      </c>
      <c r="I179" s="958"/>
      <c r="J179" s="958">
        <f>(P82/$R82*100*($E82/365))+(P83/$R83*100*($E83/365))</f>
        <v>52.976460176005965</v>
      </c>
      <c r="K179" s="958"/>
      <c r="L179" s="958">
        <f>(Q82/$R82*100*($E82/365))+(Q83/$R83*100*($E83/365))</f>
        <v>0</v>
      </c>
      <c r="M179" s="958"/>
      <c r="N179" s="990">
        <f t="shared" si="62"/>
        <v>100</v>
      </c>
      <c r="O179" s="990"/>
      <c r="P179" s="12"/>
      <c r="Q179" s="12"/>
      <c r="R179" s="12">
        <v>1994</v>
      </c>
      <c r="S179" s="8">
        <f>(O82*($E82/365))+(O83*($E83/365))</f>
        <v>26</v>
      </c>
      <c r="T179" s="8">
        <f>(P82*($E82/365))+(P83*($E83/365))</f>
        <v>29.363013698630134</v>
      </c>
      <c r="U179" s="8">
        <f>(Q82*($E82/365))+(Q83*($E83/365))</f>
        <v>0</v>
      </c>
      <c r="V179" s="12"/>
      <c r="W179" s="7">
        <f t="shared" si="61"/>
        <v>55.363013698630134</v>
      </c>
      <c r="X179" s="5"/>
      <c r="Y179" s="5"/>
    </row>
    <row r="180" spans="1:25" ht="9" customHeight="1">
      <c r="A180" s="1">
        <v>1995</v>
      </c>
      <c r="B180" s="8">
        <f>(K84*($E84/365))+(K85*($E85/365))</f>
        <v>41.993911719939121</v>
      </c>
      <c r="C180" s="8">
        <f>(L84*($E84/365))+(L85*($E85/365))</f>
        <v>13.972602739726028</v>
      </c>
      <c r="D180" s="8">
        <f>(M84*($E84/365))+(M85*($E85/365))</f>
        <v>40.030441400304419</v>
      </c>
      <c r="E180" s="35">
        <f t="shared" si="60"/>
        <v>95.996955859969574</v>
      </c>
      <c r="G180" s="1">
        <v>1995</v>
      </c>
      <c r="H180" s="958">
        <f>(O84/$R84*100*($E84/365))+(O85/$R85*100*($E85/365))</f>
        <v>38.924258009261912</v>
      </c>
      <c r="I180" s="958"/>
      <c r="J180" s="958">
        <f>(P84/$R84*100*($E84/365))+(P85/$R85*100*($E85/365))</f>
        <v>14.364357956727691</v>
      </c>
      <c r="K180" s="958"/>
      <c r="L180" s="958">
        <f>(Q84/$R84*100*($E84/365))+(Q85/$R85*100*($E85/365))</f>
        <v>46.711384034010386</v>
      </c>
      <c r="M180" s="958"/>
      <c r="N180" s="990">
        <f t="shared" si="62"/>
        <v>100</v>
      </c>
      <c r="O180" s="990"/>
      <c r="P180" s="12"/>
      <c r="Q180" s="12"/>
      <c r="R180" s="12">
        <v>1995</v>
      </c>
      <c r="S180" s="8">
        <f>(O84*($E84/365))+(O85*($E85/365))</f>
        <v>25.639726027397263</v>
      </c>
      <c r="T180" s="8">
        <f>(P84*($E84/365))+(P85*($E85/365))</f>
        <v>7.6849315068493151</v>
      </c>
      <c r="U180" s="8">
        <f>(Q84*($E84/365))+(Q85*($E85/365))</f>
        <v>33.865753424657534</v>
      </c>
      <c r="V180" s="12"/>
      <c r="W180" s="7">
        <f t="shared" si="61"/>
        <v>67.19041095890411</v>
      </c>
      <c r="X180" s="5"/>
      <c r="Y180" s="5"/>
    </row>
    <row r="181" spans="1:25" ht="9" customHeight="1">
      <c r="A181" s="1">
        <v>1996</v>
      </c>
      <c r="B181" s="8">
        <f>(K86*($E86/366))+(K87*($E87/366))</f>
        <v>38.888888888888893</v>
      </c>
      <c r="C181" s="8">
        <f>(L86*($E86/366))+(L87*($E87/366))</f>
        <v>0</v>
      </c>
      <c r="D181" s="8">
        <f>(M86*($E86/366))+(M87*($E87/366))</f>
        <v>55.555555555555557</v>
      </c>
      <c r="E181" s="35">
        <f t="shared" si="60"/>
        <v>94.444444444444457</v>
      </c>
      <c r="G181" s="1">
        <v>1996</v>
      </c>
      <c r="H181" s="958">
        <f>(O86/$R86*100*($E86/366))+(O87/$R87*100*($E87/366))</f>
        <v>35.172413793103445</v>
      </c>
      <c r="I181" s="958"/>
      <c r="J181" s="958">
        <f>(P86/$R86*100*($E86/366))+(P87/$R87*100*($E87/366))</f>
        <v>0</v>
      </c>
      <c r="K181" s="958"/>
      <c r="L181" s="958">
        <f>(Q86/$R86*100*($E86/366))+(Q87/$R87*100*($E87/366))</f>
        <v>64.827586206896541</v>
      </c>
      <c r="M181" s="958"/>
      <c r="N181" s="990">
        <f t="shared" si="62"/>
        <v>99.999999999999986</v>
      </c>
      <c r="O181" s="990"/>
      <c r="P181" s="12"/>
      <c r="Q181" s="12"/>
      <c r="R181" s="12">
        <v>1996</v>
      </c>
      <c r="S181" s="8">
        <f>(O86*($E86/366))+(O87*($E87/366))</f>
        <v>25.5</v>
      </c>
      <c r="T181" s="8">
        <f>(P86*($E86/366))+(P87*($E87/366))</f>
        <v>0</v>
      </c>
      <c r="U181" s="8">
        <f>(Q86*($E86/366))+(Q87*($E87/366))</f>
        <v>47</v>
      </c>
      <c r="V181" s="12"/>
      <c r="W181" s="7">
        <f t="shared" si="61"/>
        <v>72.5</v>
      </c>
      <c r="X181" s="5"/>
      <c r="Y181" s="5"/>
    </row>
    <row r="182" spans="1:25" ht="9" customHeight="1">
      <c r="A182" s="1">
        <v>1997</v>
      </c>
      <c r="B182" s="8">
        <f>(K88*($E88/365))+(K89*($E89/365))</f>
        <v>38.888888888888893</v>
      </c>
      <c r="C182" s="8">
        <f>(L88*($E88/365))+(L89*($E89/365))</f>
        <v>0</v>
      </c>
      <c r="D182" s="8">
        <f>(M88*($E88/365))+(M89*($E89/365))</f>
        <v>55.555555555555557</v>
      </c>
      <c r="E182" s="35">
        <f t="shared" si="60"/>
        <v>94.444444444444457</v>
      </c>
      <c r="G182" s="1">
        <v>1997</v>
      </c>
      <c r="H182" s="958">
        <f>(O88/$R88*100*($E88/365))+(O89/$R89*100*($E89/365))</f>
        <v>35.172413793103445</v>
      </c>
      <c r="I182" s="958"/>
      <c r="J182" s="958">
        <f>(P88/$R88*100*($E88/365))+(P89/$R89*100*($E89/365))</f>
        <v>0</v>
      </c>
      <c r="K182" s="958"/>
      <c r="L182" s="958">
        <f>(Q88/$R88*100*($E88/365))+(Q89/$R89*100*($E89/365))</f>
        <v>64.827586206896541</v>
      </c>
      <c r="M182" s="958"/>
      <c r="N182" s="990">
        <f t="shared" si="62"/>
        <v>99.999999999999986</v>
      </c>
      <c r="O182" s="990"/>
      <c r="P182" s="12"/>
      <c r="Q182" s="12"/>
      <c r="R182" s="12">
        <v>1997</v>
      </c>
      <c r="S182" s="8">
        <f>(O88*($E88/365))+(O89*($E89/365))</f>
        <v>25.5</v>
      </c>
      <c r="T182" s="8">
        <f>(P88*($E88/365))+(P89*($E89/365))</f>
        <v>0</v>
      </c>
      <c r="U182" s="8">
        <f>(Q88*($E88/365))+(Q89*($E89/365))</f>
        <v>47</v>
      </c>
      <c r="V182" s="12"/>
      <c r="W182" s="7">
        <f t="shared" si="61"/>
        <v>72.5</v>
      </c>
      <c r="X182" s="5"/>
      <c r="Y182" s="5"/>
    </row>
    <row r="183" spans="1:25" ht="9" customHeight="1">
      <c r="A183" s="1">
        <v>1998</v>
      </c>
      <c r="B183" s="8">
        <f>(K90*($E90/365))+(K91*($E91/365))</f>
        <v>38.888888888888893</v>
      </c>
      <c r="C183" s="8">
        <f>(L90*($E90/365))+(L91*($E91/365))</f>
        <v>0</v>
      </c>
      <c r="D183" s="8">
        <f>(M90*($E90/365))+(M91*($E91/365))</f>
        <v>55.555555555555557</v>
      </c>
      <c r="E183" s="35">
        <f t="shared" si="60"/>
        <v>94.444444444444457</v>
      </c>
      <c r="G183" s="1">
        <v>1998</v>
      </c>
      <c r="H183" s="958">
        <f>(O90/$R90*100*($E90/365))+(O91/$R91*100*($E91/365))</f>
        <v>35.172413793103445</v>
      </c>
      <c r="I183" s="958"/>
      <c r="J183" s="958">
        <f>(P90/$R90*100*($E90/365))+(P91/$R91*100*($E91/365))</f>
        <v>0</v>
      </c>
      <c r="K183" s="958"/>
      <c r="L183" s="958">
        <f>(Q90/$R90*100*($E90/365))+(Q91/$R91*100*($E91/365))</f>
        <v>64.827586206896541</v>
      </c>
      <c r="M183" s="958"/>
      <c r="N183" s="990">
        <f t="shared" si="62"/>
        <v>99.999999999999986</v>
      </c>
      <c r="O183" s="990"/>
      <c r="P183" s="12"/>
      <c r="Q183" s="12"/>
      <c r="R183" s="12">
        <v>1998</v>
      </c>
      <c r="S183" s="8">
        <f>(O90*($E90/365))+(O91*($E91/365))</f>
        <v>25.5</v>
      </c>
      <c r="T183" s="8">
        <f>(P90*($E90/365))+(P91*($E91/365))</f>
        <v>0</v>
      </c>
      <c r="U183" s="8">
        <f>(Q90*($E90/365))+(Q91*($E91/365))</f>
        <v>47</v>
      </c>
      <c r="V183" s="12"/>
      <c r="W183" s="7">
        <f t="shared" si="61"/>
        <v>72.5</v>
      </c>
      <c r="X183" s="5"/>
      <c r="Y183" s="5"/>
    </row>
    <row r="184" spans="1:25" ht="9" customHeight="1">
      <c r="A184" s="1">
        <v>1999</v>
      </c>
      <c r="B184" s="8">
        <f>(K92*($E92/365))+(K93*($E93/365))</f>
        <v>42.861491628614914</v>
      </c>
      <c r="C184" s="8">
        <f>(L92*($E92/365))+(L93*($E93/365))</f>
        <v>0</v>
      </c>
      <c r="D184" s="8">
        <f>(M92*($E92/365))+(M93*($E93/365))</f>
        <v>51.582952815829529</v>
      </c>
      <c r="E184" s="35">
        <f t="shared" si="60"/>
        <v>94.444444444444443</v>
      </c>
      <c r="G184" s="1">
        <v>1999</v>
      </c>
      <c r="H184" s="958">
        <f>(O92/$R92*100*($E92/365))+(O93/$R93*100*($E93/365))</f>
        <v>39.645995006410686</v>
      </c>
      <c r="I184" s="958"/>
      <c r="J184" s="958">
        <f>(P92/$R92*100*($E92/365))+(P93/$R93*100*($E93/365))</f>
        <v>0</v>
      </c>
      <c r="K184" s="958"/>
      <c r="L184" s="958">
        <f>(Q92/$R92*100*($E92/365))+(Q93/$R93*100*($E93/365))</f>
        <v>60.354004993589314</v>
      </c>
      <c r="M184" s="958"/>
      <c r="N184" s="990">
        <f t="shared" si="62"/>
        <v>100</v>
      </c>
      <c r="O184" s="990"/>
      <c r="P184" s="12"/>
      <c r="Q184" s="12"/>
      <c r="R184" s="12">
        <v>1999</v>
      </c>
      <c r="S184" s="8">
        <f>(O92*($E92/365))+(O93*($E93/365))</f>
        <v>28.002739726027393</v>
      </c>
      <c r="T184" s="8">
        <f>(P92*($E92/365))+(P93*($E93/365))</f>
        <v>0</v>
      </c>
      <c r="U184" s="8">
        <f>(Q92*($E92/365))+(Q93*($E93/365))</f>
        <v>42.709589041095889</v>
      </c>
      <c r="V184" s="12"/>
      <c r="W184" s="7">
        <f t="shared" si="61"/>
        <v>70.712328767123282</v>
      </c>
      <c r="X184" s="5"/>
      <c r="Y184" s="5"/>
    </row>
    <row r="185" spans="1:25" ht="9" customHeight="1">
      <c r="A185" s="1">
        <v>2000</v>
      </c>
      <c r="B185" s="8">
        <f>(K94*($E94/366))+(K95*($E95/366))</f>
        <v>44.444444444444443</v>
      </c>
      <c r="C185" s="8">
        <f>(L94*($E94/366))+(L95*($E95/366))</f>
        <v>0</v>
      </c>
      <c r="D185" s="8">
        <f>(M94*($E94/366))+(M95*($E95/366))</f>
        <v>50</v>
      </c>
      <c r="E185" s="35">
        <f t="shared" si="60"/>
        <v>94.444444444444443</v>
      </c>
      <c r="G185" s="1">
        <v>2000</v>
      </c>
      <c r="H185" s="958">
        <f>(O94/$R94*100*($E94/366))+(O95/$R95*100*($E95/366))</f>
        <v>41.428571428571431</v>
      </c>
      <c r="I185" s="958"/>
      <c r="J185" s="958">
        <f>(P94/$R94*100*($E94/366))+(P95/$R95*100*($E95/366))</f>
        <v>0</v>
      </c>
      <c r="K185" s="958"/>
      <c r="L185" s="958">
        <f>(Q94/$R94*100*($E94/366))+(Q95/$R95*100*($E95/366))</f>
        <v>58.571428571428577</v>
      </c>
      <c r="M185" s="958"/>
      <c r="N185" s="990">
        <f t="shared" si="62"/>
        <v>100</v>
      </c>
      <c r="O185" s="990"/>
      <c r="P185" s="12"/>
      <c r="Q185" s="12"/>
      <c r="R185" s="12">
        <v>2000</v>
      </c>
      <c r="S185" s="8">
        <f>(O94*($E94/366))+(O95*($E95/366))</f>
        <v>29</v>
      </c>
      <c r="T185" s="8">
        <f>(P94*($E94/366))+(P95*($E95/366))</f>
        <v>0</v>
      </c>
      <c r="U185" s="8">
        <f>(Q94*($E94/366))+(Q95*($E95/366))</f>
        <v>41</v>
      </c>
      <c r="V185" s="12"/>
      <c r="W185" s="7">
        <f t="shared" si="61"/>
        <v>70</v>
      </c>
      <c r="X185" s="5"/>
      <c r="Y185" s="5"/>
    </row>
    <row r="186" spans="1:25" ht="9" customHeight="1">
      <c r="A186" s="1">
        <v>2001</v>
      </c>
      <c r="B186" s="8">
        <f>(K96*($E96/365))+(K97*($E97/365))</f>
        <v>44.444444444444443</v>
      </c>
      <c r="C186" s="8">
        <f>(L96*($E96/365))+(L97*($E97/365))</f>
        <v>0</v>
      </c>
      <c r="D186" s="8">
        <f>(M96*($E96/365))+(M97*($E97/365))</f>
        <v>50</v>
      </c>
      <c r="E186" s="35">
        <f t="shared" si="60"/>
        <v>94.444444444444443</v>
      </c>
      <c r="G186" s="1">
        <v>2001</v>
      </c>
      <c r="H186" s="958">
        <f>(O96/$R96*100*($E96/365))+(O97/$R97*100*($E97/365))</f>
        <v>41.428571428571431</v>
      </c>
      <c r="I186" s="958"/>
      <c r="J186" s="958">
        <f>(P96/$R96*100*($E96/365))+(P97/$R97*100*($E97/365))</f>
        <v>0</v>
      </c>
      <c r="K186" s="958"/>
      <c r="L186" s="958">
        <f>(Q96/$R96*100*($E96/365))+(Q97/$R97*100*($E97/365))</f>
        <v>58.571428571428577</v>
      </c>
      <c r="M186" s="958"/>
      <c r="N186" s="990">
        <f t="shared" si="62"/>
        <v>100</v>
      </c>
      <c r="O186" s="990"/>
      <c r="P186" s="12"/>
      <c r="Q186" s="12"/>
      <c r="R186" s="12">
        <v>2001</v>
      </c>
      <c r="S186" s="8">
        <f>(O96*($E96/365))+(O97*($E97/365))</f>
        <v>29</v>
      </c>
      <c r="T186" s="8">
        <f>(P96*($E96/365))+(P97*($E97/365))</f>
        <v>0</v>
      </c>
      <c r="U186" s="8">
        <f>(Q96*($E96/365))+(Q97*($E97/365))</f>
        <v>41</v>
      </c>
      <c r="V186" s="12"/>
      <c r="W186" s="7">
        <f t="shared" si="61"/>
        <v>70</v>
      </c>
      <c r="X186" s="5"/>
      <c r="Y186" s="5"/>
    </row>
    <row r="187" spans="1:25" ht="9" customHeight="1">
      <c r="A187" s="1">
        <v>2002</v>
      </c>
      <c r="B187" s="8">
        <f>(K98*($E98/365))+(K99*($E99/365))+(K100*($E100/365))</f>
        <v>51.628614916286153</v>
      </c>
      <c r="C187" s="8">
        <f>(L98*($E98/365))+(L99*($E99/365))+(L100*($E100/365))</f>
        <v>0</v>
      </c>
      <c r="D187" s="8">
        <f>(M98*($E98/365))+(M99*($E99/365))+(M100*($E100/365))</f>
        <v>46.088280060882802</v>
      </c>
      <c r="E187" s="35">
        <f t="shared" si="60"/>
        <v>97.716894977168948</v>
      </c>
      <c r="G187" s="1">
        <v>2002</v>
      </c>
      <c r="H187" s="958">
        <f>(O98/$R98*100*($E98/365))+(O99/$R99*100*($E99/365))+(O100/$R100*100*($E100/365))</f>
        <v>43.915957462946949</v>
      </c>
      <c r="I187" s="958"/>
      <c r="J187" s="958">
        <f>(P98/$R98*100*($E98/365))+(P99/$R99*100*($E99/365))+(P100/$R100*100*($E100/365))</f>
        <v>0</v>
      </c>
      <c r="K187" s="958"/>
      <c r="L187" s="958">
        <f>(Q98/$R98*100*($E98/365))+(Q99/$R99*100*($E99/365))+(Q100/$R100*100*($E100/365))</f>
        <v>56.084042537053051</v>
      </c>
      <c r="M187" s="958"/>
      <c r="N187" s="990">
        <f t="shared" si="62"/>
        <v>100</v>
      </c>
      <c r="O187" s="990"/>
      <c r="P187" s="12"/>
      <c r="Q187" s="12"/>
      <c r="R187" s="12">
        <v>2002</v>
      </c>
      <c r="S187" s="8">
        <f>(O98*($E98/365))+(O99*($E99/365))+(O100*($E100/365))</f>
        <v>29</v>
      </c>
      <c r="T187" s="8">
        <f>(P98*($E98/365))+(P99*($E99/365))+(P100*($E100/365))</f>
        <v>0</v>
      </c>
      <c r="U187" s="8">
        <f>(Q98*($E98/365))+(Q99*($E99/365))+(Q100*($E100/365))</f>
        <v>37.127397260273973</v>
      </c>
      <c r="V187" s="12"/>
      <c r="W187" s="7">
        <f t="shared" si="61"/>
        <v>66.127397260273966</v>
      </c>
      <c r="X187" s="5"/>
      <c r="Y187" s="5"/>
    </row>
    <row r="188" spans="1:25" ht="9" customHeight="1">
      <c r="A188" s="1">
        <v>2003</v>
      </c>
      <c r="B188" s="8">
        <f>(K101*($E101/365))+(K102*($E102/365))+(K103*($E103/365))</f>
        <v>24.018264840182646</v>
      </c>
      <c r="C188" s="8">
        <f>(L101*($E101/365))+(L102*($E102/365))+(L103*($E103/365))</f>
        <v>31.537290715372905</v>
      </c>
      <c r="D188" s="8">
        <f>(M101*($E101/365))+(M102*($E102/365))+(M103*($E103/365))</f>
        <v>44.444444444444443</v>
      </c>
      <c r="E188" s="35">
        <f t="shared" si="60"/>
        <v>100</v>
      </c>
      <c r="G188" s="1">
        <v>2003</v>
      </c>
      <c r="H188" s="958">
        <f>(O101/$R101*100*($E101/365))+(O102/$R102*100*($E102/365))+(O103/$R103*100*($E103/365))</f>
        <v>18.515614151166872</v>
      </c>
      <c r="I188" s="958"/>
      <c r="J188" s="958">
        <f>(P101/$R101*100*($E101/365))+(P102/$R102*100*($E102/365))+(P103/$R103*100*($E103/365))</f>
        <v>33.356749795105955</v>
      </c>
      <c r="K188" s="958"/>
      <c r="L188" s="958">
        <f>(Q101/$R101*100*($E101/365))+(Q102/$R102*100*($E102/365))+(Q103/$R103*100*($E103/365))</f>
        <v>48.127636053727159</v>
      </c>
      <c r="M188" s="958"/>
      <c r="N188" s="990">
        <f t="shared" si="62"/>
        <v>99.999999999999986</v>
      </c>
      <c r="O188" s="990"/>
      <c r="P188" s="12"/>
      <c r="Q188" s="12"/>
      <c r="R188" s="12">
        <v>2003</v>
      </c>
      <c r="S188" s="8">
        <f>(O101*($E101/365))+(O102*($E102/365))+(O103*($E103/365))</f>
        <v>11.615068493150684</v>
      </c>
      <c r="T188" s="8">
        <f>(P101*($E101/365))+(P102*($E102/365))+(P103*($E103/365))</f>
        <v>19.513698630136986</v>
      </c>
      <c r="U188" s="8">
        <f>(Q101*($E101/365))+(Q102*($E102/365))+(Q103*($E103/365))</f>
        <v>29.113698630136987</v>
      </c>
      <c r="V188" s="12"/>
      <c r="W188" s="7">
        <f t="shared" si="61"/>
        <v>60.242465753424653</v>
      </c>
      <c r="X188" s="5"/>
      <c r="Y188" s="5"/>
    </row>
    <row r="189" spans="1:25" ht="9" customHeight="1">
      <c r="A189" s="1">
        <v>2004</v>
      </c>
      <c r="B189" s="8">
        <f>(K104*($E104/366))+(K105*($E105/366))</f>
        <v>11.111111111111111</v>
      </c>
      <c r="C189" s="8">
        <f>(L104*($E104/366))+(L105*($E105/366))</f>
        <v>44.444444444444443</v>
      </c>
      <c r="D189" s="8">
        <f>(M104*($E104/366))+(M105*($E105/366))</f>
        <v>44.444444444444443</v>
      </c>
      <c r="E189" s="35">
        <f t="shared" si="60"/>
        <v>100</v>
      </c>
      <c r="G189" s="1">
        <v>2004</v>
      </c>
      <c r="H189" s="958">
        <f>(O104/$R104*100*($E104/366))+(O105/$R105*100*($E105/366))</f>
        <v>7.6923076923076925</v>
      </c>
      <c r="I189" s="958"/>
      <c r="J189" s="958">
        <f>(P104/$R104*100*($E104/366))+(P105/$R105*100*($E105/366))</f>
        <v>47.008547008547005</v>
      </c>
      <c r="K189" s="958"/>
      <c r="L189" s="958">
        <f>(Q104/$R104*100*($E104/366))+(Q105/$R105*100*($E105/366))</f>
        <v>45.299145299145302</v>
      </c>
      <c r="M189" s="958"/>
      <c r="N189" s="990">
        <f t="shared" si="62"/>
        <v>100</v>
      </c>
      <c r="O189" s="990"/>
      <c r="P189" s="12"/>
      <c r="Q189" s="12"/>
      <c r="R189" s="12">
        <v>2004</v>
      </c>
      <c r="S189" s="8">
        <f>(O104*($E104/366))+(O105*($E105/366))</f>
        <v>4.5</v>
      </c>
      <c r="T189" s="8">
        <f>(P104*($E104/366))+(P105*($E105/366))</f>
        <v>27.5</v>
      </c>
      <c r="U189" s="8">
        <f>(Q104*($E104/366))+(Q105*($E105/366))</f>
        <v>26.5</v>
      </c>
      <c r="V189" s="12"/>
      <c r="W189" s="7">
        <f t="shared" si="61"/>
        <v>58.5</v>
      </c>
      <c r="X189" s="5"/>
      <c r="Y189" s="5"/>
    </row>
    <row r="190" spans="1:25" ht="9" customHeight="1">
      <c r="A190" s="1">
        <v>2005</v>
      </c>
      <c r="B190" s="8">
        <f>(K106*($E106/365))+(K107*($E107/365))</f>
        <v>11.111111111111111</v>
      </c>
      <c r="C190" s="8">
        <f>(L106*($E106/365))+(L107*($E107/365))</f>
        <v>44.444444444444443</v>
      </c>
      <c r="D190" s="8">
        <f>(M106*($E106/365))+(M107*($E107/365))</f>
        <v>44.444444444444443</v>
      </c>
      <c r="E190" s="35">
        <f t="shared" si="60"/>
        <v>100</v>
      </c>
      <c r="G190" s="1">
        <v>2005</v>
      </c>
      <c r="H190" s="958">
        <f>(O106/$R106*100*($E106/365))+(O107/$R107*100*($E107/365))</f>
        <v>7.6923076923076925</v>
      </c>
      <c r="I190" s="958"/>
      <c r="J190" s="958">
        <f>(P106/$R106*100*($E106/365))+(P107/$R107*100*($E107/365))</f>
        <v>47.008547008547005</v>
      </c>
      <c r="K190" s="958"/>
      <c r="L190" s="958">
        <f>(Q106/$R106*100*($E106/365))+(Q107/$R107*100*($E107/365))</f>
        <v>45.299145299145302</v>
      </c>
      <c r="M190" s="958"/>
      <c r="N190" s="990">
        <f t="shared" si="62"/>
        <v>100</v>
      </c>
      <c r="O190" s="990"/>
      <c r="P190" s="12"/>
      <c r="Q190" s="12"/>
      <c r="R190" s="12">
        <v>2005</v>
      </c>
      <c r="S190" s="8">
        <f>(O106*($E106/365))+(O107*($E107/365))</f>
        <v>4.5</v>
      </c>
      <c r="T190" s="8">
        <f>(P106*($E106/365))+(P107*($E107/365))</f>
        <v>27.5</v>
      </c>
      <c r="U190" s="8">
        <f>(Q106*($E106/365))+(Q107*($E107/365))</f>
        <v>26.5</v>
      </c>
      <c r="V190" s="12"/>
      <c r="W190" s="7">
        <f t="shared" si="61"/>
        <v>58.5</v>
      </c>
      <c r="X190" s="5"/>
      <c r="Y190" s="5"/>
    </row>
    <row r="191" spans="1:25" ht="9" customHeight="1">
      <c r="A191" s="1">
        <v>2006</v>
      </c>
      <c r="B191" s="8">
        <f>(K108*($E108/365))+(K109*($E109/365))</f>
        <v>11.111111111111111</v>
      </c>
      <c r="C191" s="8">
        <f>(L108*($E108/365))+(L109*($E109/365))</f>
        <v>44.444444444444443</v>
      </c>
      <c r="D191" s="8">
        <f>(M108*($E108/365))+(M109*($E109/365))</f>
        <v>44.444444444444443</v>
      </c>
      <c r="E191" s="35">
        <f t="shared" si="60"/>
        <v>100</v>
      </c>
      <c r="G191" s="1">
        <v>2006</v>
      </c>
      <c r="H191" s="958">
        <f>(O108/$R108*100*($E108/365))+(O109/$R109*100*($E109/365))</f>
        <v>7.6923076923076925</v>
      </c>
      <c r="I191" s="958"/>
      <c r="J191" s="958">
        <f>(P108/$R108*100*($E108/365))+(P109/$R109*100*($E109/365))</f>
        <v>47.008547008547005</v>
      </c>
      <c r="K191" s="958"/>
      <c r="L191" s="958">
        <f>(Q108/$R108*100*($E108/365))+(Q109/$R109*100*($E109/365))</f>
        <v>45.299145299145302</v>
      </c>
      <c r="M191" s="958"/>
      <c r="N191" s="990">
        <f t="shared" si="62"/>
        <v>100</v>
      </c>
      <c r="O191" s="990"/>
      <c r="P191" s="12"/>
      <c r="Q191" s="12"/>
      <c r="R191" s="12">
        <v>2006</v>
      </c>
      <c r="S191" s="8">
        <f>(O108*($E108/365))+(O109*($E109/365))</f>
        <v>4.5</v>
      </c>
      <c r="T191" s="8">
        <f>(P108*($E108/365))+(P109*($E109/365))</f>
        <v>27.5</v>
      </c>
      <c r="U191" s="8">
        <f>(Q108*($E108/365))+(Q109*($E109/365))</f>
        <v>26.5</v>
      </c>
      <c r="V191" s="12"/>
      <c r="W191" s="7">
        <f t="shared" si="61"/>
        <v>58.5</v>
      </c>
      <c r="X191" s="5"/>
      <c r="Y191" s="5"/>
    </row>
    <row r="192" spans="1:25" ht="9" customHeight="1">
      <c r="A192" s="1">
        <v>2007</v>
      </c>
      <c r="B192" s="8">
        <f>(K110*($E110/365))+(K111*($E111/365))</f>
        <v>38.493150684931507</v>
      </c>
      <c r="C192" s="8">
        <f>(L110*($E110/365))+(L111*($E111/365))</f>
        <v>41.315068493150683</v>
      </c>
      <c r="D192" s="8">
        <f>(M110*($E110/365))+(M111*($E111/365))</f>
        <v>20.191780821917806</v>
      </c>
      <c r="E192" s="35">
        <f t="shared" si="60"/>
        <v>100</v>
      </c>
      <c r="G192" s="1">
        <v>2007</v>
      </c>
      <c r="H192" s="958">
        <f>(O110/$R110*100*($E110/365))+(O111/$R111*100*($E111/365))</f>
        <v>35.805108133875251</v>
      </c>
      <c r="I192" s="958"/>
      <c r="J192" s="958">
        <f>(P110/$R110*100*($E110/365))+(P111/$R111*100*($E111/365))</f>
        <v>42.409052135079527</v>
      </c>
      <c r="K192" s="958"/>
      <c r="L192" s="958">
        <f>(Q110/$R110*100*($E110/365))+(Q111/$R111*100*($E111/365))</f>
        <v>21.785839731045211</v>
      </c>
      <c r="M192" s="958"/>
      <c r="N192" s="990">
        <f t="shared" si="62"/>
        <v>99.999999999999986</v>
      </c>
      <c r="O192" s="990"/>
      <c r="P192" s="12"/>
      <c r="Q192" s="12"/>
      <c r="R192" s="12">
        <v>2007</v>
      </c>
      <c r="S192" s="8">
        <f>(O110*($E110/365))+(O111*($E111/365))</f>
        <v>22.454794520547946</v>
      </c>
      <c r="T192" s="8">
        <f>(P110*($E110/365))+(P111*($E111/365))</f>
        <v>26.091780821917808</v>
      </c>
      <c r="U192" s="8">
        <f>(Q110*($E110/365))+(Q111*($E111/365))</f>
        <v>13.121917808219179</v>
      </c>
      <c r="V192" s="12"/>
      <c r="W192" s="7">
        <f t="shared" si="61"/>
        <v>61.668493150684938</v>
      </c>
      <c r="X192" s="5"/>
      <c r="Y192" s="5"/>
    </row>
    <row r="193" spans="1:25" ht="9" customHeight="1">
      <c r="A193" s="1">
        <v>2008</v>
      </c>
      <c r="B193" s="8">
        <f>(K112*($E112/366))+(K113*($E113/366))</f>
        <v>50</v>
      </c>
      <c r="C193" s="8">
        <f>(L112*($E112/366))+(L113*($E113/366))</f>
        <v>40</v>
      </c>
      <c r="D193" s="8">
        <f>(M112*($E112/366))+(M113*($E113/366))</f>
        <v>10</v>
      </c>
      <c r="E193" s="35">
        <f t="shared" si="60"/>
        <v>100</v>
      </c>
      <c r="G193" s="1">
        <v>2008</v>
      </c>
      <c r="H193" s="958">
        <f>(O112/$R112*100*($E112/366))+(O113/$R113*100*($E113/366))</f>
        <v>47.619047619047613</v>
      </c>
      <c r="I193" s="958"/>
      <c r="J193" s="958">
        <f>(P112/$R112*100*($E112/366))+(P113/$R113*100*($E113/366))</f>
        <v>40.476190476190474</v>
      </c>
      <c r="K193" s="958"/>
      <c r="L193" s="958">
        <f>(Q112/$R112*100*($E112/366))+(Q113/$R113*100*($E113/366))</f>
        <v>11.904761904761903</v>
      </c>
      <c r="M193" s="958"/>
      <c r="N193" s="990">
        <f t="shared" si="62"/>
        <v>99.999999999999986</v>
      </c>
      <c r="O193" s="990"/>
      <c r="P193" s="12"/>
      <c r="Q193" s="12"/>
      <c r="R193" s="12">
        <v>2008</v>
      </c>
      <c r="S193" s="8">
        <f>(O112*($E112/366))+(O113*($E113/366))</f>
        <v>30</v>
      </c>
      <c r="T193" s="8">
        <f>(P112*($E112/366))+(P113*($E113/366))</f>
        <v>25.5</v>
      </c>
      <c r="U193" s="8">
        <f>(Q112*($E112/366))+(Q113*($E113/366))</f>
        <v>7.5</v>
      </c>
      <c r="V193" s="12"/>
      <c r="W193" s="7">
        <f t="shared" si="61"/>
        <v>63</v>
      </c>
      <c r="X193" s="5"/>
      <c r="Y193" s="5"/>
    </row>
    <row r="194" spans="1:25" ht="9" customHeight="1">
      <c r="A194" s="1">
        <v>2009</v>
      </c>
      <c r="B194" s="8">
        <f>(K114*($E114/365))+(K115*($E115/365))</f>
        <v>50</v>
      </c>
      <c r="C194" s="8">
        <f>(L114*($E114/365))+(L115*($E115/365))</f>
        <v>40</v>
      </c>
      <c r="D194" s="8">
        <f>(M114*($E114/365))+(M115*($E115/365))</f>
        <v>10</v>
      </c>
      <c r="E194" s="35">
        <f t="shared" si="60"/>
        <v>100</v>
      </c>
      <c r="G194" s="1">
        <v>2009</v>
      </c>
      <c r="H194" s="958">
        <f>(O114/$R114*100*($E114/365))+(O115/$R115*100*($E115/365))</f>
        <v>47.619047619047613</v>
      </c>
      <c r="I194" s="958"/>
      <c r="J194" s="958">
        <f>(P114/$R114*100*($E114/365))+(P115/$R115*100*($E115/365))</f>
        <v>40.476190476190474</v>
      </c>
      <c r="K194" s="958"/>
      <c r="L194" s="958">
        <f>(Q114/$R114*100*($E114/365))+(Q115/$R115*100*($E115/365))</f>
        <v>11.904761904761903</v>
      </c>
      <c r="M194" s="958"/>
      <c r="N194" s="990">
        <f t="shared" si="62"/>
        <v>99.999999999999986</v>
      </c>
      <c r="O194" s="990"/>
      <c r="P194" s="12"/>
      <c r="Q194" s="12"/>
      <c r="R194" s="12">
        <v>2009</v>
      </c>
      <c r="S194" s="8">
        <f>(O114*($E114/365))+(O115*($E115/365))</f>
        <v>30</v>
      </c>
      <c r="T194" s="8">
        <f>(P114*($E114/365))+(P115*($E115/365))</f>
        <v>25.5</v>
      </c>
      <c r="U194" s="8">
        <f>(Q114*($E114/365))+(Q115*($E115/365))</f>
        <v>7.5</v>
      </c>
      <c r="V194" s="12"/>
      <c r="W194" s="7">
        <f t="shared" si="61"/>
        <v>63</v>
      </c>
      <c r="X194" s="5"/>
      <c r="Y194" s="5"/>
    </row>
    <row r="195" spans="1:25" ht="9" customHeight="1">
      <c r="A195" s="1">
        <v>2010</v>
      </c>
      <c r="B195" s="8">
        <f>(K116*($E116/365))+(K117*($E117/365))</f>
        <v>50</v>
      </c>
      <c r="C195" s="8">
        <f>(L116*($E116/365))+(L117*($E117/365))</f>
        <v>40</v>
      </c>
      <c r="D195" s="8">
        <f>(M116*($E116/365))+(M117*($E117/365))</f>
        <v>10</v>
      </c>
      <c r="E195" s="35">
        <f t="shared" si="60"/>
        <v>100</v>
      </c>
      <c r="G195" s="1">
        <v>2010</v>
      </c>
      <c r="H195" s="958">
        <f>(O116/$R116*100*($E116/365))+(O117/$R117*100*($E117/365))</f>
        <v>47.61904761904762</v>
      </c>
      <c r="I195" s="958"/>
      <c r="J195" s="958">
        <f>(P116/$R116*100*($E116/365))+(P117/$R117*100*($E117/365))</f>
        <v>40.476190476190482</v>
      </c>
      <c r="K195" s="958"/>
      <c r="L195" s="958">
        <f>(Q116/$R116*100*($E116/365))+(Q117/$R117*100*($E117/365))</f>
        <v>11.904761904761905</v>
      </c>
      <c r="M195" s="958"/>
      <c r="N195" s="990">
        <f t="shared" si="62"/>
        <v>100</v>
      </c>
      <c r="O195" s="990"/>
      <c r="P195" s="12"/>
      <c r="Q195" s="12"/>
      <c r="R195" s="12">
        <v>2010</v>
      </c>
      <c r="S195" s="8">
        <f>(O116*($E116/365))+(O117*($E117/365))</f>
        <v>30</v>
      </c>
      <c r="T195" s="8">
        <f>(P116*($E116/365))+(P117*($E117/365))</f>
        <v>25.5</v>
      </c>
      <c r="U195" s="8">
        <f>(Q116*($E116/365))+(Q117*($E117/365))</f>
        <v>7.5</v>
      </c>
      <c r="V195" s="12"/>
      <c r="W195" s="7">
        <f t="shared" si="61"/>
        <v>63</v>
      </c>
      <c r="X195" s="5"/>
      <c r="Y195" s="5"/>
    </row>
    <row r="196" spans="1:25" ht="9" customHeight="1">
      <c r="A196" s="1">
        <v>2011</v>
      </c>
      <c r="B196" s="8">
        <f>(K118*($E118/365))+(K119*($E119/365))</f>
        <v>45.825522710886808</v>
      </c>
      <c r="C196" s="8">
        <f>(L118*($E118/365))+(L119*($E119/365))</f>
        <v>21.632299927901947</v>
      </c>
      <c r="D196" s="8">
        <f>(M118*($E118/365))+(M119*($E119/365))</f>
        <v>32.542177361211245</v>
      </c>
      <c r="E196" s="35">
        <f t="shared" si="60"/>
        <v>100</v>
      </c>
      <c r="G196" s="1">
        <v>2011</v>
      </c>
      <c r="H196" s="958">
        <f>(O118/$R118*100*($E118/365))+(O119/$R119*100*($E119/365))</f>
        <v>45.101108936725367</v>
      </c>
      <c r="I196" s="958"/>
      <c r="J196" s="958">
        <f>(P118/$R118*100*($E118/365))+(P119/$R119*100*($E119/365))</f>
        <v>21.591650358773649</v>
      </c>
      <c r="K196" s="958"/>
      <c r="L196" s="958">
        <f>(Q118/$R118*100*($E118/365))+(Q119/$R119*100*($E119/365))</f>
        <v>33.307240704500984</v>
      </c>
      <c r="M196" s="958"/>
      <c r="N196" s="990">
        <f t="shared" si="62"/>
        <v>100</v>
      </c>
      <c r="O196" s="990"/>
      <c r="P196" s="12"/>
      <c r="Q196" s="12"/>
      <c r="R196" s="12">
        <v>2011</v>
      </c>
      <c r="S196" s="8">
        <f>(O118*($E118/365))+(O119*($E119/365))</f>
        <v>28.413698630136988</v>
      </c>
      <c r="T196" s="8">
        <f>(P118*($E118/365))+(P119*($E119/365))</f>
        <v>13.602739726027398</v>
      </c>
      <c r="U196" s="8">
        <f>(Q118*($E118/365))+(Q119*($E119/365))</f>
        <v>20.983561643835618</v>
      </c>
      <c r="V196" s="12"/>
      <c r="W196" s="7">
        <f t="shared" si="61"/>
        <v>63</v>
      </c>
      <c r="X196" s="5"/>
      <c r="Y196" s="5"/>
    </row>
    <row r="197" spans="1:25" ht="9" customHeight="1">
      <c r="A197" s="1">
        <v>2012</v>
      </c>
      <c r="B197" s="8">
        <f>(K120*($E120/366))+(K121*($E121/366))</f>
        <v>42.105263157894733</v>
      </c>
      <c r="C197" s="8">
        <f>(L120*($E120/366))+(L121*($E121/366))</f>
        <v>5.2631578947368416</v>
      </c>
      <c r="D197" s="8">
        <f>(M120*($E120/366))+(M121*($E121/366))</f>
        <v>52.631578947368418</v>
      </c>
      <c r="E197" s="35">
        <f t="shared" si="60"/>
        <v>100</v>
      </c>
      <c r="G197" s="1">
        <v>2012</v>
      </c>
      <c r="H197" s="958">
        <f>(O120/$R120*100*($E120/366))+(O121/$R121*100*($E121/366))</f>
        <v>42.857142857142854</v>
      </c>
      <c r="I197" s="958"/>
      <c r="J197" s="958">
        <f>(P120/$R120*100*($E120/366))+(P121/$R121*100*($E121/366))</f>
        <v>4.7619047619047619</v>
      </c>
      <c r="K197" s="958"/>
      <c r="L197" s="958">
        <f>(Q120/$R120*100*($E120/366))+(Q121/$R121*100*($E121/366))</f>
        <v>52.380952380952387</v>
      </c>
      <c r="M197" s="958"/>
      <c r="N197" s="990">
        <f t="shared" si="62"/>
        <v>100</v>
      </c>
      <c r="O197" s="990"/>
      <c r="P197" s="12"/>
      <c r="Q197" s="12"/>
      <c r="R197" s="12">
        <v>2012</v>
      </c>
      <c r="S197" s="8">
        <f>(O120*($E120/366))+(O121*($E121/366))</f>
        <v>27</v>
      </c>
      <c r="T197" s="8">
        <f>(P120*($E120/366))+(P121*($E121/366))</f>
        <v>3</v>
      </c>
      <c r="U197" s="8">
        <f>(Q120*($E120/366))+(Q121*($E121/366))</f>
        <v>33</v>
      </c>
      <c r="V197" s="12"/>
      <c r="W197" s="7">
        <f t="shared" si="61"/>
        <v>63</v>
      </c>
      <c r="X197" s="5"/>
      <c r="Y197" s="5"/>
    </row>
    <row r="198" spans="1:25" ht="9" customHeight="1">
      <c r="A198" s="1">
        <v>2013</v>
      </c>
      <c r="B198" s="8">
        <f>(K122*($E122/365))+(K123*($E123/365))</f>
        <v>42.105263157894733</v>
      </c>
      <c r="C198" s="8">
        <f>(L122*($E122/365))+(L123*($E123/365))</f>
        <v>5.2631578947368416</v>
      </c>
      <c r="D198" s="8">
        <f>(M122*($E122/365))+(M123*($E123/365))</f>
        <v>52.631578947368418</v>
      </c>
      <c r="E198" s="527">
        <f t="shared" si="60"/>
        <v>100</v>
      </c>
      <c r="G198" s="1">
        <v>2013</v>
      </c>
      <c r="H198" s="958">
        <f>(O122/$R122*100*($E122/365))+(O123/$R123*100*($E123/365))</f>
        <v>42.857142857142854</v>
      </c>
      <c r="I198" s="958"/>
      <c r="J198" s="958">
        <f>(P122/$R122*100*($E122/365))+(P123/$R123*100*($E123/365))</f>
        <v>4.7619047619047619</v>
      </c>
      <c r="K198" s="958"/>
      <c r="L198" s="958">
        <f>(Q122/$R122*100*($E122/365))+(Q123/$R123*100*($E123/365))</f>
        <v>52.380952380952387</v>
      </c>
      <c r="M198" s="958"/>
      <c r="N198" s="990">
        <f>SUM(H198:M198)</f>
        <v>100</v>
      </c>
      <c r="O198" s="990"/>
      <c r="P198" s="12"/>
      <c r="Q198" s="12"/>
      <c r="R198" s="12">
        <v>2013</v>
      </c>
      <c r="S198" s="8">
        <f>(O122*($E122/365))+(O123*($E123/365))</f>
        <v>27</v>
      </c>
      <c r="T198" s="8">
        <f>(P122*($E122/365))+(P123*($E123/365))</f>
        <v>3</v>
      </c>
      <c r="U198" s="8">
        <f>(Q122*($E122/365))+(Q123*($E123/365))</f>
        <v>33</v>
      </c>
      <c r="V198" s="12"/>
      <c r="W198" s="7">
        <f t="shared" si="61"/>
        <v>63</v>
      </c>
      <c r="X198" s="5"/>
      <c r="Y198" s="5"/>
    </row>
    <row r="199" spans="1:25" ht="9" customHeight="1">
      <c r="A199" s="1">
        <v>2014</v>
      </c>
      <c r="B199" s="8">
        <f>(K124*($E124/365))+(K125*($E125/365))+(K126*($E126/365))+(K127*($E127/365))</f>
        <v>47.380296026124938</v>
      </c>
      <c r="C199" s="8">
        <f>(L124*($E124/365))+(L125*($E125/365))+(L126*($E126/365))+(L127*($E127/365))</f>
        <v>5.5871750286271675</v>
      </c>
      <c r="D199" s="8">
        <f>(M124*($E124/365))+(M125*($E125/365))+(M126*($E126/365))+(M127*($E127/365))</f>
        <v>47.032528945247883</v>
      </c>
      <c r="E199" s="527">
        <f>SUM(B199:D199)</f>
        <v>99.999999999999986</v>
      </c>
      <c r="G199" s="1">
        <v>2014</v>
      </c>
      <c r="H199" s="958">
        <f>(O124/$R124*100*($E124/365))+(O125/$R125*100*($E125/365))+(O126/$R126*100*($E126/365))+(O127/$R127*100*($E127/365))</f>
        <v>48.066651318061474</v>
      </c>
      <c r="I199" s="958"/>
      <c r="J199" s="958">
        <f>(P124/$R124*100*($E124/365))+(P125/$R125*100*($E125/365))+(P126/$R126*100*($E126/365))+(P127/$R127*100*($E127/365))</f>
        <v>5.3407390353401638</v>
      </c>
      <c r="K199" s="958"/>
      <c r="L199" s="958">
        <f>(Q124/$R124*100*($E124/365))+(Q125/$R125*100*($E125/365))+(Q126/$R126*100*($E126/365))+(Q127/$R127*100*($E127/365))</f>
        <v>46.592609646598362</v>
      </c>
      <c r="M199" s="958"/>
      <c r="N199" s="990">
        <f>SUM(H199:M199)</f>
        <v>100</v>
      </c>
      <c r="O199" s="990"/>
      <c r="P199" s="12"/>
      <c r="Q199" s="12"/>
      <c r="R199" s="12">
        <v>2014</v>
      </c>
      <c r="S199" s="8">
        <f>(O124*($E124/365))+(O125*($E125/365))+(O126*($E126/365))+(O127*($E127/365))</f>
        <v>27</v>
      </c>
      <c r="T199" s="8">
        <f>(P124*($E124/365))+(P125*($E125/365))+(P126*($E126/365))+(P127*($E127/365))</f>
        <v>3</v>
      </c>
      <c r="U199" s="8">
        <f>(Q124*($E124/365))+(Q125*($E125/365))+(Q126*($E126/365))+(Q127*($E127/365))</f>
        <v>26.495890410958904</v>
      </c>
      <c r="V199" s="12"/>
      <c r="W199" s="7">
        <f>SUM(S199:U199)</f>
        <v>56.495890410958907</v>
      </c>
      <c r="X199" s="5"/>
      <c r="Y199" s="5"/>
    </row>
    <row r="200" spans="1:25" s="716" customFormat="1" ht="9" customHeight="1">
      <c r="A200" s="716">
        <v>2015</v>
      </c>
      <c r="B200" s="710">
        <f>(K128*($E128/365))+(K129*($E129/365))</f>
        <v>55.439161966156327</v>
      </c>
      <c r="C200" s="710">
        <f>(L128*($E128/365))+(L129*($E129/365))</f>
        <v>27.864625302175661</v>
      </c>
      <c r="D200" s="710">
        <f>(M128*($E128/365))+(M129*($E129/365))</f>
        <v>16.696212731668009</v>
      </c>
      <c r="E200" s="707">
        <f>SUM(B200:D200)</f>
        <v>100</v>
      </c>
      <c r="G200" s="716">
        <v>2015</v>
      </c>
      <c r="H200" s="958">
        <f>(O128/$R128*100*($E128/365))+(O129/$R129*100*($E129/365))</f>
        <v>57.425463336019341</v>
      </c>
      <c r="I200" s="958"/>
      <c r="J200" s="958">
        <f>(P128/$R128*100*($E128/365))+(P129/$R129*100*($E129/365))</f>
        <v>25.87832393231265</v>
      </c>
      <c r="K200" s="958"/>
      <c r="L200" s="958">
        <f>(Q128/$R128*100*($E128/365))+(Q129/$R129*100*($E129/365))</f>
        <v>16.696212731668009</v>
      </c>
      <c r="M200" s="958"/>
      <c r="N200" s="990">
        <f>SUM(H200:M200)</f>
        <v>100</v>
      </c>
      <c r="O200" s="990"/>
      <c r="P200" s="12"/>
      <c r="Q200" s="12"/>
      <c r="R200" s="12">
        <v>2015</v>
      </c>
      <c r="S200" s="710">
        <f>(O128*($E128/365))+(O129*($E129/365))</f>
        <v>33.242465753424653</v>
      </c>
      <c r="T200" s="710">
        <f>(P128*($E128/365))+(P129*($E129/365))</f>
        <v>15.782191780821918</v>
      </c>
      <c r="U200" s="710">
        <f>(Q128*($E128/365))+(Q129*($E129/365))</f>
        <v>8.5150684931506841</v>
      </c>
      <c r="V200" s="12"/>
      <c r="W200" s="714">
        <f>SUM(S200:U200)</f>
        <v>57.539726027397258</v>
      </c>
      <c r="X200" s="5"/>
      <c r="Y200" s="5"/>
    </row>
    <row r="201" spans="1:25" s="716" customFormat="1" ht="9" customHeight="1">
      <c r="A201" s="810">
        <v>2016</v>
      </c>
      <c r="B201" s="804">
        <f>(K130*($E130/366))+(K131*($E131/366))</f>
        <v>57.142857142857139</v>
      </c>
      <c r="C201" s="804">
        <f>(L130*($E130/366))+(L131*($E131/366))</f>
        <v>42.857142857142854</v>
      </c>
      <c r="D201" s="804">
        <f>(M130*($E130/366))+(M131*($E131/366))</f>
        <v>0</v>
      </c>
      <c r="E201" s="801">
        <f>SUM(B201:D201)</f>
        <v>100</v>
      </c>
      <c r="F201" s="810"/>
      <c r="G201" s="810">
        <v>2016</v>
      </c>
      <c r="H201" s="958">
        <f>(O130/$R130*100*($E130/365))+(O131/$R131*100*($E131/366))</f>
        <v>60.483870967741936</v>
      </c>
      <c r="I201" s="958"/>
      <c r="J201" s="958">
        <f>(P130/$R130*100*($E130/366))+(P131/$R131*100*($E131/366))</f>
        <v>39.516129032258064</v>
      </c>
      <c r="K201" s="958"/>
      <c r="L201" s="958">
        <f>(Q130/$R130*100*($E130/366))+(Q131/$R131*100*($E131/366))</f>
        <v>0</v>
      </c>
      <c r="M201" s="958"/>
      <c r="N201" s="990">
        <f>SUM(H201:M201)</f>
        <v>100</v>
      </c>
      <c r="O201" s="990"/>
      <c r="P201" s="12"/>
      <c r="Q201" s="12"/>
      <c r="R201" s="12">
        <v>2016</v>
      </c>
      <c r="S201" s="804">
        <f>(O130*($E130/366))+(O131*($E131/366))</f>
        <v>37.5</v>
      </c>
      <c r="T201" s="804">
        <f>(P130*($E130/366))+(P131*($E131/366))</f>
        <v>24.5</v>
      </c>
      <c r="U201" s="804">
        <f>(Q130*($E130/366))+(Q131*($E131/366))</f>
        <v>0</v>
      </c>
      <c r="V201" s="12"/>
      <c r="W201" s="808">
        <f>SUM(S201:U201)</f>
        <v>62</v>
      </c>
      <c r="X201" s="5"/>
      <c r="Y201" s="5"/>
    </row>
    <row r="202" spans="1:25" s="920" customFormat="1" ht="9" customHeight="1">
      <c r="A202" s="920">
        <v>2017</v>
      </c>
      <c r="B202" s="915">
        <f>(K132*($E132/365))+(K133*($E133/365))+(K134*($E134/365))</f>
        <v>57.87181996086106</v>
      </c>
      <c r="C202" s="915">
        <f t="shared" ref="C202:D202" si="63">(L132*($E132/365))+(L133*($E133/365))+(L134*($E134/365))</f>
        <v>42.12818003913894</v>
      </c>
      <c r="D202" s="915">
        <f t="shared" si="63"/>
        <v>0</v>
      </c>
      <c r="E202" s="914">
        <f>SUM(B202:D202)</f>
        <v>100</v>
      </c>
      <c r="G202" s="920">
        <v>2017</v>
      </c>
      <c r="H202" s="958">
        <f>(O132/$R132*100*($E132/365))+(O133/$R133*100*($E133/365))+(O134/$R134*100*($E134/365))</f>
        <v>60.483870967741936</v>
      </c>
      <c r="I202" s="958"/>
      <c r="J202" s="958">
        <f>(P132/$R132*100*($E132/365))+(P133/$R133*100*($E133/365))+(P134/$R134*100*($E134/365))</f>
        <v>39.516129032258064</v>
      </c>
      <c r="K202" s="958"/>
      <c r="L202" s="958">
        <f>(Q132/$R132*100*($E132/365))+(Q133/$R133*100*($E133/365))+(Q134/$R134*100*($E134/365))</f>
        <v>0</v>
      </c>
      <c r="M202" s="958"/>
      <c r="N202" s="990">
        <f>SUM(H202:M202)</f>
        <v>100</v>
      </c>
      <c r="O202" s="990"/>
      <c r="P202" s="12"/>
      <c r="Q202" s="12"/>
      <c r="R202" s="12">
        <v>2017</v>
      </c>
      <c r="S202" s="915">
        <f>(O132*($E132/365))+(O133*($E133/365))+(O134*($E134/365))</f>
        <v>37.5</v>
      </c>
      <c r="T202" s="915">
        <f t="shared" ref="T202:U202" si="64">(P132*($E132/365))+(P133*($E133/365))+(P134*($E134/365))</f>
        <v>24.5</v>
      </c>
      <c r="U202" s="915">
        <f t="shared" si="64"/>
        <v>0</v>
      </c>
      <c r="V202" s="12"/>
      <c r="W202" s="917">
        <f>SUM(S202:U202)</f>
        <v>62</v>
      </c>
      <c r="X202" s="5"/>
      <c r="Y202" s="5"/>
    </row>
    <row r="203" spans="1:25">
      <c r="A203" s="939">
        <v>2018</v>
      </c>
      <c r="B203" s="930">
        <f>(K135*($E135/365))+(K136*($E136/365))</f>
        <v>58.82352941176471</v>
      </c>
      <c r="C203" s="930">
        <f>(L135*($E135/365))+(L136*($E136/365))</f>
        <v>41.17647058823529</v>
      </c>
      <c r="D203" s="930">
        <f>(M135*($E135/365))+(M136*($E136/365))</f>
        <v>0</v>
      </c>
      <c r="E203" s="926">
        <f t="shared" ref="E203" si="65">SUM(B203:D203)</f>
        <v>100</v>
      </c>
      <c r="F203" s="939"/>
      <c r="G203" s="939">
        <v>2018</v>
      </c>
      <c r="H203" s="958">
        <f>(O135/$R135*100*($E135/365))+(O136/$R136*100*($E136/365))</f>
        <v>60.483870967741936</v>
      </c>
      <c r="I203" s="958"/>
      <c r="J203" s="958">
        <f>(P135/$R135*100*($E135/365))+(P136/$R136*100*($E136/365))</f>
        <v>39.516129032258064</v>
      </c>
      <c r="K203" s="958"/>
      <c r="L203" s="958">
        <f>(Q135/$R135*100*($E135/365))+(Q136/$R136*100*($E136/365))</f>
        <v>0</v>
      </c>
      <c r="M203" s="958"/>
      <c r="N203" s="990">
        <f t="shared" ref="N203" si="66">SUM(H203:M203)</f>
        <v>100</v>
      </c>
      <c r="O203" s="990"/>
      <c r="P203" s="12"/>
      <c r="Q203" s="12"/>
      <c r="R203" s="12">
        <v>2018</v>
      </c>
      <c r="S203" s="930">
        <f>(O135*($E135/365))+(O136*($E136/365))</f>
        <v>37.5</v>
      </c>
      <c r="T203" s="930">
        <f>(P135*($E135/365))+(P136*($E136/365))</f>
        <v>24.5</v>
      </c>
      <c r="U203" s="930">
        <f>(Q135*($E135/365))+(Q136*($E136/365))</f>
        <v>0</v>
      </c>
      <c r="V203" s="12"/>
      <c r="W203" s="935">
        <f t="shared" ref="W203" si="67">SUM(S203:U203)</f>
        <v>62</v>
      </c>
    </row>
  </sheetData>
  <mergeCells count="399">
    <mergeCell ref="N196:O196"/>
    <mergeCell ref="N197:O197"/>
    <mergeCell ref="N188:O188"/>
    <mergeCell ref="N189:O189"/>
    <mergeCell ref="N190:O190"/>
    <mergeCell ref="N191:O191"/>
    <mergeCell ref="N192:O192"/>
    <mergeCell ref="N193:O193"/>
    <mergeCell ref="AT4:AW4"/>
    <mergeCell ref="N165:O165"/>
    <mergeCell ref="N166:O166"/>
    <mergeCell ref="N167:O167"/>
    <mergeCell ref="N168:O168"/>
    <mergeCell ref="N169:O169"/>
    <mergeCell ref="N155:O155"/>
    <mergeCell ref="N156:O156"/>
    <mergeCell ref="N157:O157"/>
    <mergeCell ref="N158:O158"/>
    <mergeCell ref="N159:O159"/>
    <mergeCell ref="N160:O160"/>
    <mergeCell ref="N175:O175"/>
    <mergeCell ref="R141:W141"/>
    <mergeCell ref="AP4:AS4"/>
    <mergeCell ref="S4:S5"/>
    <mergeCell ref="AX4:BA4"/>
    <mergeCell ref="N195:O195"/>
    <mergeCell ref="N194:O194"/>
    <mergeCell ref="N177:O177"/>
    <mergeCell ref="N178:O178"/>
    <mergeCell ref="N179:O179"/>
    <mergeCell ref="N180:O180"/>
    <mergeCell ref="N181:O181"/>
    <mergeCell ref="N170:O170"/>
    <mergeCell ref="N183:O183"/>
    <mergeCell ref="N184:O184"/>
    <mergeCell ref="N185:O185"/>
    <mergeCell ref="N186:O186"/>
    <mergeCell ref="N187:O187"/>
    <mergeCell ref="N171:O171"/>
    <mergeCell ref="N172:O172"/>
    <mergeCell ref="N173:O173"/>
    <mergeCell ref="N174:O174"/>
    <mergeCell ref="N161:O161"/>
    <mergeCell ref="N162:O162"/>
    <mergeCell ref="N163:O163"/>
    <mergeCell ref="N164:O164"/>
    <mergeCell ref="N182:O182"/>
    <mergeCell ref="N176:O176"/>
    <mergeCell ref="L195:M195"/>
    <mergeCell ref="L196:M196"/>
    <mergeCell ref="L185:M185"/>
    <mergeCell ref="L186:M186"/>
    <mergeCell ref="L187:M187"/>
    <mergeCell ref="L188:M188"/>
    <mergeCell ref="L189:M189"/>
    <mergeCell ref="L190:M190"/>
    <mergeCell ref="L179:M179"/>
    <mergeCell ref="L180:M180"/>
    <mergeCell ref="N146:O146"/>
    <mergeCell ref="N147:O147"/>
    <mergeCell ref="N148:O148"/>
    <mergeCell ref="N149:O149"/>
    <mergeCell ref="N150:O150"/>
    <mergeCell ref="N151:O151"/>
    <mergeCell ref="N152:O152"/>
    <mergeCell ref="N153:O153"/>
    <mergeCell ref="N154:O154"/>
    <mergeCell ref="L162:M162"/>
    <mergeCell ref="L163:M163"/>
    <mergeCell ref="L164:M164"/>
    <mergeCell ref="L165:M165"/>
    <mergeCell ref="L166:M166"/>
    <mergeCell ref="L181:M181"/>
    <mergeCell ref="L182:M182"/>
    <mergeCell ref="L183:M183"/>
    <mergeCell ref="L184:M184"/>
    <mergeCell ref="L173:M173"/>
    <mergeCell ref="L174:M174"/>
    <mergeCell ref="L175:M175"/>
    <mergeCell ref="L176:M176"/>
    <mergeCell ref="L177:M177"/>
    <mergeCell ref="L178:M178"/>
    <mergeCell ref="L146:M146"/>
    <mergeCell ref="L147:M147"/>
    <mergeCell ref="L148:M148"/>
    <mergeCell ref="L149:M149"/>
    <mergeCell ref="L150:M150"/>
    <mergeCell ref="L151:M151"/>
    <mergeCell ref="L152:M152"/>
    <mergeCell ref="L153:M153"/>
    <mergeCell ref="L154:M154"/>
    <mergeCell ref="J165:K165"/>
    <mergeCell ref="J166:K166"/>
    <mergeCell ref="L155:M155"/>
    <mergeCell ref="L156:M156"/>
    <mergeCell ref="L157:M157"/>
    <mergeCell ref="L158:M158"/>
    <mergeCell ref="L159:M159"/>
    <mergeCell ref="L160:M160"/>
    <mergeCell ref="J197:K197"/>
    <mergeCell ref="J191:K191"/>
    <mergeCell ref="J192:K192"/>
    <mergeCell ref="J193:K193"/>
    <mergeCell ref="J194:K194"/>
    <mergeCell ref="J195:K195"/>
    <mergeCell ref="J196:K196"/>
    <mergeCell ref="J185:K185"/>
    <mergeCell ref="J155:K155"/>
    <mergeCell ref="L167:M167"/>
    <mergeCell ref="L168:M168"/>
    <mergeCell ref="L169:M169"/>
    <mergeCell ref="L170:M170"/>
    <mergeCell ref="L171:M171"/>
    <mergeCell ref="L172:M172"/>
    <mergeCell ref="L161:M161"/>
    <mergeCell ref="J173:K173"/>
    <mergeCell ref="J174:K174"/>
    <mergeCell ref="J175:K175"/>
    <mergeCell ref="J167:K167"/>
    <mergeCell ref="J168:K168"/>
    <mergeCell ref="J169:K169"/>
    <mergeCell ref="J170:K170"/>
    <mergeCell ref="J171:K171"/>
    <mergeCell ref="J172:K172"/>
    <mergeCell ref="G3:M3"/>
    <mergeCell ref="O3:Q3"/>
    <mergeCell ref="C9:D9"/>
    <mergeCell ref="C10:D10"/>
    <mergeCell ref="A4:A5"/>
    <mergeCell ref="B4:B5"/>
    <mergeCell ref="C4:D5"/>
    <mergeCell ref="E4:E5"/>
    <mergeCell ref="F4:F5"/>
    <mergeCell ref="G4:J4"/>
    <mergeCell ref="C8:D8"/>
    <mergeCell ref="K4:N4"/>
    <mergeCell ref="O4:R4"/>
    <mergeCell ref="AL4:AO4"/>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Z4:AC4"/>
    <mergeCell ref="AD4:AG4"/>
    <mergeCell ref="AH4:AK4"/>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118:D118"/>
    <mergeCell ref="C111:D111"/>
    <mergeCell ref="C112:D112"/>
    <mergeCell ref="C119:D119"/>
    <mergeCell ref="C120:D120"/>
    <mergeCell ref="C121:D121"/>
    <mergeCell ref="C113:D113"/>
    <mergeCell ref="C114:D114"/>
    <mergeCell ref="C115:D115"/>
    <mergeCell ref="C116:D116"/>
    <mergeCell ref="N143:O143"/>
    <mergeCell ref="C122:D122"/>
    <mergeCell ref="C123:D123"/>
    <mergeCell ref="H198:I198"/>
    <mergeCell ref="J198:K198"/>
    <mergeCell ref="L198:M198"/>
    <mergeCell ref="J144:K144"/>
    <mergeCell ref="L144:M144"/>
    <mergeCell ref="H146:I146"/>
    <mergeCell ref="H147:I147"/>
    <mergeCell ref="H148:I148"/>
    <mergeCell ref="H155:I155"/>
    <mergeCell ref="H156:I156"/>
    <mergeCell ref="H157:I157"/>
    <mergeCell ref="H158:I158"/>
    <mergeCell ref="H159:I159"/>
    <mergeCell ref="H160:I160"/>
    <mergeCell ref="H149:I149"/>
    <mergeCell ref="H150:I150"/>
    <mergeCell ref="H151:I151"/>
    <mergeCell ref="H152:I152"/>
    <mergeCell ref="H153:I153"/>
    <mergeCell ref="H154:I154"/>
    <mergeCell ref="J176:K176"/>
    <mergeCell ref="C128:D128"/>
    <mergeCell ref="H171:I171"/>
    <mergeCell ref="H172:I172"/>
    <mergeCell ref="H161:I161"/>
    <mergeCell ref="H162:I162"/>
    <mergeCell ref="H163:I163"/>
    <mergeCell ref="H164:I164"/>
    <mergeCell ref="H165:I165"/>
    <mergeCell ref="H166:I166"/>
    <mergeCell ref="H167:I167"/>
    <mergeCell ref="H168:I168"/>
    <mergeCell ref="C135:D135"/>
    <mergeCell ref="N144:O144"/>
    <mergeCell ref="H169:I169"/>
    <mergeCell ref="H170:I170"/>
    <mergeCell ref="C124:D124"/>
    <mergeCell ref="C125:D125"/>
    <mergeCell ref="C126:D126"/>
    <mergeCell ref="C127:D127"/>
    <mergeCell ref="H143:I143"/>
    <mergeCell ref="J143:K143"/>
    <mergeCell ref="J154:K154"/>
    <mergeCell ref="J148:K148"/>
    <mergeCell ref="J149:K149"/>
    <mergeCell ref="J150:K150"/>
    <mergeCell ref="J151:K151"/>
    <mergeCell ref="J152:K152"/>
    <mergeCell ref="J153:K153"/>
    <mergeCell ref="C133:D133"/>
    <mergeCell ref="C134:D134"/>
    <mergeCell ref="C136:D136"/>
    <mergeCell ref="C137:D137"/>
    <mergeCell ref="C132:D132"/>
    <mergeCell ref="C130:D130"/>
    <mergeCell ref="C138:D138"/>
    <mergeCell ref="C131:D131"/>
    <mergeCell ref="N200:O200"/>
    <mergeCell ref="H199:I199"/>
    <mergeCell ref="J199:K199"/>
    <mergeCell ref="L199:M199"/>
    <mergeCell ref="N199:O199"/>
    <mergeCell ref="N145:O145"/>
    <mergeCell ref="H145:I145"/>
    <mergeCell ref="J145:K145"/>
    <mergeCell ref="L145:M145"/>
    <mergeCell ref="H173:I173"/>
    <mergeCell ref="H174:I174"/>
    <mergeCell ref="H175:I175"/>
    <mergeCell ref="H176:I176"/>
    <mergeCell ref="H177:I177"/>
    <mergeCell ref="H178:I178"/>
    <mergeCell ref="N198:O198"/>
    <mergeCell ref="J146:K146"/>
    <mergeCell ref="J147:K147"/>
    <mergeCell ref="J156:K156"/>
    <mergeCell ref="J157:K157"/>
    <mergeCell ref="J158:K158"/>
    <mergeCell ref="J159:K159"/>
    <mergeCell ref="J160:K160"/>
    <mergeCell ref="J161:K161"/>
    <mergeCell ref="L197:M197"/>
    <mergeCell ref="L191:M191"/>
    <mergeCell ref="L192:M192"/>
    <mergeCell ref="L193:M193"/>
    <mergeCell ref="L194:M194"/>
    <mergeCell ref="C129:D129"/>
    <mergeCell ref="H200:I200"/>
    <mergeCell ref="J200:K200"/>
    <mergeCell ref="L200:M200"/>
    <mergeCell ref="H144:I144"/>
    <mergeCell ref="J162:K162"/>
    <mergeCell ref="J163:K163"/>
    <mergeCell ref="J164:K164"/>
    <mergeCell ref="L143:M143"/>
    <mergeCell ref="J177:K177"/>
    <mergeCell ref="J178:K178"/>
    <mergeCell ref="J187:K187"/>
    <mergeCell ref="J188:K188"/>
    <mergeCell ref="J189:K189"/>
    <mergeCell ref="J190:K190"/>
    <mergeCell ref="H193:I193"/>
    <mergeCell ref="H194:I194"/>
    <mergeCell ref="H185:I185"/>
    <mergeCell ref="H186:I186"/>
    <mergeCell ref="H203:I203"/>
    <mergeCell ref="J203:K203"/>
    <mergeCell ref="L203:M203"/>
    <mergeCell ref="N203:O203"/>
    <mergeCell ref="H202:I202"/>
    <mergeCell ref="J202:K202"/>
    <mergeCell ref="L202:M202"/>
    <mergeCell ref="N202:O202"/>
    <mergeCell ref="H201:I201"/>
    <mergeCell ref="L201:M201"/>
    <mergeCell ref="N201:O201"/>
    <mergeCell ref="H197:I197"/>
    <mergeCell ref="H191:I191"/>
    <mergeCell ref="H192:I192"/>
    <mergeCell ref="H179:I179"/>
    <mergeCell ref="H180:I180"/>
    <mergeCell ref="H195:I195"/>
    <mergeCell ref="H196:I196"/>
    <mergeCell ref="J201:K201"/>
    <mergeCell ref="H181:I181"/>
    <mergeCell ref="H182:I182"/>
    <mergeCell ref="H183:I183"/>
    <mergeCell ref="H184:I184"/>
    <mergeCell ref="H187:I187"/>
    <mergeCell ref="H188:I188"/>
    <mergeCell ref="H189:I189"/>
    <mergeCell ref="H190:I190"/>
    <mergeCell ref="J179:K179"/>
    <mergeCell ref="J180:K180"/>
    <mergeCell ref="J181:K181"/>
    <mergeCell ref="J182:K182"/>
    <mergeCell ref="J183:K183"/>
    <mergeCell ref="J186:K186"/>
    <mergeCell ref="J184:K18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08"/>
  <sheetViews>
    <sheetView zoomScale="140" zoomScaleNormal="120" workbookViewId="0">
      <pane xSplit="1" ySplit="5" topLeftCell="B130" activePane="bottomRight" state="frozen"/>
      <selection pane="topRight" activeCell="B1" sqref="B1"/>
      <selection pane="bottomLeft" activeCell="A6" sqref="A6"/>
      <selection pane="bottomRight" activeCell="W208" sqref="W208"/>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54</v>
      </c>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78" t="s">
        <v>1242</v>
      </c>
      <c r="D6" s="978"/>
      <c r="E6" s="257">
        <v>7</v>
      </c>
      <c r="G6" s="265">
        <v>5</v>
      </c>
      <c r="H6" s="257">
        <v>3</v>
      </c>
      <c r="I6" s="257">
        <v>5</v>
      </c>
      <c r="J6" s="272">
        <v>24</v>
      </c>
      <c r="K6" s="248">
        <f>G6/J6*100</f>
        <v>20.833333333333336</v>
      </c>
      <c r="L6" s="248">
        <f>H6/J6*100</f>
        <v>12.5</v>
      </c>
      <c r="M6" s="248">
        <f>I6/J6*100</f>
        <v>20.833333333333336</v>
      </c>
      <c r="N6" s="267">
        <f>SUM(K6:M6)</f>
        <v>54.166666666666671</v>
      </c>
      <c r="O6" s="247">
        <v>42.6</v>
      </c>
      <c r="P6" s="248">
        <v>12.3</v>
      </c>
      <c r="Q6" s="248">
        <v>14.3</v>
      </c>
      <c r="R6" s="249">
        <f>SUM(O6:Q6)</f>
        <v>69.2</v>
      </c>
      <c r="S6" s="254">
        <v>5</v>
      </c>
      <c r="T6" s="251"/>
      <c r="U6" s="252"/>
      <c r="V6" s="256" t="s">
        <v>381</v>
      </c>
      <c r="W6" s="257" t="s">
        <v>76</v>
      </c>
      <c r="X6" s="257" t="s">
        <v>11</v>
      </c>
      <c r="Y6" s="258">
        <v>42.6</v>
      </c>
      <c r="Z6" s="256" t="s">
        <v>121</v>
      </c>
      <c r="AA6" s="257" t="s">
        <v>17</v>
      </c>
      <c r="AB6" s="257" t="s">
        <v>18</v>
      </c>
      <c r="AC6" s="257">
        <v>12.3</v>
      </c>
      <c r="AD6" s="256" t="s">
        <v>96</v>
      </c>
      <c r="AE6" s="257" t="s">
        <v>20</v>
      </c>
      <c r="AF6" s="257" t="s">
        <v>12</v>
      </c>
      <c r="AG6" s="258">
        <v>9.4</v>
      </c>
      <c r="AH6" s="257" t="s">
        <v>122</v>
      </c>
      <c r="AI6" s="257" t="s">
        <v>22</v>
      </c>
      <c r="AJ6" s="257" t="s">
        <v>12</v>
      </c>
      <c r="AK6" s="257">
        <v>4.9000000000000004</v>
      </c>
      <c r="AL6" s="256"/>
      <c r="AO6" s="258"/>
      <c r="AP6" s="256"/>
      <c r="AS6" s="258"/>
      <c r="AW6" s="258"/>
      <c r="BA6" s="259"/>
    </row>
    <row r="7" spans="1:53" s="257" customFormat="1">
      <c r="A7" s="263">
        <v>1959</v>
      </c>
      <c r="B7" s="252">
        <v>21558</v>
      </c>
      <c r="C7" s="978" t="s">
        <v>383</v>
      </c>
      <c r="D7" s="978"/>
      <c r="E7" s="257">
        <f>365-E6</f>
        <v>358</v>
      </c>
      <c r="F7" s="257">
        <v>4</v>
      </c>
      <c r="G7" s="265">
        <v>9</v>
      </c>
      <c r="H7" s="257">
        <v>4</v>
      </c>
      <c r="I7" s="257">
        <v>1</v>
      </c>
      <c r="J7" s="272">
        <v>21</v>
      </c>
      <c r="K7" s="248">
        <f>G7/J7*100</f>
        <v>42.857142857142854</v>
      </c>
      <c r="L7" s="248">
        <f>H7/J7*100</f>
        <v>19.047619047619047</v>
      </c>
      <c r="M7" s="248">
        <f>I7/J7*100</f>
        <v>4.7619047619047619</v>
      </c>
      <c r="N7" s="267">
        <f>SUM(K7:M7)</f>
        <v>66.666666666666657</v>
      </c>
      <c r="O7" s="247">
        <v>71.2</v>
      </c>
      <c r="P7" s="248">
        <v>12.3</v>
      </c>
      <c r="Q7" s="248">
        <v>4.9000000000000004</v>
      </c>
      <c r="R7" s="249">
        <f>SUM(O7:Q7)</f>
        <v>88.4</v>
      </c>
      <c r="S7" s="254">
        <v>3</v>
      </c>
      <c r="T7" s="251"/>
      <c r="U7" s="252">
        <v>21558</v>
      </c>
      <c r="V7" s="256" t="s">
        <v>381</v>
      </c>
      <c r="W7" s="257" t="s">
        <v>76</v>
      </c>
      <c r="X7" s="257" t="s">
        <v>11</v>
      </c>
      <c r="Y7" s="258">
        <v>42.6</v>
      </c>
      <c r="Z7" s="256" t="s">
        <v>120</v>
      </c>
      <c r="AA7" s="257" t="s">
        <v>74</v>
      </c>
      <c r="AB7" s="257" t="s">
        <v>11</v>
      </c>
      <c r="AC7" s="257">
        <v>28.6</v>
      </c>
      <c r="AD7" s="256" t="s">
        <v>121</v>
      </c>
      <c r="AE7" s="257" t="s">
        <v>17</v>
      </c>
      <c r="AF7" s="257" t="s">
        <v>18</v>
      </c>
      <c r="AG7" s="258">
        <v>12.3</v>
      </c>
      <c r="AH7" s="257" t="s">
        <v>122</v>
      </c>
      <c r="AI7" s="257" t="s">
        <v>22</v>
      </c>
      <c r="AJ7" s="257" t="s">
        <v>12</v>
      </c>
      <c r="AK7" s="257">
        <v>4.9000000000000004</v>
      </c>
      <c r="AL7" s="256"/>
      <c r="AO7" s="258"/>
      <c r="AP7" s="256"/>
      <c r="AS7" s="258"/>
      <c r="AW7" s="258"/>
      <c r="BA7" s="259"/>
    </row>
    <row r="8" spans="1:53" s="73" customFormat="1">
      <c r="A8" s="102">
        <v>1960</v>
      </c>
      <c r="B8" s="85"/>
      <c r="C8" s="966" t="s">
        <v>383</v>
      </c>
      <c r="D8" s="966"/>
      <c r="E8" s="73">
        <v>0</v>
      </c>
      <c r="G8" s="123">
        <v>9</v>
      </c>
      <c r="H8" s="73">
        <v>4</v>
      </c>
      <c r="I8" s="73">
        <v>1</v>
      </c>
      <c r="J8" s="134">
        <v>21</v>
      </c>
      <c r="K8" s="92">
        <f t="shared" ref="K8:K64" si="0">G8/J8*100</f>
        <v>42.857142857142854</v>
      </c>
      <c r="L8" s="92">
        <f t="shared" ref="L8:L64" si="1">H8/J8*100</f>
        <v>19.047619047619047</v>
      </c>
      <c r="M8" s="92">
        <f t="shared" ref="M8:M64" si="2">I8/J8*100</f>
        <v>4.7619047619047619</v>
      </c>
      <c r="N8" s="125">
        <f>SUM(K8:M8)</f>
        <v>66.666666666666657</v>
      </c>
      <c r="O8" s="91">
        <v>71.2</v>
      </c>
      <c r="P8" s="92">
        <v>12.3</v>
      </c>
      <c r="Q8" s="92">
        <v>4.9000000000000004</v>
      </c>
      <c r="R8" s="93">
        <f>SUM(O8:Q8)</f>
        <v>88.4</v>
      </c>
      <c r="S8" s="97">
        <v>3</v>
      </c>
      <c r="T8" s="95"/>
      <c r="U8" s="85"/>
      <c r="V8" s="82" t="s">
        <v>381</v>
      </c>
      <c r="W8" s="73" t="s">
        <v>76</v>
      </c>
      <c r="X8" s="73" t="s">
        <v>11</v>
      </c>
      <c r="Y8" s="83">
        <v>42.6</v>
      </c>
      <c r="Z8" s="82" t="s">
        <v>120</v>
      </c>
      <c r="AA8" s="73" t="s">
        <v>74</v>
      </c>
      <c r="AB8" s="73" t="s">
        <v>11</v>
      </c>
      <c r="AC8" s="73">
        <v>28.6</v>
      </c>
      <c r="AD8" s="82" t="s">
        <v>121</v>
      </c>
      <c r="AE8" s="73" t="s">
        <v>17</v>
      </c>
      <c r="AF8" s="73" t="s">
        <v>18</v>
      </c>
      <c r="AG8" s="83">
        <v>12.3</v>
      </c>
      <c r="AH8" s="73" t="s">
        <v>122</v>
      </c>
      <c r="AI8" s="73" t="s">
        <v>22</v>
      </c>
      <c r="AJ8" s="73" t="s">
        <v>12</v>
      </c>
      <c r="AK8" s="73">
        <v>4.9000000000000004</v>
      </c>
      <c r="AL8" s="82"/>
      <c r="AO8" s="83"/>
      <c r="AP8" s="82"/>
      <c r="AS8" s="83"/>
      <c r="AW8" s="83"/>
      <c r="BA8" s="84"/>
    </row>
    <row r="9" spans="1:53" s="73" customFormat="1">
      <c r="A9" s="102">
        <v>1960</v>
      </c>
      <c r="B9" s="85"/>
      <c r="C9" s="966" t="s">
        <v>383</v>
      </c>
      <c r="D9" s="966"/>
      <c r="E9" s="73">
        <v>366</v>
      </c>
      <c r="G9" s="123">
        <v>9</v>
      </c>
      <c r="H9" s="73">
        <v>4</v>
      </c>
      <c r="I9" s="73">
        <v>1</v>
      </c>
      <c r="J9" s="134">
        <v>21</v>
      </c>
      <c r="K9" s="92">
        <f t="shared" si="0"/>
        <v>42.857142857142854</v>
      </c>
      <c r="L9" s="92">
        <f t="shared" si="1"/>
        <v>19.047619047619047</v>
      </c>
      <c r="M9" s="92">
        <f t="shared" si="2"/>
        <v>4.7619047619047619</v>
      </c>
      <c r="N9" s="125">
        <f t="shared" ref="N9:N72" si="3">SUM(K9:M9)</f>
        <v>66.666666666666657</v>
      </c>
      <c r="O9" s="91">
        <v>71.2</v>
      </c>
      <c r="P9" s="92">
        <v>12.3</v>
      </c>
      <c r="Q9" s="92">
        <v>4.9000000000000004</v>
      </c>
      <c r="R9" s="93">
        <f t="shared" ref="R9:R72" si="4">SUM(O9:Q9)</f>
        <v>88.4</v>
      </c>
      <c r="S9" s="97">
        <v>3</v>
      </c>
      <c r="T9" s="95"/>
      <c r="U9" s="85"/>
      <c r="V9" s="82" t="s">
        <v>381</v>
      </c>
      <c r="W9" s="73" t="s">
        <v>76</v>
      </c>
      <c r="X9" s="73" t="s">
        <v>11</v>
      </c>
      <c r="Y9" s="83">
        <v>42.6</v>
      </c>
      <c r="Z9" s="82" t="s">
        <v>120</v>
      </c>
      <c r="AA9" s="73" t="s">
        <v>74</v>
      </c>
      <c r="AB9" s="73" t="s">
        <v>11</v>
      </c>
      <c r="AC9" s="73">
        <v>28.6</v>
      </c>
      <c r="AD9" s="82" t="s">
        <v>121</v>
      </c>
      <c r="AE9" s="73" t="s">
        <v>17</v>
      </c>
      <c r="AF9" s="73" t="s">
        <v>18</v>
      </c>
      <c r="AG9" s="83">
        <v>12.3</v>
      </c>
      <c r="AH9" s="73" t="s">
        <v>122</v>
      </c>
      <c r="AI9" s="73" t="s">
        <v>22</v>
      </c>
      <c r="AJ9" s="73" t="s">
        <v>12</v>
      </c>
      <c r="AK9" s="73">
        <v>4.9000000000000004</v>
      </c>
      <c r="AL9" s="82"/>
      <c r="AO9" s="83"/>
      <c r="AP9" s="82"/>
      <c r="AS9" s="83"/>
      <c r="AW9" s="83"/>
      <c r="BA9" s="84"/>
    </row>
    <row r="10" spans="1:53" s="73" customFormat="1">
      <c r="A10" s="102">
        <v>1961</v>
      </c>
      <c r="B10" s="85"/>
      <c r="C10" s="966" t="s">
        <v>383</v>
      </c>
      <c r="D10" s="966"/>
      <c r="E10" s="73">
        <v>0</v>
      </c>
      <c r="G10" s="123">
        <v>9</v>
      </c>
      <c r="H10" s="73">
        <v>4</v>
      </c>
      <c r="I10" s="73">
        <v>1</v>
      </c>
      <c r="J10" s="134">
        <v>21</v>
      </c>
      <c r="K10" s="92">
        <f t="shared" si="0"/>
        <v>42.857142857142854</v>
      </c>
      <c r="L10" s="92">
        <f t="shared" si="1"/>
        <v>19.047619047619047</v>
      </c>
      <c r="M10" s="92">
        <f t="shared" si="2"/>
        <v>4.7619047619047619</v>
      </c>
      <c r="N10" s="125">
        <f t="shared" si="3"/>
        <v>66.666666666666657</v>
      </c>
      <c r="O10" s="91">
        <v>71.2</v>
      </c>
      <c r="P10" s="92">
        <v>12.3</v>
      </c>
      <c r="Q10" s="92">
        <v>4.9000000000000004</v>
      </c>
      <c r="R10" s="93">
        <f t="shared" si="4"/>
        <v>88.4</v>
      </c>
      <c r="S10" s="97">
        <v>3</v>
      </c>
      <c r="T10" s="95"/>
      <c r="U10" s="85"/>
      <c r="V10" s="82" t="s">
        <v>381</v>
      </c>
      <c r="W10" s="73" t="s">
        <v>76</v>
      </c>
      <c r="X10" s="73" t="s">
        <v>11</v>
      </c>
      <c r="Y10" s="83">
        <v>42.6</v>
      </c>
      <c r="Z10" s="82" t="s">
        <v>120</v>
      </c>
      <c r="AA10" s="73" t="s">
        <v>74</v>
      </c>
      <c r="AB10" s="73" t="s">
        <v>11</v>
      </c>
      <c r="AC10" s="73">
        <v>28.6</v>
      </c>
      <c r="AD10" s="82" t="s">
        <v>121</v>
      </c>
      <c r="AE10" s="73" t="s">
        <v>17</v>
      </c>
      <c r="AF10" s="73" t="s">
        <v>18</v>
      </c>
      <c r="AG10" s="83">
        <v>12.3</v>
      </c>
      <c r="AH10" s="73" t="s">
        <v>122</v>
      </c>
      <c r="AI10" s="73" t="s">
        <v>22</v>
      </c>
      <c r="AJ10" s="73" t="s">
        <v>12</v>
      </c>
      <c r="AK10" s="73">
        <v>4.9000000000000004</v>
      </c>
      <c r="AL10" s="82"/>
      <c r="AO10" s="83"/>
      <c r="AP10" s="82"/>
      <c r="AS10" s="83"/>
      <c r="AW10" s="83"/>
      <c r="BA10" s="84"/>
    </row>
    <row r="11" spans="1:53" s="73" customFormat="1">
      <c r="A11" s="102">
        <v>1961</v>
      </c>
      <c r="B11" s="85"/>
      <c r="C11" s="966" t="s">
        <v>383</v>
      </c>
      <c r="D11" s="966"/>
      <c r="E11" s="73">
        <v>365</v>
      </c>
      <c r="G11" s="123">
        <v>9</v>
      </c>
      <c r="H11" s="73">
        <v>4</v>
      </c>
      <c r="I11" s="73">
        <v>1</v>
      </c>
      <c r="J11" s="134">
        <v>21</v>
      </c>
      <c r="K11" s="92">
        <f t="shared" si="0"/>
        <v>42.857142857142854</v>
      </c>
      <c r="L11" s="92">
        <f t="shared" si="1"/>
        <v>19.047619047619047</v>
      </c>
      <c r="M11" s="92">
        <f t="shared" si="2"/>
        <v>4.7619047619047619</v>
      </c>
      <c r="N11" s="125">
        <f t="shared" si="3"/>
        <v>66.666666666666657</v>
      </c>
      <c r="O11" s="91">
        <v>71.2</v>
      </c>
      <c r="P11" s="92">
        <v>12.3</v>
      </c>
      <c r="Q11" s="92">
        <v>4.9000000000000004</v>
      </c>
      <c r="R11" s="93">
        <f t="shared" si="4"/>
        <v>88.4</v>
      </c>
      <c r="S11" s="97">
        <v>3</v>
      </c>
      <c r="T11" s="95"/>
      <c r="U11" s="85"/>
      <c r="V11" s="82" t="s">
        <v>381</v>
      </c>
      <c r="W11" s="73" t="s">
        <v>76</v>
      </c>
      <c r="X11" s="73" t="s">
        <v>11</v>
      </c>
      <c r="Y11" s="83">
        <v>42.6</v>
      </c>
      <c r="Z11" s="82" t="s">
        <v>120</v>
      </c>
      <c r="AA11" s="73" t="s">
        <v>74</v>
      </c>
      <c r="AB11" s="73" t="s">
        <v>11</v>
      </c>
      <c r="AC11" s="73">
        <v>28.6</v>
      </c>
      <c r="AD11" s="82" t="s">
        <v>121</v>
      </c>
      <c r="AE11" s="73" t="s">
        <v>17</v>
      </c>
      <c r="AF11" s="73" t="s">
        <v>18</v>
      </c>
      <c r="AG11" s="83">
        <v>12.3</v>
      </c>
      <c r="AH11" s="73" t="s">
        <v>122</v>
      </c>
      <c r="AI11" s="73" t="s">
        <v>22</v>
      </c>
      <c r="AJ11" s="73" t="s">
        <v>12</v>
      </c>
      <c r="AK11" s="73">
        <v>4.9000000000000004</v>
      </c>
      <c r="AL11" s="82"/>
      <c r="AO11" s="83"/>
      <c r="AP11" s="82"/>
      <c r="AS11" s="83"/>
      <c r="AW11" s="83"/>
      <c r="BA11" s="84"/>
    </row>
    <row r="12" spans="1:53" s="73" customFormat="1">
      <c r="A12" s="102">
        <v>1962</v>
      </c>
      <c r="B12" s="85"/>
      <c r="C12" s="966" t="s">
        <v>383</v>
      </c>
      <c r="D12" s="966"/>
      <c r="E12" s="73">
        <v>104</v>
      </c>
      <c r="G12" s="123">
        <v>9</v>
      </c>
      <c r="H12" s="73">
        <v>4</v>
      </c>
      <c r="I12" s="73">
        <v>1</v>
      </c>
      <c r="J12" s="134">
        <v>21</v>
      </c>
      <c r="K12" s="92">
        <f t="shared" si="0"/>
        <v>42.857142857142854</v>
      </c>
      <c r="L12" s="92">
        <f t="shared" si="1"/>
        <v>19.047619047619047</v>
      </c>
      <c r="M12" s="92">
        <f t="shared" si="2"/>
        <v>4.7619047619047619</v>
      </c>
      <c r="N12" s="125">
        <f t="shared" si="3"/>
        <v>66.666666666666657</v>
      </c>
      <c r="O12" s="91">
        <v>71.2</v>
      </c>
      <c r="P12" s="92">
        <v>12.3</v>
      </c>
      <c r="Q12" s="92">
        <v>4.9000000000000004</v>
      </c>
      <c r="R12" s="93">
        <f t="shared" si="4"/>
        <v>88.4</v>
      </c>
      <c r="S12" s="97">
        <v>3</v>
      </c>
      <c r="T12" s="95"/>
      <c r="U12" s="85"/>
      <c r="V12" s="82" t="s">
        <v>381</v>
      </c>
      <c r="W12" s="73" t="s">
        <v>76</v>
      </c>
      <c r="X12" s="73" t="s">
        <v>11</v>
      </c>
      <c r="Y12" s="83">
        <v>42.6</v>
      </c>
      <c r="Z12" s="82" t="s">
        <v>120</v>
      </c>
      <c r="AA12" s="73" t="s">
        <v>74</v>
      </c>
      <c r="AB12" s="73" t="s">
        <v>11</v>
      </c>
      <c r="AC12" s="73">
        <v>28.6</v>
      </c>
      <c r="AD12" s="82" t="s">
        <v>121</v>
      </c>
      <c r="AE12" s="73" t="s">
        <v>17</v>
      </c>
      <c r="AF12" s="73" t="s">
        <v>18</v>
      </c>
      <c r="AG12" s="83">
        <v>12.3</v>
      </c>
      <c r="AH12" s="73" t="s">
        <v>122</v>
      </c>
      <c r="AI12" s="73" t="s">
        <v>22</v>
      </c>
      <c r="AJ12" s="73" t="s">
        <v>12</v>
      </c>
      <c r="AK12" s="73">
        <v>4.9000000000000004</v>
      </c>
      <c r="AL12" s="82"/>
      <c r="AO12" s="83"/>
      <c r="AP12" s="82"/>
      <c r="AS12" s="83"/>
      <c r="AW12" s="83"/>
      <c r="BA12" s="84"/>
    </row>
    <row r="13" spans="1:53" s="334" customFormat="1">
      <c r="A13" s="386">
        <v>1962</v>
      </c>
      <c r="B13" s="355">
        <v>22751</v>
      </c>
      <c r="C13" s="965" t="s">
        <v>384</v>
      </c>
      <c r="D13" s="965"/>
      <c r="E13" s="334">
        <v>31</v>
      </c>
      <c r="F13" s="334">
        <v>1</v>
      </c>
      <c r="G13" s="419">
        <v>11</v>
      </c>
      <c r="H13" s="334">
        <v>4</v>
      </c>
      <c r="J13" s="435">
        <v>22</v>
      </c>
      <c r="K13" s="384">
        <f t="shared" si="0"/>
        <v>50</v>
      </c>
      <c r="L13" s="384">
        <f t="shared" si="1"/>
        <v>18.181818181818183</v>
      </c>
      <c r="M13" s="384">
        <f t="shared" si="2"/>
        <v>0</v>
      </c>
      <c r="N13" s="421">
        <f t="shared" si="3"/>
        <v>68.181818181818187</v>
      </c>
      <c r="O13" s="383">
        <v>71.2</v>
      </c>
      <c r="P13" s="384">
        <v>12.3</v>
      </c>
      <c r="Q13" s="384"/>
      <c r="R13" s="385">
        <f t="shared" si="4"/>
        <v>83.5</v>
      </c>
      <c r="S13" s="388">
        <v>3</v>
      </c>
      <c r="T13" s="342"/>
      <c r="U13" s="355">
        <v>22751</v>
      </c>
      <c r="V13" s="343" t="s">
        <v>381</v>
      </c>
      <c r="W13" s="334" t="s">
        <v>76</v>
      </c>
      <c r="X13" s="334" t="s">
        <v>11</v>
      </c>
      <c r="Y13" s="344">
        <v>42.6</v>
      </c>
      <c r="Z13" s="343" t="s">
        <v>120</v>
      </c>
      <c r="AA13" s="334" t="s">
        <v>74</v>
      </c>
      <c r="AB13" s="334" t="s">
        <v>11</v>
      </c>
      <c r="AC13" s="334">
        <v>28.6</v>
      </c>
      <c r="AD13" s="343" t="s">
        <v>121</v>
      </c>
      <c r="AE13" s="334" t="s">
        <v>17</v>
      </c>
      <c r="AF13" s="334" t="s">
        <v>18</v>
      </c>
      <c r="AG13" s="344">
        <v>12.3</v>
      </c>
      <c r="AL13" s="343"/>
      <c r="AO13" s="344"/>
      <c r="AP13" s="343"/>
      <c r="AS13" s="344"/>
      <c r="AW13" s="344"/>
      <c r="BA13" s="345"/>
    </row>
    <row r="14" spans="1:53" s="73" customFormat="1">
      <c r="A14" s="102">
        <v>1962</v>
      </c>
      <c r="B14" s="85">
        <v>22782</v>
      </c>
      <c r="C14" s="966" t="s">
        <v>385</v>
      </c>
      <c r="D14" s="966"/>
      <c r="E14" s="73">
        <v>204</v>
      </c>
      <c r="F14" s="73">
        <v>5</v>
      </c>
      <c r="G14" s="123">
        <v>15</v>
      </c>
      <c r="J14" s="134">
        <v>20</v>
      </c>
      <c r="K14" s="92">
        <f t="shared" si="0"/>
        <v>75</v>
      </c>
      <c r="L14" s="92">
        <f t="shared" si="1"/>
        <v>0</v>
      </c>
      <c r="M14" s="92">
        <f t="shared" si="2"/>
        <v>0</v>
      </c>
      <c r="N14" s="125">
        <f t="shared" si="3"/>
        <v>75</v>
      </c>
      <c r="O14" s="91">
        <v>71.2</v>
      </c>
      <c r="P14" s="92"/>
      <c r="Q14" s="92"/>
      <c r="R14" s="93">
        <f t="shared" si="4"/>
        <v>71.2</v>
      </c>
      <c r="S14" s="97">
        <v>2</v>
      </c>
      <c r="T14" s="95"/>
      <c r="U14" s="85">
        <v>22782</v>
      </c>
      <c r="V14" s="82" t="s">
        <v>381</v>
      </c>
      <c r="W14" s="73" t="s">
        <v>76</v>
      </c>
      <c r="X14" s="73" t="s">
        <v>11</v>
      </c>
      <c r="Y14" s="83">
        <v>42.6</v>
      </c>
      <c r="Z14" s="82" t="s">
        <v>120</v>
      </c>
      <c r="AA14" s="73" t="s">
        <v>74</v>
      </c>
      <c r="AB14" s="73" t="s">
        <v>11</v>
      </c>
      <c r="AC14" s="73">
        <v>28.6</v>
      </c>
      <c r="AD14" s="82"/>
      <c r="AG14" s="83"/>
      <c r="AL14" s="82"/>
      <c r="AO14" s="83"/>
      <c r="AP14" s="82"/>
      <c r="AS14" s="83"/>
      <c r="AW14" s="83"/>
      <c r="BA14" s="84"/>
    </row>
    <row r="15" spans="1:53" s="334" customFormat="1">
      <c r="A15" s="386">
        <v>1962</v>
      </c>
      <c r="B15" s="355">
        <v>22986</v>
      </c>
      <c r="C15" s="965" t="s">
        <v>386</v>
      </c>
      <c r="D15" s="965"/>
      <c r="E15" s="334">
        <v>26</v>
      </c>
      <c r="F15" s="334">
        <v>7</v>
      </c>
      <c r="G15" s="419">
        <v>16</v>
      </c>
      <c r="J15" s="435">
        <v>22</v>
      </c>
      <c r="K15" s="384">
        <f t="shared" si="0"/>
        <v>72.727272727272734</v>
      </c>
      <c r="L15" s="384">
        <f t="shared" si="1"/>
        <v>0</v>
      </c>
      <c r="M15" s="384">
        <f t="shared" si="2"/>
        <v>0</v>
      </c>
      <c r="N15" s="421">
        <f t="shared" si="3"/>
        <v>72.727272727272734</v>
      </c>
      <c r="O15" s="383">
        <v>49.5</v>
      </c>
      <c r="P15" s="384">
        <v>3.8</v>
      </c>
      <c r="Q15" s="384"/>
      <c r="R15" s="385">
        <f t="shared" si="4"/>
        <v>53.3</v>
      </c>
      <c r="S15" s="388">
        <v>2</v>
      </c>
      <c r="T15" s="342">
        <v>22968</v>
      </c>
      <c r="U15" s="355">
        <v>22986</v>
      </c>
      <c r="V15" s="343" t="s">
        <v>381</v>
      </c>
      <c r="W15" s="334" t="s">
        <v>76</v>
      </c>
      <c r="X15" s="334" t="s">
        <v>11</v>
      </c>
      <c r="Y15" s="344">
        <v>49.5</v>
      </c>
      <c r="Z15" s="343" t="s">
        <v>123</v>
      </c>
      <c r="AA15" s="334" t="s">
        <v>77</v>
      </c>
      <c r="AB15" s="334" t="s">
        <v>18</v>
      </c>
      <c r="AC15" s="334">
        <v>3.8</v>
      </c>
      <c r="AD15" s="343"/>
      <c r="AG15" s="344"/>
      <c r="AL15" s="343"/>
      <c r="AO15" s="344"/>
      <c r="AP15" s="343"/>
      <c r="AS15" s="344"/>
      <c r="AW15" s="344"/>
      <c r="BA15" s="345"/>
    </row>
    <row r="16" spans="1:53" s="334" customFormat="1">
      <c r="A16" s="386">
        <v>1962.6</v>
      </c>
      <c r="B16" s="355"/>
      <c r="C16" s="965" t="s">
        <v>386</v>
      </c>
      <c r="D16" s="965"/>
      <c r="E16" s="334">
        <v>0</v>
      </c>
      <c r="G16" s="419">
        <v>16</v>
      </c>
      <c r="J16" s="435">
        <v>22</v>
      </c>
      <c r="K16" s="384">
        <f t="shared" si="0"/>
        <v>72.727272727272734</v>
      </c>
      <c r="L16" s="384">
        <f t="shared" si="1"/>
        <v>0</v>
      </c>
      <c r="M16" s="384">
        <f t="shared" si="2"/>
        <v>0</v>
      </c>
      <c r="N16" s="421">
        <f t="shared" si="3"/>
        <v>72.727272727272734</v>
      </c>
      <c r="O16" s="383">
        <v>49.5</v>
      </c>
      <c r="P16" s="384">
        <v>3.8</v>
      </c>
      <c r="Q16" s="384"/>
      <c r="R16" s="385">
        <f t="shared" si="4"/>
        <v>53.3</v>
      </c>
      <c r="S16" s="388">
        <v>2</v>
      </c>
      <c r="T16" s="342"/>
      <c r="U16" s="355"/>
      <c r="V16" s="343" t="s">
        <v>381</v>
      </c>
      <c r="W16" s="334" t="s">
        <v>76</v>
      </c>
      <c r="X16" s="334" t="s">
        <v>11</v>
      </c>
      <c r="Y16" s="344">
        <v>49.5</v>
      </c>
      <c r="Z16" s="343" t="s">
        <v>123</v>
      </c>
      <c r="AA16" s="334" t="s">
        <v>77</v>
      </c>
      <c r="AB16" s="334" t="s">
        <v>18</v>
      </c>
      <c r="AC16" s="334">
        <v>3.8</v>
      </c>
      <c r="AD16" s="343"/>
      <c r="AG16" s="344"/>
      <c r="AL16" s="343"/>
      <c r="AO16" s="344"/>
      <c r="AP16" s="343"/>
      <c r="AS16" s="344"/>
      <c r="AW16" s="344"/>
      <c r="BA16" s="345"/>
    </row>
    <row r="17" spans="1:53" s="334" customFormat="1">
      <c r="A17" s="386">
        <v>1963.05714285714</v>
      </c>
      <c r="B17" s="355"/>
      <c r="C17" s="965" t="s">
        <v>386</v>
      </c>
      <c r="D17" s="965"/>
      <c r="E17" s="334">
        <v>365</v>
      </c>
      <c r="G17" s="419">
        <v>16</v>
      </c>
      <c r="J17" s="435">
        <v>22</v>
      </c>
      <c r="K17" s="384">
        <f t="shared" si="0"/>
        <v>72.727272727272734</v>
      </c>
      <c r="L17" s="384">
        <f t="shared" si="1"/>
        <v>0</v>
      </c>
      <c r="M17" s="384">
        <f t="shared" si="2"/>
        <v>0</v>
      </c>
      <c r="N17" s="421">
        <f t="shared" si="3"/>
        <v>72.727272727272734</v>
      </c>
      <c r="O17" s="383">
        <v>49.5</v>
      </c>
      <c r="P17" s="384">
        <v>3.8</v>
      </c>
      <c r="Q17" s="384"/>
      <c r="R17" s="385">
        <f t="shared" si="4"/>
        <v>53.3</v>
      </c>
      <c r="S17" s="388">
        <v>2</v>
      </c>
      <c r="T17" s="342"/>
      <c r="U17" s="355"/>
      <c r="V17" s="343" t="s">
        <v>381</v>
      </c>
      <c r="W17" s="334" t="s">
        <v>76</v>
      </c>
      <c r="X17" s="334" t="s">
        <v>11</v>
      </c>
      <c r="Y17" s="344">
        <v>49.5</v>
      </c>
      <c r="Z17" s="343" t="s">
        <v>123</v>
      </c>
      <c r="AA17" s="334" t="s">
        <v>77</v>
      </c>
      <c r="AB17" s="334" t="s">
        <v>18</v>
      </c>
      <c r="AC17" s="334">
        <v>3.8</v>
      </c>
      <c r="AD17" s="343"/>
      <c r="AG17" s="344"/>
      <c r="AL17" s="343"/>
      <c r="AO17" s="344"/>
      <c r="AP17" s="343"/>
      <c r="AS17" s="344"/>
      <c r="AW17" s="344"/>
      <c r="BA17" s="345"/>
    </row>
    <row r="18" spans="1:53" s="334" customFormat="1">
      <c r="A18" s="386">
        <v>1963.5142857142901</v>
      </c>
      <c r="B18" s="355"/>
      <c r="C18" s="965" t="s">
        <v>386</v>
      </c>
      <c r="D18" s="965"/>
      <c r="E18" s="334">
        <v>0</v>
      </c>
      <c r="G18" s="419">
        <v>16</v>
      </c>
      <c r="J18" s="435">
        <v>22</v>
      </c>
      <c r="K18" s="384">
        <f t="shared" si="0"/>
        <v>72.727272727272734</v>
      </c>
      <c r="L18" s="384">
        <f t="shared" si="1"/>
        <v>0</v>
      </c>
      <c r="M18" s="384">
        <f t="shared" si="2"/>
        <v>0</v>
      </c>
      <c r="N18" s="421">
        <f t="shared" si="3"/>
        <v>72.727272727272734</v>
      </c>
      <c r="O18" s="383">
        <v>49.5</v>
      </c>
      <c r="P18" s="384">
        <v>3.8</v>
      </c>
      <c r="Q18" s="384"/>
      <c r="R18" s="385">
        <f t="shared" si="4"/>
        <v>53.3</v>
      </c>
      <c r="S18" s="388">
        <v>2</v>
      </c>
      <c r="T18" s="342"/>
      <c r="U18" s="355"/>
      <c r="V18" s="343" t="s">
        <v>381</v>
      </c>
      <c r="W18" s="334" t="s">
        <v>76</v>
      </c>
      <c r="X18" s="334" t="s">
        <v>11</v>
      </c>
      <c r="Y18" s="344">
        <v>49.5</v>
      </c>
      <c r="Z18" s="343" t="s">
        <v>123</v>
      </c>
      <c r="AA18" s="334" t="s">
        <v>77</v>
      </c>
      <c r="AB18" s="334" t="s">
        <v>18</v>
      </c>
      <c r="AC18" s="334">
        <v>3.8</v>
      </c>
      <c r="AD18" s="343"/>
      <c r="AG18" s="344"/>
      <c r="AL18" s="343"/>
      <c r="AO18" s="344"/>
      <c r="AP18" s="343"/>
      <c r="AS18" s="344"/>
      <c r="AW18" s="344"/>
      <c r="BA18" s="345"/>
    </row>
    <row r="19" spans="1:53" s="334" customFormat="1">
      <c r="A19" s="386">
        <v>1963.9714285714299</v>
      </c>
      <c r="B19" s="355"/>
      <c r="C19" s="965" t="s">
        <v>386</v>
      </c>
      <c r="D19" s="965"/>
      <c r="E19" s="334">
        <v>366</v>
      </c>
      <c r="G19" s="419">
        <v>16</v>
      </c>
      <c r="J19" s="435">
        <v>22</v>
      </c>
      <c r="K19" s="384">
        <f t="shared" si="0"/>
        <v>72.727272727272734</v>
      </c>
      <c r="L19" s="384">
        <f t="shared" si="1"/>
        <v>0</v>
      </c>
      <c r="M19" s="384">
        <f t="shared" si="2"/>
        <v>0</v>
      </c>
      <c r="N19" s="421">
        <f t="shared" si="3"/>
        <v>72.727272727272734</v>
      </c>
      <c r="O19" s="383">
        <v>49.5</v>
      </c>
      <c r="P19" s="384">
        <v>3.8</v>
      </c>
      <c r="Q19" s="384"/>
      <c r="R19" s="385">
        <f t="shared" si="4"/>
        <v>53.3</v>
      </c>
      <c r="S19" s="388">
        <v>2</v>
      </c>
      <c r="T19" s="342"/>
      <c r="U19" s="355"/>
      <c r="V19" s="343" t="s">
        <v>381</v>
      </c>
      <c r="W19" s="334" t="s">
        <v>76</v>
      </c>
      <c r="X19" s="334" t="s">
        <v>11</v>
      </c>
      <c r="Y19" s="344">
        <v>49.5</v>
      </c>
      <c r="Z19" s="343" t="s">
        <v>123</v>
      </c>
      <c r="AA19" s="334" t="s">
        <v>77</v>
      </c>
      <c r="AB19" s="334" t="s">
        <v>18</v>
      </c>
      <c r="AC19" s="334">
        <v>3.8</v>
      </c>
      <c r="AD19" s="343"/>
      <c r="AG19" s="344"/>
      <c r="AL19" s="343"/>
      <c r="AO19" s="344"/>
      <c r="AP19" s="343"/>
      <c r="AS19" s="344"/>
      <c r="AW19" s="344"/>
      <c r="BA19" s="345"/>
    </row>
    <row r="20" spans="1:53" s="334" customFormat="1">
      <c r="A20" s="386">
        <v>1965</v>
      </c>
      <c r="B20" s="355"/>
      <c r="C20" s="965" t="s">
        <v>386</v>
      </c>
      <c r="D20" s="965"/>
      <c r="E20" s="334">
        <v>0</v>
      </c>
      <c r="G20" s="419">
        <v>16</v>
      </c>
      <c r="J20" s="435">
        <v>22</v>
      </c>
      <c r="K20" s="384">
        <f t="shared" si="0"/>
        <v>72.727272727272734</v>
      </c>
      <c r="L20" s="384">
        <f t="shared" si="1"/>
        <v>0</v>
      </c>
      <c r="M20" s="384">
        <f t="shared" si="2"/>
        <v>0</v>
      </c>
      <c r="N20" s="421">
        <f t="shared" si="3"/>
        <v>72.727272727272734</v>
      </c>
      <c r="O20" s="383">
        <v>49.5</v>
      </c>
      <c r="P20" s="384">
        <v>3.8</v>
      </c>
      <c r="Q20" s="384"/>
      <c r="R20" s="385">
        <f t="shared" si="4"/>
        <v>53.3</v>
      </c>
      <c r="S20" s="388">
        <v>2</v>
      </c>
      <c r="T20" s="342"/>
      <c r="U20" s="355"/>
      <c r="V20" s="343" t="s">
        <v>381</v>
      </c>
      <c r="W20" s="334" t="s">
        <v>76</v>
      </c>
      <c r="X20" s="334" t="s">
        <v>11</v>
      </c>
      <c r="Y20" s="344">
        <v>49.5</v>
      </c>
      <c r="Z20" s="343" t="s">
        <v>123</v>
      </c>
      <c r="AA20" s="334" t="s">
        <v>77</v>
      </c>
      <c r="AB20" s="334" t="s">
        <v>18</v>
      </c>
      <c r="AC20" s="334">
        <v>3.8</v>
      </c>
      <c r="AD20" s="343"/>
      <c r="AG20" s="344"/>
      <c r="AL20" s="343"/>
      <c r="AO20" s="344"/>
      <c r="AP20" s="343"/>
      <c r="AS20" s="344"/>
      <c r="AW20" s="344"/>
      <c r="BA20" s="345"/>
    </row>
    <row r="21" spans="1:53" s="334" customFormat="1">
      <c r="A21" s="386">
        <v>1964.88571428572</v>
      </c>
      <c r="B21" s="355"/>
      <c r="C21" s="965" t="s">
        <v>386</v>
      </c>
      <c r="D21" s="965"/>
      <c r="E21" s="334">
        <v>365</v>
      </c>
      <c r="G21" s="419">
        <v>16</v>
      </c>
      <c r="J21" s="435">
        <v>22</v>
      </c>
      <c r="K21" s="384">
        <f t="shared" si="0"/>
        <v>72.727272727272734</v>
      </c>
      <c r="L21" s="384">
        <f t="shared" si="1"/>
        <v>0</v>
      </c>
      <c r="M21" s="384">
        <f t="shared" si="2"/>
        <v>0</v>
      </c>
      <c r="N21" s="421">
        <f t="shared" si="3"/>
        <v>72.727272727272734</v>
      </c>
      <c r="O21" s="383">
        <v>49.5</v>
      </c>
      <c r="P21" s="384">
        <v>3.8</v>
      </c>
      <c r="Q21" s="384"/>
      <c r="R21" s="385">
        <f t="shared" si="4"/>
        <v>53.3</v>
      </c>
      <c r="S21" s="388">
        <v>2</v>
      </c>
      <c r="T21" s="342"/>
      <c r="U21" s="355"/>
      <c r="V21" s="343" t="s">
        <v>381</v>
      </c>
      <c r="W21" s="334" t="s">
        <v>76</v>
      </c>
      <c r="X21" s="334" t="s">
        <v>11</v>
      </c>
      <c r="Y21" s="344">
        <v>49.5</v>
      </c>
      <c r="Z21" s="343" t="s">
        <v>123</v>
      </c>
      <c r="AA21" s="334" t="s">
        <v>77</v>
      </c>
      <c r="AB21" s="334" t="s">
        <v>18</v>
      </c>
      <c r="AC21" s="334">
        <v>3.8</v>
      </c>
      <c r="AD21" s="343"/>
      <c r="AG21" s="344"/>
      <c r="AL21" s="343"/>
      <c r="AO21" s="344"/>
      <c r="AP21" s="343"/>
      <c r="AS21" s="344"/>
      <c r="AW21" s="344"/>
      <c r="BA21" s="345"/>
    </row>
    <row r="22" spans="1:53" s="334" customFormat="1">
      <c r="A22" s="386">
        <v>1966</v>
      </c>
      <c r="B22" s="355"/>
      <c r="C22" s="965" t="s">
        <v>386</v>
      </c>
      <c r="D22" s="965"/>
      <c r="E22" s="334">
        <v>8</v>
      </c>
      <c r="G22" s="419">
        <v>16</v>
      </c>
      <c r="J22" s="435">
        <v>22</v>
      </c>
      <c r="K22" s="384">
        <f t="shared" si="0"/>
        <v>72.727272727272734</v>
      </c>
      <c r="L22" s="384">
        <f t="shared" si="1"/>
        <v>0</v>
      </c>
      <c r="M22" s="384">
        <f t="shared" si="2"/>
        <v>0</v>
      </c>
      <c r="N22" s="421">
        <f t="shared" si="3"/>
        <v>72.727272727272734</v>
      </c>
      <c r="O22" s="383">
        <v>49.5</v>
      </c>
      <c r="P22" s="384">
        <v>3.8</v>
      </c>
      <c r="Q22" s="384"/>
      <c r="R22" s="385">
        <f t="shared" si="4"/>
        <v>53.3</v>
      </c>
      <c r="S22" s="388">
        <v>2</v>
      </c>
      <c r="T22" s="342"/>
      <c r="U22" s="355"/>
      <c r="V22" s="343" t="s">
        <v>381</v>
      </c>
      <c r="W22" s="334" t="s">
        <v>76</v>
      </c>
      <c r="X22" s="334" t="s">
        <v>11</v>
      </c>
      <c r="Y22" s="344">
        <v>49.5</v>
      </c>
      <c r="Z22" s="343" t="s">
        <v>123</v>
      </c>
      <c r="AA22" s="334" t="s">
        <v>77</v>
      </c>
      <c r="AB22" s="334" t="s">
        <v>18</v>
      </c>
      <c r="AC22" s="334">
        <v>3.8</v>
      </c>
      <c r="AD22" s="343"/>
      <c r="AG22" s="344"/>
      <c r="AL22" s="343"/>
      <c r="AO22" s="344"/>
      <c r="AP22" s="343"/>
      <c r="AS22" s="344"/>
      <c r="AW22" s="344"/>
      <c r="BA22" s="345"/>
    </row>
    <row r="23" spans="1:53" s="73" customFormat="1">
      <c r="A23" s="102">
        <v>1965.8</v>
      </c>
      <c r="B23" s="85">
        <v>24116</v>
      </c>
      <c r="C23" s="966" t="s">
        <v>387</v>
      </c>
      <c r="D23" s="966"/>
      <c r="E23" s="73">
        <v>357</v>
      </c>
      <c r="F23" s="73">
        <v>1</v>
      </c>
      <c r="G23" s="123">
        <v>12</v>
      </c>
      <c r="J23" s="134">
        <v>18</v>
      </c>
      <c r="K23" s="92">
        <f t="shared" si="0"/>
        <v>66.666666666666657</v>
      </c>
      <c r="L23" s="92">
        <f t="shared" si="1"/>
        <v>0</v>
      </c>
      <c r="M23" s="92">
        <f t="shared" si="2"/>
        <v>0</v>
      </c>
      <c r="N23" s="125">
        <f t="shared" si="3"/>
        <v>66.666666666666657</v>
      </c>
      <c r="O23" s="91">
        <v>49.5</v>
      </c>
      <c r="P23" s="92">
        <v>3.8</v>
      </c>
      <c r="Q23" s="92"/>
      <c r="R23" s="93">
        <f t="shared" si="4"/>
        <v>53.3</v>
      </c>
      <c r="S23" s="97">
        <v>2</v>
      </c>
      <c r="T23" s="95"/>
      <c r="U23" s="85">
        <v>24116</v>
      </c>
      <c r="V23" s="82" t="s">
        <v>381</v>
      </c>
      <c r="W23" s="73" t="s">
        <v>76</v>
      </c>
      <c r="X23" s="73" t="s">
        <v>11</v>
      </c>
      <c r="Y23" s="83">
        <v>49.5</v>
      </c>
      <c r="Z23" s="82" t="s">
        <v>123</v>
      </c>
      <c r="AA23" s="73" t="s">
        <v>77</v>
      </c>
      <c r="AB23" s="73" t="s">
        <v>18</v>
      </c>
      <c r="AC23" s="73">
        <v>3.8</v>
      </c>
      <c r="AD23" s="82"/>
      <c r="AG23" s="83"/>
      <c r="AL23" s="82"/>
      <c r="AO23" s="83"/>
      <c r="AP23" s="82"/>
      <c r="AS23" s="83"/>
      <c r="AW23" s="83"/>
      <c r="BA23" s="84"/>
    </row>
    <row r="24" spans="1:53" s="73" customFormat="1">
      <c r="A24" s="102">
        <v>1967</v>
      </c>
      <c r="B24" s="85"/>
      <c r="C24" s="966" t="s">
        <v>387</v>
      </c>
      <c r="D24" s="966"/>
      <c r="E24" s="73">
        <v>97</v>
      </c>
      <c r="G24" s="123">
        <v>12</v>
      </c>
      <c r="J24" s="134">
        <v>18</v>
      </c>
      <c r="K24" s="92">
        <f t="shared" si="0"/>
        <v>66.666666666666657</v>
      </c>
      <c r="L24" s="92">
        <f t="shared" si="1"/>
        <v>0</v>
      </c>
      <c r="M24" s="92">
        <f t="shared" si="2"/>
        <v>0</v>
      </c>
      <c r="N24" s="125">
        <f t="shared" si="3"/>
        <v>66.666666666666657</v>
      </c>
      <c r="O24" s="91">
        <v>49.5</v>
      </c>
      <c r="P24" s="92">
        <v>3.8</v>
      </c>
      <c r="Q24" s="92"/>
      <c r="R24" s="93">
        <f t="shared" si="4"/>
        <v>53.3</v>
      </c>
      <c r="S24" s="97">
        <v>2</v>
      </c>
      <c r="T24" s="95"/>
      <c r="U24" s="85"/>
      <c r="V24" s="82" t="s">
        <v>381</v>
      </c>
      <c r="W24" s="73" t="s">
        <v>76</v>
      </c>
      <c r="X24" s="73" t="s">
        <v>11</v>
      </c>
      <c r="Y24" s="83">
        <v>49.5</v>
      </c>
      <c r="Z24" s="82" t="s">
        <v>123</v>
      </c>
      <c r="AA24" s="73" t="s">
        <v>77</v>
      </c>
      <c r="AB24" s="73" t="s">
        <v>18</v>
      </c>
      <c r="AC24" s="73">
        <v>3.8</v>
      </c>
      <c r="AD24" s="82"/>
      <c r="AG24" s="83"/>
      <c r="AL24" s="82"/>
      <c r="AO24" s="83"/>
      <c r="AP24" s="82"/>
      <c r="AS24" s="83"/>
      <c r="AW24" s="83"/>
      <c r="BA24" s="84"/>
    </row>
    <row r="25" spans="1:53" s="334" customFormat="1">
      <c r="A25" s="386">
        <v>1966.7142857142901</v>
      </c>
      <c r="B25" s="355">
        <v>24570</v>
      </c>
      <c r="C25" s="965" t="s">
        <v>388</v>
      </c>
      <c r="D25" s="965"/>
      <c r="E25" s="334">
        <v>268</v>
      </c>
      <c r="F25" s="334">
        <v>2</v>
      </c>
      <c r="G25" s="419">
        <v>12</v>
      </c>
      <c r="H25" s="334">
        <v>6</v>
      </c>
      <c r="J25" s="435">
        <v>22</v>
      </c>
      <c r="K25" s="384">
        <f t="shared" si="0"/>
        <v>54.54545454545454</v>
      </c>
      <c r="L25" s="384">
        <f t="shared" si="1"/>
        <v>27.27272727272727</v>
      </c>
      <c r="M25" s="384">
        <f t="shared" si="2"/>
        <v>0</v>
      </c>
      <c r="N25" s="421">
        <f t="shared" si="3"/>
        <v>81.818181818181813</v>
      </c>
      <c r="O25" s="383">
        <v>40.6</v>
      </c>
      <c r="P25" s="384">
        <v>8.6999999999999993</v>
      </c>
      <c r="Q25" s="384"/>
      <c r="R25" s="385">
        <f t="shared" si="4"/>
        <v>49.3</v>
      </c>
      <c r="S25" s="388">
        <v>5</v>
      </c>
      <c r="T25" s="342">
        <v>24536</v>
      </c>
      <c r="U25" s="355">
        <v>24570</v>
      </c>
      <c r="V25" s="343" t="s">
        <v>381</v>
      </c>
      <c r="W25" s="334" t="s">
        <v>76</v>
      </c>
      <c r="X25" s="334" t="s">
        <v>11</v>
      </c>
      <c r="Y25" s="334">
        <v>40.6</v>
      </c>
      <c r="Z25" s="343" t="s">
        <v>123</v>
      </c>
      <c r="AA25" s="334" t="s">
        <v>77</v>
      </c>
      <c r="AB25" s="334" t="s">
        <v>18</v>
      </c>
      <c r="AC25" s="334">
        <v>8.6999999999999993</v>
      </c>
      <c r="AD25" s="343"/>
      <c r="AG25" s="344"/>
      <c r="AL25" s="343"/>
      <c r="AO25" s="344"/>
      <c r="AP25" s="343"/>
      <c r="AS25" s="344"/>
      <c r="AW25" s="344"/>
      <c r="BA25" s="345"/>
    </row>
    <row r="26" spans="1:53" s="334" customFormat="1">
      <c r="A26" s="386">
        <v>1968</v>
      </c>
      <c r="B26" s="355"/>
      <c r="C26" s="965" t="s">
        <v>388</v>
      </c>
      <c r="D26" s="965"/>
      <c r="E26" s="334">
        <v>151</v>
      </c>
      <c r="G26" s="419">
        <v>12</v>
      </c>
      <c r="H26" s="334">
        <v>6</v>
      </c>
      <c r="J26" s="435">
        <v>22</v>
      </c>
      <c r="K26" s="384">
        <f t="shared" si="0"/>
        <v>54.54545454545454</v>
      </c>
      <c r="L26" s="384">
        <f t="shared" si="1"/>
        <v>27.27272727272727</v>
      </c>
      <c r="M26" s="384">
        <f t="shared" si="2"/>
        <v>0</v>
      </c>
      <c r="N26" s="421">
        <f t="shared" si="3"/>
        <v>81.818181818181813</v>
      </c>
      <c r="O26" s="383">
        <v>40.6</v>
      </c>
      <c r="P26" s="384">
        <v>8.6999999999999993</v>
      </c>
      <c r="Q26" s="384"/>
      <c r="R26" s="385">
        <f t="shared" si="4"/>
        <v>49.3</v>
      </c>
      <c r="S26" s="388">
        <v>5</v>
      </c>
      <c r="T26" s="342"/>
      <c r="U26" s="355"/>
      <c r="V26" s="343" t="s">
        <v>381</v>
      </c>
      <c r="W26" s="334" t="s">
        <v>76</v>
      </c>
      <c r="X26" s="334" t="s">
        <v>11</v>
      </c>
      <c r="Y26" s="334">
        <v>40.6</v>
      </c>
      <c r="Z26" s="343" t="s">
        <v>123</v>
      </c>
      <c r="AA26" s="334" t="s">
        <v>77</v>
      </c>
      <c r="AB26" s="334" t="s">
        <v>18</v>
      </c>
      <c r="AC26" s="334">
        <v>8.6999999999999993</v>
      </c>
      <c r="AD26" s="343"/>
      <c r="AG26" s="344"/>
      <c r="AL26" s="343"/>
      <c r="AO26" s="344"/>
      <c r="AP26" s="343"/>
      <c r="AS26" s="344"/>
      <c r="AW26" s="344"/>
      <c r="BA26" s="345"/>
    </row>
    <row r="27" spans="1:53" s="73" customFormat="1">
      <c r="A27" s="102">
        <v>1967.62857142857</v>
      </c>
      <c r="B27" s="85">
        <v>24989</v>
      </c>
      <c r="C27" s="966" t="s">
        <v>389</v>
      </c>
      <c r="D27" s="966"/>
      <c r="E27" s="73">
        <v>42</v>
      </c>
      <c r="F27" s="73">
        <v>6</v>
      </c>
      <c r="G27" s="123">
        <v>14</v>
      </c>
      <c r="H27" s="73">
        <v>3</v>
      </c>
      <c r="J27" s="134">
        <v>22</v>
      </c>
      <c r="K27" s="92">
        <f t="shared" si="0"/>
        <v>63.636363636363633</v>
      </c>
      <c r="L27" s="92">
        <f t="shared" si="1"/>
        <v>13.636363636363635</v>
      </c>
      <c r="M27" s="92">
        <f t="shared" si="2"/>
        <v>0</v>
      </c>
      <c r="N27" s="125">
        <f t="shared" si="3"/>
        <v>77.272727272727266</v>
      </c>
      <c r="O27" s="91">
        <v>40.6</v>
      </c>
      <c r="P27" s="92">
        <v>8.6999999999999993</v>
      </c>
      <c r="Q27" s="92"/>
      <c r="R27" s="93">
        <f t="shared" si="4"/>
        <v>49.3</v>
      </c>
      <c r="S27" s="97">
        <v>5</v>
      </c>
      <c r="T27" s="95"/>
      <c r="U27" s="85">
        <v>24989</v>
      </c>
      <c r="V27" s="82" t="s">
        <v>381</v>
      </c>
      <c r="W27" s="73" t="s">
        <v>76</v>
      </c>
      <c r="X27" s="73" t="s">
        <v>11</v>
      </c>
      <c r="Y27" s="73">
        <v>40.6</v>
      </c>
      <c r="Z27" s="82" t="s">
        <v>123</v>
      </c>
      <c r="AA27" s="73" t="s">
        <v>77</v>
      </c>
      <c r="AB27" s="73" t="s">
        <v>18</v>
      </c>
      <c r="AC27" s="73">
        <v>8.6999999999999993</v>
      </c>
      <c r="AD27" s="82"/>
      <c r="AG27" s="83"/>
      <c r="AL27" s="82"/>
      <c r="AO27" s="83"/>
      <c r="AP27" s="82"/>
      <c r="AS27" s="83"/>
      <c r="AW27" s="83"/>
      <c r="BA27" s="84"/>
    </row>
    <row r="28" spans="1:53" s="334" customFormat="1">
      <c r="A28" s="386">
        <v>1967.62857142857</v>
      </c>
      <c r="B28" s="355">
        <v>25031</v>
      </c>
      <c r="C28" s="965" t="s">
        <v>390</v>
      </c>
      <c r="D28" s="965"/>
      <c r="E28" s="334">
        <v>173</v>
      </c>
      <c r="F28" s="334">
        <v>1</v>
      </c>
      <c r="G28" s="419">
        <v>14</v>
      </c>
      <c r="H28" s="334">
        <v>2</v>
      </c>
      <c r="J28" s="435">
        <v>19</v>
      </c>
      <c r="K28" s="384">
        <f t="shared" si="0"/>
        <v>73.68421052631578</v>
      </c>
      <c r="L28" s="384">
        <f t="shared" si="1"/>
        <v>10.526315789473683</v>
      </c>
      <c r="M28" s="384">
        <f t="shared" si="2"/>
        <v>0</v>
      </c>
      <c r="N28" s="421">
        <f t="shared" si="3"/>
        <v>84.210526315789465</v>
      </c>
      <c r="O28" s="383">
        <v>60</v>
      </c>
      <c r="P28" s="384">
        <v>13.6</v>
      </c>
      <c r="Q28" s="384"/>
      <c r="R28" s="385">
        <f t="shared" si="4"/>
        <v>73.599999999999994</v>
      </c>
      <c r="S28" s="388">
        <v>3</v>
      </c>
      <c r="T28" s="342">
        <v>25012</v>
      </c>
      <c r="U28" s="355">
        <v>25031</v>
      </c>
      <c r="V28" s="343" t="s">
        <v>381</v>
      </c>
      <c r="W28" s="334" t="s">
        <v>76</v>
      </c>
      <c r="X28" s="334" t="s">
        <v>11</v>
      </c>
      <c r="Y28" s="334">
        <v>60</v>
      </c>
      <c r="Z28" s="343" t="s">
        <v>123</v>
      </c>
      <c r="AA28" s="334" t="s">
        <v>77</v>
      </c>
      <c r="AB28" s="334" t="s">
        <v>18</v>
      </c>
      <c r="AC28" s="334">
        <v>13.6</v>
      </c>
      <c r="AD28" s="343"/>
      <c r="AG28" s="344"/>
      <c r="AL28" s="343"/>
      <c r="AO28" s="344"/>
      <c r="AP28" s="343"/>
      <c r="AS28" s="344"/>
      <c r="AW28" s="344"/>
      <c r="BA28" s="345"/>
    </row>
    <row r="29" spans="1:53" s="334" customFormat="1">
      <c r="A29" s="386">
        <v>1969</v>
      </c>
      <c r="B29" s="355"/>
      <c r="C29" s="965" t="s">
        <v>390</v>
      </c>
      <c r="D29" s="965"/>
      <c r="E29" s="334">
        <v>172</v>
      </c>
      <c r="G29" s="419">
        <v>14</v>
      </c>
      <c r="H29" s="334">
        <v>2</v>
      </c>
      <c r="J29" s="435">
        <v>19</v>
      </c>
      <c r="K29" s="384">
        <f t="shared" si="0"/>
        <v>73.68421052631578</v>
      </c>
      <c r="L29" s="384">
        <f t="shared" si="1"/>
        <v>10.526315789473683</v>
      </c>
      <c r="M29" s="384">
        <f t="shared" si="2"/>
        <v>0</v>
      </c>
      <c r="N29" s="421">
        <f t="shared" si="3"/>
        <v>84.210526315789465</v>
      </c>
      <c r="O29" s="383">
        <v>60</v>
      </c>
      <c r="P29" s="384">
        <v>13.6</v>
      </c>
      <c r="Q29" s="384"/>
      <c r="R29" s="385">
        <f t="shared" si="4"/>
        <v>73.599999999999994</v>
      </c>
      <c r="S29" s="388">
        <v>3</v>
      </c>
      <c r="T29" s="342"/>
      <c r="U29" s="355"/>
      <c r="V29" s="343" t="s">
        <v>381</v>
      </c>
      <c r="W29" s="334" t="s">
        <v>76</v>
      </c>
      <c r="X29" s="334" t="s">
        <v>11</v>
      </c>
      <c r="Y29" s="334">
        <v>60</v>
      </c>
      <c r="Z29" s="343" t="s">
        <v>123</v>
      </c>
      <c r="AA29" s="334" t="s">
        <v>77</v>
      </c>
      <c r="AB29" s="334" t="s">
        <v>18</v>
      </c>
      <c r="AC29" s="334">
        <v>13.6</v>
      </c>
      <c r="AD29" s="343"/>
      <c r="AG29" s="344"/>
      <c r="AL29" s="343"/>
      <c r="AO29" s="344"/>
      <c r="AP29" s="343"/>
      <c r="AS29" s="344"/>
      <c r="AW29" s="344"/>
      <c r="BA29" s="345"/>
    </row>
    <row r="30" spans="1:53" s="73" customFormat="1">
      <c r="A30" s="102">
        <v>1968.5428571428599</v>
      </c>
      <c r="B30" s="85">
        <v>25376</v>
      </c>
      <c r="C30" s="966" t="s">
        <v>391</v>
      </c>
      <c r="D30" s="966"/>
      <c r="E30" s="73">
        <v>193</v>
      </c>
      <c r="F30" s="73">
        <v>2</v>
      </c>
      <c r="G30" s="123">
        <v>16</v>
      </c>
      <c r="H30" s="73">
        <v>3</v>
      </c>
      <c r="J30" s="134">
        <v>19</v>
      </c>
      <c r="K30" s="92">
        <f t="shared" si="0"/>
        <v>84.210526315789465</v>
      </c>
      <c r="L30" s="92">
        <f t="shared" si="1"/>
        <v>15.789473684210526</v>
      </c>
      <c r="M30" s="92">
        <f t="shared" si="2"/>
        <v>0</v>
      </c>
      <c r="N30" s="125">
        <f t="shared" si="3"/>
        <v>99.999999999999986</v>
      </c>
      <c r="O30" s="91">
        <v>60</v>
      </c>
      <c r="P30" s="92">
        <v>19.100000000000001</v>
      </c>
      <c r="Q30" s="92"/>
      <c r="R30" s="93">
        <f t="shared" si="4"/>
        <v>79.099999999999994</v>
      </c>
      <c r="S30" s="97">
        <v>3</v>
      </c>
      <c r="T30" s="95"/>
      <c r="U30" s="85">
        <v>25376</v>
      </c>
      <c r="V30" s="82" t="s">
        <v>381</v>
      </c>
      <c r="W30" s="73" t="s">
        <v>76</v>
      </c>
      <c r="X30" s="73" t="s">
        <v>11</v>
      </c>
      <c r="Y30" s="73">
        <v>60</v>
      </c>
      <c r="Z30" s="82" t="s">
        <v>123</v>
      </c>
      <c r="AA30" s="73" t="s">
        <v>77</v>
      </c>
      <c r="AB30" s="73" t="s">
        <v>18</v>
      </c>
      <c r="AC30" s="73">
        <v>13.6</v>
      </c>
      <c r="AD30" s="82" t="s">
        <v>124</v>
      </c>
      <c r="AE30" s="73" t="s">
        <v>82</v>
      </c>
      <c r="AF30" s="73" t="s">
        <v>18</v>
      </c>
      <c r="AG30" s="83">
        <v>5.5</v>
      </c>
      <c r="AL30" s="82"/>
      <c r="AO30" s="83"/>
      <c r="AP30" s="82"/>
      <c r="AS30" s="83"/>
      <c r="AW30" s="83"/>
      <c r="BA30" s="84"/>
    </row>
    <row r="31" spans="1:53" s="73" customFormat="1">
      <c r="A31" s="102">
        <v>1970</v>
      </c>
      <c r="B31" s="85"/>
      <c r="C31" s="966" t="s">
        <v>391</v>
      </c>
      <c r="D31" s="966"/>
      <c r="E31" s="73">
        <v>0</v>
      </c>
      <c r="G31" s="123">
        <v>16</v>
      </c>
      <c r="H31" s="73">
        <v>3</v>
      </c>
      <c r="J31" s="134">
        <v>19</v>
      </c>
      <c r="K31" s="92">
        <f t="shared" si="0"/>
        <v>84.210526315789465</v>
      </c>
      <c r="L31" s="92">
        <f t="shared" si="1"/>
        <v>15.789473684210526</v>
      </c>
      <c r="M31" s="92">
        <f t="shared" si="2"/>
        <v>0</v>
      </c>
      <c r="N31" s="125">
        <f t="shared" si="3"/>
        <v>99.999999999999986</v>
      </c>
      <c r="O31" s="91">
        <v>60</v>
      </c>
      <c r="P31" s="92">
        <v>19.100000000000001</v>
      </c>
      <c r="Q31" s="92"/>
      <c r="R31" s="93">
        <f t="shared" si="4"/>
        <v>79.099999999999994</v>
      </c>
      <c r="S31" s="97">
        <v>3</v>
      </c>
      <c r="T31" s="95"/>
      <c r="U31" s="85"/>
      <c r="V31" s="82" t="s">
        <v>381</v>
      </c>
      <c r="W31" s="73" t="s">
        <v>76</v>
      </c>
      <c r="X31" s="73" t="s">
        <v>11</v>
      </c>
      <c r="Y31" s="73">
        <v>60</v>
      </c>
      <c r="Z31" s="82" t="s">
        <v>123</v>
      </c>
      <c r="AA31" s="73" t="s">
        <v>77</v>
      </c>
      <c r="AB31" s="73" t="s">
        <v>18</v>
      </c>
      <c r="AC31" s="73">
        <v>13.6</v>
      </c>
      <c r="AD31" s="82" t="s">
        <v>124</v>
      </c>
      <c r="AE31" s="73" t="s">
        <v>82</v>
      </c>
      <c r="AF31" s="73" t="s">
        <v>18</v>
      </c>
      <c r="AG31" s="83">
        <v>5.5</v>
      </c>
      <c r="AL31" s="82"/>
      <c r="AO31" s="83"/>
      <c r="AP31" s="82"/>
      <c r="AS31" s="83"/>
      <c r="AW31" s="83"/>
      <c r="BA31" s="84"/>
    </row>
    <row r="32" spans="1:53" s="73" customFormat="1">
      <c r="A32" s="102">
        <v>1970</v>
      </c>
      <c r="B32" s="85"/>
      <c r="C32" s="966" t="s">
        <v>391</v>
      </c>
      <c r="D32" s="966"/>
      <c r="E32" s="73">
        <v>365</v>
      </c>
      <c r="G32" s="123">
        <v>16</v>
      </c>
      <c r="H32" s="73">
        <v>3</v>
      </c>
      <c r="J32" s="134">
        <v>19</v>
      </c>
      <c r="K32" s="92">
        <f t="shared" si="0"/>
        <v>84.210526315789465</v>
      </c>
      <c r="L32" s="92">
        <f t="shared" si="1"/>
        <v>15.789473684210526</v>
      </c>
      <c r="M32" s="92">
        <f t="shared" si="2"/>
        <v>0</v>
      </c>
      <c r="N32" s="125">
        <f t="shared" si="3"/>
        <v>99.999999999999986</v>
      </c>
      <c r="O32" s="91">
        <v>60</v>
      </c>
      <c r="P32" s="92">
        <v>19.100000000000001</v>
      </c>
      <c r="Q32" s="92"/>
      <c r="R32" s="93">
        <f t="shared" si="4"/>
        <v>79.099999999999994</v>
      </c>
      <c r="S32" s="97">
        <v>3</v>
      </c>
      <c r="T32" s="95"/>
      <c r="U32" s="85"/>
      <c r="V32" s="82" t="s">
        <v>381</v>
      </c>
      <c r="W32" s="73" t="s">
        <v>76</v>
      </c>
      <c r="X32" s="73" t="s">
        <v>11</v>
      </c>
      <c r="Y32" s="73">
        <v>60</v>
      </c>
      <c r="Z32" s="82" t="s">
        <v>123</v>
      </c>
      <c r="AA32" s="73" t="s">
        <v>77</v>
      </c>
      <c r="AB32" s="73" t="s">
        <v>18</v>
      </c>
      <c r="AC32" s="73">
        <v>13.6</v>
      </c>
      <c r="AD32" s="82" t="s">
        <v>124</v>
      </c>
      <c r="AE32" s="73" t="s">
        <v>82</v>
      </c>
      <c r="AF32" s="73" t="s">
        <v>18</v>
      </c>
      <c r="AG32" s="83">
        <v>5.5</v>
      </c>
      <c r="AL32" s="82"/>
      <c r="AO32" s="83"/>
      <c r="AP32" s="82"/>
      <c r="AS32" s="83"/>
      <c r="AW32" s="83"/>
      <c r="BA32" s="84"/>
    </row>
    <row r="33" spans="1:53" s="73" customFormat="1">
      <c r="A33" s="102">
        <v>1971</v>
      </c>
      <c r="B33" s="85"/>
      <c r="C33" s="966" t="s">
        <v>391</v>
      </c>
      <c r="D33" s="966"/>
      <c r="E33" s="73">
        <v>0</v>
      </c>
      <c r="G33" s="123">
        <v>16</v>
      </c>
      <c r="H33" s="73">
        <v>3</v>
      </c>
      <c r="J33" s="134">
        <v>19</v>
      </c>
      <c r="K33" s="92">
        <f t="shared" si="0"/>
        <v>84.210526315789465</v>
      </c>
      <c r="L33" s="92">
        <f t="shared" si="1"/>
        <v>15.789473684210526</v>
      </c>
      <c r="M33" s="92">
        <f t="shared" si="2"/>
        <v>0</v>
      </c>
      <c r="N33" s="125">
        <f t="shared" si="3"/>
        <v>99.999999999999986</v>
      </c>
      <c r="O33" s="91">
        <v>60</v>
      </c>
      <c r="P33" s="92">
        <v>19.100000000000001</v>
      </c>
      <c r="Q33" s="92"/>
      <c r="R33" s="93">
        <f t="shared" si="4"/>
        <v>79.099999999999994</v>
      </c>
      <c r="S33" s="97">
        <v>3</v>
      </c>
      <c r="T33" s="95"/>
      <c r="U33" s="85"/>
      <c r="V33" s="82" t="s">
        <v>381</v>
      </c>
      <c r="W33" s="73" t="s">
        <v>76</v>
      </c>
      <c r="X33" s="73" t="s">
        <v>11</v>
      </c>
      <c r="Y33" s="73">
        <v>60</v>
      </c>
      <c r="Z33" s="82" t="s">
        <v>123</v>
      </c>
      <c r="AA33" s="73" t="s">
        <v>77</v>
      </c>
      <c r="AB33" s="73" t="s">
        <v>18</v>
      </c>
      <c r="AC33" s="73">
        <v>13.6</v>
      </c>
      <c r="AD33" s="82" t="s">
        <v>124</v>
      </c>
      <c r="AE33" s="73" t="s">
        <v>82</v>
      </c>
      <c r="AF33" s="73" t="s">
        <v>18</v>
      </c>
      <c r="AG33" s="83">
        <v>5.5</v>
      </c>
      <c r="AL33" s="82"/>
      <c r="AO33" s="83"/>
      <c r="AP33" s="82"/>
      <c r="AS33" s="83"/>
      <c r="AW33" s="83"/>
      <c r="BA33" s="84"/>
    </row>
    <row r="34" spans="1:53" s="73" customFormat="1">
      <c r="A34" s="102">
        <v>1971</v>
      </c>
      <c r="B34" s="85"/>
      <c r="C34" s="966" t="s">
        <v>391</v>
      </c>
      <c r="D34" s="966"/>
      <c r="E34" s="73">
        <v>365</v>
      </c>
      <c r="G34" s="123">
        <v>16</v>
      </c>
      <c r="H34" s="73">
        <v>3</v>
      </c>
      <c r="J34" s="134">
        <v>19</v>
      </c>
      <c r="K34" s="92">
        <f t="shared" si="0"/>
        <v>84.210526315789465</v>
      </c>
      <c r="L34" s="92">
        <f t="shared" si="1"/>
        <v>15.789473684210526</v>
      </c>
      <c r="M34" s="92">
        <f t="shared" si="2"/>
        <v>0</v>
      </c>
      <c r="N34" s="125">
        <f t="shared" si="3"/>
        <v>99.999999999999986</v>
      </c>
      <c r="O34" s="91">
        <v>60</v>
      </c>
      <c r="P34" s="92">
        <v>19.100000000000001</v>
      </c>
      <c r="Q34" s="92"/>
      <c r="R34" s="93">
        <f t="shared" si="4"/>
        <v>79.099999999999994</v>
      </c>
      <c r="S34" s="97">
        <v>3</v>
      </c>
      <c r="T34" s="95"/>
      <c r="U34" s="85"/>
      <c r="V34" s="82" t="s">
        <v>381</v>
      </c>
      <c r="W34" s="73" t="s">
        <v>76</v>
      </c>
      <c r="X34" s="73" t="s">
        <v>11</v>
      </c>
      <c r="Y34" s="73">
        <v>60</v>
      </c>
      <c r="Z34" s="82" t="s">
        <v>123</v>
      </c>
      <c r="AA34" s="73" t="s">
        <v>77</v>
      </c>
      <c r="AB34" s="73" t="s">
        <v>18</v>
      </c>
      <c r="AC34" s="73">
        <v>13.6</v>
      </c>
      <c r="AD34" s="82" t="s">
        <v>124</v>
      </c>
      <c r="AE34" s="73" t="s">
        <v>82</v>
      </c>
      <c r="AF34" s="73" t="s">
        <v>18</v>
      </c>
      <c r="AG34" s="83">
        <v>5.5</v>
      </c>
      <c r="AL34" s="82"/>
      <c r="AO34" s="83"/>
      <c r="AP34" s="82"/>
      <c r="AS34" s="83"/>
      <c r="AW34" s="83"/>
      <c r="BA34" s="84"/>
    </row>
    <row r="35" spans="1:53" s="73" customFormat="1">
      <c r="A35" s="102">
        <v>1972</v>
      </c>
      <c r="B35" s="85"/>
      <c r="C35" s="966" t="s">
        <v>391</v>
      </c>
      <c r="D35" s="966"/>
      <c r="E35" s="73">
        <v>188</v>
      </c>
      <c r="G35" s="123">
        <v>16</v>
      </c>
      <c r="H35" s="73">
        <v>3</v>
      </c>
      <c r="J35" s="134">
        <v>19</v>
      </c>
      <c r="K35" s="92">
        <f t="shared" si="0"/>
        <v>84.210526315789465</v>
      </c>
      <c r="L35" s="92">
        <f t="shared" si="1"/>
        <v>15.789473684210526</v>
      </c>
      <c r="M35" s="92">
        <f t="shared" si="2"/>
        <v>0</v>
      </c>
      <c r="N35" s="125">
        <f t="shared" si="3"/>
        <v>99.999999999999986</v>
      </c>
      <c r="O35" s="91">
        <v>60</v>
      </c>
      <c r="P35" s="92">
        <v>19.100000000000001</v>
      </c>
      <c r="Q35" s="92"/>
      <c r="R35" s="93">
        <f t="shared" si="4"/>
        <v>79.099999999999994</v>
      </c>
      <c r="S35" s="97">
        <v>3</v>
      </c>
      <c r="T35" s="95"/>
      <c r="U35" s="85"/>
      <c r="V35" s="82" t="s">
        <v>381</v>
      </c>
      <c r="W35" s="73" t="s">
        <v>76</v>
      </c>
      <c r="X35" s="73" t="s">
        <v>11</v>
      </c>
      <c r="Y35" s="73">
        <v>60</v>
      </c>
      <c r="Z35" s="82" t="s">
        <v>123</v>
      </c>
      <c r="AA35" s="73" t="s">
        <v>77</v>
      </c>
      <c r="AB35" s="73" t="s">
        <v>18</v>
      </c>
      <c r="AC35" s="73">
        <v>13.6</v>
      </c>
      <c r="AD35" s="82" t="s">
        <v>124</v>
      </c>
      <c r="AE35" s="73" t="s">
        <v>82</v>
      </c>
      <c r="AF35" s="73" t="s">
        <v>18</v>
      </c>
      <c r="AG35" s="83">
        <v>5.5</v>
      </c>
      <c r="AL35" s="82"/>
      <c r="AO35" s="83"/>
      <c r="AP35" s="82"/>
      <c r="AS35" s="83"/>
      <c r="AW35" s="83"/>
      <c r="BA35" s="84"/>
    </row>
    <row r="36" spans="1:53" s="334" customFormat="1">
      <c r="A36" s="386">
        <v>1972</v>
      </c>
      <c r="B36" s="355">
        <v>26487</v>
      </c>
      <c r="C36" s="965" t="s">
        <v>392</v>
      </c>
      <c r="D36" s="965"/>
      <c r="E36" s="334">
        <v>178</v>
      </c>
      <c r="F36" s="334">
        <v>6</v>
      </c>
      <c r="G36" s="419">
        <v>17</v>
      </c>
      <c r="H36" s="334">
        <v>3</v>
      </c>
      <c r="J36" s="435">
        <v>20</v>
      </c>
      <c r="K36" s="384">
        <f t="shared" si="0"/>
        <v>85</v>
      </c>
      <c r="L36" s="384">
        <f t="shared" si="1"/>
        <v>15</v>
      </c>
      <c r="M36" s="384">
        <f t="shared" si="2"/>
        <v>0</v>
      </c>
      <c r="N36" s="421">
        <f t="shared" si="3"/>
        <v>100</v>
      </c>
      <c r="O36" s="383">
        <v>60</v>
      </c>
      <c r="P36" s="384">
        <v>19.100000000000001</v>
      </c>
      <c r="Q36" s="384"/>
      <c r="R36" s="385">
        <f t="shared" si="4"/>
        <v>79.099999999999994</v>
      </c>
      <c r="S36" s="388">
        <v>3</v>
      </c>
      <c r="T36" s="342"/>
      <c r="U36" s="355">
        <v>26487</v>
      </c>
      <c r="V36" s="343" t="s">
        <v>381</v>
      </c>
      <c r="W36" s="334" t="s">
        <v>76</v>
      </c>
      <c r="X36" s="334" t="s">
        <v>11</v>
      </c>
      <c r="Y36" s="334">
        <v>60</v>
      </c>
      <c r="Z36" s="343" t="s">
        <v>123</v>
      </c>
      <c r="AA36" s="334" t="s">
        <v>77</v>
      </c>
      <c r="AB36" s="334" t="s">
        <v>18</v>
      </c>
      <c r="AC36" s="334">
        <v>13.6</v>
      </c>
      <c r="AD36" s="343" t="s">
        <v>124</v>
      </c>
      <c r="AE36" s="334" t="s">
        <v>82</v>
      </c>
      <c r="AF36" s="334" t="s">
        <v>18</v>
      </c>
      <c r="AG36" s="344">
        <v>5.5</v>
      </c>
      <c r="AL36" s="343"/>
      <c r="AO36" s="344"/>
      <c r="AP36" s="343"/>
      <c r="AS36" s="344"/>
      <c r="AW36" s="344"/>
      <c r="BA36" s="345"/>
    </row>
    <row r="37" spans="1:53" s="334" customFormat="1">
      <c r="A37" s="386">
        <v>1973</v>
      </c>
      <c r="B37" s="355"/>
      <c r="C37" s="965" t="s">
        <v>392</v>
      </c>
      <c r="D37" s="965"/>
      <c r="E37" s="334">
        <v>94</v>
      </c>
      <c r="G37" s="419">
        <v>17</v>
      </c>
      <c r="H37" s="334">
        <v>3</v>
      </c>
      <c r="J37" s="435">
        <v>20</v>
      </c>
      <c r="K37" s="384">
        <f t="shared" si="0"/>
        <v>85</v>
      </c>
      <c r="L37" s="384">
        <f t="shared" si="1"/>
        <v>15</v>
      </c>
      <c r="M37" s="384">
        <f t="shared" si="2"/>
        <v>0</v>
      </c>
      <c r="N37" s="421">
        <f t="shared" si="3"/>
        <v>100</v>
      </c>
      <c r="O37" s="383">
        <v>60</v>
      </c>
      <c r="P37" s="384">
        <v>19.100000000000001</v>
      </c>
      <c r="Q37" s="384"/>
      <c r="R37" s="385">
        <f t="shared" si="4"/>
        <v>79.099999999999994</v>
      </c>
      <c r="S37" s="388">
        <v>3</v>
      </c>
      <c r="T37" s="342"/>
      <c r="U37" s="355"/>
      <c r="V37" s="343" t="s">
        <v>381</v>
      </c>
      <c r="W37" s="334" t="s">
        <v>76</v>
      </c>
      <c r="X37" s="334" t="s">
        <v>11</v>
      </c>
      <c r="Y37" s="334">
        <v>60</v>
      </c>
      <c r="Z37" s="343" t="s">
        <v>123</v>
      </c>
      <c r="AA37" s="334" t="s">
        <v>77</v>
      </c>
      <c r="AB37" s="334" t="s">
        <v>18</v>
      </c>
      <c r="AC37" s="334">
        <v>13.6</v>
      </c>
      <c r="AD37" s="343" t="s">
        <v>124</v>
      </c>
      <c r="AE37" s="334" t="s">
        <v>82</v>
      </c>
      <c r="AF37" s="334" t="s">
        <v>18</v>
      </c>
      <c r="AG37" s="344">
        <v>5.5</v>
      </c>
      <c r="AL37" s="343"/>
      <c r="AO37" s="344"/>
      <c r="AP37" s="343"/>
      <c r="AS37" s="344"/>
      <c r="AW37" s="344"/>
      <c r="BA37" s="345"/>
    </row>
    <row r="38" spans="1:53" s="73" customFormat="1">
      <c r="A38" s="102">
        <v>1973</v>
      </c>
      <c r="B38" s="85">
        <v>26759</v>
      </c>
      <c r="C38" s="966" t="s">
        <v>393</v>
      </c>
      <c r="D38" s="966"/>
      <c r="E38" s="73">
        <v>271</v>
      </c>
      <c r="F38" s="73">
        <v>1</v>
      </c>
      <c r="G38" s="123">
        <v>19</v>
      </c>
      <c r="J38" s="134">
        <v>22</v>
      </c>
      <c r="K38" s="92">
        <f t="shared" si="0"/>
        <v>86.36363636363636</v>
      </c>
      <c r="L38" s="92">
        <f t="shared" si="1"/>
        <v>0</v>
      </c>
      <c r="M38" s="92">
        <f t="shared" si="2"/>
        <v>0</v>
      </c>
      <c r="N38" s="125">
        <f t="shared" si="3"/>
        <v>86.36363636363636</v>
      </c>
      <c r="O38" s="91">
        <v>42</v>
      </c>
      <c r="P38" s="92">
        <v>11.4</v>
      </c>
      <c r="Q38" s="92"/>
      <c r="R38" s="93">
        <f t="shared" si="4"/>
        <v>53.4</v>
      </c>
      <c r="S38" s="97">
        <v>2</v>
      </c>
      <c r="T38" s="95">
        <v>26727</v>
      </c>
      <c r="U38" s="85">
        <v>26759</v>
      </c>
      <c r="V38" s="82" t="s">
        <v>381</v>
      </c>
      <c r="W38" s="73" t="s">
        <v>76</v>
      </c>
      <c r="X38" s="73" t="s">
        <v>11</v>
      </c>
      <c r="Y38" s="73">
        <v>37.6</v>
      </c>
      <c r="Z38" s="82" t="s">
        <v>123</v>
      </c>
      <c r="AA38" s="73" t="s">
        <v>77</v>
      </c>
      <c r="AB38" s="73" t="s">
        <v>18</v>
      </c>
      <c r="AC38" s="73">
        <v>11.4</v>
      </c>
      <c r="AD38" s="82" t="s">
        <v>125</v>
      </c>
      <c r="AE38" s="73" t="s">
        <v>80</v>
      </c>
      <c r="AF38" s="73" t="s">
        <v>11</v>
      </c>
      <c r="AG38" s="83">
        <v>4.4000000000000004</v>
      </c>
      <c r="AL38" s="82"/>
      <c r="AO38" s="83"/>
      <c r="AP38" s="82"/>
      <c r="AS38" s="83"/>
      <c r="AW38" s="83"/>
      <c r="BA38" s="84"/>
    </row>
    <row r="39" spans="1:53" s="73" customFormat="1">
      <c r="A39" s="102">
        <v>1974</v>
      </c>
      <c r="B39" s="85"/>
      <c r="C39" s="966" t="s">
        <v>393</v>
      </c>
      <c r="D39" s="966"/>
      <c r="E39" s="73">
        <v>59</v>
      </c>
      <c r="G39" s="123">
        <v>19</v>
      </c>
      <c r="J39" s="134">
        <v>22</v>
      </c>
      <c r="K39" s="92">
        <f t="shared" si="0"/>
        <v>86.36363636363636</v>
      </c>
      <c r="L39" s="92">
        <f t="shared" si="1"/>
        <v>0</v>
      </c>
      <c r="M39" s="92">
        <f t="shared" si="2"/>
        <v>0</v>
      </c>
      <c r="N39" s="125">
        <f t="shared" si="3"/>
        <v>86.36363636363636</v>
      </c>
      <c r="O39" s="91">
        <v>42</v>
      </c>
      <c r="P39" s="92">
        <v>11.4</v>
      </c>
      <c r="Q39" s="92"/>
      <c r="R39" s="93">
        <f t="shared" si="4"/>
        <v>53.4</v>
      </c>
      <c r="S39" s="97">
        <v>2</v>
      </c>
      <c r="T39" s="95"/>
      <c r="U39" s="85"/>
      <c r="V39" s="82" t="s">
        <v>381</v>
      </c>
      <c r="W39" s="73" t="s">
        <v>76</v>
      </c>
      <c r="X39" s="73" t="s">
        <v>11</v>
      </c>
      <c r="Y39" s="73">
        <v>37.6</v>
      </c>
      <c r="Z39" s="82" t="s">
        <v>123</v>
      </c>
      <c r="AA39" s="73" t="s">
        <v>77</v>
      </c>
      <c r="AB39" s="73" t="s">
        <v>18</v>
      </c>
      <c r="AC39" s="73">
        <v>11.4</v>
      </c>
      <c r="AD39" s="82" t="s">
        <v>125</v>
      </c>
      <c r="AE39" s="73" t="s">
        <v>80</v>
      </c>
      <c r="AF39" s="73" t="s">
        <v>11</v>
      </c>
      <c r="AG39" s="83">
        <v>4.4000000000000004</v>
      </c>
      <c r="AL39" s="82"/>
      <c r="AO39" s="83"/>
      <c r="AP39" s="82"/>
      <c r="AS39" s="83"/>
      <c r="AW39" s="83"/>
      <c r="BA39" s="84"/>
    </row>
    <row r="40" spans="1:53" s="334" customFormat="1">
      <c r="A40" s="386">
        <v>1974</v>
      </c>
      <c r="B40" s="355">
        <v>27089</v>
      </c>
      <c r="C40" s="965" t="s">
        <v>394</v>
      </c>
      <c r="D40" s="965"/>
      <c r="E40" s="334">
        <v>88</v>
      </c>
      <c r="F40" s="334">
        <v>7</v>
      </c>
      <c r="G40" s="419">
        <v>14</v>
      </c>
      <c r="J40" s="435">
        <v>16</v>
      </c>
      <c r="K40" s="384">
        <f t="shared" si="0"/>
        <v>87.5</v>
      </c>
      <c r="L40" s="384">
        <f t="shared" si="1"/>
        <v>0</v>
      </c>
      <c r="M40" s="384">
        <f t="shared" si="2"/>
        <v>0</v>
      </c>
      <c r="N40" s="421">
        <f t="shared" si="3"/>
        <v>87.5</v>
      </c>
      <c r="O40" s="383">
        <v>42</v>
      </c>
      <c r="P40" s="384">
        <v>11.4</v>
      </c>
      <c r="Q40" s="384"/>
      <c r="R40" s="385">
        <f t="shared" si="4"/>
        <v>53.4</v>
      </c>
      <c r="S40" s="388">
        <v>2</v>
      </c>
      <c r="T40" s="342"/>
      <c r="U40" s="355">
        <v>27089</v>
      </c>
      <c r="V40" s="343" t="s">
        <v>381</v>
      </c>
      <c r="W40" s="334" t="s">
        <v>76</v>
      </c>
      <c r="X40" s="334" t="s">
        <v>11</v>
      </c>
      <c r="Y40" s="334">
        <v>37.6</v>
      </c>
      <c r="Z40" s="343" t="s">
        <v>123</v>
      </c>
      <c r="AA40" s="334" t="s">
        <v>77</v>
      </c>
      <c r="AB40" s="334" t="s">
        <v>18</v>
      </c>
      <c r="AC40" s="334">
        <v>11.4</v>
      </c>
      <c r="AD40" s="343" t="s">
        <v>125</v>
      </c>
      <c r="AE40" s="334" t="s">
        <v>80</v>
      </c>
      <c r="AF40" s="334" t="s">
        <v>11</v>
      </c>
      <c r="AG40" s="344">
        <v>4.4000000000000004</v>
      </c>
      <c r="AL40" s="343"/>
      <c r="AO40" s="344"/>
      <c r="AP40" s="343"/>
      <c r="AS40" s="344"/>
      <c r="AW40" s="344"/>
      <c r="BA40" s="345"/>
    </row>
    <row r="41" spans="1:53" s="73" customFormat="1">
      <c r="A41" s="102">
        <v>1974</v>
      </c>
      <c r="B41" s="85">
        <v>27177</v>
      </c>
      <c r="C41" s="966" t="s">
        <v>395</v>
      </c>
      <c r="D41" s="966"/>
      <c r="E41" s="73">
        <v>218</v>
      </c>
      <c r="F41" s="73">
        <v>1</v>
      </c>
      <c r="G41" s="123">
        <v>11</v>
      </c>
      <c r="H41" s="73">
        <v>1</v>
      </c>
      <c r="I41" s="73">
        <v>1</v>
      </c>
      <c r="J41" s="134">
        <v>16</v>
      </c>
      <c r="K41" s="92">
        <f t="shared" si="0"/>
        <v>68.75</v>
      </c>
      <c r="L41" s="92">
        <f t="shared" si="1"/>
        <v>6.25</v>
      </c>
      <c r="M41" s="92">
        <f t="shared" si="2"/>
        <v>6.25</v>
      </c>
      <c r="N41" s="125">
        <f t="shared" si="3"/>
        <v>81.25</v>
      </c>
      <c r="O41" s="91">
        <v>42</v>
      </c>
      <c r="P41" s="92">
        <v>11.4</v>
      </c>
      <c r="Q41" s="92">
        <v>2.2999999999999998</v>
      </c>
      <c r="R41" s="93">
        <f t="shared" si="4"/>
        <v>55.699999999999996</v>
      </c>
      <c r="S41" s="97">
        <v>3</v>
      </c>
      <c r="T41" s="95"/>
      <c r="U41" s="85">
        <v>27177</v>
      </c>
      <c r="V41" s="82" t="s">
        <v>381</v>
      </c>
      <c r="W41" s="73" t="s">
        <v>76</v>
      </c>
      <c r="X41" s="73" t="s">
        <v>11</v>
      </c>
      <c r="Y41" s="73">
        <v>37.6</v>
      </c>
      <c r="Z41" s="82" t="s">
        <v>123</v>
      </c>
      <c r="AA41" s="73" t="s">
        <v>77</v>
      </c>
      <c r="AB41" s="73" t="s">
        <v>18</v>
      </c>
      <c r="AC41" s="73">
        <v>11.4</v>
      </c>
      <c r="AD41" s="82" t="s">
        <v>125</v>
      </c>
      <c r="AE41" s="73" t="s">
        <v>80</v>
      </c>
      <c r="AF41" s="73" t="s">
        <v>11</v>
      </c>
      <c r="AG41" s="83">
        <v>4.4000000000000004</v>
      </c>
      <c r="AH41" s="73" t="s">
        <v>126</v>
      </c>
      <c r="AI41" s="73" t="s">
        <v>88</v>
      </c>
      <c r="AJ41" s="73" t="s">
        <v>12</v>
      </c>
      <c r="AK41" s="73">
        <v>2.2999999999999998</v>
      </c>
      <c r="AL41" s="82"/>
      <c r="AO41" s="83"/>
      <c r="AP41" s="82"/>
      <c r="AS41" s="83"/>
      <c r="AW41" s="83"/>
      <c r="BA41" s="84"/>
    </row>
    <row r="42" spans="1:53" s="73" customFormat="1">
      <c r="A42" s="102">
        <v>1975</v>
      </c>
      <c r="B42" s="85"/>
      <c r="C42" s="966" t="s">
        <v>395</v>
      </c>
      <c r="D42" s="966"/>
      <c r="E42" s="73">
        <v>0</v>
      </c>
      <c r="G42" s="123">
        <v>11</v>
      </c>
      <c r="H42" s="73">
        <v>1</v>
      </c>
      <c r="I42" s="73">
        <v>1</v>
      </c>
      <c r="J42" s="134">
        <v>16</v>
      </c>
      <c r="K42" s="92">
        <f t="shared" si="0"/>
        <v>68.75</v>
      </c>
      <c r="L42" s="92">
        <f t="shared" si="1"/>
        <v>6.25</v>
      </c>
      <c r="M42" s="92">
        <f t="shared" si="2"/>
        <v>6.25</v>
      </c>
      <c r="N42" s="125">
        <f t="shared" si="3"/>
        <v>81.25</v>
      </c>
      <c r="O42" s="91">
        <v>42</v>
      </c>
      <c r="P42" s="92">
        <v>11.4</v>
      </c>
      <c r="Q42" s="92">
        <v>2.2999999999999998</v>
      </c>
      <c r="R42" s="93">
        <f t="shared" si="4"/>
        <v>55.699999999999996</v>
      </c>
      <c r="S42" s="97">
        <v>3</v>
      </c>
      <c r="T42" s="95"/>
      <c r="U42" s="85"/>
      <c r="V42" s="82" t="s">
        <v>381</v>
      </c>
      <c r="W42" s="73" t="s">
        <v>76</v>
      </c>
      <c r="X42" s="73" t="s">
        <v>11</v>
      </c>
      <c r="Y42" s="73">
        <v>37.6</v>
      </c>
      <c r="Z42" s="82" t="s">
        <v>123</v>
      </c>
      <c r="AA42" s="73" t="s">
        <v>77</v>
      </c>
      <c r="AB42" s="73" t="s">
        <v>18</v>
      </c>
      <c r="AC42" s="73">
        <v>11.4</v>
      </c>
      <c r="AD42" s="82" t="s">
        <v>125</v>
      </c>
      <c r="AE42" s="73" t="s">
        <v>80</v>
      </c>
      <c r="AF42" s="73" t="s">
        <v>11</v>
      </c>
      <c r="AG42" s="83">
        <v>4.4000000000000004</v>
      </c>
      <c r="AH42" s="73" t="s">
        <v>126</v>
      </c>
      <c r="AI42" s="73" t="s">
        <v>88</v>
      </c>
      <c r="AJ42" s="73" t="s">
        <v>12</v>
      </c>
      <c r="AK42" s="73">
        <v>2.2999999999999998</v>
      </c>
      <c r="AL42" s="82"/>
      <c r="AO42" s="83"/>
      <c r="AP42" s="82"/>
      <c r="AS42" s="83"/>
      <c r="AW42" s="83"/>
      <c r="BA42" s="84"/>
    </row>
    <row r="43" spans="1:53" s="73" customFormat="1">
      <c r="A43" s="102">
        <v>1975</v>
      </c>
      <c r="B43" s="85"/>
      <c r="C43" s="966" t="s">
        <v>395</v>
      </c>
      <c r="D43" s="966"/>
      <c r="E43" s="73">
        <v>365</v>
      </c>
      <c r="G43" s="123">
        <v>11</v>
      </c>
      <c r="H43" s="73">
        <v>1</v>
      </c>
      <c r="I43" s="73">
        <v>1</v>
      </c>
      <c r="J43" s="134">
        <v>16</v>
      </c>
      <c r="K43" s="92">
        <f t="shared" si="0"/>
        <v>68.75</v>
      </c>
      <c r="L43" s="92">
        <f t="shared" si="1"/>
        <v>6.25</v>
      </c>
      <c r="M43" s="92">
        <f t="shared" si="2"/>
        <v>6.25</v>
      </c>
      <c r="N43" s="125">
        <f t="shared" si="3"/>
        <v>81.25</v>
      </c>
      <c r="O43" s="91">
        <v>42</v>
      </c>
      <c r="P43" s="92">
        <v>11.4</v>
      </c>
      <c r="Q43" s="92">
        <v>2.2999999999999998</v>
      </c>
      <c r="R43" s="93">
        <f t="shared" si="4"/>
        <v>55.699999999999996</v>
      </c>
      <c r="S43" s="97">
        <v>3</v>
      </c>
      <c r="T43" s="95"/>
      <c r="U43" s="85"/>
      <c r="V43" s="82" t="s">
        <v>381</v>
      </c>
      <c r="W43" s="73" t="s">
        <v>76</v>
      </c>
      <c r="X43" s="73" t="s">
        <v>11</v>
      </c>
      <c r="Y43" s="73">
        <v>37.6</v>
      </c>
      <c r="Z43" s="82" t="s">
        <v>123</v>
      </c>
      <c r="AA43" s="73" t="s">
        <v>77</v>
      </c>
      <c r="AB43" s="73" t="s">
        <v>18</v>
      </c>
      <c r="AC43" s="73">
        <v>11.4</v>
      </c>
      <c r="AD43" s="82" t="s">
        <v>125</v>
      </c>
      <c r="AE43" s="73" t="s">
        <v>80</v>
      </c>
      <c r="AF43" s="73" t="s">
        <v>11</v>
      </c>
      <c r="AG43" s="83">
        <v>4.4000000000000004</v>
      </c>
      <c r="AH43" s="73" t="s">
        <v>126</v>
      </c>
      <c r="AI43" s="73" t="s">
        <v>88</v>
      </c>
      <c r="AJ43" s="73" t="s">
        <v>12</v>
      </c>
      <c r="AK43" s="73">
        <v>2.2999999999999998</v>
      </c>
      <c r="AL43" s="82"/>
      <c r="AO43" s="83"/>
      <c r="AP43" s="82"/>
      <c r="AS43" s="83"/>
      <c r="AW43" s="83"/>
      <c r="BA43" s="84"/>
    </row>
    <row r="44" spans="1:53" s="73" customFormat="1">
      <c r="A44" s="102">
        <v>1976</v>
      </c>
      <c r="B44" s="85"/>
      <c r="C44" s="966" t="s">
        <v>395</v>
      </c>
      <c r="D44" s="966"/>
      <c r="E44" s="73">
        <v>229</v>
      </c>
      <c r="G44" s="123">
        <v>11</v>
      </c>
      <c r="H44" s="73">
        <v>1</v>
      </c>
      <c r="I44" s="73">
        <v>1</v>
      </c>
      <c r="J44" s="134">
        <v>16</v>
      </c>
      <c r="K44" s="92">
        <f t="shared" si="0"/>
        <v>68.75</v>
      </c>
      <c r="L44" s="92">
        <f t="shared" si="1"/>
        <v>6.25</v>
      </c>
      <c r="M44" s="92">
        <f t="shared" si="2"/>
        <v>6.25</v>
      </c>
      <c r="N44" s="125">
        <f t="shared" si="3"/>
        <v>81.25</v>
      </c>
      <c r="O44" s="91">
        <v>42</v>
      </c>
      <c r="P44" s="92">
        <v>11.4</v>
      </c>
      <c r="Q44" s="92">
        <v>2.2999999999999998</v>
      </c>
      <c r="R44" s="93">
        <f t="shared" si="4"/>
        <v>55.699999999999996</v>
      </c>
      <c r="S44" s="97">
        <v>3</v>
      </c>
      <c r="T44" s="95"/>
      <c r="U44" s="85"/>
      <c r="V44" s="82" t="s">
        <v>381</v>
      </c>
      <c r="W44" s="73" t="s">
        <v>76</v>
      </c>
      <c r="X44" s="73" t="s">
        <v>11</v>
      </c>
      <c r="Y44" s="73">
        <v>37.6</v>
      </c>
      <c r="Z44" s="82" t="s">
        <v>123</v>
      </c>
      <c r="AA44" s="73" t="s">
        <v>77</v>
      </c>
      <c r="AB44" s="73" t="s">
        <v>18</v>
      </c>
      <c r="AC44" s="73">
        <v>11.4</v>
      </c>
      <c r="AD44" s="82" t="s">
        <v>125</v>
      </c>
      <c r="AE44" s="73" t="s">
        <v>80</v>
      </c>
      <c r="AF44" s="73" t="s">
        <v>11</v>
      </c>
      <c r="AG44" s="83">
        <v>4.4000000000000004</v>
      </c>
      <c r="AH44" s="73" t="s">
        <v>126</v>
      </c>
      <c r="AI44" s="73" t="s">
        <v>88</v>
      </c>
      <c r="AJ44" s="73" t="s">
        <v>12</v>
      </c>
      <c r="AK44" s="73">
        <v>2.2999999999999998</v>
      </c>
      <c r="AL44" s="82"/>
      <c r="AO44" s="83"/>
      <c r="AP44" s="82"/>
      <c r="AS44" s="83"/>
      <c r="AW44" s="83"/>
      <c r="BA44" s="84"/>
    </row>
    <row r="45" spans="1:53" s="334" customFormat="1">
      <c r="A45" s="386">
        <v>1976</v>
      </c>
      <c r="B45" s="355">
        <v>27989</v>
      </c>
      <c r="C45" s="965" t="s">
        <v>396</v>
      </c>
      <c r="D45" s="965"/>
      <c r="E45" s="334">
        <v>137</v>
      </c>
      <c r="F45" s="334">
        <v>6</v>
      </c>
      <c r="G45" s="419">
        <v>9</v>
      </c>
      <c r="H45" s="334">
        <v>1</v>
      </c>
      <c r="I45" s="334">
        <v>3</v>
      </c>
      <c r="J45" s="435">
        <v>18</v>
      </c>
      <c r="K45" s="384">
        <f t="shared" si="0"/>
        <v>50</v>
      </c>
      <c r="L45" s="384">
        <f t="shared" si="1"/>
        <v>5.5555555555555554</v>
      </c>
      <c r="M45" s="384">
        <f t="shared" si="2"/>
        <v>16.666666666666664</v>
      </c>
      <c r="N45" s="421">
        <f t="shared" si="3"/>
        <v>72.222222222222229</v>
      </c>
      <c r="O45" s="383">
        <v>42</v>
      </c>
      <c r="P45" s="384">
        <v>11.4</v>
      </c>
      <c r="Q45" s="384">
        <v>2.2999999999999998</v>
      </c>
      <c r="R45" s="385">
        <f t="shared" si="4"/>
        <v>55.699999999999996</v>
      </c>
      <c r="S45" s="388">
        <v>3</v>
      </c>
      <c r="T45" s="342"/>
      <c r="U45" s="355">
        <v>27989</v>
      </c>
      <c r="V45" s="343" t="s">
        <v>381</v>
      </c>
      <c r="W45" s="334" t="s">
        <v>76</v>
      </c>
      <c r="X45" s="334" t="s">
        <v>11</v>
      </c>
      <c r="Y45" s="334">
        <v>37.6</v>
      </c>
      <c r="Z45" s="343" t="s">
        <v>123</v>
      </c>
      <c r="AA45" s="334" t="s">
        <v>77</v>
      </c>
      <c r="AB45" s="334" t="s">
        <v>18</v>
      </c>
      <c r="AC45" s="334">
        <v>11.4</v>
      </c>
      <c r="AD45" s="343" t="s">
        <v>125</v>
      </c>
      <c r="AE45" s="334" t="s">
        <v>80</v>
      </c>
      <c r="AF45" s="334" t="s">
        <v>11</v>
      </c>
      <c r="AG45" s="344">
        <v>4.4000000000000004</v>
      </c>
      <c r="AH45" s="334" t="s">
        <v>126</v>
      </c>
      <c r="AI45" s="334" t="s">
        <v>88</v>
      </c>
      <c r="AJ45" s="334" t="s">
        <v>12</v>
      </c>
      <c r="AK45" s="334">
        <v>2.2999999999999998</v>
      </c>
      <c r="AL45" s="343"/>
      <c r="AO45" s="344"/>
      <c r="AP45" s="343"/>
      <c r="AS45" s="344"/>
      <c r="AW45" s="344"/>
      <c r="BA45" s="345"/>
    </row>
    <row r="46" spans="1:53" s="334" customFormat="1">
      <c r="A46" s="386">
        <v>1977</v>
      </c>
      <c r="B46" s="355"/>
      <c r="C46" s="965" t="s">
        <v>396</v>
      </c>
      <c r="D46" s="965"/>
      <c r="E46" s="334">
        <v>88</v>
      </c>
      <c r="G46" s="419">
        <v>9</v>
      </c>
      <c r="H46" s="334">
        <v>1</v>
      </c>
      <c r="I46" s="334">
        <v>3</v>
      </c>
      <c r="J46" s="435">
        <v>18</v>
      </c>
      <c r="K46" s="384">
        <f t="shared" si="0"/>
        <v>50</v>
      </c>
      <c r="L46" s="384">
        <f t="shared" si="1"/>
        <v>5.5555555555555554</v>
      </c>
      <c r="M46" s="384">
        <f t="shared" si="2"/>
        <v>16.666666666666664</v>
      </c>
      <c r="N46" s="421">
        <f t="shared" si="3"/>
        <v>72.222222222222229</v>
      </c>
      <c r="O46" s="383">
        <v>42</v>
      </c>
      <c r="P46" s="384">
        <v>11.4</v>
      </c>
      <c r="Q46" s="384">
        <v>2.2999999999999998</v>
      </c>
      <c r="R46" s="385">
        <f t="shared" si="4"/>
        <v>55.699999999999996</v>
      </c>
      <c r="S46" s="388">
        <v>3</v>
      </c>
      <c r="T46" s="342"/>
      <c r="U46" s="355"/>
      <c r="V46" s="343" t="s">
        <v>381</v>
      </c>
      <c r="W46" s="334" t="s">
        <v>76</v>
      </c>
      <c r="X46" s="334" t="s">
        <v>11</v>
      </c>
      <c r="Y46" s="334">
        <v>37.6</v>
      </c>
      <c r="Z46" s="343" t="s">
        <v>123</v>
      </c>
      <c r="AA46" s="334" t="s">
        <v>77</v>
      </c>
      <c r="AB46" s="334" t="s">
        <v>18</v>
      </c>
      <c r="AC46" s="334">
        <v>11.4</v>
      </c>
      <c r="AD46" s="343" t="s">
        <v>125</v>
      </c>
      <c r="AE46" s="334" t="s">
        <v>80</v>
      </c>
      <c r="AF46" s="334" t="s">
        <v>11</v>
      </c>
      <c r="AG46" s="344">
        <v>4.4000000000000004</v>
      </c>
      <c r="AH46" s="334" t="s">
        <v>126</v>
      </c>
      <c r="AI46" s="334" t="s">
        <v>88</v>
      </c>
      <c r="AJ46" s="334" t="s">
        <v>12</v>
      </c>
      <c r="AK46" s="334">
        <v>2.2999999999999998</v>
      </c>
      <c r="AL46" s="343"/>
      <c r="AO46" s="344"/>
      <c r="AP46" s="343"/>
      <c r="AS46" s="344"/>
      <c r="AW46" s="344"/>
      <c r="BA46" s="345"/>
    </row>
    <row r="47" spans="1:53" s="73" customFormat="1">
      <c r="A47" s="102">
        <v>1977</v>
      </c>
      <c r="B47" s="85">
        <v>28214</v>
      </c>
      <c r="C47" s="966" t="s">
        <v>397</v>
      </c>
      <c r="D47" s="966"/>
      <c r="E47" s="73">
        <v>277</v>
      </c>
      <c r="F47" s="73">
        <v>4</v>
      </c>
      <c r="G47" s="123">
        <v>6</v>
      </c>
      <c r="H47" s="73">
        <v>2</v>
      </c>
      <c r="I47" s="73">
        <v>2</v>
      </c>
      <c r="J47" s="134">
        <v>15</v>
      </c>
      <c r="K47" s="92">
        <f t="shared" si="0"/>
        <v>40</v>
      </c>
      <c r="L47" s="92">
        <f t="shared" si="1"/>
        <v>13.333333333333334</v>
      </c>
      <c r="M47" s="92">
        <f t="shared" si="2"/>
        <v>13.333333333333334</v>
      </c>
      <c r="N47" s="125">
        <f t="shared" si="3"/>
        <v>66.666666666666671</v>
      </c>
      <c r="O47" s="91">
        <v>42</v>
      </c>
      <c r="P47" s="92">
        <v>11.4</v>
      </c>
      <c r="Q47" s="92">
        <v>2.2999999999999998</v>
      </c>
      <c r="R47" s="93">
        <f t="shared" si="4"/>
        <v>55.699999999999996</v>
      </c>
      <c r="S47" s="97">
        <v>3</v>
      </c>
      <c r="T47" s="95"/>
      <c r="U47" s="85">
        <v>28214</v>
      </c>
      <c r="V47" s="82" t="s">
        <v>382</v>
      </c>
      <c r="W47" s="73" t="s">
        <v>76</v>
      </c>
      <c r="X47" s="73" t="s">
        <v>11</v>
      </c>
      <c r="Y47" s="73">
        <v>37.6</v>
      </c>
      <c r="Z47" s="82" t="s">
        <v>123</v>
      </c>
      <c r="AA47" s="73" t="s">
        <v>77</v>
      </c>
      <c r="AB47" s="73" t="s">
        <v>18</v>
      </c>
      <c r="AC47" s="73">
        <v>11.4</v>
      </c>
      <c r="AD47" s="82" t="s">
        <v>125</v>
      </c>
      <c r="AE47" s="73" t="s">
        <v>80</v>
      </c>
      <c r="AF47" s="73" t="s">
        <v>11</v>
      </c>
      <c r="AG47" s="83">
        <v>4.4000000000000004</v>
      </c>
      <c r="AH47" s="73" t="s">
        <v>126</v>
      </c>
      <c r="AI47" s="73" t="s">
        <v>88</v>
      </c>
      <c r="AJ47" s="73" t="s">
        <v>12</v>
      </c>
      <c r="AK47" s="73">
        <v>2.2999999999999998</v>
      </c>
      <c r="AL47" s="82"/>
      <c r="AO47" s="83"/>
      <c r="AP47" s="82"/>
      <c r="AS47" s="83"/>
      <c r="AW47" s="83"/>
      <c r="BA47" s="84"/>
    </row>
    <row r="48" spans="1:53" s="73" customFormat="1">
      <c r="A48" s="102">
        <v>1978</v>
      </c>
      <c r="B48" s="85"/>
      <c r="C48" s="966" t="s">
        <v>397</v>
      </c>
      <c r="D48" s="966"/>
      <c r="E48" s="73">
        <v>93</v>
      </c>
      <c r="G48" s="123">
        <v>6</v>
      </c>
      <c r="H48" s="73">
        <v>2</v>
      </c>
      <c r="I48" s="73">
        <v>2</v>
      </c>
      <c r="J48" s="134">
        <v>15</v>
      </c>
      <c r="K48" s="92">
        <f t="shared" si="0"/>
        <v>40</v>
      </c>
      <c r="L48" s="92">
        <f t="shared" si="1"/>
        <v>13.333333333333334</v>
      </c>
      <c r="M48" s="92">
        <f t="shared" si="2"/>
        <v>13.333333333333334</v>
      </c>
      <c r="N48" s="125">
        <f t="shared" si="3"/>
        <v>66.666666666666671</v>
      </c>
      <c r="O48" s="91">
        <v>42</v>
      </c>
      <c r="P48" s="92">
        <v>11.4</v>
      </c>
      <c r="Q48" s="92">
        <v>2.2999999999999998</v>
      </c>
      <c r="R48" s="93">
        <f t="shared" si="4"/>
        <v>55.699999999999996</v>
      </c>
      <c r="S48" s="97">
        <v>3</v>
      </c>
      <c r="T48" s="95"/>
      <c r="U48" s="85"/>
      <c r="V48" s="82" t="s">
        <v>382</v>
      </c>
      <c r="W48" s="73" t="s">
        <v>76</v>
      </c>
      <c r="X48" s="73" t="s">
        <v>11</v>
      </c>
      <c r="Y48" s="73">
        <v>37.6</v>
      </c>
      <c r="Z48" s="82" t="s">
        <v>123</v>
      </c>
      <c r="AA48" s="73" t="s">
        <v>77</v>
      </c>
      <c r="AB48" s="73" t="s">
        <v>18</v>
      </c>
      <c r="AC48" s="73">
        <v>11.4</v>
      </c>
      <c r="AD48" s="82" t="s">
        <v>125</v>
      </c>
      <c r="AE48" s="73" t="s">
        <v>80</v>
      </c>
      <c r="AF48" s="73" t="s">
        <v>11</v>
      </c>
      <c r="AG48" s="83">
        <v>4.4000000000000004</v>
      </c>
      <c r="AH48" s="73" t="s">
        <v>126</v>
      </c>
      <c r="AI48" s="73" t="s">
        <v>88</v>
      </c>
      <c r="AJ48" s="73" t="s">
        <v>12</v>
      </c>
      <c r="AK48" s="73">
        <v>2.2999999999999998</v>
      </c>
      <c r="AL48" s="82"/>
      <c r="AO48" s="83"/>
      <c r="AP48" s="82"/>
      <c r="AS48" s="83"/>
      <c r="AW48" s="83"/>
      <c r="BA48" s="84"/>
    </row>
    <row r="49" spans="1:53" s="334" customFormat="1">
      <c r="A49" s="386">
        <v>1978</v>
      </c>
      <c r="B49" s="355">
        <v>28584</v>
      </c>
      <c r="C49" s="965" t="s">
        <v>398</v>
      </c>
      <c r="D49" s="965"/>
      <c r="E49" s="334">
        <v>272</v>
      </c>
      <c r="F49" s="334">
        <v>1</v>
      </c>
      <c r="G49" s="419">
        <v>6</v>
      </c>
      <c r="H49" s="334">
        <v>9</v>
      </c>
      <c r="J49" s="435">
        <v>20</v>
      </c>
      <c r="K49" s="384">
        <f t="shared" si="0"/>
        <v>30</v>
      </c>
      <c r="L49" s="384">
        <f t="shared" si="1"/>
        <v>45</v>
      </c>
      <c r="M49" s="384">
        <f t="shared" si="2"/>
        <v>0</v>
      </c>
      <c r="N49" s="421">
        <f t="shared" si="3"/>
        <v>75</v>
      </c>
      <c r="O49" s="383">
        <v>30</v>
      </c>
      <c r="P49" s="384">
        <v>26.2</v>
      </c>
      <c r="Q49" s="384"/>
      <c r="R49" s="385">
        <f t="shared" si="4"/>
        <v>56.2</v>
      </c>
      <c r="S49" s="388">
        <v>2</v>
      </c>
      <c r="T49" s="342">
        <v>28561</v>
      </c>
      <c r="U49" s="355">
        <v>28584</v>
      </c>
      <c r="V49" s="343" t="s">
        <v>382</v>
      </c>
      <c r="W49" s="334" t="s">
        <v>76</v>
      </c>
      <c r="X49" s="334" t="s">
        <v>11</v>
      </c>
      <c r="Y49" s="334">
        <v>30</v>
      </c>
      <c r="Z49" s="343" t="s">
        <v>127</v>
      </c>
      <c r="AA49" s="334" t="s">
        <v>79</v>
      </c>
      <c r="AB49" s="334" t="s">
        <v>18</v>
      </c>
      <c r="AC49" s="334">
        <v>26.2</v>
      </c>
      <c r="AD49" s="343"/>
      <c r="AG49" s="344"/>
      <c r="AL49" s="343"/>
      <c r="AO49" s="344"/>
      <c r="AP49" s="343"/>
      <c r="AS49" s="344"/>
      <c r="AW49" s="344"/>
      <c r="BA49" s="345"/>
    </row>
    <row r="50" spans="1:53" s="334" customFormat="1">
      <c r="A50" s="386">
        <v>1979</v>
      </c>
      <c r="B50" s="355"/>
      <c r="C50" s="965" t="s">
        <v>398</v>
      </c>
      <c r="D50" s="965"/>
      <c r="E50" s="334">
        <v>0</v>
      </c>
      <c r="G50" s="419">
        <v>6</v>
      </c>
      <c r="H50" s="334">
        <v>9</v>
      </c>
      <c r="J50" s="435">
        <v>20</v>
      </c>
      <c r="K50" s="384">
        <f t="shared" si="0"/>
        <v>30</v>
      </c>
      <c r="L50" s="384">
        <f t="shared" si="1"/>
        <v>45</v>
      </c>
      <c r="M50" s="384">
        <f t="shared" si="2"/>
        <v>0</v>
      </c>
      <c r="N50" s="421">
        <f t="shared" si="3"/>
        <v>75</v>
      </c>
      <c r="O50" s="383">
        <v>30</v>
      </c>
      <c r="P50" s="384">
        <v>26.2</v>
      </c>
      <c r="Q50" s="384"/>
      <c r="R50" s="385">
        <f t="shared" si="4"/>
        <v>56.2</v>
      </c>
      <c r="S50" s="388">
        <v>2</v>
      </c>
      <c r="T50" s="342"/>
      <c r="U50" s="355"/>
      <c r="V50" s="343" t="s">
        <v>382</v>
      </c>
      <c r="W50" s="334" t="s">
        <v>76</v>
      </c>
      <c r="X50" s="334" t="s">
        <v>11</v>
      </c>
      <c r="Y50" s="334">
        <v>30</v>
      </c>
      <c r="Z50" s="343" t="s">
        <v>127</v>
      </c>
      <c r="AA50" s="334" t="s">
        <v>79</v>
      </c>
      <c r="AB50" s="334" t="s">
        <v>18</v>
      </c>
      <c r="AC50" s="334">
        <v>26.2</v>
      </c>
      <c r="AD50" s="343"/>
      <c r="AG50" s="344"/>
      <c r="AL50" s="343"/>
      <c r="AO50" s="344"/>
      <c r="AP50" s="343"/>
      <c r="AS50" s="344"/>
      <c r="AW50" s="344"/>
      <c r="BA50" s="345"/>
    </row>
    <row r="51" spans="1:53" s="334" customFormat="1">
      <c r="A51" s="386">
        <v>1979</v>
      </c>
      <c r="B51" s="355"/>
      <c r="C51" s="965" t="s">
        <v>398</v>
      </c>
      <c r="D51" s="965"/>
      <c r="E51" s="334">
        <v>365</v>
      </c>
      <c r="G51" s="419">
        <v>6</v>
      </c>
      <c r="H51" s="334">
        <v>9</v>
      </c>
      <c r="J51" s="435">
        <v>20</v>
      </c>
      <c r="K51" s="384">
        <f t="shared" si="0"/>
        <v>30</v>
      </c>
      <c r="L51" s="384">
        <f t="shared" si="1"/>
        <v>45</v>
      </c>
      <c r="M51" s="384">
        <f t="shared" si="2"/>
        <v>0</v>
      </c>
      <c r="N51" s="421">
        <f t="shared" si="3"/>
        <v>75</v>
      </c>
      <c r="O51" s="383">
        <v>30</v>
      </c>
      <c r="P51" s="384">
        <v>26.2</v>
      </c>
      <c r="Q51" s="384"/>
      <c r="R51" s="385">
        <f t="shared" si="4"/>
        <v>56.2</v>
      </c>
      <c r="S51" s="388">
        <v>2</v>
      </c>
      <c r="T51" s="342"/>
      <c r="U51" s="355"/>
      <c r="V51" s="343" t="s">
        <v>382</v>
      </c>
      <c r="W51" s="334" t="s">
        <v>76</v>
      </c>
      <c r="X51" s="334" t="s">
        <v>11</v>
      </c>
      <c r="Y51" s="334">
        <v>30</v>
      </c>
      <c r="Z51" s="343" t="s">
        <v>127</v>
      </c>
      <c r="AA51" s="334" t="s">
        <v>79</v>
      </c>
      <c r="AB51" s="334" t="s">
        <v>18</v>
      </c>
      <c r="AC51" s="334">
        <v>26.2</v>
      </c>
      <c r="AD51" s="343"/>
      <c r="AG51" s="344"/>
      <c r="AL51" s="343"/>
      <c r="AO51" s="344"/>
      <c r="AP51" s="343"/>
      <c r="AS51" s="344"/>
      <c r="AW51" s="344"/>
      <c r="BA51" s="345"/>
    </row>
    <row r="52" spans="1:53" s="334" customFormat="1">
      <c r="A52" s="386">
        <v>1980</v>
      </c>
      <c r="B52" s="355"/>
      <c r="C52" s="965" t="s">
        <v>398</v>
      </c>
      <c r="D52" s="965"/>
      <c r="E52" s="334">
        <v>0</v>
      </c>
      <c r="G52" s="419">
        <v>6</v>
      </c>
      <c r="H52" s="334">
        <v>9</v>
      </c>
      <c r="J52" s="435">
        <v>20</v>
      </c>
      <c r="K52" s="384">
        <f t="shared" si="0"/>
        <v>30</v>
      </c>
      <c r="L52" s="384">
        <f t="shared" si="1"/>
        <v>45</v>
      </c>
      <c r="M52" s="384">
        <f t="shared" si="2"/>
        <v>0</v>
      </c>
      <c r="N52" s="421">
        <f t="shared" si="3"/>
        <v>75</v>
      </c>
      <c r="O52" s="383">
        <v>30</v>
      </c>
      <c r="P52" s="384">
        <v>26.2</v>
      </c>
      <c r="Q52" s="384"/>
      <c r="R52" s="385">
        <f t="shared" si="4"/>
        <v>56.2</v>
      </c>
      <c r="S52" s="388">
        <v>2</v>
      </c>
      <c r="T52" s="342"/>
      <c r="U52" s="355"/>
      <c r="V52" s="343" t="s">
        <v>382</v>
      </c>
      <c r="W52" s="334" t="s">
        <v>76</v>
      </c>
      <c r="X52" s="334" t="s">
        <v>11</v>
      </c>
      <c r="Y52" s="334">
        <v>30</v>
      </c>
      <c r="Z52" s="343" t="s">
        <v>127</v>
      </c>
      <c r="AA52" s="334" t="s">
        <v>79</v>
      </c>
      <c r="AB52" s="334" t="s">
        <v>18</v>
      </c>
      <c r="AC52" s="334">
        <v>26.2</v>
      </c>
      <c r="AD52" s="343"/>
      <c r="AG52" s="344"/>
      <c r="AL52" s="343"/>
      <c r="AO52" s="344"/>
      <c r="AP52" s="343"/>
      <c r="AS52" s="344"/>
      <c r="AW52" s="344"/>
      <c r="BA52" s="345"/>
    </row>
    <row r="53" spans="1:53" s="334" customFormat="1">
      <c r="A53" s="386">
        <v>1980</v>
      </c>
      <c r="B53" s="355"/>
      <c r="C53" s="965" t="s">
        <v>398</v>
      </c>
      <c r="D53" s="965"/>
      <c r="E53" s="334">
        <v>366</v>
      </c>
      <c r="G53" s="419">
        <v>6</v>
      </c>
      <c r="H53" s="334">
        <v>9</v>
      </c>
      <c r="J53" s="435">
        <v>20</v>
      </c>
      <c r="K53" s="384">
        <f t="shared" si="0"/>
        <v>30</v>
      </c>
      <c r="L53" s="384">
        <f t="shared" si="1"/>
        <v>45</v>
      </c>
      <c r="M53" s="384">
        <f t="shared" si="2"/>
        <v>0</v>
      </c>
      <c r="N53" s="421">
        <f t="shared" si="3"/>
        <v>75</v>
      </c>
      <c r="O53" s="383">
        <v>30</v>
      </c>
      <c r="P53" s="384">
        <v>26.2</v>
      </c>
      <c r="Q53" s="384"/>
      <c r="R53" s="385">
        <f t="shared" si="4"/>
        <v>56.2</v>
      </c>
      <c r="S53" s="388">
        <v>2</v>
      </c>
      <c r="T53" s="342"/>
      <c r="U53" s="355"/>
      <c r="V53" s="343" t="s">
        <v>382</v>
      </c>
      <c r="W53" s="334" t="s">
        <v>76</v>
      </c>
      <c r="X53" s="334" t="s">
        <v>11</v>
      </c>
      <c r="Y53" s="334">
        <v>30</v>
      </c>
      <c r="Z53" s="343" t="s">
        <v>127</v>
      </c>
      <c r="AA53" s="334" t="s">
        <v>79</v>
      </c>
      <c r="AB53" s="334" t="s">
        <v>18</v>
      </c>
      <c r="AC53" s="334">
        <v>26.2</v>
      </c>
      <c r="AD53" s="343"/>
      <c r="AG53" s="344"/>
      <c r="AL53" s="343"/>
      <c r="AO53" s="344"/>
      <c r="AP53" s="343"/>
      <c r="AS53" s="344"/>
      <c r="AW53" s="344"/>
      <c r="BA53" s="345"/>
    </row>
    <row r="54" spans="1:53" s="334" customFormat="1">
      <c r="A54" s="386">
        <v>1981</v>
      </c>
      <c r="B54" s="355"/>
      <c r="C54" s="965" t="s">
        <v>398</v>
      </c>
      <c r="D54" s="965"/>
      <c r="E54" s="334">
        <v>141</v>
      </c>
      <c r="G54" s="419">
        <v>6</v>
      </c>
      <c r="H54" s="334">
        <v>9</v>
      </c>
      <c r="J54" s="435">
        <v>20</v>
      </c>
      <c r="K54" s="384">
        <f t="shared" si="0"/>
        <v>30</v>
      </c>
      <c r="L54" s="384">
        <f t="shared" si="1"/>
        <v>45</v>
      </c>
      <c r="M54" s="384">
        <f t="shared" si="2"/>
        <v>0</v>
      </c>
      <c r="N54" s="421">
        <f t="shared" si="3"/>
        <v>75</v>
      </c>
      <c r="O54" s="383">
        <v>30</v>
      </c>
      <c r="P54" s="384">
        <v>26.2</v>
      </c>
      <c r="Q54" s="384"/>
      <c r="R54" s="385">
        <f t="shared" si="4"/>
        <v>56.2</v>
      </c>
      <c r="S54" s="388">
        <v>2</v>
      </c>
      <c r="T54" s="342"/>
      <c r="U54" s="355"/>
      <c r="V54" s="343" t="s">
        <v>382</v>
      </c>
      <c r="W54" s="334" t="s">
        <v>76</v>
      </c>
      <c r="X54" s="334" t="s">
        <v>11</v>
      </c>
      <c r="Y54" s="334">
        <v>30</v>
      </c>
      <c r="Z54" s="343" t="s">
        <v>127</v>
      </c>
      <c r="AA54" s="334" t="s">
        <v>79</v>
      </c>
      <c r="AB54" s="334" t="s">
        <v>18</v>
      </c>
      <c r="AC54" s="334">
        <v>26.2</v>
      </c>
      <c r="AD54" s="343"/>
      <c r="AG54" s="344"/>
      <c r="AL54" s="343"/>
      <c r="AO54" s="344"/>
      <c r="AP54" s="343"/>
      <c r="AS54" s="344"/>
      <c r="AW54" s="344"/>
      <c r="BA54" s="345"/>
    </row>
    <row r="55" spans="1:53" s="73" customFormat="1">
      <c r="A55" s="102">
        <v>1981</v>
      </c>
      <c r="B55" s="85">
        <v>29728</v>
      </c>
      <c r="C55" s="966" t="s">
        <v>399</v>
      </c>
      <c r="D55" s="966"/>
      <c r="E55" s="73">
        <v>32</v>
      </c>
      <c r="F55" s="73">
        <v>1</v>
      </c>
      <c r="G55" s="123"/>
      <c r="I55" s="73">
        <v>31</v>
      </c>
      <c r="J55" s="134">
        <v>31</v>
      </c>
      <c r="K55" s="92">
        <f t="shared" si="0"/>
        <v>0</v>
      </c>
      <c r="L55" s="92">
        <f t="shared" si="1"/>
        <v>0</v>
      </c>
      <c r="M55" s="92">
        <f t="shared" si="2"/>
        <v>100</v>
      </c>
      <c r="N55" s="125">
        <f t="shared" si="3"/>
        <v>100</v>
      </c>
      <c r="O55" s="91"/>
      <c r="P55" s="92"/>
      <c r="Q55" s="92">
        <v>21.5</v>
      </c>
      <c r="R55" s="93">
        <f t="shared" si="4"/>
        <v>21.5</v>
      </c>
      <c r="S55" s="97">
        <v>6</v>
      </c>
      <c r="T55" s="95"/>
      <c r="U55" s="85">
        <v>29728</v>
      </c>
      <c r="V55" s="82" t="s">
        <v>96</v>
      </c>
      <c r="W55" s="73" t="s">
        <v>20</v>
      </c>
      <c r="X55" s="73" t="s">
        <v>12</v>
      </c>
      <c r="Y55" s="73">
        <v>21.5</v>
      </c>
      <c r="Z55" s="82"/>
      <c r="AD55" s="82"/>
      <c r="AG55" s="83"/>
      <c r="AL55" s="82"/>
      <c r="AO55" s="83"/>
      <c r="AP55" s="82"/>
      <c r="AS55" s="83"/>
      <c r="AW55" s="83"/>
      <c r="BA55" s="84"/>
    </row>
    <row r="56" spans="1:53" s="334" customFormat="1">
      <c r="A56" s="386">
        <v>1981</v>
      </c>
      <c r="B56" s="355">
        <v>29760</v>
      </c>
      <c r="C56" s="965" t="s">
        <v>400</v>
      </c>
      <c r="D56" s="965"/>
      <c r="E56" s="334">
        <v>192</v>
      </c>
      <c r="F56" s="334">
        <v>1</v>
      </c>
      <c r="G56" s="419"/>
      <c r="I56" s="334">
        <v>36</v>
      </c>
      <c r="J56" s="435">
        <v>36</v>
      </c>
      <c r="K56" s="384">
        <f t="shared" si="0"/>
        <v>0</v>
      </c>
      <c r="L56" s="384">
        <f t="shared" si="1"/>
        <v>0</v>
      </c>
      <c r="M56" s="384">
        <f t="shared" si="2"/>
        <v>100</v>
      </c>
      <c r="N56" s="421">
        <f t="shared" si="3"/>
        <v>100</v>
      </c>
      <c r="O56" s="383"/>
      <c r="P56" s="384"/>
      <c r="Q56" s="384">
        <v>65.7</v>
      </c>
      <c r="R56" s="385">
        <f t="shared" si="4"/>
        <v>65.7</v>
      </c>
      <c r="S56" s="388">
        <v>3</v>
      </c>
      <c r="T56" s="342">
        <v>29751</v>
      </c>
      <c r="U56" s="355">
        <v>29760</v>
      </c>
      <c r="V56" s="343" t="s">
        <v>96</v>
      </c>
      <c r="W56" s="334" t="s">
        <v>20</v>
      </c>
      <c r="X56" s="334" t="s">
        <v>12</v>
      </c>
      <c r="Y56" s="334">
        <v>56.5</v>
      </c>
      <c r="Z56" s="343" t="s">
        <v>128</v>
      </c>
      <c r="AA56" s="334" t="s">
        <v>114</v>
      </c>
      <c r="AB56" s="334" t="s">
        <v>12</v>
      </c>
      <c r="AC56" s="334">
        <v>9.1999999999999993</v>
      </c>
      <c r="AD56" s="343"/>
      <c r="AG56" s="344"/>
      <c r="AL56" s="343"/>
      <c r="AO56" s="344"/>
      <c r="AP56" s="343"/>
      <c r="AS56" s="344"/>
      <c r="AW56" s="344"/>
      <c r="BA56" s="345"/>
    </row>
    <row r="57" spans="1:53" s="334" customFormat="1">
      <c r="A57" s="386">
        <v>1982</v>
      </c>
      <c r="B57" s="355"/>
      <c r="C57" s="965" t="s">
        <v>400</v>
      </c>
      <c r="D57" s="965"/>
      <c r="E57" s="334">
        <v>0</v>
      </c>
      <c r="G57" s="419"/>
      <c r="I57" s="334">
        <v>36</v>
      </c>
      <c r="J57" s="435">
        <v>36</v>
      </c>
      <c r="K57" s="384">
        <f t="shared" si="0"/>
        <v>0</v>
      </c>
      <c r="L57" s="384">
        <f t="shared" si="1"/>
        <v>0</v>
      </c>
      <c r="M57" s="384">
        <f t="shared" si="2"/>
        <v>100</v>
      </c>
      <c r="N57" s="421">
        <f t="shared" si="3"/>
        <v>100</v>
      </c>
      <c r="O57" s="383"/>
      <c r="P57" s="384"/>
      <c r="Q57" s="384">
        <v>65.7</v>
      </c>
      <c r="R57" s="385">
        <f t="shared" si="4"/>
        <v>65.7</v>
      </c>
      <c r="S57" s="388">
        <v>3</v>
      </c>
      <c r="T57" s="342"/>
      <c r="U57" s="355"/>
      <c r="V57" s="343" t="s">
        <v>96</v>
      </c>
      <c r="W57" s="334" t="s">
        <v>20</v>
      </c>
      <c r="X57" s="334" t="s">
        <v>12</v>
      </c>
      <c r="Y57" s="334">
        <v>56.5</v>
      </c>
      <c r="Z57" s="343" t="s">
        <v>128</v>
      </c>
      <c r="AA57" s="334" t="s">
        <v>114</v>
      </c>
      <c r="AB57" s="334" t="s">
        <v>12</v>
      </c>
      <c r="AC57" s="334">
        <v>9.1999999999999993</v>
      </c>
      <c r="AD57" s="343"/>
      <c r="AG57" s="344"/>
      <c r="AL57" s="343"/>
      <c r="AO57" s="344"/>
      <c r="AP57" s="343"/>
      <c r="AS57" s="344"/>
      <c r="AW57" s="344"/>
      <c r="BA57" s="345"/>
    </row>
    <row r="58" spans="1:53" s="334" customFormat="1">
      <c r="A58" s="386">
        <v>1982</v>
      </c>
      <c r="B58" s="355"/>
      <c r="C58" s="965" t="s">
        <v>400</v>
      </c>
      <c r="D58" s="965"/>
      <c r="E58" s="334">
        <v>365</v>
      </c>
      <c r="G58" s="419"/>
      <c r="I58" s="334">
        <v>36</v>
      </c>
      <c r="J58" s="435">
        <v>36</v>
      </c>
      <c r="K58" s="384">
        <f t="shared" si="0"/>
        <v>0</v>
      </c>
      <c r="L58" s="384">
        <f t="shared" si="1"/>
        <v>0</v>
      </c>
      <c r="M58" s="384">
        <f t="shared" si="2"/>
        <v>100</v>
      </c>
      <c r="N58" s="421">
        <f t="shared" si="3"/>
        <v>100</v>
      </c>
      <c r="O58" s="383"/>
      <c r="P58" s="384"/>
      <c r="Q58" s="384">
        <v>65.7</v>
      </c>
      <c r="R58" s="385">
        <f t="shared" si="4"/>
        <v>65.7</v>
      </c>
      <c r="S58" s="388">
        <v>3</v>
      </c>
      <c r="T58" s="342"/>
      <c r="U58" s="355"/>
      <c r="V58" s="343" t="s">
        <v>96</v>
      </c>
      <c r="W58" s="334" t="s">
        <v>20</v>
      </c>
      <c r="X58" s="334" t="s">
        <v>12</v>
      </c>
      <c r="Y58" s="334">
        <v>56.5</v>
      </c>
      <c r="Z58" s="343" t="s">
        <v>128</v>
      </c>
      <c r="AA58" s="334" t="s">
        <v>114</v>
      </c>
      <c r="AB58" s="334" t="s">
        <v>12</v>
      </c>
      <c r="AC58" s="334">
        <v>9.1999999999999993</v>
      </c>
      <c r="AD58" s="343"/>
      <c r="AG58" s="344"/>
      <c r="AL58" s="343"/>
      <c r="AO58" s="344"/>
      <c r="AP58" s="343"/>
      <c r="AS58" s="344"/>
      <c r="AW58" s="344"/>
      <c r="BA58" s="345"/>
    </row>
    <row r="59" spans="1:53" s="334" customFormat="1">
      <c r="A59" s="386">
        <v>1983</v>
      </c>
      <c r="B59" s="355"/>
      <c r="C59" s="965" t="s">
        <v>400</v>
      </c>
      <c r="D59" s="965"/>
      <c r="E59" s="334">
        <v>80</v>
      </c>
      <c r="G59" s="419"/>
      <c r="I59" s="334">
        <v>36</v>
      </c>
      <c r="J59" s="435">
        <v>36</v>
      </c>
      <c r="K59" s="384">
        <f t="shared" si="0"/>
        <v>0</v>
      </c>
      <c r="L59" s="384">
        <f t="shared" si="1"/>
        <v>0</v>
      </c>
      <c r="M59" s="384">
        <f t="shared" si="2"/>
        <v>100</v>
      </c>
      <c r="N59" s="421">
        <f t="shared" si="3"/>
        <v>100</v>
      </c>
      <c r="O59" s="383"/>
      <c r="P59" s="384"/>
      <c r="Q59" s="384">
        <v>65.7</v>
      </c>
      <c r="R59" s="385">
        <f t="shared" si="4"/>
        <v>65.7</v>
      </c>
      <c r="S59" s="388">
        <v>3</v>
      </c>
      <c r="T59" s="342"/>
      <c r="U59" s="355"/>
      <c r="V59" s="343" t="s">
        <v>96</v>
      </c>
      <c r="W59" s="334" t="s">
        <v>20</v>
      </c>
      <c r="X59" s="334" t="s">
        <v>12</v>
      </c>
      <c r="Y59" s="334">
        <v>56.5</v>
      </c>
      <c r="Z59" s="343" t="s">
        <v>128</v>
      </c>
      <c r="AA59" s="334" t="s">
        <v>114</v>
      </c>
      <c r="AB59" s="334" t="s">
        <v>12</v>
      </c>
      <c r="AC59" s="334">
        <v>9.1999999999999993</v>
      </c>
      <c r="AD59" s="343"/>
      <c r="AG59" s="344"/>
      <c r="AL59" s="343"/>
      <c r="AO59" s="344"/>
      <c r="AP59" s="343"/>
      <c r="AS59" s="344"/>
      <c r="AW59" s="344"/>
      <c r="BA59" s="345"/>
    </row>
    <row r="60" spans="1:53" s="73" customFormat="1">
      <c r="A60" s="102">
        <v>1983</v>
      </c>
      <c r="B60" s="85">
        <v>30397</v>
      </c>
      <c r="C60" s="966" t="s">
        <v>401</v>
      </c>
      <c r="D60" s="966"/>
      <c r="E60" s="73">
        <v>285</v>
      </c>
      <c r="F60" s="73">
        <v>6</v>
      </c>
      <c r="G60" s="123"/>
      <c r="I60" s="73">
        <v>23</v>
      </c>
      <c r="J60" s="134">
        <v>23</v>
      </c>
      <c r="K60" s="92">
        <f t="shared" si="0"/>
        <v>0</v>
      </c>
      <c r="L60" s="92">
        <f t="shared" si="1"/>
        <v>0</v>
      </c>
      <c r="M60" s="92">
        <f t="shared" si="2"/>
        <v>100</v>
      </c>
      <c r="N60" s="125">
        <f t="shared" si="3"/>
        <v>100</v>
      </c>
      <c r="O60" s="91"/>
      <c r="P60" s="92"/>
      <c r="Q60" s="92">
        <v>65.7</v>
      </c>
      <c r="R60" s="93">
        <f t="shared" si="4"/>
        <v>65.7</v>
      </c>
      <c r="S60" s="97">
        <v>3</v>
      </c>
      <c r="T60" s="95"/>
      <c r="U60" s="85">
        <v>30397</v>
      </c>
      <c r="V60" s="82" t="s">
        <v>96</v>
      </c>
      <c r="W60" s="73" t="s">
        <v>20</v>
      </c>
      <c r="X60" s="73" t="s">
        <v>12</v>
      </c>
      <c r="Y60" s="73">
        <v>56.5</v>
      </c>
      <c r="Z60" s="82" t="s">
        <v>128</v>
      </c>
      <c r="AA60" s="73" t="s">
        <v>114</v>
      </c>
      <c r="AB60" s="73" t="s">
        <v>12</v>
      </c>
      <c r="AC60" s="73">
        <v>9.1999999999999993</v>
      </c>
      <c r="AD60" s="82"/>
      <c r="AG60" s="83"/>
      <c r="AL60" s="82"/>
      <c r="AO60" s="83"/>
      <c r="AP60" s="82"/>
      <c r="AS60" s="83"/>
      <c r="AW60" s="83"/>
      <c r="BA60" s="84"/>
    </row>
    <row r="61" spans="1:53" s="73" customFormat="1">
      <c r="A61" s="102">
        <v>1984</v>
      </c>
      <c r="B61" s="85"/>
      <c r="C61" s="966" t="s">
        <v>401</v>
      </c>
      <c r="D61" s="966"/>
      <c r="E61" s="73">
        <v>204</v>
      </c>
      <c r="G61" s="123"/>
      <c r="I61" s="73">
        <v>23</v>
      </c>
      <c r="J61" s="134">
        <v>23</v>
      </c>
      <c r="K61" s="92">
        <f t="shared" si="0"/>
        <v>0</v>
      </c>
      <c r="L61" s="92">
        <f t="shared" si="1"/>
        <v>0</v>
      </c>
      <c r="M61" s="92">
        <f t="shared" si="2"/>
        <v>100</v>
      </c>
      <c r="N61" s="125">
        <f t="shared" si="3"/>
        <v>100</v>
      </c>
      <c r="O61" s="91"/>
      <c r="P61" s="92"/>
      <c r="Q61" s="92">
        <v>65.7</v>
      </c>
      <c r="R61" s="93">
        <f t="shared" si="4"/>
        <v>65.7</v>
      </c>
      <c r="S61" s="97">
        <v>3</v>
      </c>
      <c r="T61" s="95"/>
      <c r="U61" s="85"/>
      <c r="V61" s="82" t="s">
        <v>96</v>
      </c>
      <c r="W61" s="73" t="s">
        <v>20</v>
      </c>
      <c r="X61" s="73" t="s">
        <v>12</v>
      </c>
      <c r="Y61" s="73">
        <v>56.5</v>
      </c>
      <c r="Z61" s="82" t="s">
        <v>128</v>
      </c>
      <c r="AA61" s="73" t="s">
        <v>114</v>
      </c>
      <c r="AB61" s="73" t="s">
        <v>12</v>
      </c>
      <c r="AC61" s="73">
        <v>9.1999999999999993</v>
      </c>
      <c r="AD61" s="82"/>
      <c r="AG61" s="83"/>
      <c r="AL61" s="82"/>
      <c r="AO61" s="83"/>
      <c r="AP61" s="82"/>
      <c r="AS61" s="83"/>
      <c r="AW61" s="83"/>
      <c r="BA61" s="84"/>
    </row>
    <row r="62" spans="1:53" s="334" customFormat="1">
      <c r="A62" s="386">
        <v>1984</v>
      </c>
      <c r="B62" s="355">
        <v>30886</v>
      </c>
      <c r="C62" s="965" t="s">
        <v>402</v>
      </c>
      <c r="D62" s="965"/>
      <c r="E62" s="334">
        <v>162</v>
      </c>
      <c r="F62" s="334">
        <v>6</v>
      </c>
      <c r="G62" s="419"/>
      <c r="I62" s="334">
        <v>23</v>
      </c>
      <c r="J62" s="435">
        <v>23</v>
      </c>
      <c r="K62" s="384">
        <f t="shared" si="0"/>
        <v>0</v>
      </c>
      <c r="L62" s="384">
        <f t="shared" si="1"/>
        <v>0</v>
      </c>
      <c r="M62" s="384">
        <f t="shared" si="2"/>
        <v>100</v>
      </c>
      <c r="N62" s="421">
        <f t="shared" si="3"/>
        <v>100</v>
      </c>
      <c r="O62" s="383"/>
      <c r="P62" s="384"/>
      <c r="Q62" s="384">
        <v>56.5</v>
      </c>
      <c r="R62" s="385">
        <f t="shared" si="4"/>
        <v>56.5</v>
      </c>
      <c r="S62" s="388">
        <v>1</v>
      </c>
      <c r="T62" s="342"/>
      <c r="U62" s="355">
        <v>30886</v>
      </c>
      <c r="V62" s="343" t="s">
        <v>96</v>
      </c>
      <c r="W62" s="334" t="s">
        <v>20</v>
      </c>
      <c r="X62" s="334" t="s">
        <v>12</v>
      </c>
      <c r="Y62" s="334">
        <v>56.5</v>
      </c>
      <c r="Z62" s="343"/>
      <c r="AD62" s="343"/>
      <c r="AG62" s="344"/>
      <c r="AL62" s="343"/>
      <c r="AO62" s="344"/>
      <c r="AP62" s="343"/>
      <c r="AS62" s="344"/>
      <c r="AW62" s="344"/>
      <c r="BA62" s="345"/>
    </row>
    <row r="63" spans="1:53" s="334" customFormat="1">
      <c r="A63" s="386">
        <v>1985</v>
      </c>
      <c r="B63" s="355"/>
      <c r="C63" s="965" t="s">
        <v>402</v>
      </c>
      <c r="D63" s="965"/>
      <c r="E63" s="334">
        <v>0</v>
      </c>
      <c r="G63" s="419"/>
      <c r="I63" s="334">
        <v>23</v>
      </c>
      <c r="J63" s="435">
        <v>23</v>
      </c>
      <c r="K63" s="384">
        <f t="shared" si="0"/>
        <v>0</v>
      </c>
      <c r="L63" s="384">
        <f t="shared" si="1"/>
        <v>0</v>
      </c>
      <c r="M63" s="384">
        <f t="shared" si="2"/>
        <v>100</v>
      </c>
      <c r="N63" s="421">
        <f t="shared" si="3"/>
        <v>100</v>
      </c>
      <c r="O63" s="383"/>
      <c r="P63" s="384"/>
      <c r="Q63" s="384">
        <v>56.5</v>
      </c>
      <c r="R63" s="385">
        <f t="shared" si="4"/>
        <v>56.5</v>
      </c>
      <c r="S63" s="388">
        <v>1</v>
      </c>
      <c r="T63" s="342"/>
      <c r="U63" s="355"/>
      <c r="V63" s="343" t="s">
        <v>96</v>
      </c>
      <c r="W63" s="334" t="s">
        <v>20</v>
      </c>
      <c r="X63" s="334" t="s">
        <v>12</v>
      </c>
      <c r="Y63" s="334">
        <v>56.5</v>
      </c>
      <c r="Z63" s="343"/>
      <c r="AD63" s="343"/>
      <c r="AG63" s="344"/>
      <c r="AL63" s="343"/>
      <c r="AO63" s="344"/>
      <c r="AP63" s="343"/>
      <c r="AS63" s="344"/>
      <c r="AW63" s="344"/>
      <c r="BA63" s="345"/>
    </row>
    <row r="64" spans="1:53" s="334" customFormat="1">
      <c r="A64" s="386">
        <v>1985</v>
      </c>
      <c r="B64" s="355"/>
      <c r="C64" s="965" t="s">
        <v>402</v>
      </c>
      <c r="D64" s="965"/>
      <c r="E64" s="334">
        <v>365</v>
      </c>
      <c r="G64" s="419"/>
      <c r="I64" s="334">
        <v>23</v>
      </c>
      <c r="J64" s="435">
        <v>23</v>
      </c>
      <c r="K64" s="384">
        <f t="shared" si="0"/>
        <v>0</v>
      </c>
      <c r="L64" s="384">
        <f t="shared" si="1"/>
        <v>0</v>
      </c>
      <c r="M64" s="384">
        <f t="shared" si="2"/>
        <v>100</v>
      </c>
      <c r="N64" s="421">
        <f t="shared" si="3"/>
        <v>100</v>
      </c>
      <c r="O64" s="383"/>
      <c r="P64" s="384"/>
      <c r="Q64" s="384">
        <v>56.5</v>
      </c>
      <c r="R64" s="385">
        <f t="shared" si="4"/>
        <v>56.5</v>
      </c>
      <c r="S64" s="388">
        <v>1</v>
      </c>
      <c r="T64" s="342"/>
      <c r="U64" s="355"/>
      <c r="V64" s="343" t="s">
        <v>96</v>
      </c>
      <c r="W64" s="334" t="s">
        <v>20</v>
      </c>
      <c r="X64" s="334" t="s">
        <v>12</v>
      </c>
      <c r="Y64" s="334">
        <v>56.5</v>
      </c>
      <c r="Z64" s="343"/>
      <c r="AD64" s="343"/>
      <c r="AG64" s="344"/>
      <c r="AL64" s="343"/>
      <c r="AO64" s="344"/>
      <c r="AP64" s="343"/>
      <c r="AS64" s="344"/>
      <c r="AW64" s="344"/>
      <c r="BA64" s="345"/>
    </row>
    <row r="65" spans="1:53" s="334" customFormat="1">
      <c r="A65" s="334">
        <v>1986</v>
      </c>
      <c r="B65" s="355"/>
      <c r="C65" s="965" t="s">
        <v>402</v>
      </c>
      <c r="D65" s="965"/>
      <c r="E65" s="334">
        <v>78</v>
      </c>
      <c r="G65" s="419"/>
      <c r="I65" s="334">
        <v>23</v>
      </c>
      <c r="J65" s="435">
        <v>23</v>
      </c>
      <c r="K65" s="384">
        <f>G65/J65*100</f>
        <v>0</v>
      </c>
      <c r="L65" s="384">
        <f>H65/J65*100</f>
        <v>0</v>
      </c>
      <c r="M65" s="384">
        <f>I65/J65*100</f>
        <v>100</v>
      </c>
      <c r="N65" s="421">
        <f t="shared" si="3"/>
        <v>100</v>
      </c>
      <c r="O65" s="383"/>
      <c r="P65" s="384"/>
      <c r="Q65" s="384">
        <v>56.5</v>
      </c>
      <c r="R65" s="385">
        <f t="shared" si="4"/>
        <v>56.5</v>
      </c>
      <c r="S65" s="388">
        <v>1</v>
      </c>
      <c r="T65" s="342"/>
      <c r="U65" s="355"/>
      <c r="V65" s="343" t="s">
        <v>96</v>
      </c>
      <c r="W65" s="334" t="s">
        <v>20</v>
      </c>
      <c r="X65" s="334" t="s">
        <v>12</v>
      </c>
      <c r="Y65" s="334">
        <v>56.5</v>
      </c>
      <c r="Z65" s="343"/>
      <c r="AD65" s="343"/>
      <c r="AG65" s="344"/>
      <c r="AL65" s="343"/>
      <c r="AO65" s="344"/>
      <c r="AP65" s="343"/>
      <c r="AS65" s="344"/>
      <c r="AW65" s="344"/>
      <c r="BA65" s="345"/>
    </row>
    <row r="66" spans="1:53" s="73" customFormat="1">
      <c r="A66" s="73">
        <v>1986</v>
      </c>
      <c r="B66" s="85">
        <v>31491</v>
      </c>
      <c r="C66" s="966" t="s">
        <v>409</v>
      </c>
      <c r="D66" s="966"/>
      <c r="E66" s="73">
        <v>287</v>
      </c>
      <c r="F66" s="73">
        <v>1</v>
      </c>
      <c r="G66" s="123">
        <v>14</v>
      </c>
      <c r="H66" s="73">
        <v>8</v>
      </c>
      <c r="J66" s="134">
        <v>25</v>
      </c>
      <c r="K66" s="92">
        <f t="shared" ref="K66:K73" si="5">G66/J66*100</f>
        <v>56.000000000000007</v>
      </c>
      <c r="L66" s="92">
        <f t="shared" ref="L66:L73" si="6">H66/J66*100</f>
        <v>32</v>
      </c>
      <c r="M66" s="92">
        <f t="shared" ref="M66:M73" si="7">I66/J66*100</f>
        <v>0</v>
      </c>
      <c r="N66" s="125">
        <f t="shared" si="3"/>
        <v>88</v>
      </c>
      <c r="O66" s="91">
        <v>26.3</v>
      </c>
      <c r="P66" s="92">
        <v>23</v>
      </c>
      <c r="Q66" s="92"/>
      <c r="R66" s="93">
        <f t="shared" si="4"/>
        <v>49.3</v>
      </c>
      <c r="S66" s="97">
        <v>5</v>
      </c>
      <c r="T66" s="95">
        <v>31487</v>
      </c>
      <c r="U66" s="85">
        <v>31491</v>
      </c>
      <c r="V66" s="82" t="s">
        <v>382</v>
      </c>
      <c r="W66" s="73" t="s">
        <v>76</v>
      </c>
      <c r="X66" s="73" t="s">
        <v>11</v>
      </c>
      <c r="Y66" s="73">
        <v>26.3</v>
      </c>
      <c r="Z66" s="82" t="s">
        <v>127</v>
      </c>
      <c r="AA66" s="73" t="s">
        <v>79</v>
      </c>
      <c r="AB66" s="73" t="s">
        <v>18</v>
      </c>
      <c r="AC66" s="73">
        <v>23</v>
      </c>
      <c r="AD66" s="82"/>
      <c r="AG66" s="83"/>
      <c r="AL66" s="82"/>
      <c r="AO66" s="83"/>
      <c r="AP66" s="82"/>
      <c r="AS66" s="83"/>
      <c r="AW66" s="83"/>
      <c r="BA66" s="84"/>
    </row>
    <row r="67" spans="1:53" s="73" customFormat="1">
      <c r="A67" s="73">
        <v>1987</v>
      </c>
      <c r="B67" s="85"/>
      <c r="C67" s="966" t="s">
        <v>409</v>
      </c>
      <c r="D67" s="966"/>
      <c r="E67" s="73">
        <v>0</v>
      </c>
      <c r="G67" s="123">
        <v>14</v>
      </c>
      <c r="H67" s="73">
        <v>8</v>
      </c>
      <c r="J67" s="134">
        <v>25</v>
      </c>
      <c r="K67" s="92">
        <f t="shared" si="5"/>
        <v>56.000000000000007</v>
      </c>
      <c r="L67" s="92">
        <f t="shared" si="6"/>
        <v>32</v>
      </c>
      <c r="M67" s="92">
        <f t="shared" si="7"/>
        <v>0</v>
      </c>
      <c r="N67" s="125">
        <f t="shared" si="3"/>
        <v>88</v>
      </c>
      <c r="O67" s="91">
        <v>26.3</v>
      </c>
      <c r="P67" s="92">
        <v>23</v>
      </c>
      <c r="Q67" s="92"/>
      <c r="R67" s="93">
        <f t="shared" si="4"/>
        <v>49.3</v>
      </c>
      <c r="S67" s="97">
        <v>5</v>
      </c>
      <c r="T67" s="95"/>
      <c r="U67" s="85"/>
      <c r="V67" s="82" t="s">
        <v>382</v>
      </c>
      <c r="W67" s="73" t="s">
        <v>76</v>
      </c>
      <c r="X67" s="73" t="s">
        <v>11</v>
      </c>
      <c r="Y67" s="73">
        <v>26.3</v>
      </c>
      <c r="Z67" s="82" t="s">
        <v>127</v>
      </c>
      <c r="AA67" s="73" t="s">
        <v>79</v>
      </c>
      <c r="AB67" s="73" t="s">
        <v>18</v>
      </c>
      <c r="AC67" s="73">
        <v>23</v>
      </c>
      <c r="AD67" s="82"/>
      <c r="AG67" s="83"/>
      <c r="AL67" s="82"/>
      <c r="AO67" s="83"/>
      <c r="AP67" s="82"/>
      <c r="AS67" s="83"/>
      <c r="AW67" s="83"/>
      <c r="BA67" s="84"/>
    </row>
    <row r="68" spans="1:53" s="73" customFormat="1">
      <c r="A68" s="73">
        <v>1987</v>
      </c>
      <c r="B68" s="85"/>
      <c r="C68" s="966" t="s">
        <v>409</v>
      </c>
      <c r="D68" s="966"/>
      <c r="E68" s="73">
        <v>365</v>
      </c>
      <c r="G68" s="123">
        <v>14</v>
      </c>
      <c r="H68" s="73">
        <v>8</v>
      </c>
      <c r="J68" s="134">
        <v>25</v>
      </c>
      <c r="K68" s="92">
        <f t="shared" si="5"/>
        <v>56.000000000000007</v>
      </c>
      <c r="L68" s="92">
        <f t="shared" si="6"/>
        <v>32</v>
      </c>
      <c r="M68" s="92">
        <f t="shared" si="7"/>
        <v>0</v>
      </c>
      <c r="N68" s="125">
        <f t="shared" si="3"/>
        <v>88</v>
      </c>
      <c r="O68" s="91">
        <v>26.3</v>
      </c>
      <c r="P68" s="92">
        <v>23</v>
      </c>
      <c r="Q68" s="92"/>
      <c r="R68" s="93">
        <f t="shared" si="4"/>
        <v>49.3</v>
      </c>
      <c r="S68" s="97">
        <v>5</v>
      </c>
      <c r="T68" s="95"/>
      <c r="U68" s="85"/>
      <c r="V68" s="82" t="s">
        <v>382</v>
      </c>
      <c r="W68" s="73" t="s">
        <v>76</v>
      </c>
      <c r="X68" s="73" t="s">
        <v>11</v>
      </c>
      <c r="Y68" s="73">
        <v>26.3</v>
      </c>
      <c r="Z68" s="82" t="s">
        <v>127</v>
      </c>
      <c r="AA68" s="73" t="s">
        <v>79</v>
      </c>
      <c r="AB68" s="73" t="s">
        <v>18</v>
      </c>
      <c r="AC68" s="73">
        <v>23</v>
      </c>
      <c r="AD68" s="82"/>
      <c r="AG68" s="83"/>
      <c r="AL68" s="82"/>
      <c r="AO68" s="83"/>
      <c r="AP68" s="82"/>
      <c r="AS68" s="83"/>
      <c r="AW68" s="83"/>
      <c r="BA68" s="84"/>
    </row>
    <row r="69" spans="1:53" s="73" customFormat="1">
      <c r="A69" s="73">
        <v>1988</v>
      </c>
      <c r="B69" s="85"/>
      <c r="C69" s="966" t="s">
        <v>409</v>
      </c>
      <c r="D69" s="966"/>
      <c r="E69" s="73">
        <v>133</v>
      </c>
      <c r="G69" s="123">
        <v>14</v>
      </c>
      <c r="H69" s="73">
        <v>8</v>
      </c>
      <c r="J69" s="134">
        <v>25</v>
      </c>
      <c r="K69" s="92">
        <f t="shared" si="5"/>
        <v>56.000000000000007</v>
      </c>
      <c r="L69" s="92">
        <f t="shared" si="6"/>
        <v>32</v>
      </c>
      <c r="M69" s="92">
        <f t="shared" si="7"/>
        <v>0</v>
      </c>
      <c r="N69" s="125">
        <f t="shared" si="3"/>
        <v>88</v>
      </c>
      <c r="O69" s="91">
        <v>26.3</v>
      </c>
      <c r="P69" s="92">
        <v>23</v>
      </c>
      <c r="Q69" s="92"/>
      <c r="R69" s="93">
        <f t="shared" si="4"/>
        <v>49.3</v>
      </c>
      <c r="S69" s="97">
        <v>5</v>
      </c>
      <c r="T69" s="95"/>
      <c r="U69" s="85"/>
      <c r="V69" s="82" t="s">
        <v>382</v>
      </c>
      <c r="W69" s="73" t="s">
        <v>76</v>
      </c>
      <c r="X69" s="73" t="s">
        <v>11</v>
      </c>
      <c r="Y69" s="73">
        <v>26.3</v>
      </c>
      <c r="Z69" s="82" t="s">
        <v>127</v>
      </c>
      <c r="AA69" s="73" t="s">
        <v>79</v>
      </c>
      <c r="AB69" s="73" t="s">
        <v>18</v>
      </c>
      <c r="AC69" s="73">
        <v>23</v>
      </c>
      <c r="AD69" s="82"/>
      <c r="AG69" s="83"/>
      <c r="AL69" s="82"/>
      <c r="AO69" s="83"/>
      <c r="AP69" s="82"/>
      <c r="AS69" s="83"/>
      <c r="AW69" s="83"/>
      <c r="BA69" s="84"/>
    </row>
    <row r="70" spans="1:53" s="334" customFormat="1">
      <c r="A70" s="334">
        <v>1988</v>
      </c>
      <c r="B70" s="355">
        <v>32276</v>
      </c>
      <c r="C70" s="965" t="s">
        <v>403</v>
      </c>
      <c r="D70" s="965"/>
      <c r="E70" s="334">
        <v>46</v>
      </c>
      <c r="F70" s="334">
        <v>1</v>
      </c>
      <c r="G70" s="419"/>
      <c r="H70" s="334">
        <v>2</v>
      </c>
      <c r="I70" s="334">
        <v>14</v>
      </c>
      <c r="J70" s="435">
        <v>19</v>
      </c>
      <c r="K70" s="384">
        <f>G70/J70*100</f>
        <v>0</v>
      </c>
      <c r="L70" s="384">
        <f>H70/J70*100</f>
        <v>10.526315789473683</v>
      </c>
      <c r="M70" s="384">
        <f>I70/J70*100</f>
        <v>73.68421052631578</v>
      </c>
      <c r="N70" s="421">
        <f t="shared" si="3"/>
        <v>84.210526315789465</v>
      </c>
      <c r="O70" s="383"/>
      <c r="P70" s="384">
        <v>23</v>
      </c>
      <c r="Q70" s="384">
        <v>35.6</v>
      </c>
      <c r="R70" s="385">
        <f t="shared" si="4"/>
        <v>58.6</v>
      </c>
      <c r="S70" s="388">
        <v>2</v>
      </c>
      <c r="T70" s="342"/>
      <c r="U70" s="355">
        <v>32276</v>
      </c>
      <c r="V70" s="343" t="s">
        <v>96</v>
      </c>
      <c r="W70" s="334" t="s">
        <v>20</v>
      </c>
      <c r="X70" s="334" t="s">
        <v>12</v>
      </c>
      <c r="Y70" s="334">
        <v>35.6</v>
      </c>
      <c r="Z70" s="343" t="s">
        <v>127</v>
      </c>
      <c r="AA70" s="334" t="s">
        <v>79</v>
      </c>
      <c r="AB70" s="334" t="s">
        <v>18</v>
      </c>
      <c r="AC70" s="334">
        <v>23</v>
      </c>
      <c r="AD70" s="343"/>
      <c r="AG70" s="344"/>
      <c r="AL70" s="343"/>
      <c r="AO70" s="344"/>
      <c r="AP70" s="343"/>
      <c r="AS70" s="344"/>
      <c r="AW70" s="344"/>
      <c r="BA70" s="345"/>
    </row>
    <row r="71" spans="1:53" s="73" customFormat="1">
      <c r="A71" s="73">
        <v>1988</v>
      </c>
      <c r="B71" s="85">
        <v>32322</v>
      </c>
      <c r="C71" s="966" t="s">
        <v>404</v>
      </c>
      <c r="D71" s="966"/>
      <c r="E71" s="73">
        <v>187</v>
      </c>
      <c r="F71" s="73">
        <v>6</v>
      </c>
      <c r="G71" s="123"/>
      <c r="I71" s="73">
        <v>14</v>
      </c>
      <c r="J71" s="134">
        <v>20</v>
      </c>
      <c r="K71" s="92">
        <f t="shared" si="5"/>
        <v>0</v>
      </c>
      <c r="L71" s="92">
        <f t="shared" si="6"/>
        <v>0</v>
      </c>
      <c r="M71" s="92">
        <f t="shared" si="7"/>
        <v>70</v>
      </c>
      <c r="N71" s="125">
        <f t="shared" si="3"/>
        <v>70</v>
      </c>
      <c r="O71" s="91"/>
      <c r="P71" s="92"/>
      <c r="Q71" s="92">
        <v>48.4</v>
      </c>
      <c r="R71" s="93">
        <f t="shared" si="4"/>
        <v>48.4</v>
      </c>
      <c r="S71" s="97">
        <v>5</v>
      </c>
      <c r="T71" s="95">
        <v>32299</v>
      </c>
      <c r="U71" s="85">
        <v>32322</v>
      </c>
      <c r="V71" s="82" t="s">
        <v>96</v>
      </c>
      <c r="W71" s="73" t="s">
        <v>20</v>
      </c>
      <c r="X71" s="73" t="s">
        <v>12</v>
      </c>
      <c r="Y71" s="83">
        <v>46.8</v>
      </c>
      <c r="Z71" s="73" t="s">
        <v>126</v>
      </c>
      <c r="AA71" s="73" t="s">
        <v>88</v>
      </c>
      <c r="AB71" s="73" t="s">
        <v>12</v>
      </c>
      <c r="AC71" s="73">
        <v>1.6</v>
      </c>
      <c r="AD71" s="82" t="s">
        <v>406</v>
      </c>
      <c r="AE71" s="73" t="s">
        <v>219</v>
      </c>
      <c r="AF71" s="73" t="s">
        <v>12</v>
      </c>
      <c r="AG71" s="83">
        <v>0</v>
      </c>
      <c r="AL71" s="82"/>
      <c r="AO71" s="83"/>
      <c r="AP71" s="82"/>
      <c r="AS71" s="83"/>
      <c r="AW71" s="83"/>
      <c r="BA71" s="84"/>
    </row>
    <row r="72" spans="1:53" s="73" customFormat="1">
      <c r="A72" s="73">
        <v>1989</v>
      </c>
      <c r="B72" s="85"/>
      <c r="C72" s="966" t="s">
        <v>404</v>
      </c>
      <c r="D72" s="966"/>
      <c r="E72" s="73">
        <v>0</v>
      </c>
      <c r="G72" s="123"/>
      <c r="I72" s="73">
        <v>14</v>
      </c>
      <c r="J72" s="134">
        <v>20</v>
      </c>
      <c r="K72" s="92">
        <f t="shared" si="5"/>
        <v>0</v>
      </c>
      <c r="L72" s="92">
        <f t="shared" si="6"/>
        <v>0</v>
      </c>
      <c r="M72" s="92">
        <f t="shared" si="7"/>
        <v>70</v>
      </c>
      <c r="N72" s="125">
        <f t="shared" si="3"/>
        <v>70</v>
      </c>
      <c r="O72" s="91"/>
      <c r="P72" s="92"/>
      <c r="Q72" s="92">
        <v>48.4</v>
      </c>
      <c r="R72" s="93">
        <f t="shared" si="4"/>
        <v>48.4</v>
      </c>
      <c r="S72" s="97">
        <v>5</v>
      </c>
      <c r="T72" s="95"/>
      <c r="U72" s="85"/>
      <c r="V72" s="82" t="s">
        <v>96</v>
      </c>
      <c r="W72" s="73" t="s">
        <v>20</v>
      </c>
      <c r="X72" s="73" t="s">
        <v>12</v>
      </c>
      <c r="Y72" s="83">
        <v>46.8</v>
      </c>
      <c r="Z72" s="73" t="s">
        <v>126</v>
      </c>
      <c r="AA72" s="73" t="s">
        <v>88</v>
      </c>
      <c r="AB72" s="73" t="s">
        <v>12</v>
      </c>
      <c r="AC72" s="73">
        <v>1.6</v>
      </c>
      <c r="AD72" s="82" t="s">
        <v>406</v>
      </c>
      <c r="AE72" s="73" t="s">
        <v>219</v>
      </c>
      <c r="AF72" s="73" t="s">
        <v>12</v>
      </c>
      <c r="AG72" s="83">
        <v>0</v>
      </c>
      <c r="AL72" s="82"/>
      <c r="AO72" s="83"/>
      <c r="AP72" s="82"/>
      <c r="AS72" s="83"/>
      <c r="AW72" s="83"/>
      <c r="BA72" s="84"/>
    </row>
    <row r="73" spans="1:53" s="136" customFormat="1">
      <c r="A73" s="136">
        <v>1989</v>
      </c>
      <c r="B73" s="137"/>
      <c r="C73" s="1000" t="s">
        <v>404</v>
      </c>
      <c r="D73" s="1000"/>
      <c r="E73" s="136">
        <f>365-E72</f>
        <v>365</v>
      </c>
      <c r="G73" s="138"/>
      <c r="I73" s="136">
        <v>14</v>
      </c>
      <c r="J73" s="139">
        <v>20</v>
      </c>
      <c r="K73" s="140">
        <f t="shared" si="5"/>
        <v>0</v>
      </c>
      <c r="L73" s="140">
        <f t="shared" si="6"/>
        <v>0</v>
      </c>
      <c r="M73" s="140">
        <f t="shared" si="7"/>
        <v>70</v>
      </c>
      <c r="N73" s="141">
        <f t="shared" ref="N73:N129" si="8">SUM(K73:M73)</f>
        <v>70</v>
      </c>
      <c r="O73" s="142"/>
      <c r="P73" s="140"/>
      <c r="Q73" s="140">
        <v>48.4</v>
      </c>
      <c r="R73" s="143">
        <f t="shared" ref="R73:R126" si="9">SUM(O73:Q73)</f>
        <v>48.4</v>
      </c>
      <c r="S73" s="144">
        <v>5</v>
      </c>
      <c r="T73" s="145"/>
      <c r="U73" s="137"/>
      <c r="V73" s="146" t="s">
        <v>96</v>
      </c>
      <c r="W73" s="136" t="s">
        <v>20</v>
      </c>
      <c r="X73" s="136" t="s">
        <v>12</v>
      </c>
      <c r="Y73" s="147">
        <v>46.8</v>
      </c>
      <c r="Z73" s="136" t="s">
        <v>126</v>
      </c>
      <c r="AA73" s="136" t="s">
        <v>88</v>
      </c>
      <c r="AB73" s="136" t="s">
        <v>12</v>
      </c>
      <c r="AC73" s="136">
        <v>1.6</v>
      </c>
      <c r="AD73" s="146" t="s">
        <v>406</v>
      </c>
      <c r="AE73" s="136" t="s">
        <v>219</v>
      </c>
      <c r="AF73" s="136" t="s">
        <v>12</v>
      </c>
      <c r="AG73" s="147">
        <v>0</v>
      </c>
      <c r="AL73" s="146"/>
      <c r="AO73" s="147"/>
      <c r="AP73" s="146"/>
      <c r="AS73" s="147"/>
      <c r="AW73" s="147"/>
      <c r="BA73" s="148"/>
    </row>
    <row r="74" spans="1:53" s="73" customFormat="1">
      <c r="A74" s="73">
        <v>1990</v>
      </c>
      <c r="C74" s="966" t="s">
        <v>404</v>
      </c>
      <c r="D74" s="966"/>
      <c r="E74" s="73">
        <v>0</v>
      </c>
      <c r="G74" s="123"/>
      <c r="I74" s="73">
        <v>14</v>
      </c>
      <c r="J74" s="134">
        <v>20</v>
      </c>
      <c r="K74" s="92">
        <v>0</v>
      </c>
      <c r="L74" s="92">
        <v>0</v>
      </c>
      <c r="M74" s="92">
        <v>70</v>
      </c>
      <c r="N74" s="125">
        <f t="shared" si="8"/>
        <v>70</v>
      </c>
      <c r="O74" s="91"/>
      <c r="P74" s="92"/>
      <c r="Q74" s="92">
        <v>48.4</v>
      </c>
      <c r="R74" s="93">
        <f t="shared" si="9"/>
        <v>48.4</v>
      </c>
      <c r="S74" s="97">
        <v>5</v>
      </c>
      <c r="T74" s="95"/>
      <c r="U74" s="85"/>
      <c r="V74" s="82" t="s">
        <v>96</v>
      </c>
      <c r="W74" s="73" t="s">
        <v>20</v>
      </c>
      <c r="X74" s="73" t="s">
        <v>12</v>
      </c>
      <c r="Y74" s="83">
        <v>46.8</v>
      </c>
      <c r="Z74" s="73" t="s">
        <v>126</v>
      </c>
      <c r="AA74" s="73" t="s">
        <v>88</v>
      </c>
      <c r="AB74" s="73" t="s">
        <v>12</v>
      </c>
      <c r="AC74" s="73">
        <v>1.6</v>
      </c>
      <c r="AD74" s="82" t="s">
        <v>406</v>
      </c>
      <c r="AE74" s="73" t="s">
        <v>219</v>
      </c>
      <c r="AF74" s="73" t="s">
        <v>12</v>
      </c>
      <c r="AG74" s="83">
        <v>0</v>
      </c>
      <c r="AL74" s="82"/>
      <c r="AO74" s="83"/>
      <c r="AP74" s="82"/>
      <c r="AS74" s="83"/>
      <c r="AW74" s="83"/>
      <c r="BA74" s="84"/>
    </row>
    <row r="75" spans="1:53" s="73" customFormat="1">
      <c r="A75" s="73">
        <v>1990</v>
      </c>
      <c r="C75" s="966" t="s">
        <v>404</v>
      </c>
      <c r="D75" s="966"/>
      <c r="E75" s="73">
        <f>365-E74</f>
        <v>365</v>
      </c>
      <c r="G75" s="123"/>
      <c r="I75" s="73">
        <v>14</v>
      </c>
      <c r="J75" s="134">
        <v>20</v>
      </c>
      <c r="K75" s="92">
        <f>G75/J75*100</f>
        <v>0</v>
      </c>
      <c r="L75" s="92">
        <f>H75/J75*100</f>
        <v>0</v>
      </c>
      <c r="M75" s="92">
        <f>I75/J75*100</f>
        <v>70</v>
      </c>
      <c r="N75" s="125">
        <f t="shared" si="8"/>
        <v>70</v>
      </c>
      <c r="O75" s="91"/>
      <c r="P75" s="92"/>
      <c r="Q75" s="92">
        <v>48.4</v>
      </c>
      <c r="R75" s="93">
        <f t="shared" si="9"/>
        <v>48.4</v>
      </c>
      <c r="S75" s="97">
        <v>5</v>
      </c>
      <c r="T75" s="95"/>
      <c r="U75" s="85"/>
      <c r="V75" s="82" t="s">
        <v>96</v>
      </c>
      <c r="W75" s="73" t="s">
        <v>20</v>
      </c>
      <c r="X75" s="73" t="s">
        <v>12</v>
      </c>
      <c r="Y75" s="83">
        <v>46.8</v>
      </c>
      <c r="Z75" s="73" t="s">
        <v>126</v>
      </c>
      <c r="AA75" s="73" t="s">
        <v>88</v>
      </c>
      <c r="AB75" s="73" t="s">
        <v>12</v>
      </c>
      <c r="AC75" s="73">
        <v>1.6</v>
      </c>
      <c r="AD75" s="82" t="s">
        <v>406</v>
      </c>
      <c r="AE75" s="73" t="s">
        <v>219</v>
      </c>
      <c r="AF75" s="73" t="s">
        <v>12</v>
      </c>
      <c r="AG75" s="83">
        <v>0</v>
      </c>
      <c r="AL75" s="82"/>
      <c r="AO75" s="83"/>
      <c r="AP75" s="82"/>
      <c r="AS75" s="83"/>
      <c r="AW75" s="83"/>
      <c r="BA75" s="84"/>
    </row>
    <row r="76" spans="1:53" s="73" customFormat="1">
      <c r="A76" s="73">
        <v>1991</v>
      </c>
      <c r="C76" s="966" t="s">
        <v>404</v>
      </c>
      <c r="D76" s="966"/>
      <c r="E76" s="73">
        <v>134</v>
      </c>
      <c r="G76" s="123"/>
      <c r="I76" s="73">
        <v>14</v>
      </c>
      <c r="J76" s="134">
        <v>20</v>
      </c>
      <c r="K76" s="92">
        <f>G76/J76*100</f>
        <v>0</v>
      </c>
      <c r="L76" s="92">
        <f>H76/J76*100</f>
        <v>0</v>
      </c>
      <c r="M76" s="92">
        <f>I76/J76*100</f>
        <v>70</v>
      </c>
      <c r="N76" s="125">
        <f t="shared" si="8"/>
        <v>70</v>
      </c>
      <c r="O76" s="91"/>
      <c r="P76" s="92"/>
      <c r="Q76" s="92">
        <v>48.4</v>
      </c>
      <c r="R76" s="93">
        <f t="shared" si="9"/>
        <v>48.4</v>
      </c>
      <c r="S76" s="97">
        <v>5</v>
      </c>
      <c r="T76" s="95"/>
      <c r="U76" s="85"/>
      <c r="V76" s="82" t="s">
        <v>96</v>
      </c>
      <c r="W76" s="73" t="s">
        <v>20</v>
      </c>
      <c r="X76" s="73" t="s">
        <v>12</v>
      </c>
      <c r="Y76" s="83">
        <v>46.8</v>
      </c>
      <c r="Z76" s="73" t="s">
        <v>126</v>
      </c>
      <c r="AA76" s="73" t="s">
        <v>88</v>
      </c>
      <c r="AB76" s="73" t="s">
        <v>12</v>
      </c>
      <c r="AC76" s="73">
        <v>1.6</v>
      </c>
      <c r="AD76" s="82" t="s">
        <v>406</v>
      </c>
      <c r="AE76" s="73" t="s">
        <v>219</v>
      </c>
      <c r="AF76" s="73" t="s">
        <v>12</v>
      </c>
      <c r="AG76" s="83">
        <v>0</v>
      </c>
      <c r="AL76" s="82"/>
      <c r="AO76" s="83"/>
      <c r="AP76" s="82"/>
      <c r="AS76" s="83"/>
      <c r="AW76" s="83"/>
      <c r="BA76" s="84"/>
    </row>
    <row r="77" spans="1:53" s="334" customFormat="1">
      <c r="A77" s="334">
        <v>1991</v>
      </c>
      <c r="B77" s="355">
        <v>33373</v>
      </c>
      <c r="C77" s="992" t="s">
        <v>405</v>
      </c>
      <c r="D77" s="992"/>
      <c r="E77" s="334">
        <f>365-E76</f>
        <v>231</v>
      </c>
      <c r="F77" s="334">
        <v>6</v>
      </c>
      <c r="G77" s="419"/>
      <c r="I77" s="334">
        <v>17</v>
      </c>
      <c r="J77" s="435">
        <v>20</v>
      </c>
      <c r="K77" s="384">
        <f>G77/J77*100</f>
        <v>0</v>
      </c>
      <c r="L77" s="384">
        <f>H77/J77*100</f>
        <v>0</v>
      </c>
      <c r="M77" s="384">
        <f>I77/J77*100</f>
        <v>85</v>
      </c>
      <c r="N77" s="421">
        <f t="shared" si="8"/>
        <v>85</v>
      </c>
      <c r="O77" s="383"/>
      <c r="P77" s="384"/>
      <c r="Q77" s="384">
        <v>48.4</v>
      </c>
      <c r="R77" s="385">
        <f t="shared" si="9"/>
        <v>48.4</v>
      </c>
      <c r="S77" s="388">
        <v>5</v>
      </c>
      <c r="T77" s="342"/>
      <c r="U77" s="355">
        <v>33373</v>
      </c>
      <c r="V77" s="343" t="s">
        <v>96</v>
      </c>
      <c r="W77" s="334" t="s">
        <v>20</v>
      </c>
      <c r="X77" s="334" t="s">
        <v>12</v>
      </c>
      <c r="Y77" s="344">
        <v>46.8</v>
      </c>
      <c r="Z77" s="334" t="s">
        <v>126</v>
      </c>
      <c r="AA77" s="334" t="s">
        <v>88</v>
      </c>
      <c r="AB77" s="334" t="s">
        <v>12</v>
      </c>
      <c r="AC77" s="334">
        <v>1.6</v>
      </c>
      <c r="AD77" s="343" t="s">
        <v>406</v>
      </c>
      <c r="AE77" s="334" t="s">
        <v>219</v>
      </c>
      <c r="AF77" s="334" t="s">
        <v>12</v>
      </c>
      <c r="AG77" s="344">
        <v>0</v>
      </c>
      <c r="AL77" s="343"/>
      <c r="AO77" s="344"/>
      <c r="AP77" s="343"/>
      <c r="AS77" s="344"/>
      <c r="AW77" s="344"/>
      <c r="BA77" s="345"/>
    </row>
    <row r="78" spans="1:53" s="334" customFormat="1">
      <c r="A78" s="334">
        <v>1992</v>
      </c>
      <c r="B78" s="355"/>
      <c r="C78" s="992" t="s">
        <v>405</v>
      </c>
      <c r="D78" s="992"/>
      <c r="E78" s="334">
        <v>92</v>
      </c>
      <c r="G78" s="419"/>
      <c r="I78" s="334">
        <v>17</v>
      </c>
      <c r="J78" s="435">
        <v>20</v>
      </c>
      <c r="K78" s="384">
        <f>G78/J78*100</f>
        <v>0</v>
      </c>
      <c r="L78" s="384">
        <f>H78/J78*100</f>
        <v>0</v>
      </c>
      <c r="M78" s="384">
        <f>I78/J78*100</f>
        <v>85</v>
      </c>
      <c r="N78" s="421">
        <f t="shared" si="8"/>
        <v>85</v>
      </c>
      <c r="O78" s="383"/>
      <c r="P78" s="384"/>
      <c r="Q78" s="384">
        <v>48.4</v>
      </c>
      <c r="R78" s="385">
        <f t="shared" si="9"/>
        <v>48.4</v>
      </c>
      <c r="S78" s="388">
        <v>5</v>
      </c>
      <c r="T78" s="342"/>
      <c r="U78" s="355"/>
      <c r="V78" s="343" t="s">
        <v>96</v>
      </c>
      <c r="W78" s="334" t="s">
        <v>20</v>
      </c>
      <c r="X78" s="334" t="s">
        <v>12</v>
      </c>
      <c r="Y78" s="344">
        <v>46.8</v>
      </c>
      <c r="Z78" s="334" t="s">
        <v>126</v>
      </c>
      <c r="AA78" s="334" t="s">
        <v>88</v>
      </c>
      <c r="AB78" s="334" t="s">
        <v>12</v>
      </c>
      <c r="AC78" s="334">
        <v>1.6</v>
      </c>
      <c r="AD78" s="343" t="s">
        <v>406</v>
      </c>
      <c r="AE78" s="334" t="s">
        <v>219</v>
      </c>
      <c r="AF78" s="334" t="s">
        <v>12</v>
      </c>
      <c r="AG78" s="344">
        <v>0</v>
      </c>
      <c r="AL78" s="343"/>
      <c r="AO78" s="344"/>
      <c r="AP78" s="343"/>
      <c r="AS78" s="344"/>
      <c r="AW78" s="344"/>
      <c r="BA78" s="345"/>
    </row>
    <row r="79" spans="1:53" s="73" customFormat="1">
      <c r="A79" s="73">
        <v>1992</v>
      </c>
      <c r="B79" s="85">
        <v>33696</v>
      </c>
      <c r="C79" s="988" t="s">
        <v>407</v>
      </c>
      <c r="D79" s="988"/>
      <c r="E79" s="73">
        <v>274</v>
      </c>
      <c r="F79" s="73">
        <v>6</v>
      </c>
      <c r="G79" s="123"/>
      <c r="I79" s="73">
        <v>20</v>
      </c>
      <c r="J79" s="134">
        <v>27</v>
      </c>
      <c r="K79" s="92">
        <f>G79/J79*100</f>
        <v>0</v>
      </c>
      <c r="L79" s="92">
        <f>H79/J79*100</f>
        <v>0</v>
      </c>
      <c r="M79" s="92">
        <f>I79/J79*100</f>
        <v>74.074074074074076</v>
      </c>
      <c r="N79" s="125">
        <f t="shared" si="8"/>
        <v>74.074074074074076</v>
      </c>
      <c r="O79" s="91"/>
      <c r="P79" s="92"/>
      <c r="Q79" s="92">
        <v>48.4</v>
      </c>
      <c r="R79" s="93">
        <f t="shared" si="9"/>
        <v>48.4</v>
      </c>
      <c r="S79" s="97">
        <v>5</v>
      </c>
      <c r="T79" s="95"/>
      <c r="U79" s="85">
        <v>33696</v>
      </c>
      <c r="V79" s="82" t="s">
        <v>96</v>
      </c>
      <c r="W79" s="73" t="s">
        <v>20</v>
      </c>
      <c r="X79" s="73" t="s">
        <v>12</v>
      </c>
      <c r="Y79" s="83">
        <v>46.8</v>
      </c>
      <c r="Z79" s="73" t="s">
        <v>126</v>
      </c>
      <c r="AA79" s="73" t="s">
        <v>88</v>
      </c>
      <c r="AB79" s="73" t="s">
        <v>12</v>
      </c>
      <c r="AC79" s="73">
        <v>1.6</v>
      </c>
      <c r="AD79" s="82"/>
      <c r="AG79" s="83"/>
      <c r="AL79" s="82"/>
      <c r="AO79" s="83"/>
      <c r="AP79" s="82"/>
      <c r="AS79" s="83"/>
      <c r="AW79" s="83"/>
      <c r="BA79" s="84"/>
    </row>
    <row r="80" spans="1:53" s="73" customFormat="1">
      <c r="A80" s="73">
        <v>1993</v>
      </c>
      <c r="B80" s="85"/>
      <c r="C80" s="988" t="s">
        <v>407</v>
      </c>
      <c r="D80" s="988"/>
      <c r="E80" s="73">
        <v>87</v>
      </c>
      <c r="G80" s="123"/>
      <c r="I80" s="73">
        <v>20</v>
      </c>
      <c r="J80" s="134">
        <v>27</v>
      </c>
      <c r="K80" s="92">
        <f t="shared" ref="K80:K107" si="10">G80/J80*100</f>
        <v>0</v>
      </c>
      <c r="L80" s="92">
        <f t="shared" ref="L80:L107" si="11">H80/J80*100</f>
        <v>0</v>
      </c>
      <c r="M80" s="92">
        <f t="shared" ref="M80:M107" si="12">I80/J80*100</f>
        <v>74.074074074074076</v>
      </c>
      <c r="N80" s="125">
        <f t="shared" si="8"/>
        <v>74.074074074074076</v>
      </c>
      <c r="O80" s="91"/>
      <c r="P80" s="92"/>
      <c r="Q80" s="92">
        <v>48.4</v>
      </c>
      <c r="R80" s="93">
        <f t="shared" si="9"/>
        <v>48.4</v>
      </c>
      <c r="S80" s="97">
        <v>5</v>
      </c>
      <c r="T80" s="95"/>
      <c r="U80" s="85"/>
      <c r="V80" s="82" t="s">
        <v>96</v>
      </c>
      <c r="W80" s="73" t="s">
        <v>20</v>
      </c>
      <c r="X80" s="73" t="s">
        <v>12</v>
      </c>
      <c r="Y80" s="83">
        <v>46.8</v>
      </c>
      <c r="Z80" s="73" t="s">
        <v>126</v>
      </c>
      <c r="AA80" s="73" t="s">
        <v>88</v>
      </c>
      <c r="AB80" s="73" t="s">
        <v>12</v>
      </c>
      <c r="AC80" s="73">
        <v>1.6</v>
      </c>
      <c r="AD80" s="82"/>
      <c r="AG80" s="83"/>
      <c r="AL80" s="82"/>
      <c r="AO80" s="83"/>
      <c r="AP80" s="82"/>
      <c r="AS80" s="83"/>
      <c r="AW80" s="83"/>
      <c r="BA80" s="84"/>
    </row>
    <row r="81" spans="1:53" s="334" customFormat="1">
      <c r="A81" s="334">
        <v>1993</v>
      </c>
      <c r="B81" s="355">
        <v>34057</v>
      </c>
      <c r="C81" s="992" t="s">
        <v>408</v>
      </c>
      <c r="D81" s="992"/>
      <c r="E81" s="334">
        <f>365-E80</f>
        <v>278</v>
      </c>
      <c r="F81" s="334">
        <v>1</v>
      </c>
      <c r="G81" s="419">
        <v>15</v>
      </c>
      <c r="H81" s="334">
        <v>14</v>
      </c>
      <c r="J81" s="435">
        <v>30</v>
      </c>
      <c r="K81" s="384">
        <f t="shared" si="10"/>
        <v>50</v>
      </c>
      <c r="L81" s="384">
        <f t="shared" si="11"/>
        <v>46.666666666666664</v>
      </c>
      <c r="M81" s="384">
        <f t="shared" si="12"/>
        <v>0</v>
      </c>
      <c r="N81" s="421">
        <f t="shared" si="8"/>
        <v>96.666666666666657</v>
      </c>
      <c r="O81" s="383">
        <v>44.5</v>
      </c>
      <c r="P81" s="384">
        <v>37.299999999999997</v>
      </c>
      <c r="Q81" s="384"/>
      <c r="R81" s="385">
        <f t="shared" si="9"/>
        <v>81.8</v>
      </c>
      <c r="S81" s="388">
        <v>2</v>
      </c>
      <c r="T81" s="342">
        <v>34056</v>
      </c>
      <c r="U81" s="355">
        <v>34057</v>
      </c>
      <c r="V81" s="343" t="s">
        <v>382</v>
      </c>
      <c r="W81" s="334" t="s">
        <v>76</v>
      </c>
      <c r="X81" s="334" t="s">
        <v>11</v>
      </c>
      <c r="Y81" s="344">
        <v>44.5</v>
      </c>
      <c r="Z81" s="343" t="s">
        <v>127</v>
      </c>
      <c r="AA81" s="334" t="s">
        <v>79</v>
      </c>
      <c r="AB81" s="334" t="s">
        <v>18</v>
      </c>
      <c r="AC81" s="334">
        <v>37.299999999999997</v>
      </c>
      <c r="AD81" s="343"/>
      <c r="AG81" s="344"/>
      <c r="AL81" s="343"/>
      <c r="AO81" s="344"/>
      <c r="AP81" s="343"/>
      <c r="AS81" s="344"/>
      <c r="AW81" s="344"/>
      <c r="BA81" s="345"/>
    </row>
    <row r="82" spans="1:53" s="334" customFormat="1">
      <c r="A82" s="334">
        <v>1994</v>
      </c>
      <c r="B82" s="355"/>
      <c r="C82" s="992" t="s">
        <v>408</v>
      </c>
      <c r="D82" s="992"/>
      <c r="E82" s="334">
        <v>0</v>
      </c>
      <c r="G82" s="419">
        <v>14</v>
      </c>
      <c r="H82" s="334">
        <v>14</v>
      </c>
      <c r="J82" s="435">
        <v>29</v>
      </c>
      <c r="K82" s="384">
        <f t="shared" si="10"/>
        <v>48.275862068965516</v>
      </c>
      <c r="L82" s="384">
        <f t="shared" si="11"/>
        <v>48.275862068965516</v>
      </c>
      <c r="M82" s="384">
        <f t="shared" si="12"/>
        <v>0</v>
      </c>
      <c r="N82" s="421">
        <f t="shared" si="8"/>
        <v>96.551724137931032</v>
      </c>
      <c r="O82" s="383">
        <v>44.5</v>
      </c>
      <c r="P82" s="384">
        <v>37.299999999999997</v>
      </c>
      <c r="Q82" s="384"/>
      <c r="R82" s="385">
        <f t="shared" si="9"/>
        <v>81.8</v>
      </c>
      <c r="S82" s="388">
        <v>2</v>
      </c>
      <c r="T82" s="342"/>
      <c r="U82" s="355"/>
      <c r="V82" s="343" t="s">
        <v>382</v>
      </c>
      <c r="W82" s="334" t="s">
        <v>76</v>
      </c>
      <c r="X82" s="334" t="s">
        <v>11</v>
      </c>
      <c r="Y82" s="344">
        <v>44.5</v>
      </c>
      <c r="Z82" s="343" t="s">
        <v>127</v>
      </c>
      <c r="AA82" s="334" t="s">
        <v>79</v>
      </c>
      <c r="AB82" s="334" t="s">
        <v>18</v>
      </c>
      <c r="AC82" s="334">
        <v>37.299999999999997</v>
      </c>
      <c r="AD82" s="343"/>
      <c r="AG82" s="344"/>
      <c r="AL82" s="343"/>
      <c r="AO82" s="344"/>
      <c r="AP82" s="343"/>
      <c r="AS82" s="344"/>
      <c r="AW82" s="344"/>
      <c r="BA82" s="345"/>
    </row>
    <row r="83" spans="1:53" s="334" customFormat="1">
      <c r="A83" s="334">
        <v>1994</v>
      </c>
      <c r="B83" s="355"/>
      <c r="C83" s="992" t="s">
        <v>408</v>
      </c>
      <c r="D83" s="992"/>
      <c r="E83" s="334">
        <f>365-E82</f>
        <v>365</v>
      </c>
      <c r="G83" s="419">
        <v>14</v>
      </c>
      <c r="H83" s="334">
        <v>14</v>
      </c>
      <c r="J83" s="435">
        <v>29</v>
      </c>
      <c r="K83" s="384">
        <f t="shared" si="10"/>
        <v>48.275862068965516</v>
      </c>
      <c r="L83" s="384">
        <f t="shared" si="11"/>
        <v>48.275862068965516</v>
      </c>
      <c r="M83" s="384">
        <f t="shared" si="12"/>
        <v>0</v>
      </c>
      <c r="N83" s="421">
        <f t="shared" si="8"/>
        <v>96.551724137931032</v>
      </c>
      <c r="O83" s="383">
        <v>44.5</v>
      </c>
      <c r="P83" s="384">
        <v>37.299999999999997</v>
      </c>
      <c r="Q83" s="384"/>
      <c r="R83" s="385">
        <f t="shared" si="9"/>
        <v>81.8</v>
      </c>
      <c r="S83" s="388">
        <v>2</v>
      </c>
      <c r="T83" s="342"/>
      <c r="U83" s="355"/>
      <c r="V83" s="343" t="s">
        <v>382</v>
      </c>
      <c r="W83" s="334" t="s">
        <v>76</v>
      </c>
      <c r="X83" s="334" t="s">
        <v>11</v>
      </c>
      <c r="Y83" s="344">
        <v>44.5</v>
      </c>
      <c r="Z83" s="343" t="s">
        <v>127</v>
      </c>
      <c r="AA83" s="334" t="s">
        <v>79</v>
      </c>
      <c r="AB83" s="334" t="s">
        <v>18</v>
      </c>
      <c r="AC83" s="334">
        <v>37.299999999999997</v>
      </c>
      <c r="AD83" s="343"/>
      <c r="AG83" s="344"/>
      <c r="AL83" s="343"/>
      <c r="AO83" s="344"/>
      <c r="AP83" s="343"/>
      <c r="AS83" s="344"/>
      <c r="AW83" s="344"/>
      <c r="BA83" s="345"/>
    </row>
    <row r="84" spans="1:53" s="334" customFormat="1">
      <c r="A84" s="334">
        <v>1995</v>
      </c>
      <c r="B84" s="355"/>
      <c r="C84" s="992" t="s">
        <v>408</v>
      </c>
      <c r="D84" s="992"/>
      <c r="E84" s="334">
        <v>137</v>
      </c>
      <c r="G84" s="419">
        <v>14</v>
      </c>
      <c r="H84" s="334">
        <v>14</v>
      </c>
      <c r="J84" s="435">
        <v>29</v>
      </c>
      <c r="K84" s="384">
        <f t="shared" si="10"/>
        <v>48.275862068965516</v>
      </c>
      <c r="L84" s="384">
        <f t="shared" si="11"/>
        <v>48.275862068965516</v>
      </c>
      <c r="M84" s="384">
        <f t="shared" si="12"/>
        <v>0</v>
      </c>
      <c r="N84" s="421">
        <f t="shared" si="8"/>
        <v>96.551724137931032</v>
      </c>
      <c r="O84" s="383">
        <v>44.5</v>
      </c>
      <c r="P84" s="384">
        <v>37.299999999999997</v>
      </c>
      <c r="Q84" s="384"/>
      <c r="R84" s="385">
        <f t="shared" si="9"/>
        <v>81.8</v>
      </c>
      <c r="S84" s="388">
        <v>2</v>
      </c>
      <c r="T84" s="342"/>
      <c r="U84" s="355"/>
      <c r="V84" s="343" t="s">
        <v>382</v>
      </c>
      <c r="W84" s="334" t="s">
        <v>76</v>
      </c>
      <c r="X84" s="334" t="s">
        <v>11</v>
      </c>
      <c r="Y84" s="344">
        <v>44.5</v>
      </c>
      <c r="Z84" s="343" t="s">
        <v>127</v>
      </c>
      <c r="AA84" s="334" t="s">
        <v>79</v>
      </c>
      <c r="AB84" s="334" t="s">
        <v>18</v>
      </c>
      <c r="AC84" s="334">
        <v>37.299999999999997</v>
      </c>
      <c r="AD84" s="343"/>
      <c r="AG84" s="344"/>
      <c r="AL84" s="343"/>
      <c r="AO84" s="344"/>
      <c r="AP84" s="343"/>
      <c r="AS84" s="344"/>
      <c r="AW84" s="344"/>
      <c r="BA84" s="345"/>
    </row>
    <row r="85" spans="1:53" s="73" customFormat="1">
      <c r="A85" s="73">
        <v>1995</v>
      </c>
      <c r="B85" s="85">
        <v>34837</v>
      </c>
      <c r="C85" s="988" t="s">
        <v>410</v>
      </c>
      <c r="D85" s="988"/>
      <c r="E85" s="73">
        <v>173</v>
      </c>
      <c r="F85" s="73">
        <v>2</v>
      </c>
      <c r="G85" s="123">
        <v>17</v>
      </c>
      <c r="H85" s="73">
        <v>11</v>
      </c>
      <c r="J85" s="134">
        <v>29</v>
      </c>
      <c r="K85" s="92">
        <f>G85/J85*100</f>
        <v>58.620689655172406</v>
      </c>
      <c r="L85" s="92">
        <f>H85/J85*100</f>
        <v>37.931034482758619</v>
      </c>
      <c r="M85" s="92">
        <f>I85/J85*100</f>
        <v>0</v>
      </c>
      <c r="N85" s="125">
        <f>SUM(K85:M85)</f>
        <v>96.551724137931018</v>
      </c>
      <c r="O85" s="91">
        <v>44.5</v>
      </c>
      <c r="P85" s="92">
        <v>37.299999999999997</v>
      </c>
      <c r="Q85" s="92"/>
      <c r="R85" s="93">
        <f>SUM(O85:Q85)</f>
        <v>81.8</v>
      </c>
      <c r="S85" s="97">
        <v>2</v>
      </c>
      <c r="T85" s="95"/>
      <c r="U85" s="85">
        <v>34837</v>
      </c>
      <c r="V85" s="82" t="s">
        <v>382</v>
      </c>
      <c r="W85" s="73" t="s">
        <v>76</v>
      </c>
      <c r="X85" s="73" t="s">
        <v>11</v>
      </c>
      <c r="Y85" s="83">
        <v>44.5</v>
      </c>
      <c r="Z85" s="82" t="s">
        <v>127</v>
      </c>
      <c r="AA85" s="73" t="s">
        <v>79</v>
      </c>
      <c r="AB85" s="73" t="s">
        <v>18</v>
      </c>
      <c r="AC85" s="73">
        <v>37.299999999999997</v>
      </c>
      <c r="AD85" s="82"/>
      <c r="AG85" s="83"/>
      <c r="AL85" s="82"/>
      <c r="AO85" s="83"/>
      <c r="AP85" s="82"/>
      <c r="AS85" s="83"/>
      <c r="AW85" s="83"/>
      <c r="BA85" s="84"/>
    </row>
    <row r="86" spans="1:53" s="334" customFormat="1">
      <c r="A86" s="334">
        <v>1995</v>
      </c>
      <c r="B86" s="355">
        <v>35010</v>
      </c>
      <c r="C86" s="992" t="s">
        <v>411</v>
      </c>
      <c r="D86" s="992"/>
      <c r="E86" s="334">
        <v>55</v>
      </c>
      <c r="F86" s="334">
        <v>2</v>
      </c>
      <c r="G86" s="419">
        <v>17</v>
      </c>
      <c r="H86" s="334">
        <v>10</v>
      </c>
      <c r="J86" s="435">
        <v>29</v>
      </c>
      <c r="K86" s="384">
        <f t="shared" si="10"/>
        <v>58.620689655172406</v>
      </c>
      <c r="L86" s="384">
        <f t="shared" si="11"/>
        <v>34.482758620689658</v>
      </c>
      <c r="M86" s="384">
        <f t="shared" si="12"/>
        <v>0</v>
      </c>
      <c r="N86" s="421">
        <f t="shared" si="8"/>
        <v>93.103448275862064</v>
      </c>
      <c r="O86" s="383">
        <v>44.5</v>
      </c>
      <c r="P86" s="384">
        <v>37.299999999999997</v>
      </c>
      <c r="Q86" s="384"/>
      <c r="R86" s="385">
        <f t="shared" si="9"/>
        <v>81.8</v>
      </c>
      <c r="S86" s="388">
        <v>2</v>
      </c>
      <c r="T86" s="342"/>
      <c r="U86" s="355">
        <v>35010</v>
      </c>
      <c r="V86" s="343" t="s">
        <v>382</v>
      </c>
      <c r="W86" s="334" t="s">
        <v>76</v>
      </c>
      <c r="X86" s="334" t="s">
        <v>11</v>
      </c>
      <c r="Y86" s="344">
        <v>44.5</v>
      </c>
      <c r="Z86" s="343" t="s">
        <v>127</v>
      </c>
      <c r="AA86" s="334" t="s">
        <v>79</v>
      </c>
      <c r="AB86" s="334" t="s">
        <v>18</v>
      </c>
      <c r="AC86" s="334">
        <v>37.299999999999997</v>
      </c>
      <c r="AD86" s="343"/>
      <c r="AG86" s="344"/>
      <c r="AL86" s="343"/>
      <c r="AO86" s="344"/>
      <c r="AP86" s="343"/>
      <c r="AS86" s="344"/>
      <c r="AW86" s="344"/>
      <c r="BA86" s="345"/>
    </row>
    <row r="87" spans="1:53" s="334" customFormat="1">
      <c r="A87" s="334">
        <v>1996</v>
      </c>
      <c r="B87" s="355"/>
      <c r="C87" s="992" t="s">
        <v>411</v>
      </c>
      <c r="D87" s="992"/>
      <c r="E87" s="334">
        <v>0</v>
      </c>
      <c r="G87" s="419">
        <v>17</v>
      </c>
      <c r="H87" s="334">
        <v>10</v>
      </c>
      <c r="J87" s="435">
        <v>29</v>
      </c>
      <c r="K87" s="384">
        <f t="shared" si="10"/>
        <v>58.620689655172406</v>
      </c>
      <c r="L87" s="384">
        <f t="shared" si="11"/>
        <v>34.482758620689658</v>
      </c>
      <c r="M87" s="384">
        <f t="shared" si="12"/>
        <v>0</v>
      </c>
      <c r="N87" s="421">
        <f t="shared" si="8"/>
        <v>93.103448275862064</v>
      </c>
      <c r="O87" s="383">
        <v>44.5</v>
      </c>
      <c r="P87" s="384">
        <v>37.299999999999997</v>
      </c>
      <c r="Q87" s="384"/>
      <c r="R87" s="385">
        <f t="shared" si="9"/>
        <v>81.8</v>
      </c>
      <c r="S87" s="388">
        <v>2</v>
      </c>
      <c r="T87" s="342"/>
      <c r="U87" s="355"/>
      <c r="V87" s="343" t="s">
        <v>382</v>
      </c>
      <c r="W87" s="334" t="s">
        <v>76</v>
      </c>
      <c r="X87" s="334" t="s">
        <v>11</v>
      </c>
      <c r="Y87" s="344">
        <v>44.5</v>
      </c>
      <c r="Z87" s="343" t="s">
        <v>127</v>
      </c>
      <c r="AA87" s="334" t="s">
        <v>79</v>
      </c>
      <c r="AB87" s="334" t="s">
        <v>18</v>
      </c>
      <c r="AC87" s="334">
        <v>37.299999999999997</v>
      </c>
      <c r="AD87" s="343"/>
      <c r="AG87" s="344"/>
      <c r="AL87" s="343"/>
      <c r="AO87" s="344"/>
      <c r="AP87" s="343"/>
      <c r="AS87" s="344"/>
      <c r="AW87" s="344"/>
      <c r="BA87" s="345"/>
    </row>
    <row r="88" spans="1:53" s="334" customFormat="1">
      <c r="A88" s="334">
        <v>1996</v>
      </c>
      <c r="B88" s="355"/>
      <c r="C88" s="992" t="s">
        <v>411</v>
      </c>
      <c r="D88" s="992"/>
      <c r="E88" s="334">
        <v>366</v>
      </c>
      <c r="G88" s="419">
        <v>17</v>
      </c>
      <c r="H88" s="334">
        <v>10</v>
      </c>
      <c r="J88" s="435">
        <v>29</v>
      </c>
      <c r="K88" s="384">
        <f t="shared" si="10"/>
        <v>58.620689655172406</v>
      </c>
      <c r="L88" s="384">
        <f t="shared" si="11"/>
        <v>34.482758620689658</v>
      </c>
      <c r="M88" s="384">
        <f t="shared" si="12"/>
        <v>0</v>
      </c>
      <c r="N88" s="421">
        <f t="shared" si="8"/>
        <v>93.103448275862064</v>
      </c>
      <c r="O88" s="383">
        <v>44.5</v>
      </c>
      <c r="P88" s="384">
        <v>37.299999999999997</v>
      </c>
      <c r="Q88" s="384"/>
      <c r="R88" s="385">
        <f t="shared" si="9"/>
        <v>81.8</v>
      </c>
      <c r="S88" s="388">
        <v>2</v>
      </c>
      <c r="T88" s="342"/>
      <c r="U88" s="355"/>
      <c r="V88" s="343" t="s">
        <v>382</v>
      </c>
      <c r="W88" s="334" t="s">
        <v>76</v>
      </c>
      <c r="X88" s="334" t="s">
        <v>11</v>
      </c>
      <c r="Y88" s="344">
        <v>44.5</v>
      </c>
      <c r="Z88" s="343" t="s">
        <v>127</v>
      </c>
      <c r="AA88" s="334" t="s">
        <v>79</v>
      </c>
      <c r="AB88" s="334" t="s">
        <v>18</v>
      </c>
      <c r="AC88" s="334">
        <v>37.299999999999997</v>
      </c>
      <c r="AD88" s="343"/>
      <c r="AG88" s="344"/>
      <c r="AL88" s="343"/>
      <c r="AO88" s="344"/>
      <c r="AP88" s="343"/>
      <c r="AS88" s="344"/>
      <c r="AW88" s="344"/>
      <c r="BA88" s="345"/>
    </row>
    <row r="89" spans="1:53" s="334" customFormat="1">
      <c r="A89" s="334">
        <v>1997</v>
      </c>
      <c r="B89" s="355"/>
      <c r="C89" s="992" t="s">
        <v>411</v>
      </c>
      <c r="D89" s="992"/>
      <c r="E89" s="334">
        <v>154</v>
      </c>
      <c r="G89" s="419">
        <v>17</v>
      </c>
      <c r="H89" s="334">
        <v>10</v>
      </c>
      <c r="J89" s="435">
        <v>29</v>
      </c>
      <c r="K89" s="384">
        <f t="shared" si="10"/>
        <v>58.620689655172406</v>
      </c>
      <c r="L89" s="384">
        <f t="shared" si="11"/>
        <v>34.482758620689658</v>
      </c>
      <c r="M89" s="384">
        <f t="shared" si="12"/>
        <v>0</v>
      </c>
      <c r="N89" s="421">
        <f t="shared" si="8"/>
        <v>93.103448275862064</v>
      </c>
      <c r="O89" s="383">
        <v>44.5</v>
      </c>
      <c r="P89" s="384">
        <v>37.299999999999997</v>
      </c>
      <c r="Q89" s="384"/>
      <c r="R89" s="385">
        <f t="shared" si="9"/>
        <v>81.8</v>
      </c>
      <c r="S89" s="388">
        <v>2</v>
      </c>
      <c r="T89" s="342"/>
      <c r="U89" s="355"/>
      <c r="V89" s="343" t="s">
        <v>382</v>
      </c>
      <c r="W89" s="334" t="s">
        <v>76</v>
      </c>
      <c r="X89" s="334" t="s">
        <v>11</v>
      </c>
      <c r="Y89" s="344">
        <v>44.5</v>
      </c>
      <c r="Z89" s="343" t="s">
        <v>127</v>
      </c>
      <c r="AA89" s="334" t="s">
        <v>79</v>
      </c>
      <c r="AB89" s="334" t="s">
        <v>18</v>
      </c>
      <c r="AC89" s="334">
        <v>37.299999999999997</v>
      </c>
      <c r="AD89" s="343"/>
      <c r="AG89" s="344"/>
      <c r="AL89" s="343"/>
      <c r="AO89" s="344"/>
      <c r="AP89" s="343"/>
      <c r="AS89" s="344"/>
      <c r="AW89" s="344"/>
      <c r="BA89" s="345"/>
    </row>
    <row r="90" spans="1:53" s="73" customFormat="1">
      <c r="A90" s="73">
        <v>1997</v>
      </c>
      <c r="B90" s="85">
        <v>35585</v>
      </c>
      <c r="C90" s="988" t="s">
        <v>412</v>
      </c>
      <c r="D90" s="988"/>
      <c r="E90" s="73">
        <f>365-E89</f>
        <v>211</v>
      </c>
      <c r="F90" s="73">
        <v>1</v>
      </c>
      <c r="G90" s="123"/>
      <c r="I90" s="73">
        <v>17</v>
      </c>
      <c r="J90" s="134">
        <v>17</v>
      </c>
      <c r="K90" s="92">
        <f t="shared" si="10"/>
        <v>0</v>
      </c>
      <c r="L90" s="92">
        <f t="shared" si="11"/>
        <v>0</v>
      </c>
      <c r="M90" s="92">
        <f t="shared" si="12"/>
        <v>100</v>
      </c>
      <c r="N90" s="125">
        <f t="shared" si="8"/>
        <v>100</v>
      </c>
      <c r="O90" s="91"/>
      <c r="P90" s="92"/>
      <c r="Q90" s="92">
        <v>53.8</v>
      </c>
      <c r="R90" s="93">
        <f t="shared" si="9"/>
        <v>53.8</v>
      </c>
      <c r="S90" s="97">
        <v>3</v>
      </c>
      <c r="T90" s="95">
        <v>35582</v>
      </c>
      <c r="U90" s="85">
        <v>35585</v>
      </c>
      <c r="V90" s="82" t="s">
        <v>96</v>
      </c>
      <c r="W90" s="73" t="s">
        <v>20</v>
      </c>
      <c r="X90" s="73" t="s">
        <v>12</v>
      </c>
      <c r="Y90" s="83">
        <v>42.6</v>
      </c>
      <c r="Z90" s="82" t="s">
        <v>128</v>
      </c>
      <c r="AA90" s="73" t="s">
        <v>114</v>
      </c>
      <c r="AB90" s="73" t="s">
        <v>12</v>
      </c>
      <c r="AC90" s="73">
        <v>6.4</v>
      </c>
      <c r="AD90" s="82" t="s">
        <v>414</v>
      </c>
      <c r="AE90" s="73" t="s">
        <v>218</v>
      </c>
      <c r="AF90" s="73" t="s">
        <v>12</v>
      </c>
      <c r="AG90" s="83">
        <v>1.4</v>
      </c>
      <c r="AH90" s="73" t="s">
        <v>126</v>
      </c>
      <c r="AI90" s="73" t="s">
        <v>88</v>
      </c>
      <c r="AJ90" s="73" t="s">
        <v>12</v>
      </c>
      <c r="AK90" s="73">
        <v>2.2000000000000002</v>
      </c>
      <c r="AL90" s="82" t="s">
        <v>413</v>
      </c>
      <c r="AM90" s="73" t="s">
        <v>337</v>
      </c>
      <c r="AN90" s="73" t="s">
        <v>12</v>
      </c>
      <c r="AO90" s="83">
        <v>1.2</v>
      </c>
      <c r="AP90" s="82"/>
      <c r="AS90" s="83"/>
      <c r="AW90" s="83"/>
      <c r="BA90" s="84"/>
    </row>
    <row r="91" spans="1:53" s="73" customFormat="1">
      <c r="A91" s="73">
        <v>1998</v>
      </c>
      <c r="B91" s="85"/>
      <c r="C91" s="988" t="s">
        <v>412</v>
      </c>
      <c r="D91" s="988"/>
      <c r="E91" s="73">
        <v>88</v>
      </c>
      <c r="G91" s="123"/>
      <c r="I91" s="73">
        <v>17</v>
      </c>
      <c r="J91" s="134">
        <v>17</v>
      </c>
      <c r="K91" s="92">
        <f t="shared" si="10"/>
        <v>0</v>
      </c>
      <c r="L91" s="92">
        <f t="shared" si="11"/>
        <v>0</v>
      </c>
      <c r="M91" s="92">
        <f t="shared" si="12"/>
        <v>100</v>
      </c>
      <c r="N91" s="125">
        <f t="shared" si="8"/>
        <v>100</v>
      </c>
      <c r="O91" s="91"/>
      <c r="P91" s="92"/>
      <c r="Q91" s="92">
        <v>53.8</v>
      </c>
      <c r="R91" s="93">
        <f t="shared" si="9"/>
        <v>53.8</v>
      </c>
      <c r="S91" s="97">
        <v>3</v>
      </c>
      <c r="T91" s="95"/>
      <c r="U91" s="85"/>
      <c r="V91" s="82" t="s">
        <v>96</v>
      </c>
      <c r="W91" s="73" t="s">
        <v>20</v>
      </c>
      <c r="X91" s="73" t="s">
        <v>12</v>
      </c>
      <c r="Y91" s="83">
        <v>42.6</v>
      </c>
      <c r="Z91" s="82" t="s">
        <v>128</v>
      </c>
      <c r="AA91" s="73" t="s">
        <v>114</v>
      </c>
      <c r="AB91" s="73" t="s">
        <v>12</v>
      </c>
      <c r="AC91" s="73">
        <v>6.4</v>
      </c>
      <c r="AD91" s="82" t="s">
        <v>414</v>
      </c>
      <c r="AE91" s="73" t="s">
        <v>218</v>
      </c>
      <c r="AF91" s="73" t="s">
        <v>12</v>
      </c>
      <c r="AG91" s="83">
        <v>1.4</v>
      </c>
      <c r="AH91" s="73" t="s">
        <v>1333</v>
      </c>
      <c r="AI91" s="73" t="s">
        <v>88</v>
      </c>
      <c r="AJ91" s="73" t="s">
        <v>12</v>
      </c>
      <c r="AK91" s="73">
        <v>2.2000000000000002</v>
      </c>
      <c r="AL91" s="82" t="s">
        <v>413</v>
      </c>
      <c r="AM91" s="73" t="s">
        <v>337</v>
      </c>
      <c r="AN91" s="73" t="s">
        <v>12</v>
      </c>
      <c r="AO91" s="83">
        <v>1.2</v>
      </c>
      <c r="AP91" s="82"/>
      <c r="AS91" s="83"/>
      <c r="AW91" s="83"/>
      <c r="BA91" s="84"/>
    </row>
    <row r="92" spans="1:53" s="73" customFormat="1">
      <c r="A92" s="73">
        <v>1998</v>
      </c>
      <c r="B92" s="149">
        <v>35884</v>
      </c>
      <c r="C92" s="988" t="s">
        <v>412</v>
      </c>
      <c r="D92" s="988"/>
      <c r="E92" s="73">
        <f>365-E91</f>
        <v>277</v>
      </c>
      <c r="F92" s="150">
        <v>0</v>
      </c>
      <c r="G92" s="123"/>
      <c r="I92" s="73">
        <v>18</v>
      </c>
      <c r="J92" s="134">
        <v>18</v>
      </c>
      <c r="K92" s="92">
        <f t="shared" si="10"/>
        <v>0</v>
      </c>
      <c r="L92" s="92">
        <f t="shared" si="11"/>
        <v>0</v>
      </c>
      <c r="M92" s="92">
        <f t="shared" si="12"/>
        <v>100</v>
      </c>
      <c r="N92" s="125">
        <f t="shared" si="8"/>
        <v>100</v>
      </c>
      <c r="O92" s="91"/>
      <c r="P92" s="92"/>
      <c r="Q92" s="92">
        <v>53.8</v>
      </c>
      <c r="R92" s="93">
        <f t="shared" si="9"/>
        <v>53.8</v>
      </c>
      <c r="S92" s="97">
        <v>3</v>
      </c>
      <c r="T92" s="95"/>
      <c r="U92" s="149"/>
      <c r="V92" s="82" t="s">
        <v>96</v>
      </c>
      <c r="W92" s="73" t="s">
        <v>20</v>
      </c>
      <c r="X92" s="73" t="s">
        <v>12</v>
      </c>
      <c r="Y92" s="83">
        <v>42.6</v>
      </c>
      <c r="Z92" s="82" t="s">
        <v>128</v>
      </c>
      <c r="AA92" s="73" t="s">
        <v>114</v>
      </c>
      <c r="AB92" s="73" t="s">
        <v>12</v>
      </c>
      <c r="AC92" s="73">
        <v>6.4</v>
      </c>
      <c r="AD92" s="82" t="s">
        <v>414</v>
      </c>
      <c r="AE92" s="73" t="s">
        <v>218</v>
      </c>
      <c r="AF92" s="73" t="s">
        <v>12</v>
      </c>
      <c r="AG92" s="83">
        <v>1.4</v>
      </c>
      <c r="AH92" s="712" t="s">
        <v>1333</v>
      </c>
      <c r="AI92" s="73" t="s">
        <v>88</v>
      </c>
      <c r="AJ92" s="73" t="s">
        <v>12</v>
      </c>
      <c r="AK92" s="73">
        <v>2.2000000000000002</v>
      </c>
      <c r="AL92" s="82" t="s">
        <v>413</v>
      </c>
      <c r="AM92" s="73" t="s">
        <v>337</v>
      </c>
      <c r="AN92" s="73" t="s">
        <v>12</v>
      </c>
      <c r="AO92" s="83">
        <v>1.2</v>
      </c>
      <c r="AP92" s="82"/>
      <c r="AS92" s="83"/>
      <c r="AW92" s="83"/>
      <c r="BA92" s="84"/>
    </row>
    <row r="93" spans="1:53" s="73" customFormat="1">
      <c r="A93" s="73">
        <v>1999</v>
      </c>
      <c r="B93" s="85"/>
      <c r="C93" s="988" t="s">
        <v>412</v>
      </c>
      <c r="D93" s="988"/>
      <c r="E93" s="73">
        <v>0</v>
      </c>
      <c r="G93" s="123"/>
      <c r="I93" s="73">
        <v>18</v>
      </c>
      <c r="J93" s="134">
        <v>18</v>
      </c>
      <c r="K93" s="92">
        <f t="shared" si="10"/>
        <v>0</v>
      </c>
      <c r="L93" s="92">
        <f t="shared" si="11"/>
        <v>0</v>
      </c>
      <c r="M93" s="92">
        <f t="shared" si="12"/>
        <v>100</v>
      </c>
      <c r="N93" s="125">
        <f t="shared" si="8"/>
        <v>100</v>
      </c>
      <c r="O93" s="91"/>
      <c r="P93" s="92"/>
      <c r="Q93" s="92">
        <v>53.8</v>
      </c>
      <c r="R93" s="93">
        <f t="shared" si="9"/>
        <v>53.8</v>
      </c>
      <c r="S93" s="97">
        <v>3</v>
      </c>
      <c r="T93" s="95"/>
      <c r="U93" s="85"/>
      <c r="V93" s="82" t="s">
        <v>96</v>
      </c>
      <c r="W93" s="73" t="s">
        <v>20</v>
      </c>
      <c r="X93" s="73" t="s">
        <v>12</v>
      </c>
      <c r="Y93" s="83">
        <v>42.6</v>
      </c>
      <c r="Z93" s="82" t="s">
        <v>128</v>
      </c>
      <c r="AA93" s="73" t="s">
        <v>114</v>
      </c>
      <c r="AB93" s="73" t="s">
        <v>12</v>
      </c>
      <c r="AC93" s="73">
        <v>6.4</v>
      </c>
      <c r="AD93" s="82" t="s">
        <v>414</v>
      </c>
      <c r="AE93" s="73" t="s">
        <v>218</v>
      </c>
      <c r="AF93" s="73" t="s">
        <v>12</v>
      </c>
      <c r="AG93" s="83">
        <v>1.4</v>
      </c>
      <c r="AH93" s="712" t="s">
        <v>1333</v>
      </c>
      <c r="AI93" s="73" t="s">
        <v>88</v>
      </c>
      <c r="AJ93" s="73" t="s">
        <v>12</v>
      </c>
      <c r="AK93" s="73">
        <v>2.2000000000000002</v>
      </c>
      <c r="AL93" s="82" t="s">
        <v>413</v>
      </c>
      <c r="AM93" s="73" t="s">
        <v>337</v>
      </c>
      <c r="AN93" s="73" t="s">
        <v>12</v>
      </c>
      <c r="AO93" s="83">
        <v>1.2</v>
      </c>
      <c r="AP93" s="82"/>
      <c r="AS93" s="83"/>
      <c r="AW93" s="83"/>
      <c r="BA93" s="84"/>
    </row>
    <row r="94" spans="1:53" s="73" customFormat="1">
      <c r="A94" s="73">
        <v>1999</v>
      </c>
      <c r="B94" s="85"/>
      <c r="C94" s="988" t="s">
        <v>412</v>
      </c>
      <c r="D94" s="988"/>
      <c r="E94" s="73">
        <f>365-E93</f>
        <v>365</v>
      </c>
      <c r="G94" s="123"/>
      <c r="I94" s="73">
        <v>18</v>
      </c>
      <c r="J94" s="134">
        <v>18</v>
      </c>
      <c r="K94" s="92">
        <f t="shared" si="10"/>
        <v>0</v>
      </c>
      <c r="L94" s="92">
        <f t="shared" si="11"/>
        <v>0</v>
      </c>
      <c r="M94" s="92">
        <f t="shared" si="12"/>
        <v>100</v>
      </c>
      <c r="N94" s="125">
        <f t="shared" si="8"/>
        <v>100</v>
      </c>
      <c r="O94" s="91"/>
      <c r="P94" s="92"/>
      <c r="Q94" s="92">
        <v>53.8</v>
      </c>
      <c r="R94" s="93">
        <f t="shared" si="9"/>
        <v>53.8</v>
      </c>
      <c r="S94" s="97">
        <v>3</v>
      </c>
      <c r="T94" s="95"/>
      <c r="U94" s="85"/>
      <c r="V94" s="82" t="s">
        <v>96</v>
      </c>
      <c r="W94" s="73" t="s">
        <v>20</v>
      </c>
      <c r="X94" s="73" t="s">
        <v>12</v>
      </c>
      <c r="Y94" s="83">
        <v>42.6</v>
      </c>
      <c r="Z94" s="82" t="s">
        <v>128</v>
      </c>
      <c r="AA94" s="73" t="s">
        <v>114</v>
      </c>
      <c r="AB94" s="73" t="s">
        <v>12</v>
      </c>
      <c r="AC94" s="73">
        <v>6.4</v>
      </c>
      <c r="AD94" s="82" t="s">
        <v>414</v>
      </c>
      <c r="AE94" s="73" t="s">
        <v>218</v>
      </c>
      <c r="AF94" s="73" t="s">
        <v>12</v>
      </c>
      <c r="AG94" s="83">
        <v>1.4</v>
      </c>
      <c r="AH94" s="712" t="s">
        <v>1333</v>
      </c>
      <c r="AI94" s="73" t="s">
        <v>88</v>
      </c>
      <c r="AJ94" s="73" t="s">
        <v>12</v>
      </c>
      <c r="AK94" s="73">
        <v>2.2000000000000002</v>
      </c>
      <c r="AL94" s="82" t="s">
        <v>413</v>
      </c>
      <c r="AM94" s="73" t="s">
        <v>337</v>
      </c>
      <c r="AN94" s="73" t="s">
        <v>12</v>
      </c>
      <c r="AO94" s="83">
        <v>1.2</v>
      </c>
      <c r="AP94" s="82"/>
      <c r="AS94" s="83"/>
      <c r="AW94" s="83"/>
      <c r="BA94" s="84"/>
    </row>
    <row r="95" spans="1:53" s="73" customFormat="1">
      <c r="A95" s="73">
        <v>2000</v>
      </c>
      <c r="B95" s="85"/>
      <c r="C95" s="988" t="s">
        <v>412</v>
      </c>
      <c r="D95" s="988"/>
      <c r="E95" s="73">
        <v>86</v>
      </c>
      <c r="G95" s="123"/>
      <c r="I95" s="73">
        <v>18</v>
      </c>
      <c r="J95" s="134">
        <v>18</v>
      </c>
      <c r="K95" s="92">
        <f t="shared" si="10"/>
        <v>0</v>
      </c>
      <c r="L95" s="92">
        <f t="shared" si="11"/>
        <v>0</v>
      </c>
      <c r="M95" s="92">
        <f t="shared" si="12"/>
        <v>100</v>
      </c>
      <c r="N95" s="125">
        <f t="shared" si="8"/>
        <v>100</v>
      </c>
      <c r="O95" s="91"/>
      <c r="P95" s="92"/>
      <c r="Q95" s="92">
        <v>53.8</v>
      </c>
      <c r="R95" s="93">
        <f t="shared" si="9"/>
        <v>53.8</v>
      </c>
      <c r="S95" s="97">
        <v>3</v>
      </c>
      <c r="T95" s="95"/>
      <c r="U95" s="85"/>
      <c r="V95" s="82" t="s">
        <v>96</v>
      </c>
      <c r="W95" s="73" t="s">
        <v>20</v>
      </c>
      <c r="X95" s="73" t="s">
        <v>12</v>
      </c>
      <c r="Y95" s="83">
        <v>42.6</v>
      </c>
      <c r="Z95" s="82" t="s">
        <v>128</v>
      </c>
      <c r="AA95" s="73" t="s">
        <v>114</v>
      </c>
      <c r="AB95" s="73" t="s">
        <v>12</v>
      </c>
      <c r="AC95" s="73">
        <v>6.4</v>
      </c>
      <c r="AD95" s="82" t="s">
        <v>414</v>
      </c>
      <c r="AE95" s="73" t="s">
        <v>218</v>
      </c>
      <c r="AF95" s="73" t="s">
        <v>12</v>
      </c>
      <c r="AG95" s="83">
        <v>1.4</v>
      </c>
      <c r="AH95" s="712" t="s">
        <v>1333</v>
      </c>
      <c r="AI95" s="73" t="s">
        <v>88</v>
      </c>
      <c r="AJ95" s="73" t="s">
        <v>12</v>
      </c>
      <c r="AK95" s="73">
        <v>2.2000000000000002</v>
      </c>
      <c r="AL95" s="82" t="s">
        <v>413</v>
      </c>
      <c r="AM95" s="73" t="s">
        <v>337</v>
      </c>
      <c r="AN95" s="73" t="s">
        <v>12</v>
      </c>
      <c r="AO95" s="83">
        <v>1.2</v>
      </c>
      <c r="AP95" s="82"/>
      <c r="AS95" s="83"/>
      <c r="AW95" s="83"/>
      <c r="BA95" s="84"/>
    </row>
    <row r="96" spans="1:53" s="73" customFormat="1">
      <c r="A96" s="73">
        <v>2000</v>
      </c>
      <c r="B96" s="149">
        <v>36612</v>
      </c>
      <c r="C96" s="988" t="s">
        <v>412</v>
      </c>
      <c r="D96" s="988"/>
      <c r="E96" s="73">
        <v>280</v>
      </c>
      <c r="F96" s="150">
        <v>0</v>
      </c>
      <c r="G96" s="123"/>
      <c r="I96" s="73">
        <v>21</v>
      </c>
      <c r="J96" s="134">
        <v>21</v>
      </c>
      <c r="K96" s="92">
        <f t="shared" si="10"/>
        <v>0</v>
      </c>
      <c r="L96" s="92">
        <f t="shared" si="11"/>
        <v>0</v>
      </c>
      <c r="M96" s="92">
        <f t="shared" si="12"/>
        <v>100</v>
      </c>
      <c r="N96" s="125">
        <f t="shared" si="8"/>
        <v>100</v>
      </c>
      <c r="O96" s="91"/>
      <c r="P96" s="92"/>
      <c r="Q96" s="92">
        <v>53.8</v>
      </c>
      <c r="R96" s="93">
        <f t="shared" si="9"/>
        <v>53.8</v>
      </c>
      <c r="S96" s="97">
        <v>3</v>
      </c>
      <c r="T96" s="95"/>
      <c r="U96" s="149"/>
      <c r="V96" s="82" t="s">
        <v>96</v>
      </c>
      <c r="W96" s="73" t="s">
        <v>20</v>
      </c>
      <c r="X96" s="73" t="s">
        <v>12</v>
      </c>
      <c r="Y96" s="83">
        <v>42.6</v>
      </c>
      <c r="Z96" s="82" t="s">
        <v>128</v>
      </c>
      <c r="AA96" s="73" t="s">
        <v>114</v>
      </c>
      <c r="AB96" s="73" t="s">
        <v>12</v>
      </c>
      <c r="AC96" s="73">
        <v>6.4</v>
      </c>
      <c r="AD96" s="82" t="s">
        <v>414</v>
      </c>
      <c r="AE96" s="73" t="s">
        <v>218</v>
      </c>
      <c r="AF96" s="73" t="s">
        <v>12</v>
      </c>
      <c r="AG96" s="83">
        <v>1.4</v>
      </c>
      <c r="AH96" s="712" t="s">
        <v>1333</v>
      </c>
      <c r="AI96" s="73" t="s">
        <v>88</v>
      </c>
      <c r="AJ96" s="73" t="s">
        <v>12</v>
      </c>
      <c r="AK96" s="73">
        <v>2.2000000000000002</v>
      </c>
      <c r="AL96" s="82" t="s">
        <v>413</v>
      </c>
      <c r="AM96" s="73" t="s">
        <v>337</v>
      </c>
      <c r="AN96" s="73" t="s">
        <v>12</v>
      </c>
      <c r="AO96" s="83">
        <v>1.2</v>
      </c>
      <c r="AP96" s="82"/>
      <c r="AS96" s="83"/>
      <c r="AW96" s="83"/>
      <c r="BA96" s="84"/>
    </row>
    <row r="97" spans="1:53" s="73" customFormat="1">
      <c r="A97" s="73">
        <v>2001</v>
      </c>
      <c r="B97" s="85"/>
      <c r="C97" s="988" t="s">
        <v>412</v>
      </c>
      <c r="D97" s="988"/>
      <c r="E97" s="73">
        <v>0</v>
      </c>
      <c r="G97" s="123"/>
      <c r="I97" s="73">
        <v>21</v>
      </c>
      <c r="J97" s="134">
        <v>21</v>
      </c>
      <c r="K97" s="92">
        <f t="shared" si="10"/>
        <v>0</v>
      </c>
      <c r="L97" s="92">
        <f t="shared" si="11"/>
        <v>0</v>
      </c>
      <c r="M97" s="92">
        <f t="shared" si="12"/>
        <v>100</v>
      </c>
      <c r="N97" s="125">
        <f t="shared" si="8"/>
        <v>100</v>
      </c>
      <c r="O97" s="91"/>
      <c r="P97" s="92"/>
      <c r="Q97" s="92">
        <v>53.8</v>
      </c>
      <c r="R97" s="93">
        <f t="shared" si="9"/>
        <v>53.8</v>
      </c>
      <c r="S97" s="97">
        <v>3</v>
      </c>
      <c r="T97" s="95"/>
      <c r="U97" s="85"/>
      <c r="V97" s="82" t="s">
        <v>96</v>
      </c>
      <c r="W97" s="73" t="s">
        <v>20</v>
      </c>
      <c r="X97" s="73" t="s">
        <v>12</v>
      </c>
      <c r="Y97" s="83">
        <v>42.6</v>
      </c>
      <c r="Z97" s="82" t="s">
        <v>128</v>
      </c>
      <c r="AA97" s="73" t="s">
        <v>114</v>
      </c>
      <c r="AB97" s="73" t="s">
        <v>12</v>
      </c>
      <c r="AC97" s="73">
        <v>6.4</v>
      </c>
      <c r="AD97" s="82" t="s">
        <v>414</v>
      </c>
      <c r="AE97" s="73" t="s">
        <v>218</v>
      </c>
      <c r="AF97" s="73" t="s">
        <v>12</v>
      </c>
      <c r="AG97" s="83">
        <v>1.4</v>
      </c>
      <c r="AH97" s="712" t="s">
        <v>1333</v>
      </c>
      <c r="AI97" s="73" t="s">
        <v>88</v>
      </c>
      <c r="AJ97" s="73" t="s">
        <v>12</v>
      </c>
      <c r="AK97" s="73">
        <v>2.2000000000000002</v>
      </c>
      <c r="AL97" s="82" t="s">
        <v>413</v>
      </c>
      <c r="AM97" s="73" t="s">
        <v>337</v>
      </c>
      <c r="AN97" s="73" t="s">
        <v>12</v>
      </c>
      <c r="AO97" s="83">
        <v>1.2</v>
      </c>
      <c r="AP97" s="82"/>
      <c r="AS97" s="83"/>
      <c r="AW97" s="83"/>
      <c r="BA97" s="84"/>
    </row>
    <row r="98" spans="1:53" s="73" customFormat="1">
      <c r="A98" s="73">
        <v>2001</v>
      </c>
      <c r="B98" s="85"/>
      <c r="C98" s="988" t="s">
        <v>412</v>
      </c>
      <c r="D98" s="988"/>
      <c r="E98" s="73">
        <f>365-E97</f>
        <v>365</v>
      </c>
      <c r="G98" s="123"/>
      <c r="I98" s="73">
        <v>21</v>
      </c>
      <c r="J98" s="134">
        <v>21</v>
      </c>
      <c r="K98" s="92">
        <f t="shared" si="10"/>
        <v>0</v>
      </c>
      <c r="L98" s="92">
        <f t="shared" si="11"/>
        <v>0</v>
      </c>
      <c r="M98" s="92">
        <f t="shared" si="12"/>
        <v>100</v>
      </c>
      <c r="N98" s="125">
        <f t="shared" si="8"/>
        <v>100</v>
      </c>
      <c r="O98" s="91"/>
      <c r="P98" s="92"/>
      <c r="Q98" s="92">
        <v>53.8</v>
      </c>
      <c r="R98" s="93">
        <f t="shared" si="9"/>
        <v>53.8</v>
      </c>
      <c r="S98" s="97">
        <v>3</v>
      </c>
      <c r="T98" s="95"/>
      <c r="U98" s="85"/>
      <c r="V98" s="82" t="s">
        <v>96</v>
      </c>
      <c r="W98" s="73" t="s">
        <v>20</v>
      </c>
      <c r="X98" s="73" t="s">
        <v>12</v>
      </c>
      <c r="Y98" s="83">
        <v>42.6</v>
      </c>
      <c r="Z98" s="82" t="s">
        <v>128</v>
      </c>
      <c r="AA98" s="73" t="s">
        <v>114</v>
      </c>
      <c r="AB98" s="73" t="s">
        <v>12</v>
      </c>
      <c r="AC98" s="73">
        <v>6.4</v>
      </c>
      <c r="AD98" s="82" t="s">
        <v>414</v>
      </c>
      <c r="AE98" s="73" t="s">
        <v>218</v>
      </c>
      <c r="AF98" s="73" t="s">
        <v>12</v>
      </c>
      <c r="AG98" s="83">
        <v>1.4</v>
      </c>
      <c r="AH98" s="712" t="s">
        <v>1333</v>
      </c>
      <c r="AI98" s="73" t="s">
        <v>88</v>
      </c>
      <c r="AJ98" s="73" t="s">
        <v>12</v>
      </c>
      <c r="AK98" s="73">
        <v>2.2000000000000002</v>
      </c>
      <c r="AL98" s="82" t="s">
        <v>413</v>
      </c>
      <c r="AM98" s="73" t="s">
        <v>337</v>
      </c>
      <c r="AN98" s="73" t="s">
        <v>12</v>
      </c>
      <c r="AO98" s="83">
        <v>1.2</v>
      </c>
      <c r="AP98" s="82"/>
      <c r="AS98" s="83"/>
      <c r="AW98" s="83"/>
      <c r="BA98" s="84"/>
    </row>
    <row r="99" spans="1:53" s="73" customFormat="1">
      <c r="A99" s="73">
        <v>2002</v>
      </c>
      <c r="B99" s="85"/>
      <c r="C99" s="988" t="s">
        <v>412</v>
      </c>
      <c r="D99" s="988"/>
      <c r="E99" s="73">
        <v>126</v>
      </c>
      <c r="G99" s="123"/>
      <c r="I99" s="73">
        <v>21</v>
      </c>
      <c r="J99" s="134">
        <v>21</v>
      </c>
      <c r="K99" s="92">
        <f t="shared" si="10"/>
        <v>0</v>
      </c>
      <c r="L99" s="92">
        <f t="shared" si="11"/>
        <v>0</v>
      </c>
      <c r="M99" s="92">
        <f t="shared" si="12"/>
        <v>100</v>
      </c>
      <c r="N99" s="125">
        <f t="shared" si="8"/>
        <v>100</v>
      </c>
      <c r="O99" s="91"/>
      <c r="P99" s="92"/>
      <c r="Q99" s="92">
        <v>53.8</v>
      </c>
      <c r="R99" s="93">
        <f t="shared" si="9"/>
        <v>53.8</v>
      </c>
      <c r="S99" s="97">
        <v>3</v>
      </c>
      <c r="T99" s="95"/>
      <c r="U99" s="85"/>
      <c r="V99" s="82" t="s">
        <v>96</v>
      </c>
      <c r="W99" s="73" t="s">
        <v>20</v>
      </c>
      <c r="X99" s="73" t="s">
        <v>12</v>
      </c>
      <c r="Y99" s="83">
        <v>42.6</v>
      </c>
      <c r="Z99" s="82" t="s">
        <v>128</v>
      </c>
      <c r="AA99" s="73" t="s">
        <v>114</v>
      </c>
      <c r="AB99" s="73" t="s">
        <v>12</v>
      </c>
      <c r="AC99" s="73">
        <v>6.4</v>
      </c>
      <c r="AD99" s="82" t="s">
        <v>414</v>
      </c>
      <c r="AE99" s="73" t="s">
        <v>218</v>
      </c>
      <c r="AF99" s="73" t="s">
        <v>12</v>
      </c>
      <c r="AG99" s="83">
        <v>1.4</v>
      </c>
      <c r="AH99" s="712" t="s">
        <v>1333</v>
      </c>
      <c r="AI99" s="73" t="s">
        <v>88</v>
      </c>
      <c r="AJ99" s="73" t="s">
        <v>12</v>
      </c>
      <c r="AK99" s="73">
        <v>2.2000000000000002</v>
      </c>
      <c r="AL99" s="82" t="s">
        <v>413</v>
      </c>
      <c r="AM99" s="73" t="s">
        <v>337</v>
      </c>
      <c r="AN99" s="73" t="s">
        <v>12</v>
      </c>
      <c r="AO99" s="83">
        <v>1.2</v>
      </c>
      <c r="AP99" s="82"/>
      <c r="AS99" s="83"/>
      <c r="AW99" s="83"/>
      <c r="BA99" s="84"/>
    </row>
    <row r="100" spans="1:53" s="334" customFormat="1">
      <c r="A100" s="334">
        <v>2002</v>
      </c>
      <c r="B100" s="355">
        <v>37383</v>
      </c>
      <c r="C100" s="992" t="s">
        <v>415</v>
      </c>
      <c r="D100" s="992"/>
      <c r="E100" s="334">
        <v>43</v>
      </c>
      <c r="F100" s="334">
        <v>1</v>
      </c>
      <c r="G100" s="419">
        <v>15</v>
      </c>
      <c r="H100" s="334">
        <v>2</v>
      </c>
      <c r="J100" s="435">
        <v>22</v>
      </c>
      <c r="K100" s="384">
        <f>G100/J100*100</f>
        <v>68.181818181818173</v>
      </c>
      <c r="L100" s="384">
        <f>H100/J100*100</f>
        <v>9.0909090909090917</v>
      </c>
      <c r="M100" s="384">
        <f>I100/J100*100</f>
        <v>0</v>
      </c>
      <c r="N100" s="421">
        <f>SUM(K100:M100)</f>
        <v>77.272727272727266</v>
      </c>
      <c r="O100" s="383">
        <v>24.1</v>
      </c>
      <c r="P100" s="384">
        <v>18.899999999999999</v>
      </c>
      <c r="Q100" s="384"/>
      <c r="R100" s="385">
        <f>SUM(O100:Q100)</f>
        <v>43</v>
      </c>
      <c r="S100" s="388">
        <v>6</v>
      </c>
      <c r="T100" s="342"/>
      <c r="U100" s="355">
        <v>37383</v>
      </c>
      <c r="V100" s="343" t="s">
        <v>119</v>
      </c>
      <c r="W100" s="334" t="s">
        <v>76</v>
      </c>
      <c r="X100" s="334" t="s">
        <v>11</v>
      </c>
      <c r="Y100" s="344">
        <v>24.1</v>
      </c>
      <c r="Z100" s="343" t="s">
        <v>127</v>
      </c>
      <c r="AA100" s="334" t="s">
        <v>79</v>
      </c>
      <c r="AB100" s="334" t="s">
        <v>18</v>
      </c>
      <c r="AC100" s="334">
        <v>18.899999999999999</v>
      </c>
      <c r="AD100" s="343"/>
      <c r="AG100" s="344"/>
      <c r="AL100" s="343"/>
      <c r="AO100" s="344"/>
      <c r="AP100" s="343"/>
      <c r="AS100" s="344"/>
      <c r="AW100" s="344"/>
      <c r="BA100" s="345"/>
    </row>
    <row r="101" spans="1:53" s="73" customFormat="1">
      <c r="A101" s="73">
        <v>2002</v>
      </c>
      <c r="B101" s="85">
        <v>37426</v>
      </c>
      <c r="C101" s="988" t="s">
        <v>416</v>
      </c>
      <c r="D101" s="988"/>
      <c r="E101" s="73">
        <v>196</v>
      </c>
      <c r="F101" s="73">
        <v>1</v>
      </c>
      <c r="G101" s="123">
        <v>18</v>
      </c>
      <c r="H101" s="73">
        <v>2</v>
      </c>
      <c r="J101" s="134">
        <v>27</v>
      </c>
      <c r="K101" s="92">
        <f t="shared" si="10"/>
        <v>66.666666666666657</v>
      </c>
      <c r="L101" s="92">
        <f t="shared" si="11"/>
        <v>7.4074074074074066</v>
      </c>
      <c r="M101" s="92">
        <f t="shared" si="12"/>
        <v>0</v>
      </c>
      <c r="N101" s="125">
        <f t="shared" si="8"/>
        <v>74.074074074074062</v>
      </c>
      <c r="O101" s="91">
        <v>63.3</v>
      </c>
      <c r="P101" s="92">
        <v>5</v>
      </c>
      <c r="Q101" s="92"/>
      <c r="R101" s="93">
        <f t="shared" si="9"/>
        <v>68.3</v>
      </c>
      <c r="S101" s="97">
        <v>3</v>
      </c>
      <c r="T101" s="95">
        <v>37423</v>
      </c>
      <c r="U101" s="85">
        <v>37426</v>
      </c>
      <c r="V101" s="82" t="s">
        <v>119</v>
      </c>
      <c r="W101" s="73" t="s">
        <v>76</v>
      </c>
      <c r="X101" s="73" t="s">
        <v>11</v>
      </c>
      <c r="Y101" s="83">
        <v>63.3</v>
      </c>
      <c r="Z101" s="82" t="s">
        <v>127</v>
      </c>
      <c r="AA101" s="73" t="s">
        <v>79</v>
      </c>
      <c r="AB101" s="73" t="s">
        <v>18</v>
      </c>
      <c r="AC101" s="73">
        <v>5</v>
      </c>
      <c r="AD101" s="82"/>
      <c r="AG101" s="83"/>
      <c r="AL101" s="82"/>
      <c r="AO101" s="83"/>
      <c r="AP101" s="82"/>
      <c r="AS101" s="83"/>
      <c r="AW101" s="83"/>
      <c r="BA101" s="84"/>
    </row>
    <row r="102" spans="1:53" s="73" customFormat="1">
      <c r="A102" s="73">
        <v>2003</v>
      </c>
      <c r="B102" s="85"/>
      <c r="C102" s="988" t="s">
        <v>416</v>
      </c>
      <c r="D102" s="988"/>
      <c r="E102" s="73">
        <v>0</v>
      </c>
      <c r="G102" s="123">
        <v>18</v>
      </c>
      <c r="H102" s="73">
        <v>2</v>
      </c>
      <c r="J102" s="134">
        <v>27</v>
      </c>
      <c r="K102" s="92">
        <f t="shared" si="10"/>
        <v>66.666666666666657</v>
      </c>
      <c r="L102" s="92">
        <f t="shared" si="11"/>
        <v>7.4074074074074066</v>
      </c>
      <c r="M102" s="92">
        <f t="shared" si="12"/>
        <v>0</v>
      </c>
      <c r="N102" s="125">
        <f t="shared" si="8"/>
        <v>74.074074074074062</v>
      </c>
      <c r="O102" s="91">
        <v>63.3</v>
      </c>
      <c r="P102" s="92">
        <v>5</v>
      </c>
      <c r="Q102" s="92"/>
      <c r="R102" s="93">
        <f t="shared" si="9"/>
        <v>68.3</v>
      </c>
      <c r="S102" s="97">
        <v>3</v>
      </c>
      <c r="T102" s="95"/>
      <c r="U102" s="85"/>
      <c r="V102" s="82" t="s">
        <v>119</v>
      </c>
      <c r="W102" s="73" t="s">
        <v>76</v>
      </c>
      <c r="X102" s="73" t="s">
        <v>11</v>
      </c>
      <c r="Y102" s="83">
        <v>63.3</v>
      </c>
      <c r="Z102" s="82" t="s">
        <v>127</v>
      </c>
      <c r="AA102" s="73" t="s">
        <v>79</v>
      </c>
      <c r="AB102" s="73" t="s">
        <v>18</v>
      </c>
      <c r="AC102" s="73">
        <v>5</v>
      </c>
      <c r="AD102" s="82"/>
      <c r="AG102" s="83"/>
      <c r="AL102" s="82"/>
      <c r="AO102" s="83"/>
      <c r="AP102" s="82"/>
      <c r="AS102" s="83"/>
      <c r="AW102" s="83"/>
      <c r="BA102" s="84"/>
    </row>
    <row r="103" spans="1:53" s="73" customFormat="1">
      <c r="A103" s="73">
        <v>2003</v>
      </c>
      <c r="B103" s="85"/>
      <c r="C103" s="988" t="s">
        <v>416</v>
      </c>
      <c r="D103" s="988"/>
      <c r="E103" s="73">
        <f>365-E102</f>
        <v>365</v>
      </c>
      <c r="G103" s="123">
        <v>18</v>
      </c>
      <c r="H103" s="73">
        <v>2</v>
      </c>
      <c r="J103" s="134">
        <v>27</v>
      </c>
      <c r="K103" s="92">
        <f t="shared" si="10"/>
        <v>66.666666666666657</v>
      </c>
      <c r="L103" s="92">
        <f t="shared" si="11"/>
        <v>7.4074074074074066</v>
      </c>
      <c r="M103" s="92">
        <f t="shared" si="12"/>
        <v>0</v>
      </c>
      <c r="N103" s="125">
        <f t="shared" si="8"/>
        <v>74.074074074074062</v>
      </c>
      <c r="O103" s="91">
        <v>63.3</v>
      </c>
      <c r="P103" s="92">
        <v>5</v>
      </c>
      <c r="Q103" s="92"/>
      <c r="R103" s="93">
        <f t="shared" si="9"/>
        <v>68.3</v>
      </c>
      <c r="S103" s="97">
        <v>3</v>
      </c>
      <c r="T103" s="95"/>
      <c r="U103" s="85"/>
      <c r="V103" s="82" t="s">
        <v>119</v>
      </c>
      <c r="W103" s="73" t="s">
        <v>76</v>
      </c>
      <c r="X103" s="73" t="s">
        <v>11</v>
      </c>
      <c r="Y103" s="83">
        <v>63.3</v>
      </c>
      <c r="Z103" s="82" t="s">
        <v>127</v>
      </c>
      <c r="AA103" s="73" t="s">
        <v>79</v>
      </c>
      <c r="AB103" s="73" t="s">
        <v>18</v>
      </c>
      <c r="AC103" s="73">
        <v>5</v>
      </c>
      <c r="AD103" s="82"/>
      <c r="AG103" s="83"/>
      <c r="AL103" s="82"/>
      <c r="AO103" s="83"/>
      <c r="AP103" s="82"/>
      <c r="AS103" s="83"/>
      <c r="AW103" s="83"/>
      <c r="BA103" s="84"/>
    </row>
    <row r="104" spans="1:53" s="73" customFormat="1">
      <c r="A104" s="73">
        <v>2004</v>
      </c>
      <c r="B104" s="85"/>
      <c r="C104" s="988" t="s">
        <v>416</v>
      </c>
      <c r="D104" s="988"/>
      <c r="E104" s="73">
        <v>90</v>
      </c>
      <c r="G104" s="123">
        <v>18</v>
      </c>
      <c r="H104" s="73">
        <v>2</v>
      </c>
      <c r="J104" s="134">
        <v>27</v>
      </c>
      <c r="K104" s="92">
        <f t="shared" si="10"/>
        <v>66.666666666666657</v>
      </c>
      <c r="L104" s="92">
        <f t="shared" si="11"/>
        <v>7.4074074074074066</v>
      </c>
      <c r="M104" s="92">
        <f t="shared" si="12"/>
        <v>0</v>
      </c>
      <c r="N104" s="125">
        <f t="shared" si="8"/>
        <v>74.074074074074062</v>
      </c>
      <c r="O104" s="91">
        <v>63.3</v>
      </c>
      <c r="P104" s="92">
        <v>5</v>
      </c>
      <c r="Q104" s="92"/>
      <c r="R104" s="93">
        <f t="shared" si="9"/>
        <v>68.3</v>
      </c>
      <c r="S104" s="97">
        <v>3</v>
      </c>
      <c r="T104" s="95"/>
      <c r="U104" s="85"/>
      <c r="V104" s="82" t="s">
        <v>119</v>
      </c>
      <c r="W104" s="73" t="s">
        <v>76</v>
      </c>
      <c r="X104" s="73" t="s">
        <v>11</v>
      </c>
      <c r="Y104" s="83">
        <v>63.3</v>
      </c>
      <c r="Z104" s="82" t="s">
        <v>127</v>
      </c>
      <c r="AA104" s="73" t="s">
        <v>79</v>
      </c>
      <c r="AB104" s="73" t="s">
        <v>18</v>
      </c>
      <c r="AC104" s="73">
        <v>5</v>
      </c>
      <c r="AD104" s="82"/>
      <c r="AG104" s="83"/>
      <c r="AL104" s="82"/>
      <c r="AO104" s="83"/>
      <c r="AP104" s="82"/>
      <c r="AS104" s="83"/>
      <c r="AW104" s="83"/>
      <c r="BA104" s="84"/>
    </row>
    <row r="105" spans="1:53" s="334" customFormat="1">
      <c r="A105" s="334">
        <v>2004</v>
      </c>
      <c r="B105" s="355">
        <v>38077</v>
      </c>
      <c r="C105" s="992" t="s">
        <v>417</v>
      </c>
      <c r="D105" s="992"/>
      <c r="E105" s="334">
        <v>276</v>
      </c>
      <c r="F105" s="334">
        <v>2</v>
      </c>
      <c r="G105" s="419">
        <v>29</v>
      </c>
      <c r="H105" s="334">
        <v>1</v>
      </c>
      <c r="J105" s="435">
        <v>31</v>
      </c>
      <c r="K105" s="384">
        <f t="shared" si="10"/>
        <v>93.548387096774192</v>
      </c>
      <c r="L105" s="384">
        <f t="shared" si="11"/>
        <v>3.225806451612903</v>
      </c>
      <c r="M105" s="384">
        <f t="shared" si="12"/>
        <v>0</v>
      </c>
      <c r="N105" s="421">
        <f t="shared" si="8"/>
        <v>96.774193548387089</v>
      </c>
      <c r="O105" s="383">
        <v>63.3</v>
      </c>
      <c r="P105" s="384">
        <v>5</v>
      </c>
      <c r="Q105" s="384"/>
      <c r="R105" s="385">
        <f t="shared" si="9"/>
        <v>68.3</v>
      </c>
      <c r="S105" s="388">
        <v>3</v>
      </c>
      <c r="T105" s="342"/>
      <c r="U105" s="355">
        <v>38077</v>
      </c>
      <c r="V105" s="343" t="s">
        <v>119</v>
      </c>
      <c r="W105" s="334" t="s">
        <v>76</v>
      </c>
      <c r="X105" s="334" t="s">
        <v>11</v>
      </c>
      <c r="Y105" s="344">
        <v>63.3</v>
      </c>
      <c r="Z105" s="343" t="s">
        <v>127</v>
      </c>
      <c r="AA105" s="334" t="s">
        <v>79</v>
      </c>
      <c r="AB105" s="334" t="s">
        <v>18</v>
      </c>
      <c r="AC105" s="334">
        <v>5</v>
      </c>
      <c r="AD105" s="343"/>
      <c r="AG105" s="344"/>
      <c r="AL105" s="343"/>
      <c r="AO105" s="344"/>
      <c r="AP105" s="343"/>
      <c r="AS105" s="344"/>
      <c r="AW105" s="344"/>
      <c r="BA105" s="345"/>
    </row>
    <row r="106" spans="1:53" s="334" customFormat="1">
      <c r="A106" s="334">
        <v>2005</v>
      </c>
      <c r="B106" s="355"/>
      <c r="C106" s="992" t="s">
        <v>417</v>
      </c>
      <c r="D106" s="992"/>
      <c r="E106" s="334">
        <v>150</v>
      </c>
      <c r="G106" s="419">
        <v>29</v>
      </c>
      <c r="H106" s="334">
        <v>1</v>
      </c>
      <c r="J106" s="435">
        <v>31</v>
      </c>
      <c r="K106" s="384">
        <f t="shared" si="10"/>
        <v>93.548387096774192</v>
      </c>
      <c r="L106" s="384">
        <f t="shared" si="11"/>
        <v>3.225806451612903</v>
      </c>
      <c r="M106" s="384">
        <f t="shared" si="12"/>
        <v>0</v>
      </c>
      <c r="N106" s="421">
        <f t="shared" si="8"/>
        <v>96.774193548387089</v>
      </c>
      <c r="O106" s="383">
        <v>63.3</v>
      </c>
      <c r="P106" s="384">
        <v>5</v>
      </c>
      <c r="Q106" s="384"/>
      <c r="R106" s="385">
        <f t="shared" si="9"/>
        <v>68.3</v>
      </c>
      <c r="S106" s="388">
        <v>3</v>
      </c>
      <c r="T106" s="342"/>
      <c r="U106" s="355"/>
      <c r="V106" s="343" t="s">
        <v>119</v>
      </c>
      <c r="W106" s="334" t="s">
        <v>76</v>
      </c>
      <c r="X106" s="334" t="s">
        <v>11</v>
      </c>
      <c r="Y106" s="344">
        <v>63.3</v>
      </c>
      <c r="Z106" s="343" t="s">
        <v>127</v>
      </c>
      <c r="AA106" s="334" t="s">
        <v>79</v>
      </c>
      <c r="AB106" s="334" t="s">
        <v>18</v>
      </c>
      <c r="AC106" s="334">
        <v>5</v>
      </c>
      <c r="AD106" s="343"/>
      <c r="AG106" s="344"/>
      <c r="AL106" s="343"/>
      <c r="AO106" s="344"/>
      <c r="AP106" s="343"/>
      <c r="AS106" s="344"/>
      <c r="AW106" s="344"/>
      <c r="BA106" s="345"/>
    </row>
    <row r="107" spans="1:53" s="73" customFormat="1">
      <c r="A107" s="73">
        <v>2005</v>
      </c>
      <c r="B107" s="85">
        <v>38503</v>
      </c>
      <c r="C107" s="988" t="s">
        <v>418</v>
      </c>
      <c r="D107" s="988"/>
      <c r="E107" s="73">
        <f>365-E106</f>
        <v>215</v>
      </c>
      <c r="F107" s="73">
        <v>2</v>
      </c>
      <c r="G107" s="123">
        <v>27</v>
      </c>
      <c r="H107" s="73">
        <v>1</v>
      </c>
      <c r="J107" s="134">
        <v>31</v>
      </c>
      <c r="K107" s="92">
        <f t="shared" si="10"/>
        <v>87.096774193548384</v>
      </c>
      <c r="L107" s="92">
        <f t="shared" si="11"/>
        <v>3.225806451612903</v>
      </c>
      <c r="M107" s="92">
        <f t="shared" si="12"/>
        <v>0</v>
      </c>
      <c r="N107" s="125">
        <f t="shared" si="8"/>
        <v>90.322580645161281</v>
      </c>
      <c r="O107" s="91">
        <v>63.3</v>
      </c>
      <c r="P107" s="92">
        <v>5</v>
      </c>
      <c r="Q107" s="92"/>
      <c r="R107" s="93">
        <f t="shared" si="9"/>
        <v>68.3</v>
      </c>
      <c r="S107" s="97">
        <v>3</v>
      </c>
      <c r="T107" s="95"/>
      <c r="U107" s="85">
        <v>38503</v>
      </c>
      <c r="V107" s="82" t="s">
        <v>119</v>
      </c>
      <c r="W107" s="73" t="s">
        <v>76</v>
      </c>
      <c r="X107" s="73" t="s">
        <v>11</v>
      </c>
      <c r="Y107" s="83">
        <v>63.3</v>
      </c>
      <c r="Z107" s="82" t="s">
        <v>127</v>
      </c>
      <c r="AA107" s="73" t="s">
        <v>79</v>
      </c>
      <c r="AB107" s="73" t="s">
        <v>18</v>
      </c>
      <c r="AC107" s="73">
        <v>5</v>
      </c>
      <c r="AD107" s="82"/>
      <c r="AG107" s="83"/>
      <c r="AL107" s="82"/>
      <c r="AO107" s="83"/>
      <c r="AP107" s="82"/>
      <c r="AS107" s="83"/>
      <c r="AW107" s="83"/>
      <c r="BA107" s="84"/>
    </row>
    <row r="108" spans="1:53" s="73" customFormat="1">
      <c r="A108" s="73">
        <v>2006</v>
      </c>
      <c r="B108" s="85"/>
      <c r="C108" s="988" t="s">
        <v>418</v>
      </c>
      <c r="D108" s="988"/>
      <c r="E108" s="73">
        <v>0</v>
      </c>
      <c r="G108" s="123">
        <v>27</v>
      </c>
      <c r="H108" s="73">
        <v>1</v>
      </c>
      <c r="J108" s="134">
        <v>31</v>
      </c>
      <c r="K108" s="92">
        <f t="shared" ref="K108:L119" si="13">G108/J108*100</f>
        <v>87.096774193548384</v>
      </c>
      <c r="L108" s="92">
        <f t="shared" ref="L108:L118" si="14">H108/J108*100</f>
        <v>3.225806451612903</v>
      </c>
      <c r="M108" s="92">
        <f t="shared" ref="M108:M119" si="15">I108/J108*100</f>
        <v>0</v>
      </c>
      <c r="N108" s="125">
        <f t="shared" si="8"/>
        <v>90.322580645161281</v>
      </c>
      <c r="O108" s="91">
        <v>63.3</v>
      </c>
      <c r="P108" s="92">
        <v>5</v>
      </c>
      <c r="Q108" s="92"/>
      <c r="R108" s="93">
        <f t="shared" si="9"/>
        <v>68.3</v>
      </c>
      <c r="S108" s="97">
        <v>3</v>
      </c>
      <c r="T108" s="95"/>
      <c r="U108" s="85"/>
      <c r="V108" s="82" t="s">
        <v>119</v>
      </c>
      <c r="W108" s="73" t="s">
        <v>76</v>
      </c>
      <c r="X108" s="73" t="s">
        <v>11</v>
      </c>
      <c r="Y108" s="83">
        <v>63.3</v>
      </c>
      <c r="Z108" s="82" t="s">
        <v>127</v>
      </c>
      <c r="AA108" s="73" t="s">
        <v>79</v>
      </c>
      <c r="AB108" s="73" t="s">
        <v>18</v>
      </c>
      <c r="AC108" s="73">
        <v>5</v>
      </c>
      <c r="AD108" s="82"/>
      <c r="AG108" s="83"/>
      <c r="AL108" s="82"/>
      <c r="AO108" s="83"/>
      <c r="AP108" s="82"/>
      <c r="AS108" s="83"/>
      <c r="AW108" s="83"/>
      <c r="BA108" s="84"/>
    </row>
    <row r="109" spans="1:53" s="73" customFormat="1">
      <c r="A109" s="73">
        <v>2006</v>
      </c>
      <c r="B109" s="85"/>
      <c r="C109" s="988" t="s">
        <v>418</v>
      </c>
      <c r="D109" s="988"/>
      <c r="E109" s="73">
        <v>365</v>
      </c>
      <c r="G109" s="123">
        <v>27</v>
      </c>
      <c r="H109" s="73">
        <v>1</v>
      </c>
      <c r="J109" s="134">
        <v>31</v>
      </c>
      <c r="K109" s="92">
        <f t="shared" si="13"/>
        <v>87.096774193548384</v>
      </c>
      <c r="L109" s="92">
        <f t="shared" si="14"/>
        <v>3.225806451612903</v>
      </c>
      <c r="M109" s="92">
        <f t="shared" si="15"/>
        <v>0</v>
      </c>
      <c r="N109" s="125">
        <f t="shared" si="8"/>
        <v>90.322580645161281</v>
      </c>
      <c r="O109" s="91">
        <v>63.3</v>
      </c>
      <c r="P109" s="92">
        <v>5</v>
      </c>
      <c r="Q109" s="92"/>
      <c r="R109" s="93">
        <f t="shared" si="9"/>
        <v>68.3</v>
      </c>
      <c r="S109" s="97">
        <v>3</v>
      </c>
      <c r="T109" s="95"/>
      <c r="U109" s="85"/>
      <c r="V109" s="82" t="s">
        <v>119</v>
      </c>
      <c r="W109" s="73" t="s">
        <v>76</v>
      </c>
      <c r="X109" s="73" t="s">
        <v>11</v>
      </c>
      <c r="Y109" s="83">
        <v>63.3</v>
      </c>
      <c r="Z109" s="82" t="s">
        <v>127</v>
      </c>
      <c r="AA109" s="73" t="s">
        <v>79</v>
      </c>
      <c r="AB109" s="73" t="s">
        <v>18</v>
      </c>
      <c r="AC109" s="73">
        <v>5</v>
      </c>
      <c r="AD109" s="82"/>
      <c r="AG109" s="83"/>
      <c r="AL109" s="82"/>
      <c r="AO109" s="83"/>
      <c r="AP109" s="82"/>
      <c r="AS109" s="83"/>
      <c r="AW109" s="83"/>
      <c r="BA109" s="84"/>
    </row>
    <row r="110" spans="1:53" s="73" customFormat="1">
      <c r="A110" s="73">
        <v>2007</v>
      </c>
      <c r="B110" s="85"/>
      <c r="C110" s="988" t="s">
        <v>418</v>
      </c>
      <c r="D110" s="988"/>
      <c r="E110" s="73">
        <v>137</v>
      </c>
      <c r="G110" s="123">
        <v>27</v>
      </c>
      <c r="H110" s="73">
        <v>1</v>
      </c>
      <c r="J110" s="134">
        <v>31</v>
      </c>
      <c r="K110" s="92">
        <f t="shared" si="13"/>
        <v>87.096774193548384</v>
      </c>
      <c r="L110" s="92">
        <f t="shared" si="14"/>
        <v>3.225806451612903</v>
      </c>
      <c r="M110" s="92">
        <f t="shared" si="15"/>
        <v>0</v>
      </c>
      <c r="N110" s="125">
        <f t="shared" si="8"/>
        <v>90.322580645161281</v>
      </c>
      <c r="O110" s="91">
        <v>63.3</v>
      </c>
      <c r="P110" s="92">
        <v>5</v>
      </c>
      <c r="Q110" s="92"/>
      <c r="R110" s="93">
        <f t="shared" si="9"/>
        <v>68.3</v>
      </c>
      <c r="S110" s="97">
        <v>3</v>
      </c>
      <c r="T110" s="95"/>
      <c r="U110" s="85"/>
      <c r="V110" s="82" t="s">
        <v>119</v>
      </c>
      <c r="W110" s="73" t="s">
        <v>76</v>
      </c>
      <c r="X110" s="73" t="s">
        <v>11</v>
      </c>
      <c r="Y110" s="83">
        <v>63.3</v>
      </c>
      <c r="Z110" s="82" t="s">
        <v>127</v>
      </c>
      <c r="AA110" s="73" t="s">
        <v>79</v>
      </c>
      <c r="AB110" s="73" t="s">
        <v>18</v>
      </c>
      <c r="AC110" s="73">
        <v>5</v>
      </c>
      <c r="AD110" s="82"/>
      <c r="AG110" s="83"/>
      <c r="AL110" s="82"/>
      <c r="AO110" s="83"/>
      <c r="AP110" s="82"/>
      <c r="AS110" s="83"/>
      <c r="AW110" s="83"/>
      <c r="BA110" s="84"/>
    </row>
    <row r="111" spans="1:53" s="334" customFormat="1">
      <c r="A111" s="334">
        <v>2007</v>
      </c>
      <c r="B111" s="355">
        <v>39220</v>
      </c>
      <c r="C111" s="992" t="s">
        <v>419</v>
      </c>
      <c r="D111" s="992"/>
      <c r="E111" s="334">
        <v>32</v>
      </c>
      <c r="F111" s="334">
        <v>1</v>
      </c>
      <c r="G111" s="419">
        <v>12</v>
      </c>
      <c r="H111" s="334">
        <v>1</v>
      </c>
      <c r="J111" s="435">
        <v>16</v>
      </c>
      <c r="K111" s="384">
        <f>G111/J111*100</f>
        <v>75</v>
      </c>
      <c r="L111" s="384">
        <f>H111/J111*100</f>
        <v>6.25</v>
      </c>
      <c r="M111" s="384">
        <f>I111/J111*100</f>
        <v>0</v>
      </c>
      <c r="N111" s="421">
        <f>SUM(K111:M111)</f>
        <v>81.25</v>
      </c>
      <c r="O111" s="383">
        <v>63.3</v>
      </c>
      <c r="P111" s="384">
        <v>0</v>
      </c>
      <c r="Q111" s="384"/>
      <c r="R111" s="385">
        <f>SUM(O111:Q111)</f>
        <v>63.3</v>
      </c>
      <c r="S111" s="388">
        <v>3</v>
      </c>
      <c r="T111" s="342"/>
      <c r="U111" s="355">
        <v>39220</v>
      </c>
      <c r="V111" s="343" t="s">
        <v>119</v>
      </c>
      <c r="W111" s="334" t="s">
        <v>76</v>
      </c>
      <c r="X111" s="334" t="s">
        <v>11</v>
      </c>
      <c r="Y111" s="344">
        <v>63.3</v>
      </c>
      <c r="Z111" s="334" t="s">
        <v>421</v>
      </c>
      <c r="AA111" s="334" t="s">
        <v>334</v>
      </c>
      <c r="AB111" s="334" t="s">
        <v>18</v>
      </c>
      <c r="AC111" s="334">
        <v>0</v>
      </c>
      <c r="AD111" s="343"/>
      <c r="AG111" s="344"/>
      <c r="AL111" s="343"/>
      <c r="AO111" s="344"/>
      <c r="AP111" s="343"/>
      <c r="AS111" s="344"/>
      <c r="AW111" s="344"/>
      <c r="BA111" s="345"/>
    </row>
    <row r="112" spans="1:53" s="73" customFormat="1">
      <c r="A112" s="73">
        <v>2007</v>
      </c>
      <c r="B112" s="85">
        <v>39252</v>
      </c>
      <c r="C112" s="988" t="s">
        <v>420</v>
      </c>
      <c r="D112" s="988"/>
      <c r="E112" s="73">
        <v>196</v>
      </c>
      <c r="F112" s="73">
        <v>1</v>
      </c>
      <c r="G112" s="123">
        <v>12</v>
      </c>
      <c r="H112" s="73">
        <v>1</v>
      </c>
      <c r="J112" s="134">
        <v>16</v>
      </c>
      <c r="K112" s="92">
        <f t="shared" si="13"/>
        <v>75</v>
      </c>
      <c r="L112" s="92">
        <f t="shared" si="14"/>
        <v>6.25</v>
      </c>
      <c r="M112" s="92">
        <f t="shared" si="15"/>
        <v>0</v>
      </c>
      <c r="N112" s="125">
        <f t="shared" si="8"/>
        <v>81.25</v>
      </c>
      <c r="O112" s="91">
        <v>54.1</v>
      </c>
      <c r="P112" s="92">
        <v>3.8</v>
      </c>
      <c r="Q112" s="92"/>
      <c r="R112" s="93">
        <f t="shared" si="9"/>
        <v>57.9</v>
      </c>
      <c r="S112" s="97">
        <v>3</v>
      </c>
      <c r="T112" s="95">
        <v>39243</v>
      </c>
      <c r="U112" s="85">
        <v>39252</v>
      </c>
      <c r="V112" s="82" t="s">
        <v>119</v>
      </c>
      <c r="W112" s="73" t="s">
        <v>76</v>
      </c>
      <c r="X112" s="73" t="s">
        <v>11</v>
      </c>
      <c r="Y112" s="83">
        <v>54.1</v>
      </c>
      <c r="Z112" s="73" t="s">
        <v>421</v>
      </c>
      <c r="AA112" s="73" t="s">
        <v>334</v>
      </c>
      <c r="AB112" s="73" t="s">
        <v>18</v>
      </c>
      <c r="AC112" s="73">
        <v>3.8</v>
      </c>
      <c r="AD112" s="82"/>
      <c r="AG112" s="83"/>
      <c r="AL112" s="82"/>
      <c r="AO112" s="83"/>
      <c r="AP112" s="82"/>
      <c r="AS112" s="83"/>
      <c r="AW112" s="83"/>
      <c r="BA112" s="84"/>
    </row>
    <row r="113" spans="1:53" s="73" customFormat="1">
      <c r="A113" s="73">
        <v>2008</v>
      </c>
      <c r="B113" s="85"/>
      <c r="C113" s="988" t="s">
        <v>420</v>
      </c>
      <c r="D113" s="988"/>
      <c r="E113" s="73">
        <v>0</v>
      </c>
      <c r="G113" s="123">
        <v>12</v>
      </c>
      <c r="H113" s="73">
        <v>1</v>
      </c>
      <c r="J113" s="134">
        <v>16</v>
      </c>
      <c r="K113" s="92">
        <f t="shared" si="13"/>
        <v>75</v>
      </c>
      <c r="L113" s="92">
        <f t="shared" si="14"/>
        <v>6.25</v>
      </c>
      <c r="M113" s="92">
        <f t="shared" si="15"/>
        <v>0</v>
      </c>
      <c r="N113" s="125">
        <f t="shared" si="8"/>
        <v>81.25</v>
      </c>
      <c r="O113" s="91">
        <v>54.1</v>
      </c>
      <c r="P113" s="92">
        <v>3.8</v>
      </c>
      <c r="Q113" s="92"/>
      <c r="R113" s="93">
        <f t="shared" si="9"/>
        <v>57.9</v>
      </c>
      <c r="S113" s="97">
        <v>3</v>
      </c>
      <c r="T113" s="95"/>
      <c r="U113" s="85"/>
      <c r="V113" s="82" t="s">
        <v>119</v>
      </c>
      <c r="W113" s="73" t="s">
        <v>76</v>
      </c>
      <c r="X113" s="73" t="s">
        <v>11</v>
      </c>
      <c r="Y113" s="83">
        <v>54.1</v>
      </c>
      <c r="Z113" s="73" t="s">
        <v>421</v>
      </c>
      <c r="AA113" s="73" t="s">
        <v>334</v>
      </c>
      <c r="AB113" s="73" t="s">
        <v>18</v>
      </c>
      <c r="AC113" s="73">
        <v>3.8</v>
      </c>
      <c r="AD113" s="82"/>
      <c r="AG113" s="83"/>
      <c r="AL113" s="82"/>
      <c r="AO113" s="83"/>
      <c r="AP113" s="82"/>
      <c r="AS113" s="83"/>
      <c r="AW113" s="83"/>
      <c r="BA113" s="84"/>
    </row>
    <row r="114" spans="1:53" s="73" customFormat="1">
      <c r="A114" s="73">
        <v>2008</v>
      </c>
      <c r="B114" s="85"/>
      <c r="C114" s="988" t="s">
        <v>420</v>
      </c>
      <c r="D114" s="988"/>
      <c r="E114" s="73">
        <v>366</v>
      </c>
      <c r="G114" s="123">
        <v>12</v>
      </c>
      <c r="H114" s="73">
        <v>1</v>
      </c>
      <c r="J114" s="134">
        <v>16</v>
      </c>
      <c r="K114" s="92">
        <f t="shared" si="13"/>
        <v>75</v>
      </c>
      <c r="L114" s="92">
        <f t="shared" si="14"/>
        <v>6.25</v>
      </c>
      <c r="M114" s="92">
        <f t="shared" si="15"/>
        <v>0</v>
      </c>
      <c r="N114" s="125">
        <f t="shared" si="8"/>
        <v>81.25</v>
      </c>
      <c r="O114" s="91">
        <v>54.1</v>
      </c>
      <c r="P114" s="92">
        <v>3.8</v>
      </c>
      <c r="Q114" s="92"/>
      <c r="R114" s="93">
        <f t="shared" si="9"/>
        <v>57.9</v>
      </c>
      <c r="S114" s="97">
        <v>3</v>
      </c>
      <c r="T114" s="95"/>
      <c r="U114" s="85"/>
      <c r="V114" s="82" t="s">
        <v>119</v>
      </c>
      <c r="W114" s="73" t="s">
        <v>76</v>
      </c>
      <c r="X114" s="73" t="s">
        <v>11</v>
      </c>
      <c r="Y114" s="83">
        <v>54.1</v>
      </c>
      <c r="Z114" s="73" t="s">
        <v>421</v>
      </c>
      <c r="AA114" s="73" t="s">
        <v>334</v>
      </c>
      <c r="AB114" s="73" t="s">
        <v>18</v>
      </c>
      <c r="AC114" s="73">
        <v>3.8</v>
      </c>
      <c r="AD114" s="82"/>
      <c r="AG114" s="83"/>
      <c r="AL114" s="82"/>
      <c r="AO114" s="83"/>
      <c r="AP114" s="82"/>
      <c r="AS114" s="83"/>
      <c r="AW114" s="83"/>
      <c r="BA114" s="84"/>
    </row>
    <row r="115" spans="1:53" s="73" customFormat="1">
      <c r="A115" s="73">
        <v>2009</v>
      </c>
      <c r="B115" s="85"/>
      <c r="C115" s="988" t="s">
        <v>420</v>
      </c>
      <c r="D115" s="988"/>
      <c r="E115" s="73">
        <v>14</v>
      </c>
      <c r="G115" s="123">
        <v>12</v>
      </c>
      <c r="H115" s="73">
        <v>1</v>
      </c>
      <c r="J115" s="134">
        <v>16</v>
      </c>
      <c r="K115" s="92">
        <f t="shared" si="13"/>
        <v>75</v>
      </c>
      <c r="L115" s="92">
        <f t="shared" si="14"/>
        <v>6.25</v>
      </c>
      <c r="M115" s="92">
        <f t="shared" si="15"/>
        <v>0</v>
      </c>
      <c r="N115" s="125">
        <f t="shared" si="8"/>
        <v>81.25</v>
      </c>
      <c r="O115" s="91">
        <v>54.1</v>
      </c>
      <c r="P115" s="92">
        <v>3.8</v>
      </c>
      <c r="Q115" s="92"/>
      <c r="R115" s="93">
        <f t="shared" si="9"/>
        <v>57.9</v>
      </c>
      <c r="S115" s="97">
        <v>3</v>
      </c>
      <c r="T115" s="95"/>
      <c r="U115" s="85"/>
      <c r="V115" s="82" t="s">
        <v>119</v>
      </c>
      <c r="W115" s="73" t="s">
        <v>76</v>
      </c>
      <c r="X115" s="73" t="s">
        <v>11</v>
      </c>
      <c r="Y115" s="83">
        <v>54.1</v>
      </c>
      <c r="Z115" s="73" t="s">
        <v>421</v>
      </c>
      <c r="AA115" s="73" t="s">
        <v>334</v>
      </c>
      <c r="AB115" s="73" t="s">
        <v>18</v>
      </c>
      <c r="AC115" s="73">
        <v>3.8</v>
      </c>
      <c r="AD115" s="82"/>
      <c r="AG115" s="83"/>
      <c r="AL115" s="82"/>
      <c r="AO115" s="83"/>
      <c r="AP115" s="82"/>
      <c r="AS115" s="83"/>
      <c r="AW115" s="83"/>
      <c r="BA115" s="84"/>
    </row>
    <row r="116" spans="1:53" s="73" customFormat="1">
      <c r="A116" s="73">
        <v>2009</v>
      </c>
      <c r="B116" s="149">
        <v>39828</v>
      </c>
      <c r="C116" s="988" t="s">
        <v>420</v>
      </c>
      <c r="D116" s="988"/>
      <c r="E116" s="73">
        <v>159</v>
      </c>
      <c r="F116" s="150">
        <v>0</v>
      </c>
      <c r="G116" s="123">
        <v>15</v>
      </c>
      <c r="H116" s="73">
        <v>1</v>
      </c>
      <c r="J116" s="134">
        <v>17</v>
      </c>
      <c r="K116" s="92">
        <f t="shared" si="13"/>
        <v>88.235294117647058</v>
      </c>
      <c r="L116" s="92">
        <f t="shared" si="14"/>
        <v>5.8823529411764701</v>
      </c>
      <c r="M116" s="92">
        <f t="shared" si="15"/>
        <v>0</v>
      </c>
      <c r="N116" s="125">
        <f t="shared" si="8"/>
        <v>94.117647058823522</v>
      </c>
      <c r="O116" s="91">
        <v>54.1</v>
      </c>
      <c r="P116" s="92">
        <v>3.8</v>
      </c>
      <c r="Q116" s="92"/>
      <c r="R116" s="93">
        <f t="shared" si="9"/>
        <v>57.9</v>
      </c>
      <c r="S116" s="97">
        <v>3</v>
      </c>
      <c r="T116" s="95"/>
      <c r="U116" s="149"/>
      <c r="V116" s="82" t="s">
        <v>119</v>
      </c>
      <c r="W116" s="73" t="s">
        <v>76</v>
      </c>
      <c r="X116" s="73" t="s">
        <v>11</v>
      </c>
      <c r="Y116" s="83">
        <v>54.1</v>
      </c>
      <c r="Z116" s="73" t="s">
        <v>421</v>
      </c>
      <c r="AA116" s="73" t="s">
        <v>334</v>
      </c>
      <c r="AB116" s="73" t="s">
        <v>18</v>
      </c>
      <c r="AC116" s="73">
        <v>3.8</v>
      </c>
      <c r="AD116" s="82"/>
      <c r="AG116" s="83"/>
      <c r="AL116" s="82"/>
      <c r="AO116" s="83"/>
      <c r="AP116" s="82"/>
      <c r="AS116" s="83"/>
      <c r="AW116" s="83"/>
      <c r="BA116" s="84"/>
    </row>
    <row r="117" spans="1:53" s="73" customFormat="1">
      <c r="A117" s="73">
        <v>2009</v>
      </c>
      <c r="B117" s="149">
        <v>39987</v>
      </c>
      <c r="C117" s="988" t="s">
        <v>420</v>
      </c>
      <c r="D117" s="988"/>
      <c r="E117" s="73">
        <v>192</v>
      </c>
      <c r="F117" s="150">
        <v>0</v>
      </c>
      <c r="G117" s="123">
        <v>15</v>
      </c>
      <c r="H117" s="73">
        <v>1</v>
      </c>
      <c r="J117" s="134">
        <v>19</v>
      </c>
      <c r="K117" s="92">
        <f t="shared" si="13"/>
        <v>78.94736842105263</v>
      </c>
      <c r="L117" s="92">
        <f t="shared" si="14"/>
        <v>5.2631578947368416</v>
      </c>
      <c r="M117" s="92">
        <f t="shared" si="15"/>
        <v>0</v>
      </c>
      <c r="N117" s="125">
        <f t="shared" si="8"/>
        <v>84.210526315789465</v>
      </c>
      <c r="O117" s="91">
        <v>54.1</v>
      </c>
      <c r="P117" s="92">
        <v>3.8</v>
      </c>
      <c r="Q117" s="92"/>
      <c r="R117" s="93">
        <f t="shared" si="9"/>
        <v>57.9</v>
      </c>
      <c r="S117" s="97">
        <v>3</v>
      </c>
      <c r="T117" s="95"/>
      <c r="U117" s="149"/>
      <c r="V117" s="82" t="s">
        <v>119</v>
      </c>
      <c r="W117" s="73" t="s">
        <v>76</v>
      </c>
      <c r="X117" s="73" t="s">
        <v>11</v>
      </c>
      <c r="Y117" s="83">
        <v>54.1</v>
      </c>
      <c r="Z117" s="73" t="s">
        <v>421</v>
      </c>
      <c r="AA117" s="73" t="s">
        <v>334</v>
      </c>
      <c r="AB117" s="73" t="s">
        <v>18</v>
      </c>
      <c r="AC117" s="73">
        <v>3.8</v>
      </c>
      <c r="AD117" s="82"/>
      <c r="AG117" s="83"/>
      <c r="AL117" s="82"/>
      <c r="AO117" s="83"/>
      <c r="AP117" s="82"/>
      <c r="AS117" s="83"/>
      <c r="AW117" s="83"/>
      <c r="BA117" s="84"/>
    </row>
    <row r="118" spans="1:53" s="73" customFormat="1">
      <c r="A118" s="73">
        <v>2010</v>
      </c>
      <c r="B118" s="85"/>
      <c r="C118" s="988" t="s">
        <v>420</v>
      </c>
      <c r="D118" s="988"/>
      <c r="E118" s="73">
        <v>317</v>
      </c>
      <c r="G118" s="123">
        <v>15</v>
      </c>
      <c r="H118" s="73">
        <v>1</v>
      </c>
      <c r="J118" s="134">
        <v>19</v>
      </c>
      <c r="K118" s="92">
        <f t="shared" si="13"/>
        <v>78.94736842105263</v>
      </c>
      <c r="L118" s="92">
        <f t="shared" si="14"/>
        <v>5.2631578947368416</v>
      </c>
      <c r="M118" s="92">
        <f t="shared" si="15"/>
        <v>0</v>
      </c>
      <c r="N118" s="125">
        <f t="shared" si="8"/>
        <v>84.210526315789465</v>
      </c>
      <c r="O118" s="91">
        <v>54.1</v>
      </c>
      <c r="P118" s="92">
        <v>3.8</v>
      </c>
      <c r="Q118" s="92"/>
      <c r="R118" s="93">
        <f t="shared" si="9"/>
        <v>57.9</v>
      </c>
      <c r="S118" s="97">
        <v>3</v>
      </c>
      <c r="T118" s="95"/>
      <c r="U118" s="85"/>
      <c r="V118" s="82" t="s">
        <v>119</v>
      </c>
      <c r="W118" s="73" t="s">
        <v>76</v>
      </c>
      <c r="X118" s="73" t="s">
        <v>11</v>
      </c>
      <c r="Y118" s="83">
        <v>54.1</v>
      </c>
      <c r="Z118" s="73" t="s">
        <v>421</v>
      </c>
      <c r="AA118" s="73" t="s">
        <v>334</v>
      </c>
      <c r="AB118" s="73" t="s">
        <v>18</v>
      </c>
      <c r="AC118" s="73">
        <v>3.8</v>
      </c>
      <c r="AD118" s="82"/>
      <c r="AG118" s="83"/>
      <c r="AL118" s="82"/>
      <c r="AO118" s="83"/>
      <c r="AP118" s="82"/>
      <c r="AS118" s="83"/>
      <c r="AW118" s="83"/>
      <c r="BA118" s="84"/>
    </row>
    <row r="119" spans="1:53" s="334" customFormat="1">
      <c r="A119" s="334">
        <v>2010</v>
      </c>
      <c r="B119" s="355">
        <v>40496</v>
      </c>
      <c r="C119" s="992" t="s">
        <v>1149</v>
      </c>
      <c r="D119" s="992"/>
      <c r="E119" s="334">
        <f>365-E118</f>
        <v>48</v>
      </c>
      <c r="F119" s="334">
        <v>4</v>
      </c>
      <c r="G119" s="419">
        <v>22</v>
      </c>
      <c r="J119" s="435">
        <v>23</v>
      </c>
      <c r="K119" s="384">
        <f t="shared" si="13"/>
        <v>95.652173913043484</v>
      </c>
      <c r="L119" s="384">
        <f t="shared" si="13"/>
        <v>0</v>
      </c>
      <c r="M119" s="384">
        <f t="shared" si="15"/>
        <v>0</v>
      </c>
      <c r="N119" s="421">
        <f t="shared" si="8"/>
        <v>95.652173913043484</v>
      </c>
      <c r="O119" s="383">
        <v>54.1</v>
      </c>
      <c r="P119" s="384"/>
      <c r="Q119" s="384"/>
      <c r="R119" s="385">
        <f t="shared" si="9"/>
        <v>54.1</v>
      </c>
      <c r="S119" s="388">
        <v>1</v>
      </c>
      <c r="T119" s="342"/>
      <c r="U119" s="355">
        <v>40496</v>
      </c>
      <c r="V119" s="343" t="s">
        <v>119</v>
      </c>
      <c r="W119" s="334" t="s">
        <v>76</v>
      </c>
      <c r="X119" s="334" t="s">
        <v>11</v>
      </c>
      <c r="Y119" s="344">
        <v>54.1</v>
      </c>
      <c r="AD119" s="343"/>
      <c r="AG119" s="344"/>
      <c r="AL119" s="343"/>
      <c r="AO119" s="344"/>
      <c r="AP119" s="343"/>
      <c r="AS119" s="344"/>
      <c r="AW119" s="344"/>
      <c r="BA119" s="345"/>
    </row>
    <row r="120" spans="1:53" s="334" customFormat="1">
      <c r="A120" s="334">
        <v>2011</v>
      </c>
      <c r="B120" s="355"/>
      <c r="C120" s="992" t="s">
        <v>1149</v>
      </c>
      <c r="D120" s="992"/>
      <c r="E120" s="334">
        <v>0</v>
      </c>
      <c r="G120" s="419">
        <v>22</v>
      </c>
      <c r="J120" s="435">
        <v>23</v>
      </c>
      <c r="K120" s="384">
        <f t="shared" ref="K120:L122" si="16">G120/J120*100</f>
        <v>95.652173913043484</v>
      </c>
      <c r="L120" s="384">
        <f t="shared" si="16"/>
        <v>0</v>
      </c>
      <c r="M120" s="384">
        <f t="shared" ref="M120:M126" si="17">I120/J120*100</f>
        <v>0</v>
      </c>
      <c r="N120" s="421">
        <f t="shared" si="8"/>
        <v>95.652173913043484</v>
      </c>
      <c r="O120" s="383">
        <v>54.1</v>
      </c>
      <c r="P120" s="384"/>
      <c r="Q120" s="384"/>
      <c r="R120" s="385">
        <f t="shared" si="9"/>
        <v>54.1</v>
      </c>
      <c r="S120" s="388">
        <v>1</v>
      </c>
      <c r="T120" s="342"/>
      <c r="U120" s="355"/>
      <c r="V120" s="343" t="s">
        <v>119</v>
      </c>
      <c r="W120" s="334" t="s">
        <v>76</v>
      </c>
      <c r="X120" s="334" t="s">
        <v>11</v>
      </c>
      <c r="Y120" s="344">
        <v>54.1</v>
      </c>
      <c r="AD120" s="343"/>
      <c r="AG120" s="344"/>
      <c r="AL120" s="343"/>
      <c r="AO120" s="344"/>
      <c r="AP120" s="343"/>
      <c r="AS120" s="344"/>
      <c r="AW120" s="344"/>
      <c r="BA120" s="345"/>
    </row>
    <row r="121" spans="1:53" s="334" customFormat="1">
      <c r="A121" s="334">
        <v>2011</v>
      </c>
      <c r="B121" s="355"/>
      <c r="C121" s="992" t="s">
        <v>1149</v>
      </c>
      <c r="D121" s="992"/>
      <c r="E121" s="334">
        <v>365</v>
      </c>
      <c r="G121" s="419">
        <v>22</v>
      </c>
      <c r="J121" s="435">
        <v>23</v>
      </c>
      <c r="K121" s="384">
        <f t="shared" si="16"/>
        <v>95.652173913043484</v>
      </c>
      <c r="L121" s="384">
        <f t="shared" si="16"/>
        <v>0</v>
      </c>
      <c r="M121" s="384">
        <f t="shared" si="17"/>
        <v>0</v>
      </c>
      <c r="N121" s="421">
        <f t="shared" si="8"/>
        <v>95.652173913043484</v>
      </c>
      <c r="O121" s="383">
        <v>54.1</v>
      </c>
      <c r="P121" s="384"/>
      <c r="Q121" s="384"/>
      <c r="R121" s="385">
        <f t="shared" si="9"/>
        <v>54.1</v>
      </c>
      <c r="S121" s="388">
        <v>1</v>
      </c>
      <c r="T121" s="342"/>
      <c r="U121" s="355"/>
      <c r="V121" s="343" t="s">
        <v>119</v>
      </c>
      <c r="W121" s="334" t="s">
        <v>76</v>
      </c>
      <c r="X121" s="334" t="s">
        <v>11</v>
      </c>
      <c r="Y121" s="344">
        <v>54.1</v>
      </c>
      <c r="AD121" s="343"/>
      <c r="AG121" s="344"/>
      <c r="AL121" s="343"/>
      <c r="AO121" s="344"/>
      <c r="AP121" s="343"/>
      <c r="AS121" s="344"/>
      <c r="AW121" s="344"/>
      <c r="BA121" s="345"/>
    </row>
    <row r="122" spans="1:53" s="334" customFormat="1">
      <c r="A122" s="334">
        <v>2012</v>
      </c>
      <c r="B122" s="355"/>
      <c r="C122" s="992" t="s">
        <v>1149</v>
      </c>
      <c r="D122" s="992"/>
      <c r="E122" s="334">
        <v>136</v>
      </c>
      <c r="G122" s="419">
        <v>22</v>
      </c>
      <c r="J122" s="435">
        <v>23</v>
      </c>
      <c r="K122" s="384">
        <f t="shared" si="16"/>
        <v>95.652173913043484</v>
      </c>
      <c r="L122" s="384">
        <f t="shared" si="16"/>
        <v>0</v>
      </c>
      <c r="M122" s="384">
        <f t="shared" si="17"/>
        <v>0</v>
      </c>
      <c r="N122" s="421">
        <f t="shared" si="8"/>
        <v>95.652173913043484</v>
      </c>
      <c r="O122" s="383">
        <v>54.1</v>
      </c>
      <c r="P122" s="384"/>
      <c r="Q122" s="384"/>
      <c r="R122" s="385">
        <f t="shared" si="9"/>
        <v>54.1</v>
      </c>
      <c r="S122" s="388">
        <v>1</v>
      </c>
      <c r="T122" s="342"/>
      <c r="U122" s="355"/>
      <c r="V122" s="343" t="s">
        <v>119</v>
      </c>
      <c r="W122" s="334" t="s">
        <v>76</v>
      </c>
      <c r="X122" s="334" t="s">
        <v>11</v>
      </c>
      <c r="Y122" s="344">
        <v>54.1</v>
      </c>
      <c r="AD122" s="343"/>
      <c r="AG122" s="344"/>
      <c r="AL122" s="343"/>
      <c r="AO122" s="344"/>
      <c r="AP122" s="343"/>
      <c r="AS122" s="344"/>
      <c r="AW122" s="344"/>
      <c r="BA122" s="345"/>
    </row>
    <row r="123" spans="1:53" s="300" customFormat="1">
      <c r="A123" s="300">
        <v>2012</v>
      </c>
      <c r="B123" s="299">
        <v>41045</v>
      </c>
      <c r="C123" s="988" t="s">
        <v>422</v>
      </c>
      <c r="D123" s="988"/>
      <c r="E123" s="300">
        <v>33</v>
      </c>
      <c r="F123" s="300">
        <v>1</v>
      </c>
      <c r="G123" s="123"/>
      <c r="I123" s="300">
        <v>20</v>
      </c>
      <c r="J123" s="134">
        <v>20</v>
      </c>
      <c r="K123" s="92">
        <f>G123/J123*100</f>
        <v>0</v>
      </c>
      <c r="L123" s="92">
        <f>H123/J123*100</f>
        <v>0</v>
      </c>
      <c r="M123" s="92">
        <f t="shared" si="17"/>
        <v>100</v>
      </c>
      <c r="N123" s="125">
        <f>SUM(K123:M123)</f>
        <v>100</v>
      </c>
      <c r="O123" s="91"/>
      <c r="P123" s="92"/>
      <c r="Q123" s="92">
        <v>37.4</v>
      </c>
      <c r="R123" s="93">
        <f>SUM(O123:Q123)</f>
        <v>37.4</v>
      </c>
      <c r="S123" s="97">
        <v>6</v>
      </c>
      <c r="T123" s="95"/>
      <c r="U123" s="299">
        <v>41045</v>
      </c>
      <c r="V123" s="82" t="s">
        <v>96</v>
      </c>
      <c r="W123" s="300" t="s">
        <v>20</v>
      </c>
      <c r="X123" s="300" t="s">
        <v>12</v>
      </c>
      <c r="Y123" s="83">
        <v>35.5</v>
      </c>
      <c r="Z123" s="712" t="s">
        <v>1333</v>
      </c>
      <c r="AA123" s="300" t="s">
        <v>88</v>
      </c>
      <c r="AB123" s="300" t="s">
        <v>12</v>
      </c>
      <c r="AC123" s="300">
        <v>1.2</v>
      </c>
      <c r="AD123" s="82" t="s">
        <v>414</v>
      </c>
      <c r="AE123" s="300" t="s">
        <v>218</v>
      </c>
      <c r="AF123" s="300" t="s">
        <v>12</v>
      </c>
      <c r="AG123" s="83">
        <v>0.7</v>
      </c>
      <c r="AL123" s="82"/>
      <c r="AO123" s="83"/>
      <c r="AP123" s="82"/>
      <c r="AS123" s="83"/>
      <c r="AW123" s="83"/>
      <c r="BA123" s="84"/>
    </row>
    <row r="124" spans="1:53" s="334" customFormat="1">
      <c r="A124" s="334">
        <v>2012</v>
      </c>
      <c r="B124" s="355">
        <v>41078</v>
      </c>
      <c r="C124" s="992" t="s">
        <v>423</v>
      </c>
      <c r="D124" s="992"/>
      <c r="E124" s="334">
        <v>197</v>
      </c>
      <c r="F124" s="334">
        <v>1</v>
      </c>
      <c r="G124" s="419"/>
      <c r="I124" s="334">
        <v>21</v>
      </c>
      <c r="J124" s="435">
        <v>21</v>
      </c>
      <c r="K124" s="384">
        <f t="shared" ref="K124:K131" si="18">G124/J124*100</f>
        <v>0</v>
      </c>
      <c r="L124" s="384">
        <f>H124/J124*100</f>
        <v>0</v>
      </c>
      <c r="M124" s="384">
        <f t="shared" si="17"/>
        <v>100</v>
      </c>
      <c r="N124" s="421">
        <f t="shared" si="8"/>
        <v>100</v>
      </c>
      <c r="O124" s="383"/>
      <c r="P124" s="384"/>
      <c r="Q124" s="384">
        <v>53.5</v>
      </c>
      <c r="R124" s="385">
        <f t="shared" si="9"/>
        <v>53.5</v>
      </c>
      <c r="S124" s="388">
        <v>3</v>
      </c>
      <c r="T124" s="342">
        <v>41077</v>
      </c>
      <c r="U124" s="355">
        <v>41078</v>
      </c>
      <c r="V124" s="343" t="s">
        <v>96</v>
      </c>
      <c r="W124" s="334" t="s">
        <v>20</v>
      </c>
      <c r="X124" s="334" t="s">
        <v>12</v>
      </c>
      <c r="Y124" s="344">
        <v>48.5</v>
      </c>
      <c r="Z124" s="880" t="s">
        <v>1333</v>
      </c>
      <c r="AA124" s="334" t="s">
        <v>88</v>
      </c>
      <c r="AB124" s="334" t="s">
        <v>12</v>
      </c>
      <c r="AC124" s="334">
        <v>2.1</v>
      </c>
      <c r="AD124" s="343" t="s">
        <v>414</v>
      </c>
      <c r="AE124" s="334" t="s">
        <v>218</v>
      </c>
      <c r="AF124" s="334" t="s">
        <v>12</v>
      </c>
      <c r="AG124" s="344">
        <v>2.9</v>
      </c>
      <c r="AL124" s="343"/>
      <c r="AO124" s="344"/>
      <c r="AP124" s="343"/>
      <c r="AS124" s="344"/>
      <c r="AW124" s="344"/>
      <c r="BA124" s="345"/>
    </row>
    <row r="125" spans="1:53" s="334" customFormat="1">
      <c r="A125" s="334">
        <v>2013</v>
      </c>
      <c r="B125" s="355"/>
      <c r="C125" s="965" t="s">
        <v>423</v>
      </c>
      <c r="D125" s="965"/>
      <c r="E125" s="334">
        <v>0</v>
      </c>
      <c r="G125" s="419"/>
      <c r="I125" s="334">
        <v>21</v>
      </c>
      <c r="J125" s="435">
        <v>21</v>
      </c>
      <c r="K125" s="384">
        <f t="shared" si="18"/>
        <v>0</v>
      </c>
      <c r="L125" s="640">
        <f t="shared" ref="L125:L131" si="19">H125/J125*100</f>
        <v>0</v>
      </c>
      <c r="M125" s="384">
        <f t="shared" si="17"/>
        <v>100</v>
      </c>
      <c r="N125" s="498">
        <f t="shared" si="8"/>
        <v>100</v>
      </c>
      <c r="O125" s="383"/>
      <c r="P125" s="384"/>
      <c r="Q125" s="384">
        <v>53.5</v>
      </c>
      <c r="R125" s="385">
        <f t="shared" si="9"/>
        <v>53.5</v>
      </c>
      <c r="S125" s="388">
        <v>3</v>
      </c>
      <c r="T125" s="342"/>
      <c r="U125" s="355"/>
      <c r="V125" s="343" t="s">
        <v>96</v>
      </c>
      <c r="W125" s="334" t="s">
        <v>20</v>
      </c>
      <c r="X125" s="334" t="s">
        <v>12</v>
      </c>
      <c r="Y125" s="344">
        <v>48.5</v>
      </c>
      <c r="Z125" s="880" t="s">
        <v>1333</v>
      </c>
      <c r="AA125" s="334" t="s">
        <v>88</v>
      </c>
      <c r="AB125" s="334" t="s">
        <v>12</v>
      </c>
      <c r="AC125" s="334">
        <v>2.1</v>
      </c>
      <c r="AD125" s="343" t="s">
        <v>414</v>
      </c>
      <c r="AE125" s="334" t="s">
        <v>218</v>
      </c>
      <c r="AF125" s="334" t="s">
        <v>12</v>
      </c>
      <c r="AG125" s="344">
        <v>2.9</v>
      </c>
      <c r="AL125" s="343"/>
      <c r="AO125" s="344"/>
      <c r="AP125" s="343"/>
      <c r="AS125" s="344"/>
      <c r="AW125" s="344"/>
      <c r="BA125" s="345"/>
    </row>
    <row r="126" spans="1:53" s="334" customFormat="1">
      <c r="A126" s="334">
        <v>2013</v>
      </c>
      <c r="B126" s="355"/>
      <c r="C126" s="965" t="s">
        <v>423</v>
      </c>
      <c r="D126" s="965"/>
      <c r="E126" s="334">
        <v>365</v>
      </c>
      <c r="G126" s="419"/>
      <c r="I126" s="334">
        <v>21</v>
      </c>
      <c r="J126" s="435">
        <v>21</v>
      </c>
      <c r="K126" s="384">
        <f t="shared" si="18"/>
        <v>0</v>
      </c>
      <c r="L126" s="640">
        <f t="shared" si="19"/>
        <v>0</v>
      </c>
      <c r="M126" s="384">
        <f t="shared" si="17"/>
        <v>100</v>
      </c>
      <c r="N126" s="498">
        <f t="shared" si="8"/>
        <v>100</v>
      </c>
      <c r="O126" s="383"/>
      <c r="P126" s="384"/>
      <c r="Q126" s="384">
        <v>53.5</v>
      </c>
      <c r="R126" s="385">
        <f t="shared" si="9"/>
        <v>53.5</v>
      </c>
      <c r="S126" s="388">
        <v>3</v>
      </c>
      <c r="T126" s="342"/>
      <c r="U126" s="355"/>
      <c r="V126" s="343" t="s">
        <v>96</v>
      </c>
      <c r="W126" s="334" t="s">
        <v>20</v>
      </c>
      <c r="X126" s="334" t="s">
        <v>12</v>
      </c>
      <c r="Y126" s="344">
        <v>48.5</v>
      </c>
      <c r="Z126" s="880" t="s">
        <v>1333</v>
      </c>
      <c r="AA126" s="334" t="s">
        <v>88</v>
      </c>
      <c r="AB126" s="334" t="s">
        <v>12</v>
      </c>
      <c r="AC126" s="334">
        <v>2.1</v>
      </c>
      <c r="AD126" s="343" t="s">
        <v>414</v>
      </c>
      <c r="AE126" s="334" t="s">
        <v>218</v>
      </c>
      <c r="AF126" s="334" t="s">
        <v>12</v>
      </c>
      <c r="AG126" s="344">
        <v>2.9</v>
      </c>
      <c r="AL126" s="343"/>
      <c r="AO126" s="344"/>
      <c r="AP126" s="343"/>
      <c r="AS126" s="344"/>
      <c r="AW126" s="344"/>
      <c r="BA126" s="345"/>
    </row>
    <row r="127" spans="1:53" s="532" customFormat="1">
      <c r="A127" s="532">
        <v>2014</v>
      </c>
      <c r="B127" s="529"/>
      <c r="C127" s="965" t="s">
        <v>423</v>
      </c>
      <c r="D127" s="965"/>
      <c r="E127" s="532">
        <v>89</v>
      </c>
      <c r="G127" s="497"/>
      <c r="I127" s="532">
        <v>21</v>
      </c>
      <c r="J127" s="499">
        <v>21</v>
      </c>
      <c r="K127" s="495">
        <f t="shared" si="18"/>
        <v>0</v>
      </c>
      <c r="L127" s="640">
        <f t="shared" si="19"/>
        <v>0</v>
      </c>
      <c r="M127" s="495">
        <f>I127/J127*100</f>
        <v>100</v>
      </c>
      <c r="N127" s="498">
        <f t="shared" si="8"/>
        <v>100</v>
      </c>
      <c r="O127" s="494"/>
      <c r="P127" s="495"/>
      <c r="Q127" s="495">
        <v>53.5</v>
      </c>
      <c r="R127" s="496">
        <f>SUM(O127:Q127)</f>
        <v>53.5</v>
      </c>
      <c r="S127" s="388">
        <v>3</v>
      </c>
      <c r="T127" s="487"/>
      <c r="U127" s="529"/>
      <c r="V127" s="488" t="s">
        <v>96</v>
      </c>
      <c r="W127" s="532" t="s">
        <v>20</v>
      </c>
      <c r="X127" s="532" t="s">
        <v>12</v>
      </c>
      <c r="Y127" s="489">
        <v>48.5</v>
      </c>
      <c r="Z127" s="880" t="s">
        <v>1333</v>
      </c>
      <c r="AA127" s="532" t="s">
        <v>88</v>
      </c>
      <c r="AB127" s="532" t="s">
        <v>12</v>
      </c>
      <c r="AC127" s="532">
        <v>2.1</v>
      </c>
      <c r="AD127" s="488" t="s">
        <v>414</v>
      </c>
      <c r="AE127" s="532" t="s">
        <v>218</v>
      </c>
      <c r="AF127" s="532" t="s">
        <v>12</v>
      </c>
      <c r="AG127" s="489">
        <v>2.9</v>
      </c>
      <c r="AL127" s="488"/>
      <c r="AO127" s="489"/>
      <c r="AP127" s="488"/>
      <c r="AS127" s="489"/>
      <c r="AW127" s="489"/>
      <c r="BA127" s="490"/>
    </row>
    <row r="128" spans="1:53" s="531" customFormat="1">
      <c r="A128" s="531">
        <v>2014</v>
      </c>
      <c r="B128" s="528">
        <v>41729</v>
      </c>
      <c r="C128" s="988" t="s">
        <v>1301</v>
      </c>
      <c r="D128" s="988"/>
      <c r="E128" s="531">
        <v>149</v>
      </c>
      <c r="F128" s="531">
        <v>2</v>
      </c>
      <c r="G128" s="480"/>
      <c r="I128" s="531">
        <v>17</v>
      </c>
      <c r="J128" s="482">
        <v>17</v>
      </c>
      <c r="K128" s="477">
        <f t="shared" si="18"/>
        <v>0</v>
      </c>
      <c r="L128" s="593">
        <f>H128/J128*100</f>
        <v>0</v>
      </c>
      <c r="M128" s="477">
        <f>I128/J128*100</f>
        <v>100</v>
      </c>
      <c r="N128" s="481">
        <f t="shared" si="8"/>
        <v>100</v>
      </c>
      <c r="O128" s="476"/>
      <c r="P128" s="477"/>
      <c r="Q128" s="477">
        <v>50.2</v>
      </c>
      <c r="R128" s="478">
        <f>SUM(O128:Q128)</f>
        <v>50.2</v>
      </c>
      <c r="S128" s="97">
        <v>2</v>
      </c>
      <c r="T128" s="479"/>
      <c r="U128" s="528">
        <v>41729</v>
      </c>
      <c r="V128" s="472" t="s">
        <v>96</v>
      </c>
      <c r="W128" s="531" t="s">
        <v>20</v>
      </c>
      <c r="X128" s="531" t="s">
        <v>12</v>
      </c>
      <c r="Y128" s="473">
        <v>48.1</v>
      </c>
      <c r="Z128" s="879" t="s">
        <v>1333</v>
      </c>
      <c r="AA128" s="531" t="s">
        <v>88</v>
      </c>
      <c r="AB128" s="531" t="s">
        <v>12</v>
      </c>
      <c r="AC128" s="531">
        <v>2.1</v>
      </c>
      <c r="AD128" s="472"/>
      <c r="AG128" s="473"/>
      <c r="AL128" s="472"/>
      <c r="AO128" s="473"/>
      <c r="AP128" s="472"/>
      <c r="AS128" s="473"/>
      <c r="AW128" s="473"/>
      <c r="BA128" s="474"/>
    </row>
    <row r="129" spans="1:53" s="531" customFormat="1">
      <c r="A129" s="531">
        <v>2014</v>
      </c>
      <c r="B129" s="483">
        <v>41878</v>
      </c>
      <c r="C129" s="988" t="s">
        <v>1301</v>
      </c>
      <c r="D129" s="988"/>
      <c r="E129" s="531">
        <v>127</v>
      </c>
      <c r="F129" s="484">
        <v>0</v>
      </c>
      <c r="G129" s="480"/>
      <c r="I129" s="712">
        <v>17</v>
      </c>
      <c r="J129" s="598">
        <v>17</v>
      </c>
      <c r="K129" s="593">
        <f t="shared" si="18"/>
        <v>0</v>
      </c>
      <c r="L129" s="593">
        <f t="shared" si="19"/>
        <v>0</v>
      </c>
      <c r="M129" s="477">
        <f>I129/J129*100</f>
        <v>100</v>
      </c>
      <c r="N129" s="481">
        <f t="shared" si="8"/>
        <v>100</v>
      </c>
      <c r="O129" s="476"/>
      <c r="P129" s="477"/>
      <c r="Q129" s="477">
        <v>50.2</v>
      </c>
      <c r="R129" s="478">
        <f>SUM(O129:Q129)</f>
        <v>50.2</v>
      </c>
      <c r="S129" s="97">
        <v>2</v>
      </c>
      <c r="T129" s="479"/>
      <c r="U129" s="483"/>
      <c r="V129" s="472" t="s">
        <v>96</v>
      </c>
      <c r="W129" s="531" t="s">
        <v>20</v>
      </c>
      <c r="X129" s="531" t="s">
        <v>12</v>
      </c>
      <c r="Y129" s="473">
        <v>48.1</v>
      </c>
      <c r="Z129" s="879" t="s">
        <v>1333</v>
      </c>
      <c r="AA129" s="531" t="s">
        <v>88</v>
      </c>
      <c r="AB129" s="531" t="s">
        <v>12</v>
      </c>
      <c r="AC129" s="531">
        <v>2.1</v>
      </c>
      <c r="AD129" s="472"/>
      <c r="AG129" s="473"/>
      <c r="AL129" s="472"/>
      <c r="AO129" s="473"/>
      <c r="AP129" s="472"/>
      <c r="AS129" s="473"/>
      <c r="AW129" s="473"/>
      <c r="BA129" s="474"/>
    </row>
    <row r="130" spans="1:53" s="712" customFormat="1">
      <c r="A130" s="712">
        <v>2015</v>
      </c>
      <c r="B130" s="599"/>
      <c r="C130" s="988" t="s">
        <v>1301</v>
      </c>
      <c r="D130" s="988"/>
      <c r="E130" s="712">
        <v>0</v>
      </c>
      <c r="F130" s="600"/>
      <c r="G130" s="596"/>
      <c r="I130" s="531">
        <v>17</v>
      </c>
      <c r="J130" s="482">
        <v>17</v>
      </c>
      <c r="K130" s="593">
        <f t="shared" si="18"/>
        <v>0</v>
      </c>
      <c r="L130" s="593">
        <f t="shared" si="19"/>
        <v>0</v>
      </c>
      <c r="M130" s="593">
        <f t="shared" ref="M130:M131" si="20">I130/J130*100</f>
        <v>100</v>
      </c>
      <c r="N130" s="597">
        <f t="shared" ref="N130:N131" si="21">SUM(K130:M130)</f>
        <v>100</v>
      </c>
      <c r="O130" s="592"/>
      <c r="P130" s="593"/>
      <c r="Q130" s="593">
        <v>50.2</v>
      </c>
      <c r="R130" s="594">
        <f t="shared" ref="R130:R131" si="22">SUM(O130:Q130)</f>
        <v>50.2</v>
      </c>
      <c r="S130" s="97">
        <v>2</v>
      </c>
      <c r="T130" s="595"/>
      <c r="U130" s="599"/>
      <c r="V130" s="588" t="s">
        <v>96</v>
      </c>
      <c r="W130" s="712" t="s">
        <v>20</v>
      </c>
      <c r="X130" s="712" t="s">
        <v>12</v>
      </c>
      <c r="Y130" s="589">
        <v>48.1</v>
      </c>
      <c r="Z130" s="879" t="s">
        <v>1333</v>
      </c>
      <c r="AA130" s="712" t="s">
        <v>88</v>
      </c>
      <c r="AB130" s="712" t="s">
        <v>12</v>
      </c>
      <c r="AC130" s="712">
        <v>2.1</v>
      </c>
      <c r="AD130" s="588"/>
      <c r="AG130" s="589"/>
      <c r="AL130" s="588"/>
      <c r="AO130" s="589"/>
      <c r="AP130" s="588"/>
      <c r="AS130" s="589"/>
      <c r="AW130" s="589"/>
      <c r="BA130" s="590"/>
    </row>
    <row r="131" spans="1:53" s="712" customFormat="1">
      <c r="A131" s="712">
        <v>2015</v>
      </c>
      <c r="B131" s="599"/>
      <c r="C131" s="988" t="s">
        <v>1301</v>
      </c>
      <c r="D131" s="988"/>
      <c r="E131" s="712">
        <v>365</v>
      </c>
      <c r="F131" s="600"/>
      <c r="G131" s="596"/>
      <c r="I131" s="712">
        <v>17</v>
      </c>
      <c r="J131" s="598">
        <v>17</v>
      </c>
      <c r="K131" s="593">
        <f t="shared" si="18"/>
        <v>0</v>
      </c>
      <c r="L131" s="593">
        <f t="shared" si="19"/>
        <v>0</v>
      </c>
      <c r="M131" s="593">
        <f t="shared" si="20"/>
        <v>100</v>
      </c>
      <c r="N131" s="597">
        <f t="shared" si="21"/>
        <v>100</v>
      </c>
      <c r="O131" s="592"/>
      <c r="P131" s="593"/>
      <c r="Q131" s="593">
        <v>50.2</v>
      </c>
      <c r="R131" s="594">
        <f t="shared" si="22"/>
        <v>50.2</v>
      </c>
      <c r="S131" s="97">
        <v>2</v>
      </c>
      <c r="T131" s="595"/>
      <c r="U131" s="599"/>
      <c r="V131" s="588" t="s">
        <v>96</v>
      </c>
      <c r="W131" s="712" t="s">
        <v>20</v>
      </c>
      <c r="X131" s="712" t="s">
        <v>12</v>
      </c>
      <c r="Y131" s="589">
        <v>48.1</v>
      </c>
      <c r="Z131" s="879" t="s">
        <v>1333</v>
      </c>
      <c r="AA131" s="712" t="s">
        <v>88</v>
      </c>
      <c r="AB131" s="712" t="s">
        <v>12</v>
      </c>
      <c r="AC131" s="712">
        <v>2.1</v>
      </c>
      <c r="AD131" s="588"/>
      <c r="AG131" s="589"/>
      <c r="AL131" s="588"/>
      <c r="AO131" s="589"/>
      <c r="AP131" s="588"/>
      <c r="AS131" s="589"/>
      <c r="AW131" s="589"/>
      <c r="BA131" s="590"/>
    </row>
    <row r="132" spans="1:53" s="806" customFormat="1">
      <c r="A132" s="806">
        <v>2016</v>
      </c>
      <c r="B132" s="599"/>
      <c r="C132" s="988" t="s">
        <v>1301</v>
      </c>
      <c r="D132" s="988"/>
      <c r="E132" s="806">
        <v>25</v>
      </c>
      <c r="F132" s="600"/>
      <c r="G132" s="596"/>
      <c r="I132" s="806">
        <v>17</v>
      </c>
      <c r="J132" s="598">
        <v>17</v>
      </c>
      <c r="K132" s="593">
        <f t="shared" ref="K132:K137" si="23">G132/J132*100</f>
        <v>0</v>
      </c>
      <c r="L132" s="593">
        <f t="shared" ref="L132:L137" si="24">H132/J132*100</f>
        <v>0</v>
      </c>
      <c r="M132" s="593">
        <f t="shared" ref="M132:M137" si="25">I132/J132*100</f>
        <v>100</v>
      </c>
      <c r="N132" s="597">
        <f t="shared" ref="N132:N137" si="26">SUM(K132:M132)</f>
        <v>100</v>
      </c>
      <c r="O132" s="592"/>
      <c r="P132" s="593"/>
      <c r="Q132" s="593">
        <v>50.2</v>
      </c>
      <c r="R132" s="594">
        <f>SUM(O132:Q132)</f>
        <v>50.2</v>
      </c>
      <c r="S132" s="97">
        <v>2</v>
      </c>
      <c r="T132" s="595"/>
      <c r="U132" s="599"/>
      <c r="V132" s="588" t="s">
        <v>96</v>
      </c>
      <c r="W132" s="806" t="s">
        <v>20</v>
      </c>
      <c r="X132" s="806" t="s">
        <v>12</v>
      </c>
      <c r="Y132" s="589">
        <v>48.1</v>
      </c>
      <c r="Z132" s="879" t="s">
        <v>1333</v>
      </c>
      <c r="AA132" s="806" t="s">
        <v>88</v>
      </c>
      <c r="AB132" s="806" t="s">
        <v>12</v>
      </c>
      <c r="AC132" s="806">
        <v>2.1</v>
      </c>
      <c r="AD132" s="588"/>
      <c r="AG132" s="589"/>
      <c r="AL132" s="588"/>
      <c r="AO132" s="589"/>
      <c r="AP132" s="588"/>
      <c r="AS132" s="589"/>
      <c r="AW132" s="589"/>
      <c r="BA132" s="590"/>
    </row>
    <row r="133" spans="1:53" s="806" customFormat="1">
      <c r="A133" s="806">
        <v>2016</v>
      </c>
      <c r="B133" s="599">
        <v>42395</v>
      </c>
      <c r="C133" s="988" t="s">
        <v>1301</v>
      </c>
      <c r="D133" s="988"/>
      <c r="E133" s="806">
        <v>16</v>
      </c>
      <c r="F133" s="600">
        <v>0</v>
      </c>
      <c r="G133" s="596"/>
      <c r="I133" s="806">
        <v>17</v>
      </c>
      <c r="J133" s="598">
        <v>17</v>
      </c>
      <c r="K133" s="593">
        <f t="shared" si="23"/>
        <v>0</v>
      </c>
      <c r="L133" s="593">
        <f t="shared" si="24"/>
        <v>0</v>
      </c>
      <c r="M133" s="593">
        <f t="shared" si="25"/>
        <v>100</v>
      </c>
      <c r="N133" s="597">
        <f t="shared" si="26"/>
        <v>100</v>
      </c>
      <c r="O133" s="592"/>
      <c r="P133" s="593"/>
      <c r="Q133" s="593">
        <v>50.2</v>
      </c>
      <c r="R133" s="594">
        <f t="shared" ref="R133" si="27">SUM(O133:Q133)</f>
        <v>50.2</v>
      </c>
      <c r="S133" s="97">
        <v>2</v>
      </c>
      <c r="T133" s="595"/>
      <c r="U133" s="599"/>
      <c r="V133" s="588" t="s">
        <v>96</v>
      </c>
      <c r="W133" s="806" t="s">
        <v>20</v>
      </c>
      <c r="X133" s="806" t="s">
        <v>12</v>
      </c>
      <c r="Y133" s="589">
        <v>48.1</v>
      </c>
      <c r="Z133" s="879" t="s">
        <v>1333</v>
      </c>
      <c r="AA133" s="806" t="s">
        <v>88</v>
      </c>
      <c r="AB133" s="806" t="s">
        <v>12</v>
      </c>
      <c r="AC133" s="806">
        <v>2.1</v>
      </c>
      <c r="AD133" s="588"/>
      <c r="AG133" s="589"/>
      <c r="AL133" s="588"/>
      <c r="AO133" s="589"/>
      <c r="AP133" s="588"/>
      <c r="AS133" s="589"/>
      <c r="AW133" s="589"/>
      <c r="BA133" s="590"/>
    </row>
    <row r="134" spans="1:53" s="812" customFormat="1">
      <c r="A134" s="812">
        <v>2016</v>
      </c>
      <c r="B134" s="811">
        <v>42411</v>
      </c>
      <c r="C134" s="992" t="s">
        <v>1359</v>
      </c>
      <c r="D134" s="992"/>
      <c r="E134" s="812">
        <v>201</v>
      </c>
      <c r="F134" s="812">
        <v>7</v>
      </c>
      <c r="G134" s="642"/>
      <c r="I134" s="812">
        <v>19</v>
      </c>
      <c r="J134" s="644">
        <v>19</v>
      </c>
      <c r="K134" s="640">
        <f t="shared" si="23"/>
        <v>0</v>
      </c>
      <c r="L134" s="640">
        <f t="shared" si="24"/>
        <v>0</v>
      </c>
      <c r="M134" s="640">
        <f t="shared" si="25"/>
        <v>100</v>
      </c>
      <c r="N134" s="643">
        <f t="shared" si="26"/>
        <v>100</v>
      </c>
      <c r="O134" s="639"/>
      <c r="P134" s="640"/>
      <c r="Q134" s="640">
        <v>53.5</v>
      </c>
      <c r="R134" s="641">
        <f t="shared" ref="R134:R137" si="28">SUM(O134:Q134)</f>
        <v>53.5</v>
      </c>
      <c r="S134" s="388">
        <v>2</v>
      </c>
      <c r="T134" s="487"/>
      <c r="U134" s="811"/>
      <c r="V134" s="634" t="s">
        <v>96</v>
      </c>
      <c r="W134" s="812" t="s">
        <v>20</v>
      </c>
      <c r="X134" s="812" t="s">
        <v>12</v>
      </c>
      <c r="Y134" s="635">
        <v>48.1</v>
      </c>
      <c r="Z134" s="880" t="s">
        <v>1333</v>
      </c>
      <c r="AA134" s="812" t="s">
        <v>88</v>
      </c>
      <c r="AB134" s="812" t="s">
        <v>12</v>
      </c>
      <c r="AC134" s="812">
        <v>2.1</v>
      </c>
      <c r="AD134" s="634" t="s">
        <v>414</v>
      </c>
      <c r="AE134" s="812" t="s">
        <v>218</v>
      </c>
      <c r="AF134" s="812" t="s">
        <v>12</v>
      </c>
      <c r="AG134" s="635">
        <v>2.9</v>
      </c>
      <c r="AL134" s="634"/>
      <c r="AO134" s="635"/>
      <c r="AP134" s="634"/>
      <c r="AS134" s="635"/>
      <c r="AW134" s="635"/>
      <c r="BA134" s="636"/>
    </row>
    <row r="135" spans="1:53" s="812" customFormat="1">
      <c r="A135" s="812">
        <v>2016</v>
      </c>
      <c r="B135" s="502">
        <v>42612</v>
      </c>
      <c r="C135" s="992" t="s">
        <v>1359</v>
      </c>
      <c r="D135" s="992"/>
      <c r="E135" s="812">
        <v>98</v>
      </c>
      <c r="F135" s="501">
        <v>0</v>
      </c>
      <c r="G135" s="642"/>
      <c r="I135" s="812">
        <v>18</v>
      </c>
      <c r="J135" s="644">
        <v>18</v>
      </c>
      <c r="K135" s="640">
        <f t="shared" si="23"/>
        <v>0</v>
      </c>
      <c r="L135" s="640">
        <f t="shared" si="24"/>
        <v>0</v>
      </c>
      <c r="M135" s="640">
        <f t="shared" si="25"/>
        <v>100</v>
      </c>
      <c r="N135" s="643">
        <f t="shared" si="26"/>
        <v>100</v>
      </c>
      <c r="O135" s="639"/>
      <c r="P135" s="640"/>
      <c r="Q135" s="640">
        <v>53.5</v>
      </c>
      <c r="R135" s="641">
        <f t="shared" si="28"/>
        <v>53.5</v>
      </c>
      <c r="S135" s="388">
        <v>2</v>
      </c>
      <c r="T135" s="487"/>
      <c r="U135" s="502"/>
      <c r="V135" s="634" t="s">
        <v>96</v>
      </c>
      <c r="W135" s="812" t="s">
        <v>20</v>
      </c>
      <c r="X135" s="812" t="s">
        <v>12</v>
      </c>
      <c r="Y135" s="635">
        <v>48.1</v>
      </c>
      <c r="Z135" s="880" t="s">
        <v>1333</v>
      </c>
      <c r="AA135" s="812" t="s">
        <v>88</v>
      </c>
      <c r="AB135" s="812" t="s">
        <v>12</v>
      </c>
      <c r="AC135" s="812">
        <v>2.1</v>
      </c>
      <c r="AD135" s="634" t="s">
        <v>414</v>
      </c>
      <c r="AE135" s="812" t="s">
        <v>218</v>
      </c>
      <c r="AF135" s="812" t="s">
        <v>12</v>
      </c>
      <c r="AG135" s="635">
        <v>2.9</v>
      </c>
      <c r="AL135" s="634"/>
      <c r="AO135" s="635"/>
      <c r="AP135" s="634"/>
      <c r="AS135" s="635"/>
      <c r="AW135" s="635"/>
      <c r="BA135" s="636"/>
    </row>
    <row r="136" spans="1:53" s="896" customFormat="1">
      <c r="A136" s="896">
        <v>2016</v>
      </c>
      <c r="B136" s="894">
        <v>42710</v>
      </c>
      <c r="C136" s="988" t="s">
        <v>1355</v>
      </c>
      <c r="D136" s="988"/>
      <c r="E136" s="896">
        <v>26</v>
      </c>
      <c r="F136" s="896">
        <v>2</v>
      </c>
      <c r="G136" s="596"/>
      <c r="I136" s="896">
        <v>18</v>
      </c>
      <c r="J136" s="598">
        <v>18</v>
      </c>
      <c r="K136" s="593">
        <f t="shared" si="23"/>
        <v>0</v>
      </c>
      <c r="L136" s="593">
        <f t="shared" si="24"/>
        <v>0</v>
      </c>
      <c r="M136" s="593">
        <f t="shared" si="25"/>
        <v>100</v>
      </c>
      <c r="N136" s="597">
        <f t="shared" si="26"/>
        <v>100</v>
      </c>
      <c r="O136" s="592"/>
      <c r="P136" s="593"/>
      <c r="Q136" s="593">
        <v>53.5</v>
      </c>
      <c r="R136" s="594">
        <f t="shared" si="28"/>
        <v>53.5</v>
      </c>
      <c r="S136" s="97">
        <v>2</v>
      </c>
      <c r="T136" s="595"/>
      <c r="U136" s="894">
        <v>42710</v>
      </c>
      <c r="V136" s="588" t="s">
        <v>96</v>
      </c>
      <c r="W136" s="896" t="s">
        <v>20</v>
      </c>
      <c r="X136" s="896" t="s">
        <v>12</v>
      </c>
      <c r="Y136" s="589">
        <v>48.9</v>
      </c>
      <c r="Z136" s="896" t="s">
        <v>1333</v>
      </c>
      <c r="AA136" s="896" t="s">
        <v>88</v>
      </c>
      <c r="AB136" s="896" t="s">
        <v>12</v>
      </c>
      <c r="AC136" s="896">
        <v>2.8</v>
      </c>
      <c r="AD136" s="588" t="s">
        <v>414</v>
      </c>
      <c r="AE136" s="896" t="s">
        <v>218</v>
      </c>
      <c r="AF136" s="896" t="s">
        <v>12</v>
      </c>
      <c r="AG136" s="589">
        <v>0.7</v>
      </c>
      <c r="AL136" s="588"/>
      <c r="AO136" s="589"/>
      <c r="AP136" s="588"/>
      <c r="AS136" s="589"/>
      <c r="AW136" s="589"/>
      <c r="BA136" s="590"/>
    </row>
    <row r="137" spans="1:53" s="896" customFormat="1">
      <c r="A137" s="896">
        <v>2017</v>
      </c>
      <c r="B137" s="894"/>
      <c r="C137" s="988" t="s">
        <v>1355</v>
      </c>
      <c r="D137" s="988"/>
      <c r="E137" s="896">
        <v>129</v>
      </c>
      <c r="F137" s="922"/>
      <c r="G137" s="596"/>
      <c r="I137" s="896">
        <v>18</v>
      </c>
      <c r="J137" s="598">
        <v>18</v>
      </c>
      <c r="K137" s="593">
        <f t="shared" si="23"/>
        <v>0</v>
      </c>
      <c r="L137" s="593">
        <f t="shared" si="24"/>
        <v>0</v>
      </c>
      <c r="M137" s="593">
        <f t="shared" si="25"/>
        <v>100</v>
      </c>
      <c r="N137" s="597">
        <f t="shared" si="26"/>
        <v>100</v>
      </c>
      <c r="O137" s="592"/>
      <c r="P137" s="593"/>
      <c r="Q137" s="593">
        <v>53.5</v>
      </c>
      <c r="R137" s="594">
        <f t="shared" si="28"/>
        <v>53.5</v>
      </c>
      <c r="S137" s="97">
        <v>2</v>
      </c>
      <c r="T137" s="595"/>
      <c r="U137" s="599"/>
      <c r="V137" s="588" t="s">
        <v>96</v>
      </c>
      <c r="W137" s="896" t="s">
        <v>20</v>
      </c>
      <c r="X137" s="896" t="s">
        <v>12</v>
      </c>
      <c r="Y137" s="589">
        <v>48.9</v>
      </c>
      <c r="Z137" s="896" t="s">
        <v>1333</v>
      </c>
      <c r="AA137" s="896" t="s">
        <v>88</v>
      </c>
      <c r="AB137" s="896" t="s">
        <v>12</v>
      </c>
      <c r="AC137" s="896">
        <v>2.8</v>
      </c>
      <c r="AD137" s="588" t="s">
        <v>414</v>
      </c>
      <c r="AE137" s="896" t="s">
        <v>218</v>
      </c>
      <c r="AF137" s="896" t="s">
        <v>12</v>
      </c>
      <c r="AG137" s="589">
        <v>0.7</v>
      </c>
      <c r="AL137" s="588"/>
      <c r="AO137" s="589"/>
      <c r="AP137" s="588"/>
      <c r="AS137" s="589"/>
      <c r="AW137" s="589"/>
      <c r="BA137" s="590"/>
    </row>
    <row r="138" spans="1:53" s="895" customFormat="1">
      <c r="A138" s="895">
        <v>2017</v>
      </c>
      <c r="B138" s="893">
        <v>42865</v>
      </c>
      <c r="C138" s="992" t="s">
        <v>1384</v>
      </c>
      <c r="D138" s="992"/>
      <c r="E138" s="895">
        <v>40</v>
      </c>
      <c r="F138" s="895">
        <v>1</v>
      </c>
      <c r="G138" s="642">
        <v>4</v>
      </c>
      <c r="H138" s="895">
        <v>3</v>
      </c>
      <c r="I138" s="895">
        <v>4</v>
      </c>
      <c r="J138" s="644">
        <v>19</v>
      </c>
      <c r="K138" s="640">
        <f t="shared" ref="K138:K141" si="29">G138/J138*100</f>
        <v>21.052631578947366</v>
      </c>
      <c r="L138" s="640">
        <f t="shared" ref="L138:L141" si="30">H138/J138*100</f>
        <v>15.789473684210526</v>
      </c>
      <c r="M138" s="640">
        <f t="shared" ref="M138:M141" si="31">I138/J138*100</f>
        <v>21.052631578947366</v>
      </c>
      <c r="N138" s="643">
        <f t="shared" ref="N138:N141" si="32">SUM(K138:M138)</f>
        <v>57.89473684210526</v>
      </c>
      <c r="O138" s="639">
        <v>33.4</v>
      </c>
      <c r="P138" s="640">
        <v>0.3</v>
      </c>
      <c r="Q138" s="640">
        <v>51.7</v>
      </c>
      <c r="R138" s="641">
        <f t="shared" ref="R138:R139" si="33">SUM(O138:Q138)</f>
        <v>85.4</v>
      </c>
      <c r="S138" s="388">
        <v>6</v>
      </c>
      <c r="T138" s="487"/>
      <c r="U138" s="893">
        <v>42865</v>
      </c>
      <c r="V138" s="634" t="s">
        <v>96</v>
      </c>
      <c r="W138" s="895" t="s">
        <v>20</v>
      </c>
      <c r="X138" s="895" t="s">
        <v>12</v>
      </c>
      <c r="Y138" s="635">
        <v>48.9</v>
      </c>
      <c r="Z138" s="895" t="s">
        <v>1386</v>
      </c>
      <c r="AA138" s="895" t="s">
        <v>76</v>
      </c>
      <c r="AB138" s="895" t="s">
        <v>11</v>
      </c>
      <c r="AC138" s="895">
        <v>33.4</v>
      </c>
      <c r="AD138" s="634" t="s">
        <v>1333</v>
      </c>
      <c r="AE138" s="895" t="s">
        <v>88</v>
      </c>
      <c r="AF138" s="895" t="s">
        <v>12</v>
      </c>
      <c r="AG138" s="635">
        <v>2.8</v>
      </c>
      <c r="AH138" s="895" t="s">
        <v>1387</v>
      </c>
      <c r="AI138" s="895" t="s">
        <v>79</v>
      </c>
      <c r="AJ138" s="895" t="s">
        <v>18</v>
      </c>
      <c r="AK138" s="895">
        <v>0.3</v>
      </c>
      <c r="AL138" s="634" t="s">
        <v>1388</v>
      </c>
      <c r="AM138" s="923" t="s">
        <v>100</v>
      </c>
      <c r="AN138" s="895" t="s">
        <v>11</v>
      </c>
      <c r="AO138" s="635">
        <v>0</v>
      </c>
      <c r="AP138" s="634"/>
      <c r="AS138" s="635"/>
      <c r="AW138" s="635"/>
      <c r="BA138" s="636"/>
    </row>
    <row r="139" spans="1:53" s="896" customFormat="1">
      <c r="A139" s="896">
        <v>2017</v>
      </c>
      <c r="B139" s="894">
        <v>42905</v>
      </c>
      <c r="C139" s="988" t="s">
        <v>1385</v>
      </c>
      <c r="D139" s="988"/>
      <c r="E139" s="896">
        <v>196</v>
      </c>
      <c r="F139" s="922">
        <v>1</v>
      </c>
      <c r="G139" s="596">
        <v>10</v>
      </c>
      <c r="H139" s="896">
        <v>1</v>
      </c>
      <c r="J139" s="598">
        <v>20</v>
      </c>
      <c r="K139" s="593">
        <f t="shared" si="29"/>
        <v>50</v>
      </c>
      <c r="L139" s="593">
        <f t="shared" si="30"/>
        <v>5</v>
      </c>
      <c r="M139" s="593">
        <f t="shared" si="31"/>
        <v>0</v>
      </c>
      <c r="N139" s="597">
        <f t="shared" si="32"/>
        <v>55</v>
      </c>
      <c r="O139" s="592">
        <v>53.4</v>
      </c>
      <c r="P139" s="593">
        <v>7.3</v>
      </c>
      <c r="Q139" s="593"/>
      <c r="R139" s="594">
        <f t="shared" si="33"/>
        <v>60.699999999999996</v>
      </c>
      <c r="S139" s="97">
        <v>3</v>
      </c>
      <c r="T139" s="595">
        <v>42904</v>
      </c>
      <c r="U139" s="921">
        <v>42905</v>
      </c>
      <c r="V139" s="588" t="s">
        <v>1388</v>
      </c>
      <c r="W139" s="924" t="s">
        <v>100</v>
      </c>
      <c r="X139" s="896" t="s">
        <v>11</v>
      </c>
      <c r="Y139" s="589">
        <v>53.4</v>
      </c>
      <c r="Z139" s="896" t="s">
        <v>1387</v>
      </c>
      <c r="AA139" s="896" t="s">
        <v>79</v>
      </c>
      <c r="AB139" s="896" t="s">
        <v>18</v>
      </c>
      <c r="AC139" s="896">
        <v>7.3</v>
      </c>
      <c r="AD139" s="588"/>
      <c r="AG139" s="589"/>
      <c r="AL139" s="588"/>
      <c r="AO139" s="589"/>
      <c r="AP139" s="588"/>
      <c r="AS139" s="589"/>
      <c r="AW139" s="589"/>
      <c r="BA139" s="590"/>
    </row>
    <row r="140" spans="1:53" s="933" customFormat="1">
      <c r="A140" s="933">
        <v>2018</v>
      </c>
      <c r="B140" s="929"/>
      <c r="C140" s="988" t="s">
        <v>1385</v>
      </c>
      <c r="D140" s="988"/>
      <c r="E140" s="933">
        <v>288</v>
      </c>
      <c r="G140" s="596">
        <v>10</v>
      </c>
      <c r="H140" s="933">
        <v>1</v>
      </c>
      <c r="J140" s="598">
        <v>20</v>
      </c>
      <c r="K140" s="593">
        <f t="shared" si="29"/>
        <v>50</v>
      </c>
      <c r="L140" s="593">
        <f t="shared" si="30"/>
        <v>5</v>
      </c>
      <c r="M140" s="593">
        <f t="shared" si="31"/>
        <v>0</v>
      </c>
      <c r="N140" s="597">
        <f t="shared" si="32"/>
        <v>55</v>
      </c>
      <c r="O140" s="592">
        <v>53.4</v>
      </c>
      <c r="P140" s="593">
        <v>7.3</v>
      </c>
      <c r="Q140" s="593"/>
      <c r="R140" s="594">
        <f t="shared" ref="R140:R141" si="34">SUM(O140:Q140)</f>
        <v>60.699999999999996</v>
      </c>
      <c r="S140" s="97">
        <v>3</v>
      </c>
      <c r="T140" s="595"/>
      <c r="U140" s="929"/>
      <c r="V140" s="588" t="s">
        <v>1388</v>
      </c>
      <c r="W140" s="933" t="s">
        <v>100</v>
      </c>
      <c r="X140" s="933" t="s">
        <v>11</v>
      </c>
      <c r="Y140" s="589">
        <v>53.4</v>
      </c>
      <c r="Z140" s="933" t="s">
        <v>1387</v>
      </c>
      <c r="AA140" s="933" t="s">
        <v>79</v>
      </c>
      <c r="AB140" s="933" t="s">
        <v>18</v>
      </c>
      <c r="AC140" s="933">
        <v>7.3</v>
      </c>
      <c r="AD140" s="588"/>
      <c r="AG140" s="589"/>
      <c r="AL140" s="588"/>
      <c r="AO140" s="589"/>
      <c r="AP140" s="588"/>
      <c r="AS140" s="589"/>
      <c r="AW140" s="589"/>
      <c r="BA140" s="590"/>
    </row>
    <row r="141" spans="1:53" s="933" customFormat="1">
      <c r="A141" s="933">
        <v>2018</v>
      </c>
      <c r="B141" s="599">
        <v>43389</v>
      </c>
      <c r="C141" s="988" t="s">
        <v>1385</v>
      </c>
      <c r="D141" s="988"/>
      <c r="E141" s="933">
        <v>77</v>
      </c>
      <c r="F141" s="600">
        <v>0</v>
      </c>
      <c r="G141" s="596">
        <v>11</v>
      </c>
      <c r="H141" s="933">
        <v>1</v>
      </c>
      <c r="J141" s="598">
        <v>21</v>
      </c>
      <c r="K141" s="593">
        <f t="shared" si="29"/>
        <v>52.380952380952387</v>
      </c>
      <c r="L141" s="593">
        <f t="shared" si="30"/>
        <v>4.7619047619047619</v>
      </c>
      <c r="M141" s="593">
        <f t="shared" si="31"/>
        <v>0</v>
      </c>
      <c r="N141" s="597">
        <f t="shared" si="32"/>
        <v>57.142857142857146</v>
      </c>
      <c r="O141" s="592">
        <v>53.4</v>
      </c>
      <c r="P141" s="593">
        <v>7.3</v>
      </c>
      <c r="Q141" s="593"/>
      <c r="R141" s="594">
        <f t="shared" si="34"/>
        <v>60.699999999999996</v>
      </c>
      <c r="S141" s="97">
        <v>3</v>
      </c>
      <c r="T141" s="595"/>
      <c r="U141" s="929"/>
      <c r="V141" s="588" t="s">
        <v>1388</v>
      </c>
      <c r="W141" s="933" t="s">
        <v>100</v>
      </c>
      <c r="X141" s="933" t="s">
        <v>11</v>
      </c>
      <c r="Y141" s="589">
        <v>53.4</v>
      </c>
      <c r="Z141" s="933" t="s">
        <v>1387</v>
      </c>
      <c r="AA141" s="933" t="s">
        <v>79</v>
      </c>
      <c r="AB141" s="933" t="s">
        <v>18</v>
      </c>
      <c r="AC141" s="933">
        <v>7.3</v>
      </c>
      <c r="AD141" s="588"/>
      <c r="AG141" s="589"/>
      <c r="AL141" s="588"/>
      <c r="AO141" s="589"/>
      <c r="AP141" s="588"/>
      <c r="AS141" s="589"/>
      <c r="AW141" s="589"/>
      <c r="BA141" s="590"/>
    </row>
    <row r="142" spans="1:53">
      <c r="J142" s="15"/>
      <c r="M142" s="2"/>
      <c r="N142" s="2"/>
    </row>
    <row r="143" spans="1:53">
      <c r="J143" s="15"/>
    </row>
    <row r="144" spans="1:53" s="2" customFormat="1" ht="18" customHeight="1">
      <c r="B144" s="22" t="s">
        <v>1278</v>
      </c>
    </row>
    <row r="145" spans="1:30" s="2" customFormat="1" ht="9" customHeight="1"/>
    <row r="146" spans="1:30" s="364" customFormat="1" ht="9" customHeight="1">
      <c r="A146" s="362"/>
      <c r="B146" s="363" t="s">
        <v>1229</v>
      </c>
      <c r="C146" s="363"/>
      <c r="D146" s="363"/>
      <c r="E146" s="363"/>
      <c r="F146" s="363"/>
      <c r="G146" s="363" t="s">
        <v>1230</v>
      </c>
      <c r="H146" s="363"/>
      <c r="I146" s="363"/>
      <c r="J146" s="363"/>
      <c r="K146" s="363"/>
      <c r="L146" s="363"/>
      <c r="M146" s="363"/>
      <c r="N146" s="363"/>
      <c r="R146" s="982" t="s">
        <v>1231</v>
      </c>
      <c r="S146" s="982"/>
      <c r="T146" s="982"/>
      <c r="U146" s="982"/>
      <c r="V146" s="982"/>
      <c r="W146" s="982"/>
      <c r="X146" s="365"/>
      <c r="Y146" s="365"/>
      <c r="AA146" s="365"/>
      <c r="AB146" s="365"/>
      <c r="AC146" s="365"/>
      <c r="AD146" s="365"/>
    </row>
    <row r="147" spans="1:30" s="369" customFormat="1" ht="9" customHeight="1">
      <c r="A147" s="366"/>
      <c r="B147" s="367" t="s">
        <v>1233</v>
      </c>
      <c r="C147" s="368"/>
      <c r="D147" s="368"/>
      <c r="E147" s="368"/>
      <c r="F147" s="368"/>
      <c r="G147" s="367" t="s">
        <v>1232</v>
      </c>
      <c r="H147" s="368"/>
      <c r="I147" s="368"/>
      <c r="J147" s="368"/>
      <c r="K147" s="368"/>
      <c r="L147" s="368"/>
      <c r="M147" s="368"/>
      <c r="N147" s="368"/>
      <c r="R147" s="370" t="s">
        <v>1234</v>
      </c>
      <c r="S147" s="371"/>
      <c r="T147" s="372"/>
      <c r="U147" s="372"/>
      <c r="V147" s="372"/>
      <c r="W147" s="370" t="s">
        <v>1235</v>
      </c>
      <c r="X147" s="372"/>
      <c r="Y147" s="372"/>
      <c r="AA147" s="372"/>
      <c r="AB147" s="372"/>
      <c r="AC147" s="372"/>
      <c r="AD147" s="372"/>
    </row>
    <row r="148" spans="1:30" s="351" customFormat="1" ht="12" customHeight="1">
      <c r="A148" s="373" t="s">
        <v>3</v>
      </c>
      <c r="B148" s="374" t="s">
        <v>8</v>
      </c>
      <c r="C148" s="374" t="s">
        <v>9</v>
      </c>
      <c r="D148" s="374" t="s">
        <v>10</v>
      </c>
      <c r="E148" s="375" t="s">
        <v>1209</v>
      </c>
      <c r="F148" s="374"/>
      <c r="G148" s="351" t="s">
        <v>3</v>
      </c>
      <c r="H148" s="983" t="s">
        <v>0</v>
      </c>
      <c r="I148" s="983"/>
      <c r="J148" s="983" t="s">
        <v>1</v>
      </c>
      <c r="K148" s="983"/>
      <c r="L148" s="983" t="s">
        <v>2</v>
      </c>
      <c r="M148" s="983"/>
      <c r="N148" s="984" t="s">
        <v>1209</v>
      </c>
      <c r="O148" s="984"/>
      <c r="P148" s="376"/>
      <c r="Q148" s="376"/>
      <c r="R148" s="377" t="s">
        <v>3</v>
      </c>
      <c r="S148" s="378" t="s">
        <v>136</v>
      </c>
      <c r="T148" s="376" t="s">
        <v>134</v>
      </c>
      <c r="U148" s="374" t="s">
        <v>135</v>
      </c>
      <c r="V148" s="376"/>
      <c r="W148" s="379" t="s">
        <v>26</v>
      </c>
    </row>
    <row r="149" spans="1:30" s="273" customFormat="1">
      <c r="A149" s="273">
        <v>1959</v>
      </c>
      <c r="B149" s="260">
        <f>(K6*($E8/365))+(K7*($E7/365))</f>
        <v>42.035225048923678</v>
      </c>
      <c r="C149" s="260">
        <f>(L6*($E8/365))+(L7*($E7/365))</f>
        <v>18.68232224396608</v>
      </c>
      <c r="D149" s="260">
        <f>(M6*($E8/365))+(M7*($E7/365))</f>
        <v>4.6705805609915201</v>
      </c>
      <c r="E149" s="261">
        <f>B149+C149+D149</f>
        <v>65.388127853881286</v>
      </c>
      <c r="G149" s="263">
        <v>1959</v>
      </c>
      <c r="H149" s="985">
        <f>(O6/$R6*100*($E6/365))+(O7/$R7*100*($E7/365))</f>
        <v>80.178942454144718</v>
      </c>
      <c r="I149" s="985"/>
      <c r="J149" s="985">
        <f>(P6/$R6*100*($E6/365))+(P7/$R7*100*($E7/365))</f>
        <v>13.988064889794336</v>
      </c>
      <c r="K149" s="985"/>
      <c r="L149" s="985">
        <f>(Q6/$R6*100*($E6/365))+(Q7/$R7*100*($E7/365))</f>
        <v>5.8329926560609433</v>
      </c>
      <c r="M149" s="985"/>
      <c r="N149" s="993">
        <f>H149+J149+K149</f>
        <v>94.167007343939048</v>
      </c>
      <c r="O149" s="993"/>
      <c r="P149" s="274"/>
      <c r="Q149" s="274"/>
      <c r="R149" s="263">
        <v>1959</v>
      </c>
      <c r="S149" s="260">
        <f>(O6*($E6/365))+(O7*($E7/365))</f>
        <v>70.651506849315069</v>
      </c>
      <c r="T149" s="260">
        <f>(P6*($E6/365))+(P7*($E7/365))</f>
        <v>12.3</v>
      </c>
      <c r="U149" s="260">
        <f>(Q6*($E6/365))+(Q7*($E7/365))</f>
        <v>5.0802739726027397</v>
      </c>
      <c r="W149" s="277">
        <f>S149+T149+U149</f>
        <v>88.031780821917806</v>
      </c>
      <c r="X149" s="262"/>
    </row>
    <row r="150" spans="1:30">
      <c r="A150" s="1">
        <v>1960</v>
      </c>
      <c r="B150" s="8">
        <f>(K8*($E8/366))+(K9*($E9/366))</f>
        <v>42.857142857142854</v>
      </c>
      <c r="C150" s="8">
        <f>(L8*($E8/366))+(L9*($E9/366))</f>
        <v>19.047619047619047</v>
      </c>
      <c r="D150" s="8">
        <f>(M8*($E8/366))+(M9*($E9/366))</f>
        <v>4.7619047619047619</v>
      </c>
      <c r="E150" s="39">
        <f>SUM(B150:D150)</f>
        <v>66.666666666666657</v>
      </c>
      <c r="G150" s="20">
        <v>1960</v>
      </c>
      <c r="H150" s="958">
        <f>(O8/$R8*100*($E8/366))+(O9/$R9*100*($E9/366))</f>
        <v>80.542986425339365</v>
      </c>
      <c r="I150" s="958"/>
      <c r="J150" s="958">
        <f>(P8/$R8*100*($E8/366))+(P9/$R9*100*($E9/366))</f>
        <v>13.914027149321267</v>
      </c>
      <c r="K150" s="958"/>
      <c r="L150" s="958">
        <f>(Q8/$R8*100*($E8/366))+(Q9/$R9*100*($E9/366))</f>
        <v>5.5429864253393664</v>
      </c>
      <c r="M150" s="958"/>
      <c r="N150" s="990">
        <f>SUM(H150:M150)</f>
        <v>100</v>
      </c>
      <c r="O150" s="990"/>
      <c r="P150" s="7"/>
      <c r="Q150" s="7"/>
      <c r="R150" s="20">
        <v>1960</v>
      </c>
      <c r="S150" s="8">
        <f>(O8*($E8/366))+(O9*($E9/366))</f>
        <v>71.2</v>
      </c>
      <c r="T150" s="8">
        <f>(P8*($E8/366))+(P9*($E9/366))</f>
        <v>12.3</v>
      </c>
      <c r="U150" s="8">
        <f>(Q8*($E8/366))+(Q9*($E9/366))</f>
        <v>4.9000000000000004</v>
      </c>
      <c r="W150" s="14">
        <f t="shared" ref="W150:W181" si="35">SUM(S150:U150)</f>
        <v>88.4</v>
      </c>
      <c r="X150" s="5"/>
    </row>
    <row r="151" spans="1:30">
      <c r="A151" s="1">
        <v>1961</v>
      </c>
      <c r="B151" s="8">
        <f>(K10*($E10/365))+(K11*($E11/365))</f>
        <v>42.857142857142854</v>
      </c>
      <c r="C151" s="8">
        <f>(L10*($E10/365))+(L11*($E11/365))</f>
        <v>19.047619047619047</v>
      </c>
      <c r="D151" s="8">
        <f>(M10*($E10/365))+(M11*($E11/365))</f>
        <v>4.7619047619047619</v>
      </c>
      <c r="E151" s="39">
        <f t="shared" ref="E151:E203" si="36">SUM(B151:D151)</f>
        <v>66.666666666666657</v>
      </c>
      <c r="G151" s="20">
        <v>1961</v>
      </c>
      <c r="H151" s="958">
        <f>(O10/$R10*100*($E10/365))+(O11/$R11*100*($E11/365))</f>
        <v>80.542986425339365</v>
      </c>
      <c r="I151" s="958"/>
      <c r="J151" s="958">
        <f>(P10/$R10*100*($E10/365))+(P11/$R11*100*($E11/365))</f>
        <v>13.914027149321267</v>
      </c>
      <c r="K151" s="958"/>
      <c r="L151" s="958">
        <f>(Q10/$R10*100*($E10/365))+(Q11/$R11*100*($E11/365))</f>
        <v>5.5429864253393664</v>
      </c>
      <c r="M151" s="958"/>
      <c r="N151" s="990">
        <f>SUM(H151:M151)</f>
        <v>100</v>
      </c>
      <c r="O151" s="990"/>
      <c r="P151" s="7"/>
      <c r="Q151" s="7"/>
      <c r="R151" s="20">
        <v>1961</v>
      </c>
      <c r="S151" s="8">
        <f>(O10*($E10/365))+(O11*($E11/365))</f>
        <v>71.2</v>
      </c>
      <c r="T151" s="8">
        <f>(P10*($E10/365))+(P11*($E11/365))</f>
        <v>12.3</v>
      </c>
      <c r="U151" s="8">
        <f>(Q10*($E10/365))+(Q11*($E11/365))</f>
        <v>4.9000000000000004</v>
      </c>
      <c r="W151" s="14">
        <f t="shared" si="35"/>
        <v>88.4</v>
      </c>
      <c r="X151" s="5"/>
    </row>
    <row r="152" spans="1:30">
      <c r="A152" s="1">
        <v>1962</v>
      </c>
      <c r="B152" s="8">
        <f>(K12*($E12/365))+(K13*($E13/365))+(K14*($E14/365))+(K15*($E15/365))</f>
        <v>63.556306706991641</v>
      </c>
      <c r="C152" s="8">
        <f>(L12*($E12/365))+(L13*($E13/365))+(L14*($E14/365))+(L15*($E15/365))</f>
        <v>6.9714760125719026</v>
      </c>
      <c r="D152" s="8">
        <f>(M12*($E12/365))+(M13*($E13/365))+(M14*($E14/365))+(M15*($E15/365))</f>
        <v>1.3568166992824526</v>
      </c>
      <c r="E152" s="39">
        <f t="shared" si="36"/>
        <v>71.884599418845994</v>
      </c>
      <c r="G152" s="20">
        <v>1962</v>
      </c>
      <c r="H152" s="958">
        <f>(O12/$R12*100*($E12/365))+(O13/$R13*100*($E13/365))+(O14/$R14*100*($E14/365))+(O15/$R15*100*($E15/365))</f>
        <v>92.6971452821642</v>
      </c>
      <c r="I152" s="958"/>
      <c r="J152" s="958">
        <f>(P12/$R12*100*($E12/365))+(P13/$R13*100*($E13/365))+(P14/$R14*100*($E14/365))+(P15/$R15*100*($E15/365))</f>
        <v>5.7234832432185616</v>
      </c>
      <c r="K152" s="958"/>
      <c r="L152" s="958">
        <f>(Q12/$R12*100*($E12/365))+(Q13/$R13*100*($E13/365))+(Q14/$R14*100*($E14/365))+(Q15/$R15*100*($E15/365))</f>
        <v>1.579371474617244</v>
      </c>
      <c r="M152" s="958"/>
      <c r="N152" s="990">
        <f t="shared" ref="N152:N201" si="37">SUM(H152:M152)</f>
        <v>100.00000000000001</v>
      </c>
      <c r="O152" s="990"/>
      <c r="P152" s="7"/>
      <c r="Q152" s="7"/>
      <c r="R152" s="20">
        <v>1962</v>
      </c>
      <c r="S152" s="8">
        <f>(O12*($E12/365))+(O13*($E13/365))+(O14*($E14/365))+(O15*($E15/365))</f>
        <v>69.654246575342469</v>
      </c>
      <c r="T152" s="8">
        <f>(P12*($E12/365))+(P13*($E13/365))+(P14*($E14/365))+(P15*($E15/365))</f>
        <v>4.82</v>
      </c>
      <c r="U152" s="8">
        <f>(Q12*($E12/365))+(Q13*($E13/365))+(Q14*($E14/365))+(Q15*($E15/365))</f>
        <v>1.396164383561644</v>
      </c>
      <c r="W152" s="14">
        <f t="shared" si="35"/>
        <v>75.870410958904117</v>
      </c>
      <c r="X152" s="5"/>
      <c r="Y152" s="37"/>
    </row>
    <row r="153" spans="1:30">
      <c r="A153" s="1">
        <v>1963</v>
      </c>
      <c r="B153" s="8">
        <f>(K16*($E16/365))+(K17*($E17/365))</f>
        <v>72.727272727272734</v>
      </c>
      <c r="C153" s="8">
        <f>(L16*($E16/365))+(L17*($E17/365))</f>
        <v>0</v>
      </c>
      <c r="D153" s="8">
        <f>(M16*($E16/365))+(M17*($E17/365))</f>
        <v>0</v>
      </c>
      <c r="E153" s="39">
        <f t="shared" si="36"/>
        <v>72.727272727272734</v>
      </c>
      <c r="G153" s="20">
        <v>1963</v>
      </c>
      <c r="H153" s="958">
        <f>(O16/$R16*100*($E16/365))+(O17/$R17*100*($E17/365))</f>
        <v>92.870544090056299</v>
      </c>
      <c r="I153" s="958"/>
      <c r="J153" s="958">
        <f>(P16/$R16*100*($E16/365))+(P17/$R17*100*($E17/365))</f>
        <v>7.1294559099437143</v>
      </c>
      <c r="K153" s="958"/>
      <c r="L153" s="958">
        <f>(Q16/$R16*100*($E16/365))+(Q17/$R17*100*($E17/365))</f>
        <v>0</v>
      </c>
      <c r="M153" s="958"/>
      <c r="N153" s="990">
        <f t="shared" si="37"/>
        <v>100.00000000000001</v>
      </c>
      <c r="O153" s="990"/>
      <c r="P153" s="7"/>
      <c r="Q153" s="7"/>
      <c r="R153" s="20">
        <v>1963</v>
      </c>
      <c r="S153" s="8">
        <f>(O16*($E16/365))+(O17*($E17/365))</f>
        <v>49.5</v>
      </c>
      <c r="T153" s="8">
        <f>(P16*($E16/365))+(P17*($E17/365))</f>
        <v>3.8</v>
      </c>
      <c r="U153" s="8">
        <f>(Q16*($E16/365))+(Q17*($E17/365))</f>
        <v>0</v>
      </c>
      <c r="W153" s="14">
        <f t="shared" si="35"/>
        <v>53.3</v>
      </c>
      <c r="X153" s="5"/>
      <c r="Y153" s="37"/>
    </row>
    <row r="154" spans="1:30">
      <c r="A154" s="1">
        <v>1964</v>
      </c>
      <c r="B154" s="8">
        <f>(K18*($E18/366))+(K19*($E19/366))</f>
        <v>72.727272727272734</v>
      </c>
      <c r="C154" s="8">
        <f>(L18*($E18/366))+(L19*($E19/366))</f>
        <v>0</v>
      </c>
      <c r="D154" s="8">
        <f>(M18*($E18/366))+(M19*($E19/366))</f>
        <v>0</v>
      </c>
      <c r="E154" s="39">
        <f t="shared" si="36"/>
        <v>72.727272727272734</v>
      </c>
      <c r="G154" s="20">
        <v>1964</v>
      </c>
      <c r="H154" s="958">
        <f>(O18/$R18*100*($E18/366))+(O19/$R19*100*($E19/366))</f>
        <v>92.870544090056299</v>
      </c>
      <c r="I154" s="958"/>
      <c r="J154" s="958">
        <f>(P18/$R18*100*($E18/366))+(P19/$R19*100*($E19/366))</f>
        <v>7.1294559099437143</v>
      </c>
      <c r="K154" s="958"/>
      <c r="L154" s="958">
        <f>(Q18/$R18*100*($E18/366))+(Q19/$R19*100*($E19/366))</f>
        <v>0</v>
      </c>
      <c r="M154" s="958"/>
      <c r="N154" s="990">
        <f t="shared" si="37"/>
        <v>100.00000000000001</v>
      </c>
      <c r="O154" s="990"/>
      <c r="P154" s="7"/>
      <c r="Q154" s="7"/>
      <c r="R154" s="20">
        <v>1964</v>
      </c>
      <c r="S154" s="8">
        <f>(O18*($E18/366))+(O19*($E19/366))</f>
        <v>49.5</v>
      </c>
      <c r="T154" s="8">
        <f>(P18*($E18/366))+(P19*($E19/366))</f>
        <v>3.8</v>
      </c>
      <c r="U154" s="8">
        <f>(Q18*($E18/366))+(Q19*($E19/366))</f>
        <v>0</v>
      </c>
      <c r="W154" s="14">
        <f t="shared" si="35"/>
        <v>53.3</v>
      </c>
      <c r="X154" s="5"/>
      <c r="Y154" s="37"/>
    </row>
    <row r="155" spans="1:30">
      <c r="A155" s="1">
        <v>1965</v>
      </c>
      <c r="B155" s="8">
        <f>(K20*($E20/365))+(K21*($E21/365))</f>
        <v>72.727272727272734</v>
      </c>
      <c r="C155" s="8">
        <f>(L20*($E20/365))+(L21*($E21/365))</f>
        <v>0</v>
      </c>
      <c r="D155" s="8">
        <f>(M20*($E20/365))+(M21*($E21/365))</f>
        <v>0</v>
      </c>
      <c r="E155" s="39">
        <f t="shared" si="36"/>
        <v>72.727272727272734</v>
      </c>
      <c r="G155" s="20">
        <v>1965</v>
      </c>
      <c r="H155" s="958">
        <f>(O20/$R20*100*($E20/365))+(O21/$R21*100*($E21/365))</f>
        <v>92.870544090056299</v>
      </c>
      <c r="I155" s="958"/>
      <c r="J155" s="958">
        <f>(P20/$R20*100*($E20/365))+(P21/$R21*100*($E21/365))</f>
        <v>7.1294559099437143</v>
      </c>
      <c r="K155" s="958"/>
      <c r="L155" s="958">
        <f>(Q20/$R20*100*($E20/365))+(Q21/$R21*100*($E21/365))</f>
        <v>0</v>
      </c>
      <c r="M155" s="958"/>
      <c r="N155" s="990">
        <f t="shared" si="37"/>
        <v>100.00000000000001</v>
      </c>
      <c r="O155" s="990"/>
      <c r="P155" s="7"/>
      <c r="Q155" s="7"/>
      <c r="R155" s="20">
        <v>1965</v>
      </c>
      <c r="S155" s="8">
        <f>(O20*($E20/365))+(O21*($E21/365))</f>
        <v>49.5</v>
      </c>
      <c r="T155" s="8">
        <f>(P20*($E20/365))+(P21*($E21/365))</f>
        <v>3.8</v>
      </c>
      <c r="U155" s="8">
        <f>(Q20*($E20/365))+(Q21*($E21/365))</f>
        <v>0</v>
      </c>
      <c r="W155" s="14">
        <f t="shared" si="35"/>
        <v>53.3</v>
      </c>
      <c r="X155" s="5"/>
      <c r="Y155" s="37"/>
    </row>
    <row r="156" spans="1:30">
      <c r="A156" s="1">
        <v>1966</v>
      </c>
      <c r="B156" s="8">
        <f>(K22*($E22/365))+(K23*($E23/365))</f>
        <v>66.799501867995019</v>
      </c>
      <c r="C156" s="8">
        <f>(L22*($E22/365))+(L23*($E23/365))</f>
        <v>0</v>
      </c>
      <c r="D156" s="8">
        <f>(M22*($E22/365))+(M23*($E23/365))</f>
        <v>0</v>
      </c>
      <c r="E156" s="39">
        <f t="shared" si="36"/>
        <v>66.799501867995019</v>
      </c>
      <c r="G156" s="20">
        <v>1966</v>
      </c>
      <c r="H156" s="958">
        <f>(O22/$R22*100*($E22/365))+(O23/$R23*100*($E23/365))</f>
        <v>92.870544090056299</v>
      </c>
      <c r="I156" s="958"/>
      <c r="J156" s="958">
        <f>(P22/$R22*100*($E22/365))+(P23/$R23*100*($E23/365))</f>
        <v>7.1294559099437143</v>
      </c>
      <c r="K156" s="958"/>
      <c r="L156" s="958">
        <f>(Q22/$R22*100*($E22/365))+(Q23/$R23*100*($E23/365))</f>
        <v>0</v>
      </c>
      <c r="M156" s="958"/>
      <c r="N156" s="990">
        <f>SUM(H156:M156)</f>
        <v>100.00000000000001</v>
      </c>
      <c r="O156" s="990"/>
      <c r="P156" s="7"/>
      <c r="Q156" s="7"/>
      <c r="R156" s="20">
        <v>1966</v>
      </c>
      <c r="S156" s="8">
        <f>(O22*($E22/365))+(O23*($E23/365))</f>
        <v>49.5</v>
      </c>
      <c r="T156" s="8">
        <f>(P22*($E22/365))+(P23*($E23/365))</f>
        <v>3.8</v>
      </c>
      <c r="U156" s="8">
        <f>(Q22*($E22/365))+(Q23*($E23/365))</f>
        <v>0</v>
      </c>
      <c r="W156" s="14">
        <f t="shared" si="35"/>
        <v>53.3</v>
      </c>
      <c r="X156" s="5"/>
      <c r="Y156" s="37"/>
    </row>
    <row r="157" spans="1:30">
      <c r="A157" s="1">
        <v>1967</v>
      </c>
      <c r="B157" s="8">
        <f>(K24*($E24/365))+(K25*($E25/365))</f>
        <v>57.766708177667077</v>
      </c>
      <c r="C157" s="8">
        <f>(L24*($E24/365))+(L25*($E25/365))</f>
        <v>20.024906600249064</v>
      </c>
      <c r="D157" s="8">
        <f>(M24*($E24/365))+(M25*($E25/365))</f>
        <v>0</v>
      </c>
      <c r="E157" s="39">
        <f t="shared" si="36"/>
        <v>77.791614777916138</v>
      </c>
      <c r="G157" s="20">
        <v>1967</v>
      </c>
      <c r="H157" s="958">
        <f>(O24/$R24*100*($E24/365))+(O25/$R25*100*($E25/365))</f>
        <v>85.14803016994405</v>
      </c>
      <c r="I157" s="958"/>
      <c r="J157" s="958">
        <f>(P24/$R24*100*($E24/365))+(P25/$R25*100*($E25/365))</f>
        <v>14.851969830055952</v>
      </c>
      <c r="K157" s="958"/>
      <c r="L157" s="958">
        <f>(Q24/$R24*100*($E24/365))+(Q25/$R25*100*($E25/365))</f>
        <v>0</v>
      </c>
      <c r="M157" s="958"/>
      <c r="N157" s="990">
        <f t="shared" si="37"/>
        <v>100</v>
      </c>
      <c r="O157" s="990"/>
      <c r="P157" s="7"/>
      <c r="Q157" s="7"/>
      <c r="R157" s="20">
        <v>1967</v>
      </c>
      <c r="S157" s="8">
        <f>(O24*($E24/365))+(O25*($E25/365))</f>
        <v>42.965205479452059</v>
      </c>
      <c r="T157" s="8">
        <f>(P24*($E24/365))+(P25*($E25/365))</f>
        <v>7.3978082191780814</v>
      </c>
      <c r="U157" s="8">
        <f>(Q24*($E24/365))+(Q25*($E25/365))</f>
        <v>0</v>
      </c>
      <c r="W157" s="14">
        <f t="shared" si="35"/>
        <v>50.363013698630141</v>
      </c>
      <c r="X157" s="5"/>
      <c r="Y157" s="37"/>
    </row>
    <row r="158" spans="1:30">
      <c r="A158" s="1">
        <v>1968</v>
      </c>
      <c r="B158" s="8">
        <f>(K26*($E26/366))+(K27*($E27/366))+(K28*($E28/366))</f>
        <v>64.635134781812951</v>
      </c>
      <c r="C158" s="8">
        <f>(L26*($E26/366))+(L27*($E27/366))+(L28*($E28/366))</f>
        <v>17.792245143409939</v>
      </c>
      <c r="D158" s="8">
        <f>(M26*($E26/366))+(M27*($E27/366))+(M28*($E28/366))</f>
        <v>0</v>
      </c>
      <c r="E158" s="39">
        <f t="shared" si="36"/>
        <v>82.427379925222894</v>
      </c>
      <c r="G158" s="20">
        <v>1968</v>
      </c>
      <c r="H158" s="958">
        <f>(O26/$R26*100*($E26/366))+(O27/$R27*100*($E27/366))+(O28/$R28*100*($E28/366))</f>
        <v>81.960050591868963</v>
      </c>
      <c r="I158" s="958"/>
      <c r="J158" s="958">
        <f>(P26/$R26*100*($E26/366))+(P27/$R27*100*($E27/366))+(P28/$R28*100*($E28/366))</f>
        <v>18.039949408131037</v>
      </c>
      <c r="K158" s="958"/>
      <c r="L158" s="958">
        <f>(Q26/$R26*100*($E26/366))+(Q27/$R27*100*($E27/366))+(Q28/$R28*100*($E28/366))</f>
        <v>0</v>
      </c>
      <c r="M158" s="958"/>
      <c r="N158" s="990">
        <f t="shared" si="37"/>
        <v>100</v>
      </c>
      <c r="O158" s="990"/>
      <c r="P158" s="7"/>
      <c r="Q158" s="7"/>
      <c r="R158" s="20">
        <v>1968</v>
      </c>
      <c r="S158" s="8">
        <f>(O26*($E26/366))+(O27*($E27/366))+(O28*($E28/366))</f>
        <v>49.769945355191261</v>
      </c>
      <c r="T158" s="8">
        <f>(P26*($E26/366))+(P27*($E27/366))+(P28*($E28/366))</f>
        <v>11.016120218579236</v>
      </c>
      <c r="U158" s="8">
        <f>(Q26*($E26/366))+(Q27*($E27/366))+(Q28*($E28/366))</f>
        <v>0</v>
      </c>
      <c r="W158" s="14">
        <f t="shared" si="35"/>
        <v>60.7860655737705</v>
      </c>
      <c r="X158" s="5"/>
      <c r="Y158" s="37"/>
    </row>
    <row r="159" spans="1:30">
      <c r="A159" s="1">
        <v>1969</v>
      </c>
      <c r="B159" s="8">
        <f>(K29*($E29/365))+(K30*($E30/365))</f>
        <v>79.250180245133379</v>
      </c>
      <c r="C159" s="8">
        <f>(L29*($E29/365))+(L30*($E30/365))</f>
        <v>13.309300648882481</v>
      </c>
      <c r="D159" s="8">
        <f>(M29*($E29/365))+(M30*($E30/365))</f>
        <v>0</v>
      </c>
      <c r="E159" s="39">
        <f t="shared" si="36"/>
        <v>92.559480894015863</v>
      </c>
      <c r="G159" s="20">
        <v>1969</v>
      </c>
      <c r="H159" s="958">
        <f>(O29/$R29*100*($E29/365))+(O30/$R30*100*($E30/365))</f>
        <v>78.524481416531586</v>
      </c>
      <c r="I159" s="958"/>
      <c r="J159" s="958">
        <f>(P29/$R29*100*($E29/365))+(P30/$R30*100*($E30/365))</f>
        <v>21.475518583468428</v>
      </c>
      <c r="K159" s="958"/>
      <c r="L159" s="958">
        <f>(Q29/$R29*100*($E29/365))+(Q30/$R30*100*($E30/365))</f>
        <v>0</v>
      </c>
      <c r="M159" s="958"/>
      <c r="N159" s="990">
        <f t="shared" si="37"/>
        <v>100.00000000000001</v>
      </c>
      <c r="O159" s="990"/>
      <c r="P159" s="7"/>
      <c r="Q159" s="7"/>
      <c r="R159" s="20">
        <v>1969</v>
      </c>
      <c r="S159" s="8">
        <f>(O29*($E29/365))+(O30*($E30/365))</f>
        <v>60</v>
      </c>
      <c r="T159" s="8">
        <f>(P29*($E29/365))+(P30*($E30/365))</f>
        <v>16.508219178082193</v>
      </c>
      <c r="U159" s="8">
        <f>(Q29*($E29/365))+(Q30*($E30/365))</f>
        <v>0</v>
      </c>
      <c r="W159" s="14">
        <f t="shared" si="35"/>
        <v>76.508219178082186</v>
      </c>
      <c r="X159" s="5"/>
      <c r="Y159" s="37"/>
    </row>
    <row r="160" spans="1:30">
      <c r="A160" s="1">
        <v>1970</v>
      </c>
      <c r="B160" s="8">
        <f>(K31*($E31/365))+(K32*($E32/365))</f>
        <v>84.210526315789465</v>
      </c>
      <c r="C160" s="8">
        <f>(L31*($E31/365))+(L32*($E32/365))</f>
        <v>15.789473684210526</v>
      </c>
      <c r="D160" s="8">
        <f>(M31*($E31/365))+(M32*($E32/365))</f>
        <v>0</v>
      </c>
      <c r="E160" s="39">
        <f t="shared" si="36"/>
        <v>99.999999999999986</v>
      </c>
      <c r="G160" s="20">
        <v>1970</v>
      </c>
      <c r="H160" s="958">
        <f>(O31/$R31*100*($E31/365))+(O32/$R32*100*($E32/365))</f>
        <v>75.853350189633389</v>
      </c>
      <c r="I160" s="958"/>
      <c r="J160" s="958">
        <f>(P31/$R31*100*($E31/365))+(P32/$R32*100*($E32/365))</f>
        <v>24.146649810366625</v>
      </c>
      <c r="K160" s="958"/>
      <c r="L160" s="958">
        <f>(Q31/$R31*100*($E31/365))+(Q32/$R32*100*($E32/365))</f>
        <v>0</v>
      </c>
      <c r="M160" s="958"/>
      <c r="N160" s="990">
        <f t="shared" si="37"/>
        <v>100.00000000000001</v>
      </c>
      <c r="O160" s="990"/>
      <c r="P160" s="7"/>
      <c r="Q160" s="7"/>
      <c r="R160" s="20">
        <v>1970</v>
      </c>
      <c r="S160" s="8">
        <f>(O31*($E31/365))+(O32*($E32/365))</f>
        <v>60</v>
      </c>
      <c r="T160" s="8">
        <f>(P31*($E31/365))+(P32*($E32/365))</f>
        <v>19.100000000000001</v>
      </c>
      <c r="U160" s="8">
        <f>(Q31*($E31/365))+(Q32*($E32/365))</f>
        <v>0</v>
      </c>
      <c r="W160" s="14">
        <f t="shared" si="35"/>
        <v>79.099999999999994</v>
      </c>
      <c r="X160" s="5"/>
      <c r="Y160" s="37"/>
    </row>
    <row r="161" spans="1:25">
      <c r="A161" s="1">
        <v>1971</v>
      </c>
      <c r="B161" s="8">
        <f>(K33*($E33/365))+(K34*($E34/365))</f>
        <v>84.210526315789465</v>
      </c>
      <c r="C161" s="8">
        <f>(L33*($E33/365))+(L34*($E34/365))</f>
        <v>15.789473684210526</v>
      </c>
      <c r="D161" s="8">
        <f>(M33*($E33/365))+(M34*($E34/365))</f>
        <v>0</v>
      </c>
      <c r="E161" s="39">
        <f t="shared" si="36"/>
        <v>99.999999999999986</v>
      </c>
      <c r="G161" s="20">
        <v>1971</v>
      </c>
      <c r="H161" s="958">
        <f>(O33/$R33*100*($E33/365))+(O34/$R34*100*($E34/365))</f>
        <v>75.853350189633389</v>
      </c>
      <c r="I161" s="958"/>
      <c r="J161" s="958">
        <f>(P33/$R33*100*($E33/365))+(P34/$R34*100*($E34/365))</f>
        <v>24.146649810366625</v>
      </c>
      <c r="K161" s="958"/>
      <c r="L161" s="958">
        <f>(Q33/$R33*100*($E33/365))+(Q34/$R34*100*($E34/365))</f>
        <v>0</v>
      </c>
      <c r="M161" s="958"/>
      <c r="N161" s="990">
        <f t="shared" si="37"/>
        <v>100.00000000000001</v>
      </c>
      <c r="O161" s="990"/>
      <c r="P161" s="7"/>
      <c r="Q161" s="7"/>
      <c r="R161" s="20">
        <v>1971</v>
      </c>
      <c r="S161" s="8">
        <f>(O33*($E33/365))+(O34*($E34/365))</f>
        <v>60</v>
      </c>
      <c r="T161" s="8">
        <f>(P33*($E33/365))+(P34*($E34/365))</f>
        <v>19.100000000000001</v>
      </c>
      <c r="U161" s="8">
        <f>(Q33*($E33/365))+(Q34*($E34/365))</f>
        <v>0</v>
      </c>
      <c r="W161" s="14">
        <f t="shared" si="35"/>
        <v>79.099999999999994</v>
      </c>
      <c r="X161" s="5"/>
      <c r="Y161" s="37"/>
    </row>
    <row r="162" spans="1:25">
      <c r="A162" s="1">
        <v>1972</v>
      </c>
      <c r="B162" s="8">
        <f>(K35*($E35/366))+(K36*($E36/366))</f>
        <v>84.594477998274371</v>
      </c>
      <c r="C162" s="8">
        <f>(L35*($E35/366))+(L36*($E36/366))</f>
        <v>15.405522001725625</v>
      </c>
      <c r="D162" s="8">
        <f>(M35*($E35/366))+(M36*($E36/366))</f>
        <v>0</v>
      </c>
      <c r="E162" s="39">
        <f t="shared" si="36"/>
        <v>100</v>
      </c>
      <c r="G162" s="20">
        <v>1972</v>
      </c>
      <c r="H162" s="958">
        <f>(O35/$R35*100*($E35/366))+(O36/$R36*100*($E36/366))</f>
        <v>75.853350189633389</v>
      </c>
      <c r="I162" s="958"/>
      <c r="J162" s="958">
        <f>(P35/$R35*100*($E35/366))+(P36/$R36*100*($E36/366))</f>
        <v>24.146649810366625</v>
      </c>
      <c r="K162" s="958"/>
      <c r="L162" s="958">
        <f>(Q35/$R35*100*($E35/366))+(Q36/$R36*100*($E36/366))</f>
        <v>0</v>
      </c>
      <c r="M162" s="958"/>
      <c r="N162" s="990">
        <f t="shared" si="37"/>
        <v>100.00000000000001</v>
      </c>
      <c r="O162" s="990"/>
      <c r="P162" s="7"/>
      <c r="Q162" s="7"/>
      <c r="R162" s="20">
        <v>1972</v>
      </c>
      <c r="S162" s="8">
        <f>(O35*($E35/366))+(O36*($E36/366))</f>
        <v>60</v>
      </c>
      <c r="T162" s="8">
        <f>(P35*($E35/366))+(P36*($E36/366))</f>
        <v>19.100000000000001</v>
      </c>
      <c r="U162" s="8">
        <f>(Q35*($E35/366))+(Q36*($E36/366))</f>
        <v>0</v>
      </c>
      <c r="W162" s="14">
        <f t="shared" si="35"/>
        <v>79.099999999999994</v>
      </c>
      <c r="X162" s="5"/>
      <c r="Y162" s="37"/>
    </row>
    <row r="163" spans="1:25">
      <c r="A163" s="1">
        <v>1973</v>
      </c>
      <c r="B163" s="8">
        <f>(K37*($E37/365))+(K38*($E38/365))</f>
        <v>86.012453300124534</v>
      </c>
      <c r="C163" s="8">
        <f>(L37*($E37/365))+(L38*($E38/365))</f>
        <v>3.8630136986301369</v>
      </c>
      <c r="D163" s="8">
        <f>(M37*($E37/365))+(M38*($E38/365))</f>
        <v>0</v>
      </c>
      <c r="E163" s="39">
        <f t="shared" si="36"/>
        <v>89.875466998754675</v>
      </c>
      <c r="G163" s="20">
        <v>1973</v>
      </c>
      <c r="H163" s="958">
        <f>(O37/$R37*100*($E37/365))+(O38/$R38*100*($E38/365))</f>
        <v>77.9310182449276</v>
      </c>
      <c r="I163" s="958"/>
      <c r="J163" s="958">
        <f>(P37/$R37*100*($E37/365))+(P38/$R38*100*($E38/365))</f>
        <v>22.068981755072407</v>
      </c>
      <c r="K163" s="958"/>
      <c r="L163" s="958">
        <f>(Q37/$R37*100*($E37/365))+(Q38/$R38*100*($E38/365))</f>
        <v>0</v>
      </c>
      <c r="M163" s="958"/>
      <c r="N163" s="990">
        <f t="shared" si="37"/>
        <v>100</v>
      </c>
      <c r="O163" s="990"/>
      <c r="P163" s="7"/>
      <c r="Q163" s="7"/>
      <c r="R163" s="20">
        <v>1973</v>
      </c>
      <c r="S163" s="8">
        <f>(O37*($E37/365))+(O38*($E38/365))</f>
        <v>46.635616438356159</v>
      </c>
      <c r="T163" s="8">
        <f>(P37*($E37/365))+(P38*($E38/365))</f>
        <v>13.383013698630137</v>
      </c>
      <c r="U163" s="8">
        <f>(Q37*($E37/365))+(Q38*($E38/365))</f>
        <v>0</v>
      </c>
      <c r="W163" s="14">
        <f t="shared" si="35"/>
        <v>60.018630136986296</v>
      </c>
      <c r="X163" s="5"/>
      <c r="Y163" s="37"/>
    </row>
    <row r="164" spans="1:25">
      <c r="A164" s="1">
        <v>1974</v>
      </c>
      <c r="B164" s="8">
        <f>(K39*($E39/365))+(K40*($E40/365))+(K41*($E41/365))</f>
        <v>76.117683686176832</v>
      </c>
      <c r="C164" s="8">
        <f>(L39*($E39/365))+(L40*($E40/365))+(L41*($E41/365))</f>
        <v>3.7328767123287672</v>
      </c>
      <c r="D164" s="8">
        <f>(M39*($E39/365))+(M40*($E40/365))+(M41*($E41/365))</f>
        <v>3.7328767123287672</v>
      </c>
      <c r="E164" s="39">
        <f t="shared" si="36"/>
        <v>83.583437110834353</v>
      </c>
      <c r="G164" s="20">
        <v>1974</v>
      </c>
      <c r="H164" s="958">
        <f>(O39/$R39*100*($E39/365))+(O40/$R40*100*($E40/365))+(O41/$R41*100*($E41/365))</f>
        <v>76.711941901648288</v>
      </c>
      <c r="I164" s="958"/>
      <c r="J164" s="958">
        <f>(P39/$R39*100*($E39/365))+(P40/$R40*100*($E40/365))+(P41/$R41*100*($E41/365))</f>
        <v>20.821812801875968</v>
      </c>
      <c r="K164" s="958"/>
      <c r="L164" s="958">
        <f>(Q39/$R39*100*($E39/365))+(Q40/$R40*100*($E40/365))+(Q41/$R41*100*($E41/365))</f>
        <v>2.4662452964757389</v>
      </c>
      <c r="M164" s="958"/>
      <c r="N164" s="990">
        <f t="shared" si="37"/>
        <v>99.999999999999986</v>
      </c>
      <c r="O164" s="990"/>
      <c r="P164" s="7"/>
      <c r="Q164" s="7"/>
      <c r="R164" s="20">
        <v>1974</v>
      </c>
      <c r="S164" s="8">
        <f>(O39*($E39/365))+(O40*($E40/365))+(O41*($E41/365))</f>
        <v>42</v>
      </c>
      <c r="T164" s="8">
        <f>(P39*($E39/365))+(P40*($E40/365))+(P41*($E41/365))</f>
        <v>11.4</v>
      </c>
      <c r="U164" s="8">
        <f>(Q39*($E39/365))+(Q40*($E40/365))+(Q41*($E41/365))</f>
        <v>1.3736986301369862</v>
      </c>
      <c r="W164" s="14">
        <f t="shared" si="35"/>
        <v>54.773698630136984</v>
      </c>
      <c r="X164" s="5"/>
      <c r="Y164" s="37"/>
    </row>
    <row r="165" spans="1:25">
      <c r="A165" s="1">
        <v>1975</v>
      </c>
      <c r="B165" s="8">
        <f>(K42*($E42/365))+(K43*($E43/365))</f>
        <v>68.75</v>
      </c>
      <c r="C165" s="8">
        <f>(L42*($E42/365))+(L43*($E43/365))</f>
        <v>6.25</v>
      </c>
      <c r="D165" s="8">
        <f>(M42*($E42/365))+(M43*($E43/365))</f>
        <v>6.25</v>
      </c>
      <c r="E165" s="39">
        <f t="shared" si="36"/>
        <v>81.25</v>
      </c>
      <c r="G165" s="20">
        <v>1975</v>
      </c>
      <c r="H165" s="958">
        <f>(O42/$R42*100*($E42/365))+(O43/$R43*100*($E43/365))</f>
        <v>75.403949730700177</v>
      </c>
      <c r="I165" s="958"/>
      <c r="J165" s="958">
        <f>(P42/$R42*100*($E42/365))+(P43/$R43*100*($E43/365))</f>
        <v>20.466786355475765</v>
      </c>
      <c r="K165" s="958"/>
      <c r="L165" s="958">
        <f>(Q42/$R42*100*($E42/365))+(Q43/$R43*100*($E43/365))</f>
        <v>4.1292639138240581</v>
      </c>
      <c r="M165" s="958"/>
      <c r="N165" s="990">
        <f t="shared" si="37"/>
        <v>100</v>
      </c>
      <c r="O165" s="990"/>
      <c r="P165" s="7"/>
      <c r="Q165" s="7"/>
      <c r="R165" s="20">
        <v>1975</v>
      </c>
      <c r="S165" s="8">
        <f>(O42*($E42/365))+(O43*($E43/365))</f>
        <v>42</v>
      </c>
      <c r="T165" s="8">
        <f>(P42*($E42/365))+(P43*($E43/365))</f>
        <v>11.4</v>
      </c>
      <c r="U165" s="8">
        <f>(Q42*($E42/365))+(Q43*($E43/365))</f>
        <v>2.2999999999999998</v>
      </c>
      <c r="W165" s="14">
        <f t="shared" si="35"/>
        <v>55.699999999999996</v>
      </c>
      <c r="X165" s="5"/>
      <c r="Y165" s="37"/>
    </row>
    <row r="166" spans="1:25">
      <c r="A166" s="1">
        <v>1976</v>
      </c>
      <c r="B166" s="8">
        <f>(K44*($E44/366))+(K45*($E45/366))</f>
        <v>61.731557377049185</v>
      </c>
      <c r="C166" s="8">
        <f>(L44*($E44/366))+(L45*($E45/366))</f>
        <v>5.9900576806314518</v>
      </c>
      <c r="D166" s="8">
        <f>(M44*($E44/366))+(M45*($E45/366))</f>
        <v>10.149134790528233</v>
      </c>
      <c r="E166" s="39">
        <f t="shared" si="36"/>
        <v>77.870749848208874</v>
      </c>
      <c r="G166" s="20">
        <v>1976</v>
      </c>
      <c r="H166" s="958">
        <f>(O44/$R44*100*($E44/366))+(O45/$R45*100*($E45/366))</f>
        <v>75.403949730700191</v>
      </c>
      <c r="I166" s="958"/>
      <c r="J166" s="958">
        <f>(P44/$R44*100*($E44/366))+(P45/$R45*100*($E45/366))</f>
        <v>20.466786355475765</v>
      </c>
      <c r="K166" s="958"/>
      <c r="L166" s="958">
        <f>(Q44/$R44*100*($E44/366))+(Q45/$R45*100*($E45/366))</f>
        <v>4.1292639138240581</v>
      </c>
      <c r="M166" s="958"/>
      <c r="N166" s="990">
        <f t="shared" si="37"/>
        <v>100.00000000000001</v>
      </c>
      <c r="O166" s="990"/>
      <c r="P166" s="7"/>
      <c r="Q166" s="7"/>
      <c r="R166" s="20">
        <v>1976</v>
      </c>
      <c r="S166" s="8">
        <f>(O44*($E44/366))+(O45*($E45/366))</f>
        <v>42</v>
      </c>
      <c r="T166" s="8">
        <f>(P44*($E44/366))+(P45*($E45/366))</f>
        <v>11.4</v>
      </c>
      <c r="U166" s="8">
        <f>(Q44*($E44/366))+(Q45*($E45/366))</f>
        <v>2.2999999999999998</v>
      </c>
      <c r="W166" s="14">
        <f t="shared" si="35"/>
        <v>55.699999999999996</v>
      </c>
      <c r="X166" s="5"/>
      <c r="Y166" s="37"/>
    </row>
    <row r="167" spans="1:25" s="12" customFormat="1">
      <c r="A167" s="1">
        <v>1977</v>
      </c>
      <c r="B167" s="8">
        <f>(K46*($E46/365))+(K47*($E47/365))</f>
        <v>42.410958904109592</v>
      </c>
      <c r="C167" s="8">
        <f>(L46*($E46/365))+(L47*($E47/365))</f>
        <v>11.458143074581432</v>
      </c>
      <c r="D167" s="8">
        <f>(M46*($E46/365))+(M47*($E47/365))</f>
        <v>14.136986301369863</v>
      </c>
      <c r="E167" s="39">
        <f t="shared" si="36"/>
        <v>68.006088280060879</v>
      </c>
      <c r="G167" s="20">
        <v>1977</v>
      </c>
      <c r="H167" s="958">
        <f>(O46/$R46*100*($E46/365))+(O47/$R47*100*($E47/365))</f>
        <v>75.403949730700177</v>
      </c>
      <c r="I167" s="958"/>
      <c r="J167" s="958">
        <f>(P46/$R46*100*($E46/365))+(P47/$R47*100*($E47/365))</f>
        <v>20.466786355475765</v>
      </c>
      <c r="K167" s="958"/>
      <c r="L167" s="958">
        <f>(Q46/$R46*100*($E46/365))+(Q47/$R47*100*($E47/365))</f>
        <v>4.1292639138240581</v>
      </c>
      <c r="M167" s="958"/>
      <c r="N167" s="990">
        <f t="shared" si="37"/>
        <v>100</v>
      </c>
      <c r="O167" s="990"/>
      <c r="P167" s="7"/>
      <c r="Q167" s="7"/>
      <c r="R167" s="20">
        <v>1977</v>
      </c>
      <c r="S167" s="8">
        <f>(O46*($E46/365))+(O47*($E47/365))</f>
        <v>42</v>
      </c>
      <c r="T167" s="8">
        <f>(P46*($E46/365))+(P47*($E47/365))</f>
        <v>11.4</v>
      </c>
      <c r="U167" s="8">
        <f>(Q46*($E46/365))+(Q47*($E47/365))</f>
        <v>2.2999999999999998</v>
      </c>
      <c r="W167" s="14">
        <f t="shared" si="35"/>
        <v>55.699999999999996</v>
      </c>
      <c r="X167" s="5"/>
      <c r="Y167" s="37"/>
    </row>
    <row r="168" spans="1:25">
      <c r="A168" s="1">
        <v>1978</v>
      </c>
      <c r="B168" s="8">
        <f>(K48*($E48/365))+(K49*($E49/365))</f>
        <v>32.547945205479451</v>
      </c>
      <c r="C168" s="8">
        <f>(L48*($E48/365))+(L49*($E49/365))</f>
        <v>36.93150684931507</v>
      </c>
      <c r="D168" s="8">
        <f>(M48*($E48/365))+(M49*($E49/365))</f>
        <v>3.397260273972603</v>
      </c>
      <c r="E168" s="39">
        <f t="shared" si="36"/>
        <v>72.876712328767127</v>
      </c>
      <c r="G168" s="20">
        <v>1978</v>
      </c>
      <c r="H168" s="958">
        <f>(O48/$R48*100*($E48/365))+(O49/$R49*100*($E49/365))</f>
        <v>58.992165147100749</v>
      </c>
      <c r="I168" s="958"/>
      <c r="J168" s="958">
        <f>(P48/$R48*100*($E48/365))+(P49/$R49*100*($E49/365))</f>
        <v>39.955721033760526</v>
      </c>
      <c r="K168" s="958"/>
      <c r="L168" s="958">
        <f>(Q48/$R48*100*($E48/365))+(Q49/$R49*100*($E49/365))</f>
        <v>1.0521138191387327</v>
      </c>
      <c r="M168" s="958"/>
      <c r="N168" s="990">
        <f t="shared" si="37"/>
        <v>100.00000000000001</v>
      </c>
      <c r="O168" s="990"/>
      <c r="P168" s="7"/>
      <c r="Q168" s="7"/>
      <c r="R168" s="20">
        <v>1978</v>
      </c>
      <c r="S168" s="8">
        <f>(O48*($E48/365))+(O49*($E49/365))</f>
        <v>33.057534246575344</v>
      </c>
      <c r="T168" s="8">
        <f>(P48*($E48/365))+(P49*($E49/365))</f>
        <v>22.429041095890412</v>
      </c>
      <c r="U168" s="8">
        <f>(Q48*($E48/365))+(Q49*($E49/365))</f>
        <v>0.58602739726027397</v>
      </c>
      <c r="W168" s="14">
        <f t="shared" si="35"/>
        <v>56.07260273972603</v>
      </c>
      <c r="X168" s="5"/>
      <c r="Y168" s="37"/>
    </row>
    <row r="169" spans="1:25">
      <c r="A169" s="1">
        <v>1979</v>
      </c>
      <c r="B169" s="8">
        <f>(K50*($E50/365))+(K51*($E51/365))</f>
        <v>30</v>
      </c>
      <c r="C169" s="8">
        <f>(L50*($E50/365))+(L51*($E51/365))</f>
        <v>45</v>
      </c>
      <c r="D169" s="8">
        <f>(M50*($E50/365))+(M51*($E51/365))</f>
        <v>0</v>
      </c>
      <c r="E169" s="39">
        <f t="shared" si="36"/>
        <v>75</v>
      </c>
      <c r="G169" s="20">
        <v>1979</v>
      </c>
      <c r="H169" s="958">
        <f>(O50/$R50*100*($E50/365))+(O51/$R51*100*($E51/365))</f>
        <v>53.380782918149464</v>
      </c>
      <c r="I169" s="958"/>
      <c r="J169" s="958">
        <f>(P50/$R50*100*($E50/365))+(P51/$R51*100*($E51/365))</f>
        <v>46.619217081850529</v>
      </c>
      <c r="K169" s="958"/>
      <c r="L169" s="958">
        <f>(Q50/$R50*100*($E50/365))+(Q51/$R51*100*($E51/365))</f>
        <v>0</v>
      </c>
      <c r="M169" s="958"/>
      <c r="N169" s="990">
        <f t="shared" si="37"/>
        <v>100</v>
      </c>
      <c r="O169" s="990"/>
      <c r="P169" s="7"/>
      <c r="Q169" s="7"/>
      <c r="R169" s="20">
        <v>1979</v>
      </c>
      <c r="S169" s="8">
        <f>(O50*($E50/365))+(O51*($E51/365))</f>
        <v>30</v>
      </c>
      <c r="T169" s="8">
        <f>(P50*($E50/365))+(P51*($E51/365))</f>
        <v>26.2</v>
      </c>
      <c r="U169" s="8">
        <f>(Q50*($E50/365))+(Q51*($E51/365))</f>
        <v>0</v>
      </c>
      <c r="W169" s="14">
        <f t="shared" si="35"/>
        <v>56.2</v>
      </c>
      <c r="X169" s="5"/>
    </row>
    <row r="170" spans="1:25">
      <c r="A170" s="1">
        <v>1980</v>
      </c>
      <c r="B170" s="8">
        <f>(K52*($E52/366))+(K53*($E53/366))</f>
        <v>30</v>
      </c>
      <c r="C170" s="8">
        <f>(L52*($E52/366))+(L53*($E53/366))</f>
        <v>45</v>
      </c>
      <c r="D170" s="8">
        <f>(M52*($E52/366))+(M53*($E53/366))</f>
        <v>0</v>
      </c>
      <c r="E170" s="39">
        <f t="shared" si="36"/>
        <v>75</v>
      </c>
      <c r="G170" s="20">
        <v>1980</v>
      </c>
      <c r="H170" s="958">
        <f>(O52/$R52*100*($E52/366))+(O53/$R53*100*($E53/366))</f>
        <v>53.380782918149464</v>
      </c>
      <c r="I170" s="958"/>
      <c r="J170" s="958">
        <f>(P52/$R52*100*($E52/366))+(P53/$R53*100*($E53/366))</f>
        <v>46.619217081850529</v>
      </c>
      <c r="K170" s="958"/>
      <c r="L170" s="958">
        <f>(Q52/$R52*100*($E52/366))+(Q53/$R53*100*($E53/366))</f>
        <v>0</v>
      </c>
      <c r="M170" s="958"/>
      <c r="N170" s="990">
        <f t="shared" si="37"/>
        <v>100</v>
      </c>
      <c r="O170" s="990"/>
      <c r="P170" s="7"/>
      <c r="Q170" s="7"/>
      <c r="R170" s="20">
        <v>1980</v>
      </c>
      <c r="S170" s="8">
        <f>(O52*($E52/366))+(O53*($E53/366))</f>
        <v>30</v>
      </c>
      <c r="T170" s="8">
        <f>(P52*($E52/366))+(P53*($E53/366))</f>
        <v>26.2</v>
      </c>
      <c r="U170" s="8">
        <f>(Q52*($E52/366))+(Q53*($E53/366))</f>
        <v>0</v>
      </c>
      <c r="W170" s="14">
        <f t="shared" si="35"/>
        <v>56.2</v>
      </c>
      <c r="X170" s="5"/>
    </row>
    <row r="171" spans="1:25">
      <c r="A171" s="1">
        <v>1981</v>
      </c>
      <c r="B171" s="8">
        <f>(K54*($E54/365))+(K55*($E55/365))+(K56*($E56/365))</f>
        <v>11.589041095890412</v>
      </c>
      <c r="C171" s="8">
        <f>(L54*($E54/365))+(L55*($E55/365))+(L56*($E56/365))</f>
        <v>17.383561643835616</v>
      </c>
      <c r="D171" s="8">
        <f>(M54*($E54/365))+(M55*($E55/365))+(M56*($E56/365))</f>
        <v>61.369863013698627</v>
      </c>
      <c r="E171" s="39">
        <f t="shared" si="36"/>
        <v>90.342465753424648</v>
      </c>
      <c r="G171" s="20">
        <v>1981</v>
      </c>
      <c r="H171" s="958">
        <f>(O54/$R54*100*($E54/365))+(O55/$R55*100*($E55/365))+(O56/$R56*100*($E56/365))</f>
        <v>20.621069565641299</v>
      </c>
      <c r="I171" s="958"/>
      <c r="J171" s="958">
        <f>(P54/$R54*100*($E54/365))+(P55/$R55*100*($E55/365))+(P56/$R56*100*($E56/365))</f>
        <v>18.009067420660067</v>
      </c>
      <c r="K171" s="958"/>
      <c r="L171" s="958">
        <f>(Q54/$R54*100*($E54/365))+(Q55/$R55*100*($E55/365))+(Q56/$R56*100*($E56/365))</f>
        <v>61.369863013698627</v>
      </c>
      <c r="M171" s="958"/>
      <c r="N171" s="990">
        <f t="shared" si="37"/>
        <v>100</v>
      </c>
      <c r="O171" s="990"/>
      <c r="P171" s="7"/>
      <c r="Q171" s="7"/>
      <c r="R171" s="20">
        <v>1981</v>
      </c>
      <c r="S171" s="8">
        <f>(O54*($E54/365))+(O55*($E55/365))+(O56*($E56/365))</f>
        <v>11.589041095890412</v>
      </c>
      <c r="T171" s="8">
        <f>(P54*($E54/365))+(P55*($E55/365))+(P56*($E56/365))</f>
        <v>10.12109589041096</v>
      </c>
      <c r="U171" s="8">
        <f>(Q54*($E54/365))+(Q55*($E55/365))+(Q56*($E56/365))</f>
        <v>36.444931506849308</v>
      </c>
      <c r="W171" s="14">
        <f t="shared" si="35"/>
        <v>58.155068493150679</v>
      </c>
      <c r="X171" s="5"/>
    </row>
    <row r="172" spans="1:25">
      <c r="A172" s="1">
        <v>1982</v>
      </c>
      <c r="B172" s="8">
        <f>(K57*($E57/365))+(K58*($E58/365))</f>
        <v>0</v>
      </c>
      <c r="C172" s="8">
        <f>(L57*($E57/365))+(L58*($E58/365))</f>
        <v>0</v>
      </c>
      <c r="D172" s="8">
        <f>(M57*($E57/365))+(M58*($E58/365))</f>
        <v>100</v>
      </c>
      <c r="E172" s="39">
        <f t="shared" si="36"/>
        <v>100</v>
      </c>
      <c r="G172" s="20">
        <v>1982</v>
      </c>
      <c r="H172" s="958">
        <f>(O57/$R57*100*($E57/365))+(O58/$R58*100*($E58/365))</f>
        <v>0</v>
      </c>
      <c r="I172" s="958"/>
      <c r="J172" s="958">
        <f>(P57/$R57*100*($E57/365))+(P58/$R58*100*($E58/365))</f>
        <v>0</v>
      </c>
      <c r="K172" s="958"/>
      <c r="L172" s="958">
        <f>(Q57/$R57*100*($E57/365))+(Q58/$R58*100*($E58/365))</f>
        <v>100</v>
      </c>
      <c r="M172" s="958"/>
      <c r="N172" s="990">
        <f t="shared" si="37"/>
        <v>100</v>
      </c>
      <c r="O172" s="990"/>
      <c r="P172" s="7"/>
      <c r="Q172" s="7"/>
      <c r="R172" s="20">
        <v>1982</v>
      </c>
      <c r="S172" s="8">
        <f>(O57*($E57/365))+(O58*($E58/365))</f>
        <v>0</v>
      </c>
      <c r="T172" s="8">
        <f>(P57*($E57/365))+(P58*($E58/365))</f>
        <v>0</v>
      </c>
      <c r="U172" s="8">
        <f>(Q57*($E57/365))+(Q58*($E58/365))</f>
        <v>65.7</v>
      </c>
      <c r="W172" s="14">
        <f t="shared" si="35"/>
        <v>65.7</v>
      </c>
      <c r="X172" s="5"/>
    </row>
    <row r="173" spans="1:25">
      <c r="A173" s="1">
        <v>1983</v>
      </c>
      <c r="B173" s="8">
        <f>(K59*($E59/365))+(K60*($E60/365))</f>
        <v>0</v>
      </c>
      <c r="C173" s="8">
        <f>(L59*($E59/365))+(L60*($E60/365))</f>
        <v>0</v>
      </c>
      <c r="D173" s="8">
        <f>(M59*($E59/365))+(M60*($E60/365))</f>
        <v>100</v>
      </c>
      <c r="E173" s="39">
        <f t="shared" si="36"/>
        <v>100</v>
      </c>
      <c r="G173" s="20">
        <v>1983</v>
      </c>
      <c r="H173" s="958">
        <f>(O59/$R59*100*($E59/365))+(O60/$R60*100*($E60/365))</f>
        <v>0</v>
      </c>
      <c r="I173" s="958"/>
      <c r="J173" s="958">
        <f>(P59/$R59*100*($E59/365))+(P60/$R60*100*($E60/365))</f>
        <v>0</v>
      </c>
      <c r="K173" s="958"/>
      <c r="L173" s="958">
        <f>(Q59/$R59*100*($E59/365))+(Q60/$R60*100*($E60/365))</f>
        <v>100</v>
      </c>
      <c r="M173" s="958"/>
      <c r="N173" s="990">
        <f t="shared" si="37"/>
        <v>100</v>
      </c>
      <c r="O173" s="990"/>
      <c r="P173" s="7"/>
      <c r="Q173" s="7"/>
      <c r="R173" s="20">
        <v>1983</v>
      </c>
      <c r="S173" s="8">
        <f>(O59*($E59/365))+(O60*($E60/365))</f>
        <v>0</v>
      </c>
      <c r="T173" s="8">
        <f>(P59*($E59/365))+(P60*($E60/365))</f>
        <v>0</v>
      </c>
      <c r="U173" s="8">
        <f>(Q59*($E59/365))+(Q60*($E60/365))</f>
        <v>65.7</v>
      </c>
      <c r="W173" s="14">
        <f t="shared" si="35"/>
        <v>65.7</v>
      </c>
      <c r="X173" s="5"/>
    </row>
    <row r="174" spans="1:25">
      <c r="A174" s="1">
        <v>1984</v>
      </c>
      <c r="B174" s="8">
        <f>(K61*($E61/366))+(K62*($E62/366))</f>
        <v>0</v>
      </c>
      <c r="C174" s="8">
        <f>(L61*($E61/366))+(L62*($E62/366))</f>
        <v>0</v>
      </c>
      <c r="D174" s="8">
        <f>(M61*($E61/366))+(M62*($E62/366))</f>
        <v>100</v>
      </c>
      <c r="E174" s="39">
        <f t="shared" si="36"/>
        <v>100</v>
      </c>
      <c r="G174" s="20">
        <v>1984</v>
      </c>
      <c r="H174" s="958">
        <f>(O61/$R61*100*($E61/366))+(O62/$R62*100*($E62/366))</f>
        <v>0</v>
      </c>
      <c r="I174" s="958"/>
      <c r="J174" s="958">
        <f>(P61/$R61*100*($E61/366))+(P62/$R62*100*($E62/366))</f>
        <v>0</v>
      </c>
      <c r="K174" s="958"/>
      <c r="L174" s="958">
        <f>(Q61/$R61*100*($E61/366))+(Q62/$R62*100*($E62/366))</f>
        <v>100</v>
      </c>
      <c r="M174" s="958"/>
      <c r="N174" s="990">
        <f t="shared" si="37"/>
        <v>100</v>
      </c>
      <c r="O174" s="990"/>
      <c r="P174" s="7"/>
      <c r="Q174" s="7"/>
      <c r="R174" s="20">
        <v>1984</v>
      </c>
      <c r="S174" s="8">
        <f>(O61*($E61/366))+(O62*($E62/366))</f>
        <v>0</v>
      </c>
      <c r="T174" s="8">
        <f>(P61*($E61/366))+(P62*($E62/366))</f>
        <v>0</v>
      </c>
      <c r="U174" s="8">
        <f>(Q61*($E61/366))+(Q62*($E62/366))</f>
        <v>61.627868852459017</v>
      </c>
      <c r="W174" s="14">
        <f t="shared" si="35"/>
        <v>61.627868852459017</v>
      </c>
      <c r="X174" s="5"/>
    </row>
    <row r="175" spans="1:25">
      <c r="A175" s="1">
        <v>1985</v>
      </c>
      <c r="B175" s="8">
        <f>(K63*($E63/365))+(K64*($E64/365))</f>
        <v>0</v>
      </c>
      <c r="C175" s="8">
        <f>(L63*($E63/365))+(L64*($E64/365))</f>
        <v>0</v>
      </c>
      <c r="D175" s="8">
        <f>(M63*($E63/365))+(M64*($E64/365))</f>
        <v>100</v>
      </c>
      <c r="E175" s="39">
        <f t="shared" si="36"/>
        <v>100</v>
      </c>
      <c r="G175" s="20">
        <v>1985</v>
      </c>
      <c r="H175" s="958">
        <f>(O63/$R63*100*($E63/365))+(O64/$R64*100*($E64/365))</f>
        <v>0</v>
      </c>
      <c r="I175" s="958"/>
      <c r="J175" s="958">
        <f>(P63/$R63*100*($E63/365))+(P64/$R64*100*($E64/365))</f>
        <v>0</v>
      </c>
      <c r="K175" s="958"/>
      <c r="L175" s="958">
        <f>(Q63/$R63*100*($E63/365))+(Q64/$R64*100*($E64/365))</f>
        <v>100</v>
      </c>
      <c r="M175" s="958"/>
      <c r="N175" s="990">
        <f t="shared" si="37"/>
        <v>100</v>
      </c>
      <c r="O175" s="990"/>
      <c r="P175" s="7"/>
      <c r="Q175" s="7"/>
      <c r="R175" s="20">
        <v>1985</v>
      </c>
      <c r="S175" s="8">
        <f>(O63*($E63/365))+(O64*($E64/365))</f>
        <v>0</v>
      </c>
      <c r="T175" s="8">
        <f>(P63*($E63/365))+(P64*($E64/365))</f>
        <v>0</v>
      </c>
      <c r="U175" s="8">
        <f>(Q63*($E63/365))+(Q64*($E64/365))</f>
        <v>56.5</v>
      </c>
      <c r="W175" s="14">
        <f t="shared" si="35"/>
        <v>56.5</v>
      </c>
      <c r="X175" s="5"/>
    </row>
    <row r="176" spans="1:25">
      <c r="A176" s="1">
        <v>1986</v>
      </c>
      <c r="B176" s="8">
        <f>(K65*($E65/365))+(K66*($E66/365))</f>
        <v>44.032876712328772</v>
      </c>
      <c r="C176" s="8">
        <f>(L65*($E65/365))+(L66*($E66/365))</f>
        <v>25.161643835616438</v>
      </c>
      <c r="D176" s="8">
        <f>(M65*($E65/365))+(M66*($E66/365))</f>
        <v>21.36986301369863</v>
      </c>
      <c r="E176" s="39">
        <f t="shared" si="36"/>
        <v>90.564383561643851</v>
      </c>
      <c r="G176" s="20">
        <v>1986</v>
      </c>
      <c r="H176" s="958">
        <f>(O65/$R65*100*($E65/365))+(O66/$R66*100*($E66/365))</f>
        <v>41.946705937925479</v>
      </c>
      <c r="I176" s="958"/>
      <c r="J176" s="958">
        <f>(P65/$R65*100*($E65/365))+(P66/$R66*100*($E66/365))</f>
        <v>36.683431048375894</v>
      </c>
      <c r="K176" s="958"/>
      <c r="L176" s="958">
        <f>(Q65/$R65*100*($E65/365))+(Q66/$R66*100*($E66/365))</f>
        <v>21.36986301369863</v>
      </c>
      <c r="M176" s="958"/>
      <c r="N176" s="990">
        <f t="shared" si="37"/>
        <v>100.00000000000001</v>
      </c>
      <c r="O176" s="990"/>
      <c r="P176" s="7"/>
      <c r="Q176" s="7"/>
      <c r="R176" s="20">
        <v>1986</v>
      </c>
      <c r="S176" s="8">
        <f>(O65*($E65/365))+(O66*($E66/365))</f>
        <v>20.679726027397262</v>
      </c>
      <c r="T176" s="8">
        <f>(P65*($E65/365))+(P66*($E66/365))</f>
        <v>18.084931506849315</v>
      </c>
      <c r="U176" s="8">
        <f>(Q65*($E65/365))+(Q66*($E66/365))</f>
        <v>12.073972602739726</v>
      </c>
      <c r="W176" s="14">
        <f t="shared" si="35"/>
        <v>50.838630136986311</v>
      </c>
      <c r="X176" s="5"/>
    </row>
    <row r="177" spans="1:24" ht="9" customHeight="1">
      <c r="A177" s="1">
        <v>1987</v>
      </c>
      <c r="B177" s="8">
        <f>(K67*($E67/365))+(K68*($E68/365))</f>
        <v>56.000000000000007</v>
      </c>
      <c r="C177" s="8">
        <f>(L67*($E67/365))+(L68*($E68/365))</f>
        <v>32</v>
      </c>
      <c r="D177" s="8">
        <f>(M67*($E67/365))+(M68*($E68/365))</f>
        <v>0</v>
      </c>
      <c r="E177" s="39">
        <f t="shared" si="36"/>
        <v>88</v>
      </c>
      <c r="G177" s="20">
        <v>1987</v>
      </c>
      <c r="H177" s="958">
        <f>(O67/$R67*100*($E67/365))+(O68/$R68*100*($E68/365))</f>
        <v>53.346855983772826</v>
      </c>
      <c r="I177" s="958"/>
      <c r="J177" s="958">
        <f>(P67/$R67*100*($E67/365))+(P68/$R68*100*($E68/365))</f>
        <v>46.653144016227181</v>
      </c>
      <c r="K177" s="958"/>
      <c r="L177" s="958">
        <f>(Q67/$R67*100*($E67/365))+(Q68/$R68*100*($E68/365))</f>
        <v>0</v>
      </c>
      <c r="M177" s="958"/>
      <c r="N177" s="990">
        <f t="shared" si="37"/>
        <v>100</v>
      </c>
      <c r="O177" s="990"/>
      <c r="P177" s="7"/>
      <c r="Q177" s="7"/>
      <c r="R177" s="20">
        <v>1987</v>
      </c>
      <c r="S177" s="8">
        <f>(O67*($E67/365))+(O68*($E68/365))</f>
        <v>26.3</v>
      </c>
      <c r="T177" s="8">
        <f>(P67*($E67/365))+(P68*($E68/365))</f>
        <v>23</v>
      </c>
      <c r="U177" s="8">
        <f>(Q67*($E67/365))+(Q68*($E68/365))</f>
        <v>0</v>
      </c>
      <c r="W177" s="14">
        <f t="shared" si="35"/>
        <v>49.3</v>
      </c>
      <c r="X177" s="5"/>
    </row>
    <row r="178" spans="1:24" ht="9" customHeight="1">
      <c r="A178" s="1">
        <v>1988</v>
      </c>
      <c r="B178" s="8">
        <f>(K69*($E69/366))+(K70*($E70/366))+(K71*($E71/366))</f>
        <v>20.349726775956288</v>
      </c>
      <c r="C178" s="8">
        <f>(L69*($E69/366))+(L70*($E70/366))+(L71*($E71/366))</f>
        <v>12.951394880644234</v>
      </c>
      <c r="D178" s="8">
        <f>(M69*($E69/366))+(M70*($E70/366))+(M71*($E71/366))</f>
        <v>45.025884383088865</v>
      </c>
      <c r="E178" s="39">
        <f t="shared" si="36"/>
        <v>78.327006039689394</v>
      </c>
      <c r="G178" s="20">
        <v>1988</v>
      </c>
      <c r="H178" s="958">
        <f>(O69/$R69*100*($E69/366))+(O70/$R70*100*($E70/366))+(O71/$R71*100*($E71/366))</f>
        <v>19.385606136179742</v>
      </c>
      <c r="I178" s="958"/>
      <c r="J178" s="958">
        <f>(P69/$R69*100*($E69/366))+(P70/$R70*100*($E70/366))+(P71/$R71*100*($E71/366))</f>
        <v>21.886144549211632</v>
      </c>
      <c r="K178" s="958"/>
      <c r="L178" s="958">
        <f>(Q69/$R69*100*($E69/366))+(Q70/$R70*100*($E70/366))+(Q71/$R71*100*($E71/366))</f>
        <v>58.728249314608632</v>
      </c>
      <c r="M178" s="958"/>
      <c r="N178" s="990">
        <f t="shared" si="37"/>
        <v>100</v>
      </c>
      <c r="O178" s="990"/>
      <c r="P178" s="7"/>
      <c r="Q178" s="7"/>
      <c r="R178" s="20">
        <v>1988</v>
      </c>
      <c r="S178" s="8">
        <f>(O69*($E69/366))+(O70*($E70/366))+(O71*($E71/366))</f>
        <v>9.5571038251366129</v>
      </c>
      <c r="T178" s="8">
        <f>(P69*($E69/366))+(P70*($E70/366))+(P71*($E71/366))</f>
        <v>11.248633879781423</v>
      </c>
      <c r="U178" s="8">
        <f>(Q69*($E69/366))+(Q70*($E70/366))+(Q71*($E71/366))</f>
        <v>29.203278688524591</v>
      </c>
      <c r="W178" s="14">
        <f t="shared" si="35"/>
        <v>50.009016393442629</v>
      </c>
      <c r="X178" s="5"/>
    </row>
    <row r="179" spans="1:24" s="4" customFormat="1" ht="9" customHeight="1">
      <c r="A179" s="4">
        <v>1989</v>
      </c>
      <c r="B179" s="11">
        <f>(K72*($E72/365))+(K73*($E73/365))</f>
        <v>0</v>
      </c>
      <c r="C179" s="11">
        <f>(L72*($E72/365))+(L73*($E73/365))</f>
        <v>0</v>
      </c>
      <c r="D179" s="11">
        <f>(M72*($E72/365))+(M73*($E73/365))</f>
        <v>70</v>
      </c>
      <c r="E179" s="38">
        <f t="shared" si="36"/>
        <v>70</v>
      </c>
      <c r="G179" s="21">
        <v>1989</v>
      </c>
      <c r="H179" s="960">
        <f>(O72/$R72*100*($E72/365))+(O73/$R73*100*($E73/365))</f>
        <v>0</v>
      </c>
      <c r="I179" s="960"/>
      <c r="J179" s="960">
        <f>(P72/$R72*100*($E72/365))+(P73/$R73*100*($E73/365))</f>
        <v>0</v>
      </c>
      <c r="K179" s="960"/>
      <c r="L179" s="960">
        <f>(Q72/$R72*100*($E72/365))+(Q73/$R73*100*($E73/365))</f>
        <v>100</v>
      </c>
      <c r="M179" s="960"/>
      <c r="N179" s="987">
        <f t="shared" si="37"/>
        <v>100</v>
      </c>
      <c r="O179" s="987"/>
      <c r="P179" s="11"/>
      <c r="Q179" s="11"/>
      <c r="R179" s="21">
        <v>1989</v>
      </c>
      <c r="S179" s="11">
        <f>(O72*($E72/365))+(O73*($E73/365))</f>
        <v>0</v>
      </c>
      <c r="T179" s="11">
        <f>(P72*($E72/365))+(P73*($E73/365))</f>
        <v>0</v>
      </c>
      <c r="U179" s="11">
        <f>(Q72*($E72/365))+(Q73*($E73/365))</f>
        <v>48.4</v>
      </c>
      <c r="W179" s="28">
        <f t="shared" si="35"/>
        <v>48.4</v>
      </c>
      <c r="X179" s="19"/>
    </row>
    <row r="180" spans="1:24" ht="9" customHeight="1">
      <c r="A180" s="1">
        <v>1990</v>
      </c>
      <c r="B180" s="8">
        <f>(K74*($E74/365))+(K75*($E75/365))</f>
        <v>0</v>
      </c>
      <c r="C180" s="8">
        <f>(L74*($E74/365))+(L75*($E75/365))</f>
        <v>0</v>
      </c>
      <c r="D180" s="8">
        <f>(M74*($E74/365))+(M75*($E75/365))</f>
        <v>70</v>
      </c>
      <c r="E180" s="39">
        <f t="shared" si="36"/>
        <v>70</v>
      </c>
      <c r="G180" s="1">
        <v>1990</v>
      </c>
      <c r="H180" s="958">
        <f>(O74/$R74*100*($E74/365))+(O75/$R75*100*($E75/365))</f>
        <v>0</v>
      </c>
      <c r="I180" s="958"/>
      <c r="J180" s="958">
        <f>(P74/$R74*100*($E74/365))+(P75/$R75*100*($E75/365))</f>
        <v>0</v>
      </c>
      <c r="K180" s="958"/>
      <c r="L180" s="958">
        <f>(Q74/$R74*100*($E74/365))+(Q75/$R75*100*($E75/365))</f>
        <v>100</v>
      </c>
      <c r="M180" s="958"/>
      <c r="N180" s="990">
        <f t="shared" si="37"/>
        <v>100</v>
      </c>
      <c r="O180" s="990"/>
      <c r="R180" s="1">
        <v>1990</v>
      </c>
      <c r="S180" s="8">
        <f>(O74*($E74/365))+(O75*($E75/365))</f>
        <v>0</v>
      </c>
      <c r="T180" s="8">
        <f>(P74*($E74/365))+(P75*($E75/365))</f>
        <v>0</v>
      </c>
      <c r="U180" s="8">
        <f>(Q74*($E74/365))+(Q75*($E75/365))</f>
        <v>48.4</v>
      </c>
      <c r="W180" s="14">
        <f t="shared" si="35"/>
        <v>48.4</v>
      </c>
      <c r="X180" s="5"/>
    </row>
    <row r="181" spans="1:24" ht="9" customHeight="1">
      <c r="A181" s="1">
        <v>1991</v>
      </c>
      <c r="B181" s="8">
        <f>(K76*($E76/365))+(K77*($E77/365))</f>
        <v>0</v>
      </c>
      <c r="C181" s="8">
        <f>(L76*($E76/365))+(L77*($E77/365))</f>
        <v>0</v>
      </c>
      <c r="D181" s="8">
        <f>(M76*($E76/365))+(M77*($E77/365))</f>
        <v>79.493150684931507</v>
      </c>
      <c r="E181" s="39">
        <f t="shared" si="36"/>
        <v>79.493150684931507</v>
      </c>
      <c r="G181" s="1">
        <v>1991</v>
      </c>
      <c r="H181" s="958">
        <f>(O76/$R76*100*($E76/365))+(O77/$R77*100*($E77/365))</f>
        <v>0</v>
      </c>
      <c r="I181" s="958"/>
      <c r="J181" s="958">
        <f>(P76/$R76*100*($E76/365))+(P77/$R77*100*($E77/365))</f>
        <v>0</v>
      </c>
      <c r="K181" s="958"/>
      <c r="L181" s="958">
        <f>(Q76/$R76*100*($E76/365))+(Q77/$R77*100*($E77/365))</f>
        <v>100</v>
      </c>
      <c r="M181" s="958"/>
      <c r="N181" s="990">
        <f t="shared" si="37"/>
        <v>100</v>
      </c>
      <c r="O181" s="990"/>
      <c r="R181" s="1">
        <v>1991</v>
      </c>
      <c r="S181" s="8">
        <f>(O76*($E76/365))+(O77*($E77/365))</f>
        <v>0</v>
      </c>
      <c r="T181" s="8">
        <f>(P76*($E76/365))+(P77*($E77/365))</f>
        <v>0</v>
      </c>
      <c r="U181" s="8">
        <f>(Q76*($E76/365))+(Q77*($E77/365))</f>
        <v>48.399999999999991</v>
      </c>
      <c r="W181" s="14">
        <f t="shared" si="35"/>
        <v>48.399999999999991</v>
      </c>
      <c r="X181" s="5"/>
    </row>
    <row r="182" spans="1:24" ht="9" customHeight="1">
      <c r="A182" s="1">
        <v>1992</v>
      </c>
      <c r="B182" s="8">
        <f>(K78*($E78/366))+(K79*($E79/366))</f>
        <v>0</v>
      </c>
      <c r="C182" s="8">
        <f>(L78*($E78/366))+(L79*($E79/366))</f>
        <v>0</v>
      </c>
      <c r="D182" s="8">
        <f>(M78*($E78/366))+(M79*($E79/366))</f>
        <v>76.820481683869673</v>
      </c>
      <c r="E182" s="39">
        <f t="shared" si="36"/>
        <v>76.820481683869673</v>
      </c>
      <c r="G182" s="1">
        <v>1992</v>
      </c>
      <c r="H182" s="958">
        <f>(O78/$R78*100*($E78/366))+(O79/$R79*100*($E79/366))</f>
        <v>0</v>
      </c>
      <c r="I182" s="958"/>
      <c r="J182" s="958">
        <f>(P78/$R78*100*($E78/366))+(P79/$R79*100*($E79/366))</f>
        <v>0</v>
      </c>
      <c r="K182" s="958"/>
      <c r="L182" s="958">
        <f>(Q78/$R78*100*($E78/366))+(Q79/$R79*100*($E79/366))</f>
        <v>100.00000000000001</v>
      </c>
      <c r="M182" s="958"/>
      <c r="N182" s="990">
        <f t="shared" si="37"/>
        <v>100.00000000000001</v>
      </c>
      <c r="O182" s="990"/>
      <c r="R182" s="1">
        <v>1992</v>
      </c>
      <c r="S182" s="8">
        <f>(O78*($E78/366))+(O79*($E79/366))</f>
        <v>0</v>
      </c>
      <c r="T182" s="8">
        <f>(P78*($E78/366))+(P79*($E79/366))</f>
        <v>0</v>
      </c>
      <c r="U182" s="8">
        <f>(Q78*($E78/366))+(Q79*($E79/366))</f>
        <v>48.400000000000006</v>
      </c>
      <c r="W182" s="14">
        <f t="shared" ref="W182:W202" si="38">SUM(S182:U182)</f>
        <v>48.400000000000006</v>
      </c>
      <c r="X182" s="5"/>
    </row>
    <row r="183" spans="1:24" ht="9" customHeight="1">
      <c r="A183" s="1">
        <v>1993</v>
      </c>
      <c r="B183" s="8">
        <f>(K80*($E80/365))+(K81*($E81/365))</f>
        <v>38.082191780821915</v>
      </c>
      <c r="C183" s="8">
        <f>(L80*($E80/365))+(L81*($E81/365))</f>
        <v>35.543378995433784</v>
      </c>
      <c r="D183" s="8">
        <f>(M80*($E80/365))+(M81*($E81/365))</f>
        <v>17.656012176560122</v>
      </c>
      <c r="E183" s="39">
        <f t="shared" si="36"/>
        <v>91.281582952815825</v>
      </c>
      <c r="G183" s="1">
        <v>1993</v>
      </c>
      <c r="H183" s="958">
        <f>(O80/$R80*100*($E80/365))+(O81/$R81*100*($E81/365))</f>
        <v>41.434169541481062</v>
      </c>
      <c r="I183" s="958"/>
      <c r="J183" s="958">
        <f>(P80/$R80*100*($E80/365))+(P81/$R81*100*($E81/365))</f>
        <v>34.730214020162776</v>
      </c>
      <c r="K183" s="958"/>
      <c r="L183" s="958">
        <f>(Q80/$R80*100*($E80/365))+(Q81/$R81*100*($E81/365))</f>
        <v>23.835616438356162</v>
      </c>
      <c r="M183" s="958"/>
      <c r="N183" s="990">
        <f t="shared" si="37"/>
        <v>100</v>
      </c>
      <c r="O183" s="990"/>
      <c r="R183" s="1">
        <v>1993</v>
      </c>
      <c r="S183" s="8">
        <f>(O80*($E80/365))+(O81*($E81/365))</f>
        <v>33.893150684931506</v>
      </c>
      <c r="T183" s="8">
        <f>(P80*($E80/365))+(P81*($E81/365))</f>
        <v>28.409315068493147</v>
      </c>
      <c r="U183" s="8">
        <f>(Q80*($E80/365))+(Q81*($E81/365))</f>
        <v>11.536438356164384</v>
      </c>
      <c r="W183" s="14">
        <f t="shared" si="38"/>
        <v>73.838904109589038</v>
      </c>
      <c r="X183" s="5"/>
    </row>
    <row r="184" spans="1:24" ht="9" customHeight="1">
      <c r="A184" s="1">
        <v>1994</v>
      </c>
      <c r="B184" s="8">
        <f>(K82*($E82/365))+(K83*($E83/365))</f>
        <v>48.275862068965516</v>
      </c>
      <c r="C184" s="8">
        <f>(L82*($E82/365))+(L83*($E83/365))</f>
        <v>48.275862068965516</v>
      </c>
      <c r="D184" s="8">
        <f>(M82*($E82/365))+(M83*($E83/365))</f>
        <v>0</v>
      </c>
      <c r="E184" s="39">
        <f t="shared" si="36"/>
        <v>96.551724137931032</v>
      </c>
      <c r="G184" s="1">
        <v>1994</v>
      </c>
      <c r="H184" s="958">
        <f>(O82/$R82*100*($E82/365))+(O83/$R83*100*($E83/365))</f>
        <v>54.400977995110026</v>
      </c>
      <c r="I184" s="958"/>
      <c r="J184" s="958">
        <f>(P82/$R82*100*($E82/365))+(P83/$R83*100*($E83/365))</f>
        <v>45.599022004889974</v>
      </c>
      <c r="K184" s="958"/>
      <c r="L184" s="958">
        <f>(Q82/$R82*100*($E82/365))+(Q83/$R83*100*($E83/365))</f>
        <v>0</v>
      </c>
      <c r="M184" s="958"/>
      <c r="N184" s="990">
        <f t="shared" si="37"/>
        <v>100</v>
      </c>
      <c r="O184" s="990"/>
      <c r="R184" s="1">
        <v>1994</v>
      </c>
      <c r="S184" s="8">
        <f>(O82*($E82/365))+(O83*($E83/365))</f>
        <v>44.5</v>
      </c>
      <c r="T184" s="8">
        <f>(P82*($E82/365))+(P83*($E83/365))</f>
        <v>37.299999999999997</v>
      </c>
      <c r="U184" s="8">
        <f>(Q82*($E82/365))+(Q83*($E83/365))</f>
        <v>0</v>
      </c>
      <c r="W184" s="14">
        <f t="shared" si="38"/>
        <v>81.8</v>
      </c>
      <c r="X184" s="5"/>
    </row>
    <row r="185" spans="1:24" ht="9" customHeight="1">
      <c r="A185" s="1">
        <v>1995</v>
      </c>
      <c r="B185" s="8">
        <f>(K84*($E84/365))+(K85*($E85/365))+(K86*($E86/365))</f>
        <v>54.737836561171463</v>
      </c>
      <c r="C185" s="8">
        <f>(L84*($E84/365))+(L85*($E85/365))+(L86*($E86/365))</f>
        <v>41.294284364666979</v>
      </c>
      <c r="D185" s="8">
        <f>(M84*($E84/365))+(M85*($E85/365))+(M86*($E86/365))</f>
        <v>0</v>
      </c>
      <c r="E185" s="39">
        <f t="shared" si="36"/>
        <v>96.032120925838441</v>
      </c>
      <c r="G185" s="1">
        <v>1995</v>
      </c>
      <c r="H185" s="958">
        <f>(O84/$R84*100*($E84/365))+(O85/$R85*100*($E85/365))+(O86/$R86*100*($E86/365))</f>
        <v>54.400977995110026</v>
      </c>
      <c r="I185" s="958"/>
      <c r="J185" s="958">
        <f>(P84/$R84*100*($E84/365))+(P85/$R85*100*($E85/365))+(P86/$R86*100*($E86/365))</f>
        <v>45.599022004889974</v>
      </c>
      <c r="K185" s="958"/>
      <c r="L185" s="958">
        <f>(Q84/$R84*100*($E84/365))+(Q85/$R85*100*($E85/365))+(Q86/$R86*100*($E86/365))</f>
        <v>0</v>
      </c>
      <c r="M185" s="958"/>
      <c r="N185" s="990">
        <f t="shared" si="37"/>
        <v>100</v>
      </c>
      <c r="O185" s="990"/>
      <c r="R185" s="1">
        <v>1995</v>
      </c>
      <c r="S185" s="8">
        <f>(O84*($E84/365))+(O85*($E85/365))+(O86*($E86/365))</f>
        <v>44.500000000000007</v>
      </c>
      <c r="T185" s="8">
        <f>(P84*($E84/365))+(P85*($E85/365))+(P86*($E86/365))</f>
        <v>37.299999999999997</v>
      </c>
      <c r="U185" s="8">
        <f>(Q84*($E84/365))+(Q85*($E85/365))+(Q86*($E86/365))</f>
        <v>0</v>
      </c>
      <c r="W185" s="14">
        <f t="shared" si="38"/>
        <v>81.800000000000011</v>
      </c>
      <c r="X185" s="5"/>
    </row>
    <row r="186" spans="1:24" ht="9" customHeight="1">
      <c r="A186" s="1">
        <v>1996</v>
      </c>
      <c r="B186" s="8">
        <f>(K87*($E87/366))+(K88*($E88/366))</f>
        <v>58.620689655172406</v>
      </c>
      <c r="C186" s="8">
        <f>(L87*($E87/366))+(L88*($E88/366))</f>
        <v>34.482758620689658</v>
      </c>
      <c r="D186" s="8">
        <f>(M87*($E87/366))+(M88*($E88/366))</f>
        <v>0</v>
      </c>
      <c r="E186" s="39">
        <f t="shared" si="36"/>
        <v>93.103448275862064</v>
      </c>
      <c r="G186" s="1">
        <v>1996</v>
      </c>
      <c r="H186" s="958">
        <f>(O87/$R87*100*($E87/366))+(O88/$R88*100*($E88/366))</f>
        <v>54.400977995110026</v>
      </c>
      <c r="I186" s="958"/>
      <c r="J186" s="958">
        <f>(P87/$R87*100*($E87/366))+(P88/$R88*100*($E88/366))</f>
        <v>45.599022004889974</v>
      </c>
      <c r="K186" s="958"/>
      <c r="L186" s="958">
        <f>(Q87/$R87*100*($E87/366))+(Q88/$R88*100*($E88/366))</f>
        <v>0</v>
      </c>
      <c r="M186" s="958"/>
      <c r="N186" s="990">
        <f t="shared" si="37"/>
        <v>100</v>
      </c>
      <c r="O186" s="990"/>
      <c r="R186" s="1">
        <v>1996</v>
      </c>
      <c r="S186" s="8">
        <f>(O87*($E87/366))+(O88*($E88/366))</f>
        <v>44.5</v>
      </c>
      <c r="T186" s="8">
        <f>(P87*($E87/366))+(P88*($E88/366))</f>
        <v>37.299999999999997</v>
      </c>
      <c r="U186" s="8">
        <f>(Q87*($E87/366))+(Q88*($E88/366))</f>
        <v>0</v>
      </c>
      <c r="W186" s="14">
        <f t="shared" si="38"/>
        <v>81.8</v>
      </c>
      <c r="X186" s="5"/>
    </row>
    <row r="187" spans="1:24" ht="9" customHeight="1">
      <c r="A187" s="1">
        <v>1997</v>
      </c>
      <c r="B187" s="8">
        <f>(K89*($E89/365))+(K90*($E90/365))</f>
        <v>24.733112895606986</v>
      </c>
      <c r="C187" s="8">
        <f>(L89*($E89/365))+(L90*($E90/365))</f>
        <v>14.548889938592348</v>
      </c>
      <c r="D187" s="8">
        <f>(M89*($E89/365))+(M90*($E90/365))</f>
        <v>57.80821917808219</v>
      </c>
      <c r="E187" s="39">
        <f t="shared" si="36"/>
        <v>97.090222012281515</v>
      </c>
      <c r="G187" s="1">
        <v>1997</v>
      </c>
      <c r="H187" s="958">
        <f>(O89/$R89*100*($E89/365))+(O90/$R90*100*($E90/365))</f>
        <v>22.952741400676558</v>
      </c>
      <c r="I187" s="958"/>
      <c r="J187" s="958">
        <f>(P89/$R89*100*($E89/365))+(P90/$R90*100*($E90/365))</f>
        <v>19.239039421241248</v>
      </c>
      <c r="K187" s="958"/>
      <c r="L187" s="958">
        <f>(Q89/$R89*100*($E89/365))+(Q90/$R90*100*($E90/365))</f>
        <v>57.80821917808219</v>
      </c>
      <c r="M187" s="958"/>
      <c r="N187" s="990">
        <f t="shared" si="37"/>
        <v>100</v>
      </c>
      <c r="O187" s="990"/>
      <c r="R187" s="1">
        <v>1997</v>
      </c>
      <c r="S187" s="8">
        <f>(O89*($E89/365))+(O90*($E90/365))</f>
        <v>18.775342465753425</v>
      </c>
      <c r="T187" s="8">
        <f>(P89*($E89/365))+(P90*($E90/365))</f>
        <v>15.737534246575342</v>
      </c>
      <c r="U187" s="8">
        <f>(Q89*($E89/365))+(Q90*($E90/365))</f>
        <v>31.100821917808215</v>
      </c>
      <c r="W187" s="14">
        <f t="shared" si="38"/>
        <v>65.61369863013698</v>
      </c>
      <c r="X187" s="5"/>
    </row>
    <row r="188" spans="1:24" ht="9" customHeight="1">
      <c r="A188" s="1">
        <v>1998</v>
      </c>
      <c r="B188" s="8">
        <f>(K91*($E91/365))+(K92*($E92/365))</f>
        <v>0</v>
      </c>
      <c r="C188" s="8">
        <f>(L91*($E91/365))+(L92*($E92/365))</f>
        <v>0</v>
      </c>
      <c r="D188" s="8">
        <f>(M91*($E91/365))+(M92*($E92/365))</f>
        <v>100</v>
      </c>
      <c r="E188" s="39">
        <f t="shared" si="36"/>
        <v>100</v>
      </c>
      <c r="G188" s="1">
        <v>1998</v>
      </c>
      <c r="H188" s="958">
        <f>(O91/$R91*100*($E91/365))+(O92/$R92*100*($E92/365))</f>
        <v>0</v>
      </c>
      <c r="I188" s="958"/>
      <c r="J188" s="958">
        <f>(P91/$R91*100*($E91/365))+(P92/$R92*100*($E92/365))</f>
        <v>0</v>
      </c>
      <c r="K188" s="958"/>
      <c r="L188" s="958">
        <f>(Q91/$R91*100*($E91/365))+(Q92/$R92*100*($E92/365))</f>
        <v>100</v>
      </c>
      <c r="M188" s="958"/>
      <c r="N188" s="990">
        <f t="shared" si="37"/>
        <v>100</v>
      </c>
      <c r="O188" s="990"/>
      <c r="R188" s="1">
        <v>1998</v>
      </c>
      <c r="S188" s="8">
        <f>(O91*($E91/365))+(O92*($E92/365))</f>
        <v>0</v>
      </c>
      <c r="T188" s="8">
        <f>(P91*($E91/365))+(P92*($E92/365))</f>
        <v>0</v>
      </c>
      <c r="U188" s="8">
        <f>(Q91*($E91/365))+(Q92*($E92/365))</f>
        <v>53.8</v>
      </c>
      <c r="W188" s="14">
        <f t="shared" si="38"/>
        <v>53.8</v>
      </c>
      <c r="X188" s="5"/>
    </row>
    <row r="189" spans="1:24" ht="9" customHeight="1">
      <c r="A189" s="1">
        <v>1999</v>
      </c>
      <c r="B189" s="8">
        <f>(K93*($E93/365))+(K94*($E94/365))</f>
        <v>0</v>
      </c>
      <c r="C189" s="8">
        <f>(L93*($E93/365))+(L94*($E94/365))</f>
        <v>0</v>
      </c>
      <c r="D189" s="8">
        <f>(M93*($E93/365))+(M94*($E94/365))</f>
        <v>100</v>
      </c>
      <c r="E189" s="39">
        <f t="shared" si="36"/>
        <v>100</v>
      </c>
      <c r="G189" s="1">
        <v>1999</v>
      </c>
      <c r="H189" s="958">
        <f>(O93/$R93*100*($E93/365))+(O94/$R94*100*($E94/365))</f>
        <v>0</v>
      </c>
      <c r="I189" s="958"/>
      <c r="J189" s="958">
        <f>(P93/$R93*100*($E93/365))+(P94/$R94*100*($E94/365))</f>
        <v>0</v>
      </c>
      <c r="K189" s="958"/>
      <c r="L189" s="958">
        <f>(Q93/$R93*100*($E93/365))+(Q94/$R94*100*($E94/365))</f>
        <v>100</v>
      </c>
      <c r="M189" s="958"/>
      <c r="N189" s="990">
        <f t="shared" si="37"/>
        <v>100</v>
      </c>
      <c r="O189" s="990"/>
      <c r="R189" s="1">
        <v>1999</v>
      </c>
      <c r="S189" s="8">
        <f>(O93*($E93/365))+(O94*($E94/365))</f>
        <v>0</v>
      </c>
      <c r="T189" s="8">
        <f>(P93*($E93/365))+(P94*($E94/365))</f>
        <v>0</v>
      </c>
      <c r="U189" s="8">
        <f>(Q93*($E93/365))+(Q94*($E94/365))</f>
        <v>53.8</v>
      </c>
      <c r="W189" s="14">
        <f t="shared" si="38"/>
        <v>53.8</v>
      </c>
      <c r="X189" s="5"/>
    </row>
    <row r="190" spans="1:24" ht="9" customHeight="1">
      <c r="A190" s="1">
        <v>2000</v>
      </c>
      <c r="B190" s="8">
        <f>(K95*($E95/366))+(K96*($E96/366))</f>
        <v>0</v>
      </c>
      <c r="C190" s="8">
        <f>(L95*($E95/366))+(L96*($E96/366))</f>
        <v>0</v>
      </c>
      <c r="D190" s="8">
        <f>(M95*($E95/366))+(M96*($E96/366))</f>
        <v>100</v>
      </c>
      <c r="E190" s="39">
        <f t="shared" si="36"/>
        <v>100</v>
      </c>
      <c r="G190" s="1">
        <v>2000</v>
      </c>
      <c r="H190" s="958">
        <f>(O95/$R95*100*($E95/366))+(O96/$R96*100*($E96/366))</f>
        <v>0</v>
      </c>
      <c r="I190" s="958"/>
      <c r="J190" s="958">
        <f>(P95/$R95*100*($E95/366))+(P96/$R96*100*($E96/366))</f>
        <v>0</v>
      </c>
      <c r="K190" s="958"/>
      <c r="L190" s="958">
        <f>(Q95/$R95*100*($E95/366))+(Q96/$R96*100*($E96/366))</f>
        <v>100</v>
      </c>
      <c r="M190" s="958"/>
      <c r="N190" s="990">
        <f t="shared" si="37"/>
        <v>100</v>
      </c>
      <c r="O190" s="990"/>
      <c r="R190" s="1">
        <v>2000</v>
      </c>
      <c r="S190" s="8">
        <f>(O95*($E95/366))+(O96*($E96/366))</f>
        <v>0</v>
      </c>
      <c r="T190" s="8">
        <f>(P95*($E95/366))+(P96*($E96/366))</f>
        <v>0</v>
      </c>
      <c r="U190" s="8">
        <f>(Q95*($E95/366))+(Q96*($E96/366))</f>
        <v>53.8</v>
      </c>
      <c r="W190" s="14">
        <f t="shared" si="38"/>
        <v>53.8</v>
      </c>
      <c r="X190" s="5"/>
    </row>
    <row r="191" spans="1:24" ht="9" customHeight="1">
      <c r="A191" s="1">
        <v>2001</v>
      </c>
      <c r="B191" s="8">
        <f>(K97*($E97/365))+(K98*($E98/365))</f>
        <v>0</v>
      </c>
      <c r="C191" s="8">
        <f>(L97*($E97/365))+(L98*($E98/365))</f>
        <v>0</v>
      </c>
      <c r="D191" s="8">
        <f>(M97*($E97/365))+(M98*($E98/365))</f>
        <v>100</v>
      </c>
      <c r="E191" s="39">
        <f t="shared" si="36"/>
        <v>100</v>
      </c>
      <c r="G191" s="1">
        <v>2001</v>
      </c>
      <c r="H191" s="958">
        <f>(O97/$R97*100*($E97/365))+(O98/$R98*100*($E98/365))</f>
        <v>0</v>
      </c>
      <c r="I191" s="958"/>
      <c r="J191" s="958">
        <f>(P97/$R97*100*($E97/365))+(P98/$R98*100*($E98/365))</f>
        <v>0</v>
      </c>
      <c r="K191" s="958"/>
      <c r="L191" s="958">
        <f>(Q97/$R97*100*($E97/365))+(Q98/$R98*100*($E98/365))</f>
        <v>100</v>
      </c>
      <c r="M191" s="958"/>
      <c r="N191" s="990">
        <f t="shared" si="37"/>
        <v>100</v>
      </c>
      <c r="O191" s="990"/>
      <c r="R191" s="1">
        <v>2001</v>
      </c>
      <c r="S191" s="8">
        <f>(O97*($E97/365))+(O98*($E98/365))</f>
        <v>0</v>
      </c>
      <c r="T191" s="8">
        <f>(P97*($E97/365))+(P98*($E98/365))</f>
        <v>0</v>
      </c>
      <c r="U191" s="8">
        <f>(Q97*($E97/365))+(Q98*($E98/365))</f>
        <v>53.8</v>
      </c>
      <c r="W191" s="14">
        <f t="shared" si="38"/>
        <v>53.8</v>
      </c>
      <c r="X191" s="5"/>
    </row>
    <row r="192" spans="1:24" ht="9" customHeight="1">
      <c r="A192" s="1">
        <v>2002</v>
      </c>
      <c r="B192" s="8">
        <f>(K99*($E99/365))+(K100*($E100/365))+(K101*($E101/365))</f>
        <v>43.831465338314651</v>
      </c>
      <c r="C192" s="8">
        <f>(L99*($E99/365))+(L100*($E100/365))+(L101*($E101/365))</f>
        <v>5.0486601171532675</v>
      </c>
      <c r="D192" s="8">
        <f>(M99*($E99/365))+(M100*($E100/365))+(M101*($E101/365))</f>
        <v>34.520547945205479</v>
      </c>
      <c r="E192" s="39">
        <f t="shared" si="36"/>
        <v>83.400673400673398</v>
      </c>
      <c r="G192" s="1">
        <v>2002</v>
      </c>
      <c r="H192" s="958">
        <f>(O99/$R99*100*($E99/365))+(O100/$R100*100*($E100/365))+(O101/$R101*100*($E101/365))</f>
        <v>56.370284201448086</v>
      </c>
      <c r="I192" s="958"/>
      <c r="J192" s="958">
        <f>(P99/$R99*100*($E99/365))+(P100/$R100*100*($E100/365))+(P101/$R101*100*($E101/365))</f>
        <v>9.1091678533464364</v>
      </c>
      <c r="K192" s="958"/>
      <c r="L192" s="958">
        <f>(Q99/$R99*100*($E99/365))+(Q100/$R100*100*($E100/365))+(Q101/$R101*100*($E101/365))</f>
        <v>34.520547945205479</v>
      </c>
      <c r="M192" s="958"/>
      <c r="N192" s="990">
        <f t="shared" si="37"/>
        <v>100</v>
      </c>
      <c r="O192" s="990"/>
      <c r="R192" s="1">
        <v>2002</v>
      </c>
      <c r="S192" s="8">
        <f>(O99*($E99/365))+(O100*($E100/365))+(O101*($E101/365))</f>
        <v>36.83041095890411</v>
      </c>
      <c r="T192" s="8">
        <f>(P99*($E99/365))+(P100*($E100/365))+(P101*($E101/365))</f>
        <v>4.9115068493150691</v>
      </c>
      <c r="U192" s="8">
        <f>(Q99*($E99/365))+(Q100*($E100/365))+(Q101*($E101/365))</f>
        <v>18.572054794520547</v>
      </c>
      <c r="W192" s="14">
        <f t="shared" si="38"/>
        <v>60.313972602739724</v>
      </c>
      <c r="X192" s="5"/>
    </row>
    <row r="193" spans="1:24" ht="9" customHeight="1">
      <c r="A193" s="1">
        <v>2003</v>
      </c>
      <c r="B193" s="8">
        <f>(K102*($E102/365))+(K103*($E103/365))</f>
        <v>66.666666666666657</v>
      </c>
      <c r="C193" s="8">
        <f>(L102*($E102/365))+(L103*($E103/365))</f>
        <v>7.4074074074074066</v>
      </c>
      <c r="D193" s="8">
        <f>(M102*($E102/365))+(M103*($E103/365))</f>
        <v>0</v>
      </c>
      <c r="E193" s="39">
        <f t="shared" si="36"/>
        <v>74.074074074074062</v>
      </c>
      <c r="G193" s="1">
        <v>2003</v>
      </c>
      <c r="H193" s="958">
        <f>(O102/$R102*100*($E102/365))+(O103/$R103*100*($E103/365))</f>
        <v>92.679355783308921</v>
      </c>
      <c r="I193" s="958"/>
      <c r="J193" s="958">
        <f>(P102/$R102*100*($E102/365))+(P103/$R103*100*($E103/365))</f>
        <v>7.3206442166910692</v>
      </c>
      <c r="K193" s="958"/>
      <c r="L193" s="958">
        <f>(Q102/$R102*100*($E102/365))+(Q103/$R103*100*($E103/365))</f>
        <v>0</v>
      </c>
      <c r="M193" s="958"/>
      <c r="N193" s="990">
        <f t="shared" si="37"/>
        <v>99.999999999999986</v>
      </c>
      <c r="O193" s="990"/>
      <c r="R193" s="1">
        <v>2003</v>
      </c>
      <c r="S193" s="8">
        <f>(O102*($E102/365))+(O103*($E103/365))</f>
        <v>63.3</v>
      </c>
      <c r="T193" s="8">
        <f>(P102*($E102/365))+(P103*($E103/365))</f>
        <v>5</v>
      </c>
      <c r="U193" s="8">
        <f>(Q102*($E102/365))+(Q103*($E103/365))</f>
        <v>0</v>
      </c>
      <c r="W193" s="14">
        <f t="shared" si="38"/>
        <v>68.3</v>
      </c>
      <c r="X193" s="5"/>
    </row>
    <row r="194" spans="1:24" ht="9" customHeight="1">
      <c r="A194" s="1">
        <v>2004</v>
      </c>
      <c r="B194" s="8">
        <f>(K104*($E104/366))+(K105*($E105/366))</f>
        <v>86.938127974616592</v>
      </c>
      <c r="C194" s="8">
        <f>(L104*($E104/366))+(L105*($E105/366))</f>
        <v>4.2540689817263049</v>
      </c>
      <c r="D194" s="8">
        <f>(M104*($E104/366))+(M105*($E105/366))</f>
        <v>0</v>
      </c>
      <c r="E194" s="39">
        <f t="shared" si="36"/>
        <v>91.192196956342897</v>
      </c>
      <c r="G194" s="1">
        <v>2004</v>
      </c>
      <c r="H194" s="958">
        <f>(O104/$R104*100*($E104/366))+(O105/$R105*100*($E105/366))</f>
        <v>92.679355783308921</v>
      </c>
      <c r="I194" s="958"/>
      <c r="J194" s="958">
        <f>(P104/$R104*100*($E104/366))+(P105/$R105*100*($E105/366))</f>
        <v>7.3206442166910684</v>
      </c>
      <c r="K194" s="958"/>
      <c r="L194" s="958">
        <f>(Q104/$R104*100*($E104/366))+(Q105/$R105*100*($E105/366))</f>
        <v>0</v>
      </c>
      <c r="M194" s="958"/>
      <c r="N194" s="990">
        <f t="shared" si="37"/>
        <v>99.999999999999986</v>
      </c>
      <c r="O194" s="990"/>
      <c r="R194" s="1">
        <v>2004</v>
      </c>
      <c r="S194" s="8">
        <f>(O104*($E104/366))+(O105*($E105/366))</f>
        <v>63.3</v>
      </c>
      <c r="T194" s="8">
        <f>(P104*($E104/366))+(P105*($E105/366))</f>
        <v>5</v>
      </c>
      <c r="U194" s="8">
        <f>(Q104*($E104/366))+(Q105*($E105/366))</f>
        <v>0</v>
      </c>
      <c r="W194" s="14">
        <f t="shared" si="38"/>
        <v>68.3</v>
      </c>
      <c r="X194" s="5"/>
    </row>
    <row r="195" spans="1:24" ht="9" customHeight="1">
      <c r="A195" s="1">
        <v>2005</v>
      </c>
      <c r="B195" s="8">
        <f>(K106*($E106/365))+(K107*($E107/365))</f>
        <v>89.748121961997342</v>
      </c>
      <c r="C195" s="8">
        <f>(L106*($E106/365))+(L107*($E107/365))</f>
        <v>3.225806451612903</v>
      </c>
      <c r="D195" s="8">
        <f>(M106*($E106/365))+(M107*($E107/365))</f>
        <v>0</v>
      </c>
      <c r="E195" s="39">
        <f t="shared" si="36"/>
        <v>92.973928413610238</v>
      </c>
      <c r="G195" s="1">
        <v>2005</v>
      </c>
      <c r="H195" s="958">
        <f>(O106/$R106*100*($E106/365))+(O107/$R107*100*($E107/365))</f>
        <v>92.679355783308921</v>
      </c>
      <c r="I195" s="958"/>
      <c r="J195" s="958">
        <f>(P106/$R106*100*($E106/365))+(P107/$R107*100*($E107/365))</f>
        <v>7.3206442166910701</v>
      </c>
      <c r="K195" s="958"/>
      <c r="L195" s="958">
        <f>(Q106/$R106*100*($E106/365))+(Q107/$R107*100*($E107/365))</f>
        <v>0</v>
      </c>
      <c r="M195" s="958"/>
      <c r="N195" s="990">
        <f t="shared" si="37"/>
        <v>99.999999999999986</v>
      </c>
      <c r="O195" s="990"/>
      <c r="R195" s="1">
        <v>2005</v>
      </c>
      <c r="S195" s="8">
        <f>(O106*($E106/365))+(O107*($E107/365))</f>
        <v>63.3</v>
      </c>
      <c r="T195" s="8">
        <f>(P106*($E106/365))+(P107*($E107/365))</f>
        <v>5</v>
      </c>
      <c r="U195" s="8">
        <f>(Q106*($E106/365))+(Q107*($E107/365))</f>
        <v>0</v>
      </c>
      <c r="W195" s="14">
        <f t="shared" si="38"/>
        <v>68.3</v>
      </c>
      <c r="X195" s="5"/>
    </row>
    <row r="196" spans="1:24" ht="9" customHeight="1">
      <c r="A196" s="1">
        <v>2006</v>
      </c>
      <c r="B196" s="8">
        <f>(K108*($E108/365))+(K109*($E109/365))</f>
        <v>87.096774193548384</v>
      </c>
      <c r="C196" s="8">
        <f>(L108*($E108/365))+(L109*($E109/365))</f>
        <v>3.225806451612903</v>
      </c>
      <c r="D196" s="8">
        <f>(M108*($E108/365))+(M109*($E109/365))</f>
        <v>0</v>
      </c>
      <c r="E196" s="39">
        <f t="shared" si="36"/>
        <v>90.322580645161281</v>
      </c>
      <c r="G196" s="1">
        <v>2006</v>
      </c>
      <c r="H196" s="958">
        <f>(O108/$R108*100*($E108/365))+(O109/$R109*100*($E109/365))</f>
        <v>92.679355783308921</v>
      </c>
      <c r="I196" s="958"/>
      <c r="J196" s="958">
        <f>(P108/$R108*100*($E108/365))+(P109/$R109*100*($E109/365))</f>
        <v>7.3206442166910692</v>
      </c>
      <c r="K196" s="958"/>
      <c r="L196" s="958">
        <f>(Q108/$R108*100*($E108/365))+(Q109/$R109*100*($E109/365))</f>
        <v>0</v>
      </c>
      <c r="M196" s="958"/>
      <c r="N196" s="990">
        <f t="shared" si="37"/>
        <v>99.999999999999986</v>
      </c>
      <c r="O196" s="990"/>
      <c r="R196" s="1">
        <v>2006</v>
      </c>
      <c r="S196" s="8">
        <f>(O108*($E108/365))+(O109*($E109/365))</f>
        <v>63.3</v>
      </c>
      <c r="T196" s="8">
        <f>(P108*($E108/365))+(P109*($E109/365))</f>
        <v>5</v>
      </c>
      <c r="U196" s="8">
        <f>(Q108*($E108/365))+(Q109*($E109/365))</f>
        <v>0</v>
      </c>
      <c r="W196" s="14">
        <f t="shared" si="38"/>
        <v>68.3</v>
      </c>
      <c r="X196" s="5"/>
    </row>
    <row r="197" spans="1:24" ht="9" customHeight="1">
      <c r="A197" s="1">
        <v>2007</v>
      </c>
      <c r="B197" s="8">
        <f>(K110*($E110/365))+(K111*($E111/365))+(K112*($E112/365))</f>
        <v>79.540433053468846</v>
      </c>
      <c r="C197" s="8">
        <f>(L110*($E110/365))+(L111*($E111/365))+(L112*($E112/365))</f>
        <v>5.1148917366327886</v>
      </c>
      <c r="D197" s="8">
        <f>(M110*($E110/365))+(M111*($E111/365))+(M112*($E112/365))</f>
        <v>0</v>
      </c>
      <c r="E197" s="39">
        <f t="shared" si="36"/>
        <v>84.655324790101631</v>
      </c>
      <c r="G197" s="1">
        <v>2007</v>
      </c>
      <c r="H197" s="958">
        <f>(O110/$R110*100*($E110/365))+(O111/$R111*100*($E111/365))+(O112/$R112*100*($E112/365))</f>
        <v>93.727988921851164</v>
      </c>
      <c r="I197" s="958"/>
      <c r="J197" s="958">
        <f>(P110/$R110*100*($E110/365))+(P111/$R111*100*($E111/365))+(P112/$R112*100*($E112/365))</f>
        <v>6.272011078148843</v>
      </c>
      <c r="K197" s="958"/>
      <c r="L197" s="958">
        <f>(Q110/$R110*100*($E110/365))+(Q111/$R111*100*($E111/365))+(Q112/$R112*100*($E112/365))</f>
        <v>0</v>
      </c>
      <c r="M197" s="958"/>
      <c r="N197" s="990">
        <f t="shared" si="37"/>
        <v>100</v>
      </c>
      <c r="O197" s="990"/>
      <c r="R197" s="1">
        <v>2007</v>
      </c>
      <c r="S197" s="8">
        <f>(O110*($E110/365))+(O111*($E111/365))+(O112*($E112/365))</f>
        <v>58.359726027397265</v>
      </c>
      <c r="T197" s="8">
        <f>(P110*($E110/365))+(P111*($E111/365))+(P112*($E112/365))</f>
        <v>3.9172602739726026</v>
      </c>
      <c r="U197" s="8">
        <f>(Q110*($E110/365))+(Q111*($E111/365))+(Q112*($E112/365))</f>
        <v>0</v>
      </c>
      <c r="W197" s="14">
        <f t="shared" si="38"/>
        <v>62.276986301369867</v>
      </c>
      <c r="X197" s="5"/>
    </row>
    <row r="198" spans="1:24" ht="9" customHeight="1">
      <c r="A198" s="1">
        <v>2008</v>
      </c>
      <c r="B198" s="8">
        <f>(K113*($E113/366))+(K114*($E114/366))</f>
        <v>75</v>
      </c>
      <c r="C198" s="8">
        <f>(L113*($E113/366))+(L114*($E114/366))</f>
        <v>6.25</v>
      </c>
      <c r="D198" s="8">
        <f>(M113*($E113/366))+(M114*($E114/366))</f>
        <v>0</v>
      </c>
      <c r="E198" s="39">
        <f t="shared" si="36"/>
        <v>81.25</v>
      </c>
      <c r="G198" s="1">
        <v>2008</v>
      </c>
      <c r="H198" s="958">
        <f>(O113/$R113*100*($E113/366))+(O114/$R114*100*($E114/366))</f>
        <v>93.436960276338525</v>
      </c>
      <c r="I198" s="958"/>
      <c r="J198" s="958">
        <f>(P113/$R113*100*($E113/366))+(P114/$R114*100*($E114/366))</f>
        <v>6.5630397236614844</v>
      </c>
      <c r="K198" s="958"/>
      <c r="L198" s="958">
        <f>(Q113/$R113*100*($E113/366))+(Q114/$R114*100*($E114/366))</f>
        <v>0</v>
      </c>
      <c r="M198" s="958"/>
      <c r="N198" s="990">
        <f t="shared" si="37"/>
        <v>100.00000000000001</v>
      </c>
      <c r="O198" s="990"/>
      <c r="R198" s="1">
        <v>2008</v>
      </c>
      <c r="S198" s="8">
        <f>(O113*($E113/366))+(O114*($E114/366))</f>
        <v>54.1</v>
      </c>
      <c r="T198" s="8">
        <f>(P113*($E113/366))+(P114*($E114/366))</f>
        <v>3.8</v>
      </c>
      <c r="U198" s="8">
        <f>(Q113*($E113/366))+(Q114*($E114/366))</f>
        <v>0</v>
      </c>
      <c r="W198" s="14">
        <f t="shared" si="38"/>
        <v>57.9</v>
      </c>
      <c r="X198" s="5"/>
    </row>
    <row r="199" spans="1:24" ht="9" customHeight="1">
      <c r="A199" s="1">
        <v>2009</v>
      </c>
      <c r="B199" s="8">
        <f>(K115*($E115/365))+(K116*($E116/365))+(K117*($E117/365))</f>
        <v>82.841935620679408</v>
      </c>
      <c r="C199" s="8">
        <f>(L115*($E115/365))+(L116*($E116/365))+(L117*($E117/365))</f>
        <v>5.5707409135247454</v>
      </c>
      <c r="D199" s="8">
        <f>(M115*($E115/365))+(M116*($E116/365))+(M117*($E117/365))</f>
        <v>0</v>
      </c>
      <c r="E199" s="39">
        <f t="shared" si="36"/>
        <v>88.412676534204152</v>
      </c>
      <c r="G199" s="1">
        <v>2009</v>
      </c>
      <c r="H199" s="958">
        <f>(O115/$R115*100*($E115/365))+(O116/$R116*100*($E116/365))+(O117/$R117*100*($E117/365))</f>
        <v>93.43696027633851</v>
      </c>
      <c r="I199" s="958"/>
      <c r="J199" s="958">
        <f>(P115/$R115*100*($E115/365))+(P116/$R116*100*($E116/365))+(P117/$R117*100*($E117/365))</f>
        <v>6.5630397236614844</v>
      </c>
      <c r="K199" s="958"/>
      <c r="L199" s="958">
        <f>(Q115/$R115*100*($E115/365))+(Q116/$R116*100*($E116/365))+(Q117/$R117*100*($E117/365))</f>
        <v>0</v>
      </c>
      <c r="M199" s="958"/>
      <c r="N199" s="990">
        <f t="shared" si="37"/>
        <v>100</v>
      </c>
      <c r="O199" s="990"/>
      <c r="R199" s="1">
        <v>2009</v>
      </c>
      <c r="S199" s="8">
        <f>(O115*($E115/365))+(O116*($E116/365))+(O117*($E117/365))</f>
        <v>54.099999999999994</v>
      </c>
      <c r="T199" s="8">
        <f>(P115*($E115/365))+(P116*($E116/365))+(P117*($E117/365))</f>
        <v>3.8</v>
      </c>
      <c r="U199" s="8">
        <f>(Q115*($E115/365))+(Q116*($E116/365))+(Q117*($E117/365))</f>
        <v>0</v>
      </c>
      <c r="W199" s="14">
        <f t="shared" si="38"/>
        <v>57.899999999999991</v>
      </c>
      <c r="X199" s="5"/>
    </row>
    <row r="200" spans="1:24" ht="9" customHeight="1">
      <c r="A200" s="1">
        <v>2010</v>
      </c>
      <c r="B200" s="8">
        <f>(K118*($E118/365))+(K119*($E119/365))</f>
        <v>81.144164759725399</v>
      </c>
      <c r="C200" s="8">
        <f>(L118*($E118/365))+(L119*($E119/365))</f>
        <v>4.5710165825522706</v>
      </c>
      <c r="D200" s="8">
        <f>(M118*($E118/365))+(M119*($E119/365))</f>
        <v>0</v>
      </c>
      <c r="E200" s="39">
        <f t="shared" si="36"/>
        <v>85.715181342277674</v>
      </c>
      <c r="G200" s="1">
        <v>2010</v>
      </c>
      <c r="H200" s="958">
        <f>(O118/$R118*100*($E118/365))+(O119/$R119*100*($E119/365))</f>
        <v>94.300044952326871</v>
      </c>
      <c r="I200" s="958"/>
      <c r="J200" s="958">
        <f>(P118/$R118*100*($E118/365))+(P119/$R119*100*($E119/365))</f>
        <v>5.6999550476731251</v>
      </c>
      <c r="K200" s="958"/>
      <c r="L200" s="958">
        <f>(Q118/$R118*100*($E118/365))+(Q119/$R119*100*($E119/365))</f>
        <v>0</v>
      </c>
      <c r="M200" s="958"/>
      <c r="N200" s="990">
        <f t="shared" si="37"/>
        <v>100</v>
      </c>
      <c r="O200" s="990"/>
      <c r="R200" s="1">
        <v>2010</v>
      </c>
      <c r="S200" s="8">
        <f>(O118*($E118/365))+(O119*($E119/365))</f>
        <v>54.1</v>
      </c>
      <c r="T200" s="8">
        <f>(P118*($E118/365))+(P119*($E119/365))</f>
        <v>3.3002739726027395</v>
      </c>
      <c r="U200" s="8">
        <f>(Q118*($E118/365))+(Q119*($E119/365))</f>
        <v>0</v>
      </c>
      <c r="W200" s="14">
        <f t="shared" si="38"/>
        <v>57.40027397260274</v>
      </c>
      <c r="X200" s="5"/>
    </row>
    <row r="201" spans="1:24" ht="9" customHeight="1">
      <c r="A201" s="1">
        <v>2011</v>
      </c>
      <c r="B201" s="8">
        <f>(K120*($E120/365))+(K121*($E121/365))</f>
        <v>95.652173913043484</v>
      </c>
      <c r="C201" s="8">
        <f>(L120*($E120/365))+(L121*($E121/365))</f>
        <v>0</v>
      </c>
      <c r="D201" s="8">
        <f>(M120*($E120/365))+(M121*($E121/365))</f>
        <v>0</v>
      </c>
      <c r="E201" s="39">
        <f t="shared" si="36"/>
        <v>95.652173913043484</v>
      </c>
      <c r="G201" s="1">
        <v>2011</v>
      </c>
      <c r="H201" s="958">
        <f>(O120/$R120*100*($E120/365))+(O121/$R121*100*($E121/365))</f>
        <v>100</v>
      </c>
      <c r="I201" s="958"/>
      <c r="J201" s="958">
        <f>(P120/$R120*100*($E120/365))+(P121/$R121*100*($E121/365))</f>
        <v>0</v>
      </c>
      <c r="K201" s="958"/>
      <c r="L201" s="958">
        <f>(Q120/$R120*100*($E120/365))+(Q121/$R121*100*($E121/365))</f>
        <v>0</v>
      </c>
      <c r="M201" s="958"/>
      <c r="N201" s="990">
        <f t="shared" si="37"/>
        <v>100</v>
      </c>
      <c r="O201" s="990"/>
      <c r="R201" s="1">
        <v>2011</v>
      </c>
      <c r="S201" s="8">
        <f>(O120*($E120/365))+(O121*($E121/365))</f>
        <v>54.1</v>
      </c>
      <c r="T201" s="8">
        <f>(P120*($E120/365))+(P121*($E121/365))</f>
        <v>0</v>
      </c>
      <c r="U201" s="8">
        <f>(Q120*($E120/365))+(Q121*($E121/365))</f>
        <v>0</v>
      </c>
      <c r="W201" s="14">
        <f t="shared" si="38"/>
        <v>54.1</v>
      </c>
      <c r="X201" s="5"/>
    </row>
    <row r="202" spans="1:24" ht="9" customHeight="1">
      <c r="A202" s="1">
        <v>2012</v>
      </c>
      <c r="B202" s="8">
        <f>(K122*($E122/366))+(K123*($E123/366))+(K124*($E124/366))</f>
        <v>35.542884295557144</v>
      </c>
      <c r="C202" s="8">
        <f>(L122*($E122/366))+(L123*($E123/366))+(L124*($E124/366))</f>
        <v>0</v>
      </c>
      <c r="D202" s="8">
        <f>(M122*($E122/366))+(M123*($E123/366))+(M124*($E124/366))</f>
        <v>62.841530054644814</v>
      </c>
      <c r="E202" s="39">
        <f t="shared" si="36"/>
        <v>98.384414350201951</v>
      </c>
      <c r="G202" s="1">
        <v>2012</v>
      </c>
      <c r="H202" s="958">
        <f>(O122/$R122*100*($E122/366))+(O123/$R123*100*($E123/366))+(O124/$R124*100*($E124/366))</f>
        <v>37.158469945355193</v>
      </c>
      <c r="I202" s="958"/>
      <c r="J202" s="958">
        <f>(P122/$R122*100*($E122/366))+(P123/$R123*100*($E123/366))+(P124/$R124*100*($E124/366))</f>
        <v>0</v>
      </c>
      <c r="K202" s="958"/>
      <c r="L202" s="958">
        <f>(Q122/$R122*100*($E122/366))+(Q123/$R123*100*($E123/366))+(Q124/$R124*100*($E124/366))</f>
        <v>62.841530054644814</v>
      </c>
      <c r="M202" s="958"/>
      <c r="N202" s="990">
        <f t="shared" ref="N202:N207" si="39">SUM(H202:M202)</f>
        <v>100</v>
      </c>
      <c r="O202" s="990"/>
      <c r="R202" s="1">
        <v>2012</v>
      </c>
      <c r="S202" s="8">
        <f>(O122*($E122/366))+(O123*($E123/366))+(O124*($E124/366))</f>
        <v>20.10273224043716</v>
      </c>
      <c r="T202" s="8">
        <f>(P122*($E122/366))+(P123*($E123/366))+(P124*($E124/366))</f>
        <v>0</v>
      </c>
      <c r="U202" s="8">
        <f>(Q122*($E122/366))+(Q123*($E123/366))+(Q124*($E124/366))</f>
        <v>32.168579234972682</v>
      </c>
      <c r="W202" s="14">
        <f t="shared" si="38"/>
        <v>52.271311475409846</v>
      </c>
      <c r="X202" s="5"/>
    </row>
    <row r="203" spans="1:24">
      <c r="A203" s="1">
        <v>2013</v>
      </c>
      <c r="B203" s="8">
        <f>(K125*($E125/365))+(K126*($E126/365))</f>
        <v>0</v>
      </c>
      <c r="C203" s="8">
        <f>(L125*($E125/365))+(L126*($E126/365))</f>
        <v>0</v>
      </c>
      <c r="D203" s="8">
        <f>(M125*($E125/365))+(M126*($E126/365))</f>
        <v>100</v>
      </c>
      <c r="E203" s="296">
        <f t="shared" si="36"/>
        <v>100</v>
      </c>
      <c r="G203" s="1">
        <v>2013</v>
      </c>
      <c r="H203" s="958">
        <f>(O125/$R125*100*($E125/365))+(O126/$R126*100*($E126/365))</f>
        <v>0</v>
      </c>
      <c r="I203" s="958"/>
      <c r="J203" s="958">
        <f>(P125/$R125*100*($E125/365))+(P126/$R126*100*($E126/365))</f>
        <v>0</v>
      </c>
      <c r="K203" s="958"/>
      <c r="L203" s="958">
        <f>(Q125/$R125*100*($E125/365))+(Q126/$R126*100*($E126/365))</f>
        <v>100</v>
      </c>
      <c r="M203" s="958"/>
      <c r="N203" s="990">
        <f t="shared" si="39"/>
        <v>100</v>
      </c>
      <c r="O203" s="990"/>
      <c r="R203" s="1">
        <v>2013</v>
      </c>
      <c r="S203" s="8">
        <f>(O125*($E125/365))+(O126*($E126/365))</f>
        <v>0</v>
      </c>
      <c r="T203" s="8">
        <f>(P125*($E125/365))+(P126*($E126/365))</f>
        <v>0</v>
      </c>
      <c r="U203" s="8">
        <f>(Q125*($E125/365))+(Q126*($E126/365))</f>
        <v>53.5</v>
      </c>
      <c r="W203" s="14">
        <f>SUM(S203:U203)</f>
        <v>53.5</v>
      </c>
    </row>
    <row r="204" spans="1:24">
      <c r="A204" s="1">
        <v>2014</v>
      </c>
      <c r="B204" s="8">
        <f>(K127*($E127/365))+(K128*($E128/365))+(K129*($E129/365))</f>
        <v>0</v>
      </c>
      <c r="C204" s="8">
        <f>(L127*($E127/365))+(L128*($E128/365))+(L129*($E129/365))</f>
        <v>0</v>
      </c>
      <c r="D204" s="8">
        <f>(M127*($E127/365))+(M128*($E128/365))+(M129*($E129/365))</f>
        <v>100</v>
      </c>
      <c r="E204" s="530">
        <f>SUM(B204:D204)</f>
        <v>100</v>
      </c>
      <c r="G204" s="1">
        <v>2014</v>
      </c>
      <c r="H204" s="958">
        <f>(O127/$R127*100*($E127/365))+(O128/$R128*100*($E128/365))+(O129/$R129*100*($E129/365))</f>
        <v>0</v>
      </c>
      <c r="I204" s="958"/>
      <c r="J204" s="958">
        <f>(P127/$R127*100*($E127/365))+(P128/$R128*100*($E128/365))+(P129/$R129*100*($E129/365))</f>
        <v>0</v>
      </c>
      <c r="K204" s="958"/>
      <c r="L204" s="958">
        <f>(Q127/$R127*100*($E127/365))+(Q128/$R128*100*($E128/365))+(Q129/$R129*100*($E129/365))</f>
        <v>100</v>
      </c>
      <c r="M204" s="958"/>
      <c r="N204" s="990">
        <f t="shared" si="39"/>
        <v>100</v>
      </c>
      <c r="O204" s="990"/>
      <c r="R204" s="1">
        <v>2014</v>
      </c>
      <c r="S204" s="8">
        <f>(O127*($E127/365))+(O128*($E128/365))+(O129*($E129/365))</f>
        <v>0</v>
      </c>
      <c r="T204" s="8">
        <f>(P127*($E127/365))+(P128*($E128/365))+(P129*($E129/365))</f>
        <v>0</v>
      </c>
      <c r="U204" s="8">
        <f>(Q127*($E127/365))+(Q128*($E128/365))+(Q129*($E129/365))</f>
        <v>51.004657534246576</v>
      </c>
      <c r="W204" s="14">
        <f>SUM(S204:U204)</f>
        <v>51.004657534246576</v>
      </c>
    </row>
    <row r="205" spans="1:24" s="716" customFormat="1">
      <c r="A205" s="716">
        <v>2015</v>
      </c>
      <c r="B205" s="710">
        <f>(K130*($E130/365))+(K131*($E131/365))</f>
        <v>0</v>
      </c>
      <c r="C205" s="710">
        <f>(L130*($E130/365))+(L131*($E131/365))</f>
        <v>0</v>
      </c>
      <c r="D205" s="710">
        <f>(M130*($E130/365))+(M131*($E131/365))</f>
        <v>100</v>
      </c>
      <c r="E205" s="711">
        <f>SUM(B205:D205)</f>
        <v>100</v>
      </c>
      <c r="G205" s="716">
        <v>2015</v>
      </c>
      <c r="H205" s="958">
        <f>(O130/$R130*100*($E130/365))+(O131/$R131*100*($E131/365))</f>
        <v>0</v>
      </c>
      <c r="I205" s="958"/>
      <c r="J205" s="958">
        <f>(P130/$R130*100*($E130/365))+(P131/$R131*100*($E131/365))</f>
        <v>0</v>
      </c>
      <c r="K205" s="958"/>
      <c r="L205" s="958">
        <f>(Q130/$R130*100*($E130/365))+(Q131/$R131*100*($E131/365))</f>
        <v>100</v>
      </c>
      <c r="M205" s="958"/>
      <c r="N205" s="990">
        <f t="shared" si="39"/>
        <v>100</v>
      </c>
      <c r="O205" s="990"/>
      <c r="R205" s="716">
        <v>2015</v>
      </c>
      <c r="S205" s="710">
        <f>(O130*($E130/365))+(O131*($E131/365))</f>
        <v>0</v>
      </c>
      <c r="T205" s="710">
        <f>(P130*($E130/365))+(P131*($E131/365))</f>
        <v>0</v>
      </c>
      <c r="U205" s="710">
        <f>(Q130*($E130/365))+(Q131*($E131/365))</f>
        <v>50.2</v>
      </c>
      <c r="W205" s="715">
        <f>SUM(S205:U205)</f>
        <v>50.2</v>
      </c>
    </row>
    <row r="206" spans="1:24">
      <c r="A206" s="878">
        <v>2016</v>
      </c>
      <c r="B206" s="875">
        <f>(K132*($E132/366))+(K133*($E133/366))+(K134*($E134/366))+(K135*($E135/366))+(K136*($E136/366))</f>
        <v>0</v>
      </c>
      <c r="C206" s="875">
        <f t="shared" ref="C206:D206" si="40">(L132*($E132/366))+(L133*($E133/366))+(L134*($E134/366))+(L135*($E135/366))+(L136*($E136/366))</f>
        <v>0</v>
      </c>
      <c r="D206" s="875">
        <f t="shared" si="40"/>
        <v>100</v>
      </c>
      <c r="E206" s="876">
        <f>SUM(B206:D206)</f>
        <v>100</v>
      </c>
      <c r="F206" s="878"/>
      <c r="G206" s="878">
        <v>2016</v>
      </c>
      <c r="H206" s="958">
        <f>(O132/$R132*100*($E132/366))+(O133/$R133*100*($E133/366))+(O134/$R134*100*($E134/366))+(O135/$R135*100*($E135/366))+(O136/$R136*100*($E136/366))</f>
        <v>0</v>
      </c>
      <c r="I206" s="958"/>
      <c r="J206" s="958">
        <f>(P132/$R132*100*($E132/366))+(P133/$R133*100*($E133/366))+(P134/$R134*100*($E134/366))+(P135/$R135*100*($E135/366))+(P136/$R136*100*($E136/366))</f>
        <v>0</v>
      </c>
      <c r="K206" s="958"/>
      <c r="L206" s="958">
        <f>(Q132/$R132*100*($E132/366))+(Q133/$R133*100*($E133/366))+(Q134/$R134*100*($E134/366))+(Q135/$R135*100*($E135/366))+(Q136/$R136*100*($E136/366))</f>
        <v>100</v>
      </c>
      <c r="M206" s="958"/>
      <c r="N206" s="990">
        <f t="shared" si="39"/>
        <v>100</v>
      </c>
      <c r="O206" s="990"/>
      <c r="P206" s="878"/>
      <c r="Q206" s="878"/>
      <c r="R206" s="878">
        <v>2016</v>
      </c>
      <c r="S206" s="875">
        <f>(O132*($E132/366))+(O133*($E133/366))+(O134*($E134/366))+(O135*($E135/366))+(O136*($E136/366))</f>
        <v>0</v>
      </c>
      <c r="T206" s="875">
        <f t="shared" ref="T206:U206" si="41">(P132*($E132/366))+(P133*($E133/366))+(P134*($E134/366))+(P135*($E135/366))+(P136*($E136/366))</f>
        <v>0</v>
      </c>
      <c r="U206" s="875">
        <f t="shared" si="41"/>
        <v>53.130327868852461</v>
      </c>
      <c r="V206" s="878"/>
      <c r="W206" s="877">
        <f>SUM(S206:U206)</f>
        <v>53.130327868852461</v>
      </c>
    </row>
    <row r="207" spans="1:24">
      <c r="A207" s="920">
        <v>2017</v>
      </c>
      <c r="B207" s="915">
        <f>(K137*($E137/365))+(K138*($E138/365))+(K139*($E139/365))</f>
        <v>29.156452775775055</v>
      </c>
      <c r="C207" s="915">
        <f>(L137*($E137/365))+(L138*($E138/365))+(L139*($E139/365))</f>
        <v>4.4152847873107426</v>
      </c>
      <c r="D207" s="915">
        <f t="shared" ref="D207" si="42">(M137*($E137/365))+(M138*($E138/365))+(M139*($E139/365))</f>
        <v>37.649603460706558</v>
      </c>
      <c r="E207" s="916">
        <f>SUM(B207:D207)</f>
        <v>71.221341023792348</v>
      </c>
      <c r="G207" s="1">
        <v>2017</v>
      </c>
      <c r="H207" s="958">
        <f>(O137/$R137*100*($E137/365))+(O138/$R138*100*($E138/365))+(O139/$R139*100*($E139/365))</f>
        <v>51.526675118389569</v>
      </c>
      <c r="I207" s="958"/>
      <c r="J207" s="958">
        <f>(P137/$R137*100*($E137/365))+(P138/$R138*100*($E138/365))+(P139/$R139*100*($E139/365))</f>
        <v>6.4964874365493168</v>
      </c>
      <c r="K207" s="958"/>
      <c r="L207" s="958">
        <f>(Q137/$R137*100*($E137/365))+(Q138/$R138*100*($E138/365))+(Q139/$R139*100*($E139/365))</f>
        <v>41.976837445061115</v>
      </c>
      <c r="M207" s="958"/>
      <c r="N207" s="990">
        <f t="shared" si="39"/>
        <v>100</v>
      </c>
      <c r="O207" s="990"/>
      <c r="R207" s="920">
        <v>2017</v>
      </c>
      <c r="S207" s="915">
        <f>(O137*($E137/365))+(O138*($E138/365))+(O139*($E139/365))</f>
        <v>32.335342465753428</v>
      </c>
      <c r="T207" s="925">
        <f t="shared" ref="T207" si="43">(P137*($E137/365))+(P138*($E138/365))+(P139*($E139/365))</f>
        <v>3.9528767123287669</v>
      </c>
      <c r="U207" s="925">
        <f>(Q137*($E137/365))+(Q138*($E138/365))+(Q139*($E139/365))</f>
        <v>24.573972602739726</v>
      </c>
      <c r="V207" s="920"/>
      <c r="W207" s="918">
        <f>SUM(S207:U207)</f>
        <v>60.862191780821917</v>
      </c>
    </row>
    <row r="208" spans="1:24">
      <c r="A208" s="939">
        <v>2018</v>
      </c>
      <c r="B208" s="930">
        <f>(K140*($E140/365))+(K141*($E141/365))</f>
        <v>50.502283105022833</v>
      </c>
      <c r="C208" s="930">
        <f>(L140*($E140/365))+(L141*($E141/365))</f>
        <v>4.9497716894977168</v>
      </c>
      <c r="D208" s="930">
        <f>(M140*($E140/365))+(M141*($E141/365))</f>
        <v>0</v>
      </c>
      <c r="E208" s="931">
        <f t="shared" ref="E208" si="44">SUM(B208:D208)</f>
        <v>55.452054794520549</v>
      </c>
      <c r="F208" s="939"/>
      <c r="G208" s="939">
        <v>2018</v>
      </c>
      <c r="H208" s="958">
        <f>(O140/$R140*100*($E140/365))+(O141/$R141*100*($E141/365))</f>
        <v>87.973640856672148</v>
      </c>
      <c r="I208" s="958"/>
      <c r="J208" s="958">
        <f>(P140/$R140*100*($E140/365))+(P141/$R141*100*($E141/365))</f>
        <v>12.026359143327843</v>
      </c>
      <c r="K208" s="958"/>
      <c r="L208" s="958">
        <f>(Q140/$R140*100*($E140/365))+(Q141/$R141*100*($E141/365))</f>
        <v>0</v>
      </c>
      <c r="M208" s="958"/>
      <c r="N208" s="990">
        <f t="shared" ref="N208" si="45">SUM(H208:M208)</f>
        <v>99.999999999999986</v>
      </c>
      <c r="O208" s="990"/>
      <c r="P208" s="939"/>
      <c r="Q208" s="939"/>
      <c r="R208" s="939">
        <v>2018</v>
      </c>
      <c r="S208" s="930">
        <f>(O140*($E140/365))+(O141*($E141/365))</f>
        <v>53.4</v>
      </c>
      <c r="T208" s="930">
        <f>(P140*($E140/365))+(P141*($E141/365))</f>
        <v>7.3</v>
      </c>
      <c r="U208" s="930">
        <f>(Q140*($E140/365))+(Q141*($E141/365))</f>
        <v>0</v>
      </c>
      <c r="V208" s="939"/>
      <c r="W208" s="936">
        <f t="shared" ref="W208" si="46">SUM(S208:U208)</f>
        <v>60.699999999999996</v>
      </c>
    </row>
  </sheetData>
  <mergeCells count="402">
    <mergeCell ref="H206:I206"/>
    <mergeCell ref="J206:K206"/>
    <mergeCell ref="L206:M206"/>
    <mergeCell ref="N206:O206"/>
    <mergeCell ref="H207:I207"/>
    <mergeCell ref="AT4:AW4"/>
    <mergeCell ref="AX4:BA4"/>
    <mergeCell ref="C7:D7"/>
    <mergeCell ref="C6:D6"/>
    <mergeCell ref="N199:O199"/>
    <mergeCell ref="N200:O200"/>
    <mergeCell ref="N187:O187"/>
    <mergeCell ref="N188:O188"/>
    <mergeCell ref="N189:O189"/>
    <mergeCell ref="N190:O190"/>
    <mergeCell ref="N175:O175"/>
    <mergeCell ref="N176:O176"/>
    <mergeCell ref="N177:O177"/>
    <mergeCell ref="N178:O178"/>
    <mergeCell ref="N179:O179"/>
    <mergeCell ref="N180:O180"/>
    <mergeCell ref="N169:O169"/>
    <mergeCell ref="N170:O170"/>
    <mergeCell ref="N171:O171"/>
    <mergeCell ref="N172:O172"/>
    <mergeCell ref="N173:O173"/>
    <mergeCell ref="N174:O174"/>
    <mergeCell ref="N163:O163"/>
    <mergeCell ref="N164:O164"/>
    <mergeCell ref="N201:O201"/>
    <mergeCell ref="N202:O202"/>
    <mergeCell ref="N193:O193"/>
    <mergeCell ref="N194:O194"/>
    <mergeCell ref="N195:O195"/>
    <mergeCell ref="N196:O196"/>
    <mergeCell ref="N198:O198"/>
    <mergeCell ref="N197:O197"/>
    <mergeCell ref="N181:O181"/>
    <mergeCell ref="N191:O191"/>
    <mergeCell ref="N192:O192"/>
    <mergeCell ref="N182:O182"/>
    <mergeCell ref="N183:O183"/>
    <mergeCell ref="N184:O184"/>
    <mergeCell ref="N185:O185"/>
    <mergeCell ref="N186:O186"/>
    <mergeCell ref="N165:O165"/>
    <mergeCell ref="N166:O166"/>
    <mergeCell ref="N167:O167"/>
    <mergeCell ref="N168:O168"/>
    <mergeCell ref="N157:O157"/>
    <mergeCell ref="N158:O158"/>
    <mergeCell ref="N159:O159"/>
    <mergeCell ref="N160:O160"/>
    <mergeCell ref="N161:O161"/>
    <mergeCell ref="N162:O162"/>
    <mergeCell ref="L185:M185"/>
    <mergeCell ref="L186:M186"/>
    <mergeCell ref="L176:M176"/>
    <mergeCell ref="L177:M177"/>
    <mergeCell ref="L178:M178"/>
    <mergeCell ref="L167:M167"/>
    <mergeCell ref="L168:M168"/>
    <mergeCell ref="L169:M169"/>
    <mergeCell ref="L170:M170"/>
    <mergeCell ref="L171:M171"/>
    <mergeCell ref="L172:M172"/>
    <mergeCell ref="L173:M173"/>
    <mergeCell ref="L174:M174"/>
    <mergeCell ref="L175:M175"/>
    <mergeCell ref="L162:M162"/>
    <mergeCell ref="L163:M163"/>
    <mergeCell ref="L164:M164"/>
    <mergeCell ref="L187:M187"/>
    <mergeCell ref="L188:M188"/>
    <mergeCell ref="L189:M189"/>
    <mergeCell ref="L190:M190"/>
    <mergeCell ref="L179:M179"/>
    <mergeCell ref="L180:M180"/>
    <mergeCell ref="L181:M181"/>
    <mergeCell ref="L182:M182"/>
    <mergeCell ref="L183:M183"/>
    <mergeCell ref="L184:M184"/>
    <mergeCell ref="L200:M200"/>
    <mergeCell ref="L201:M201"/>
    <mergeCell ref="L202:M202"/>
    <mergeCell ref="L191:M191"/>
    <mergeCell ref="L192:M192"/>
    <mergeCell ref="L193:M193"/>
    <mergeCell ref="L194:M194"/>
    <mergeCell ref="L195:M195"/>
    <mergeCell ref="L196:M196"/>
    <mergeCell ref="L197:M197"/>
    <mergeCell ref="L198:M198"/>
    <mergeCell ref="L199:M199"/>
    <mergeCell ref="L157:M157"/>
    <mergeCell ref="L158:M158"/>
    <mergeCell ref="L159:M159"/>
    <mergeCell ref="L160:M160"/>
    <mergeCell ref="L161:M161"/>
    <mergeCell ref="J178:K178"/>
    <mergeCell ref="J179:K179"/>
    <mergeCell ref="J163:K163"/>
    <mergeCell ref="J164:K164"/>
    <mergeCell ref="J165:K165"/>
    <mergeCell ref="J166:K166"/>
    <mergeCell ref="J167:K167"/>
    <mergeCell ref="J169:K169"/>
    <mergeCell ref="J170:K170"/>
    <mergeCell ref="J171:K171"/>
    <mergeCell ref="J168:K168"/>
    <mergeCell ref="J172:K172"/>
    <mergeCell ref="J173:K173"/>
    <mergeCell ref="J202:K202"/>
    <mergeCell ref="L150:M150"/>
    <mergeCell ref="L151:M151"/>
    <mergeCell ref="L152:M152"/>
    <mergeCell ref="L153:M153"/>
    <mergeCell ref="L154:M154"/>
    <mergeCell ref="J192:K192"/>
    <mergeCell ref="J193:K193"/>
    <mergeCell ref="J194:K194"/>
    <mergeCell ref="J195:K195"/>
    <mergeCell ref="J196:K196"/>
    <mergeCell ref="J197:K197"/>
    <mergeCell ref="J186:K186"/>
    <mergeCell ref="J187:K187"/>
    <mergeCell ref="J188:K188"/>
    <mergeCell ref="J189:K189"/>
    <mergeCell ref="J190:K190"/>
    <mergeCell ref="J191:K191"/>
    <mergeCell ref="J180:K180"/>
    <mergeCell ref="J181:K181"/>
    <mergeCell ref="L165:M165"/>
    <mergeCell ref="L166:M166"/>
    <mergeCell ref="L155:M155"/>
    <mergeCell ref="L156:M156"/>
    <mergeCell ref="J185:K185"/>
    <mergeCell ref="J174:K174"/>
    <mergeCell ref="J175:K175"/>
    <mergeCell ref="J176:K176"/>
    <mergeCell ref="J177:K177"/>
    <mergeCell ref="J198:K198"/>
    <mergeCell ref="J199:K199"/>
    <mergeCell ref="J200:K200"/>
    <mergeCell ref="J201:K201"/>
    <mergeCell ref="J182:K182"/>
    <mergeCell ref="J183:K183"/>
    <mergeCell ref="J184:K184"/>
    <mergeCell ref="H175:I175"/>
    <mergeCell ref="H176:I176"/>
    <mergeCell ref="H177:I177"/>
    <mergeCell ref="H178:I178"/>
    <mergeCell ref="H179:I179"/>
    <mergeCell ref="H180:I180"/>
    <mergeCell ref="H192:I192"/>
    <mergeCell ref="H181:I181"/>
    <mergeCell ref="H165:I165"/>
    <mergeCell ref="H166:I166"/>
    <mergeCell ref="H167:I167"/>
    <mergeCell ref="R146:W146"/>
    <mergeCell ref="H148:I148"/>
    <mergeCell ref="J148:K148"/>
    <mergeCell ref="L148:M148"/>
    <mergeCell ref="N148:O148"/>
    <mergeCell ref="H150:I150"/>
    <mergeCell ref="N150:O150"/>
    <mergeCell ref="H149:I149"/>
    <mergeCell ref="J149:K149"/>
    <mergeCell ref="L149:M149"/>
    <mergeCell ref="J150:K150"/>
    <mergeCell ref="O3:Q3"/>
    <mergeCell ref="C9:D9"/>
    <mergeCell ref="C10:D10"/>
    <mergeCell ref="A4:A5"/>
    <mergeCell ref="B4:B5"/>
    <mergeCell ref="C4:D5"/>
    <mergeCell ref="E4:E5"/>
    <mergeCell ref="F4:F5"/>
    <mergeCell ref="G4:J4"/>
    <mergeCell ref="G3:M3"/>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8:D88"/>
    <mergeCell ref="C89:D89"/>
    <mergeCell ref="C86:D86"/>
    <mergeCell ref="C87:D87"/>
    <mergeCell ref="C85:D85"/>
    <mergeCell ref="C90:D90"/>
    <mergeCell ref="C91:D91"/>
    <mergeCell ref="C94:D94"/>
    <mergeCell ref="C95:D95"/>
    <mergeCell ref="C92:D92"/>
    <mergeCell ref="C93:D93"/>
    <mergeCell ref="C96:D96"/>
    <mergeCell ref="C97:D97"/>
    <mergeCell ref="C101:D101"/>
    <mergeCell ref="C102:D102"/>
    <mergeCell ref="C98:D98"/>
    <mergeCell ref="C99:D99"/>
    <mergeCell ref="C100:D100"/>
    <mergeCell ref="C103:D103"/>
    <mergeCell ref="C104:D104"/>
    <mergeCell ref="C107:D107"/>
    <mergeCell ref="C108:D108"/>
    <mergeCell ref="C105:D105"/>
    <mergeCell ref="C106:D106"/>
    <mergeCell ref="C109:D109"/>
    <mergeCell ref="C110:D110"/>
    <mergeCell ref="C120:D120"/>
    <mergeCell ref="C121:D121"/>
    <mergeCell ref="C112:D112"/>
    <mergeCell ref="C113:D113"/>
    <mergeCell ref="C111:D111"/>
    <mergeCell ref="C122:D122"/>
    <mergeCell ref="C124:D124"/>
    <mergeCell ref="C114:D114"/>
    <mergeCell ref="C115:D115"/>
    <mergeCell ref="C116:D116"/>
    <mergeCell ref="C117:D117"/>
    <mergeCell ref="C118:D118"/>
    <mergeCell ref="C119:D119"/>
    <mergeCell ref="C123:D123"/>
    <mergeCell ref="C125:D125"/>
    <mergeCell ref="C126:D126"/>
    <mergeCell ref="L203:M203"/>
    <mergeCell ref="H203:I203"/>
    <mergeCell ref="J203:K203"/>
    <mergeCell ref="N149:O149"/>
    <mergeCell ref="H151:I151"/>
    <mergeCell ref="H152:I152"/>
    <mergeCell ref="C128:D128"/>
    <mergeCell ref="C127:D127"/>
    <mergeCell ref="C129:D129"/>
    <mergeCell ref="H153:I153"/>
    <mergeCell ref="H154:I154"/>
    <mergeCell ref="J156:K156"/>
    <mergeCell ref="J157:K157"/>
    <mergeCell ref="J158:K158"/>
    <mergeCell ref="J159:K159"/>
    <mergeCell ref="H155:I155"/>
    <mergeCell ref="H156:I156"/>
    <mergeCell ref="J151:K151"/>
    <mergeCell ref="J152:K152"/>
    <mergeCell ref="J153:K153"/>
    <mergeCell ref="J154:K154"/>
    <mergeCell ref="J155:K155"/>
    <mergeCell ref="C130:D130"/>
    <mergeCell ref="C131:D131"/>
    <mergeCell ref="H205:I205"/>
    <mergeCell ref="J205:K205"/>
    <mergeCell ref="J160:K160"/>
    <mergeCell ref="J161:K161"/>
    <mergeCell ref="H160:I160"/>
    <mergeCell ref="H161:I161"/>
    <mergeCell ref="H202:I202"/>
    <mergeCell ref="H193:I193"/>
    <mergeCell ref="H194:I194"/>
    <mergeCell ref="H195:I195"/>
    <mergeCell ref="H196:I196"/>
    <mergeCell ref="H197:I197"/>
    <mergeCell ref="H198:I198"/>
    <mergeCell ref="H187:I187"/>
    <mergeCell ref="H188:I188"/>
    <mergeCell ref="H189:I189"/>
    <mergeCell ref="H190:I190"/>
    <mergeCell ref="H201:I201"/>
    <mergeCell ref="H182:I182"/>
    <mergeCell ref="H183:I183"/>
    <mergeCell ref="H184:I184"/>
    <mergeCell ref="H185:I185"/>
    <mergeCell ref="C137:D137"/>
    <mergeCell ref="C138:D138"/>
    <mergeCell ref="C139:D139"/>
    <mergeCell ref="C132:D132"/>
    <mergeCell ref="C135:D135"/>
    <mergeCell ref="C136:D136"/>
    <mergeCell ref="C133:D133"/>
    <mergeCell ref="C134:D134"/>
    <mergeCell ref="H191:I191"/>
    <mergeCell ref="H157:I157"/>
    <mergeCell ref="H158:I158"/>
    <mergeCell ref="H159:I159"/>
    <mergeCell ref="C140:D140"/>
    <mergeCell ref="C141:D141"/>
    <mergeCell ref="H172:I172"/>
    <mergeCell ref="H173:I173"/>
    <mergeCell ref="H174:I174"/>
    <mergeCell ref="H163:I163"/>
    <mergeCell ref="H164:I164"/>
    <mergeCell ref="H168:I168"/>
    <mergeCell ref="H162:I162"/>
    <mergeCell ref="H169:I169"/>
    <mergeCell ref="H170:I170"/>
    <mergeCell ref="H171:I171"/>
    <mergeCell ref="N151:O151"/>
    <mergeCell ref="N152:O152"/>
    <mergeCell ref="N153:O153"/>
    <mergeCell ref="N154:O154"/>
    <mergeCell ref="N155:O155"/>
    <mergeCell ref="N156:O156"/>
    <mergeCell ref="H199:I199"/>
    <mergeCell ref="H208:I208"/>
    <mergeCell ref="J208:K208"/>
    <mergeCell ref="L208:M208"/>
    <mergeCell ref="N208:O208"/>
    <mergeCell ref="N207:O207"/>
    <mergeCell ref="L207:M207"/>
    <mergeCell ref="J207:K207"/>
    <mergeCell ref="J162:K162"/>
    <mergeCell ref="L205:M205"/>
    <mergeCell ref="N205:O205"/>
    <mergeCell ref="N204:O204"/>
    <mergeCell ref="N203:O203"/>
    <mergeCell ref="H204:I204"/>
    <mergeCell ref="J204:K204"/>
    <mergeCell ref="L204:M204"/>
    <mergeCell ref="H200:I200"/>
    <mergeCell ref="H186:I186"/>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A196"/>
  <sheetViews>
    <sheetView zoomScale="180" zoomScaleNormal="120" workbookViewId="0">
      <pane xSplit="1" ySplit="5" topLeftCell="B115" activePane="bottomRight" state="frozen"/>
      <selection pane="topRight" activeCell="B1" sqref="B1"/>
      <selection pane="bottomLeft" activeCell="A6" sqref="A6"/>
      <selection pane="bottomRight" activeCell="W196" sqref="W196"/>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55</v>
      </c>
    </row>
    <row r="3" spans="1:53" s="2" customFormat="1">
      <c r="G3" s="994"/>
      <c r="H3" s="994"/>
      <c r="I3" s="994"/>
      <c r="J3" s="994"/>
      <c r="K3" s="994"/>
      <c r="L3" s="994"/>
      <c r="M3" s="994"/>
      <c r="O3" s="994"/>
      <c r="P3" s="994"/>
      <c r="Q3" s="994"/>
      <c r="R3" s="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78" t="s">
        <v>531</v>
      </c>
      <c r="D6" s="978"/>
      <c r="E6" s="257">
        <v>0</v>
      </c>
      <c r="G6" s="265">
        <v>2</v>
      </c>
      <c r="H6" s="257">
        <v>15</v>
      </c>
      <c r="J6" s="272">
        <v>17</v>
      </c>
      <c r="K6" s="248">
        <f>G6/J6*100</f>
        <v>11.76470588235294</v>
      </c>
      <c r="L6" s="248">
        <f>H6/J6*100</f>
        <v>88.235294117647058</v>
      </c>
      <c r="M6" s="248">
        <f>I6/J6*100</f>
        <v>0</v>
      </c>
      <c r="N6" s="267">
        <f>SUM(K6:M6)</f>
        <v>100</v>
      </c>
      <c r="O6" s="247">
        <v>3.4</v>
      </c>
      <c r="P6" s="248">
        <v>54.4</v>
      </c>
      <c r="Q6" s="248"/>
      <c r="R6" s="249">
        <f>SUM(O6:Q6)</f>
        <v>57.8</v>
      </c>
      <c r="S6" s="254">
        <v>3</v>
      </c>
      <c r="T6" s="251"/>
      <c r="U6" s="252"/>
      <c r="V6" s="256" t="s">
        <v>129</v>
      </c>
      <c r="W6" s="257" t="s">
        <v>17</v>
      </c>
      <c r="X6" s="257" t="s">
        <v>18</v>
      </c>
      <c r="Y6" s="257">
        <v>43.7</v>
      </c>
      <c r="Z6" s="256" t="s">
        <v>130</v>
      </c>
      <c r="AA6" s="257" t="s">
        <v>82</v>
      </c>
      <c r="AB6" s="257" t="s">
        <v>18</v>
      </c>
      <c r="AC6" s="257">
        <v>10.7</v>
      </c>
      <c r="AD6" s="256" t="s">
        <v>131</v>
      </c>
      <c r="AE6" s="257" t="s">
        <v>76</v>
      </c>
      <c r="AF6" s="257" t="s">
        <v>11</v>
      </c>
      <c r="AG6" s="258">
        <v>3.4</v>
      </c>
      <c r="AL6" s="256"/>
      <c r="AO6" s="258"/>
      <c r="AP6" s="256"/>
      <c r="AS6" s="258"/>
      <c r="AW6" s="258"/>
      <c r="BA6" s="259"/>
    </row>
    <row r="7" spans="1:53" s="257" customFormat="1">
      <c r="A7" s="263">
        <v>1959</v>
      </c>
      <c r="B7" s="252"/>
      <c r="C7" s="978" t="s">
        <v>531</v>
      </c>
      <c r="D7" s="978"/>
      <c r="E7" s="257">
        <v>365</v>
      </c>
      <c r="G7" s="265">
        <v>2</v>
      </c>
      <c r="H7" s="257">
        <v>15</v>
      </c>
      <c r="J7" s="272">
        <v>17</v>
      </c>
      <c r="K7" s="248">
        <f>G7/J7*100</f>
        <v>11.76470588235294</v>
      </c>
      <c r="L7" s="248">
        <f>H7/J7*100</f>
        <v>88.235294117647058</v>
      </c>
      <c r="M7" s="248">
        <f>I7/J7*100</f>
        <v>0</v>
      </c>
      <c r="N7" s="267">
        <f>SUM(K7:M7)</f>
        <v>100</v>
      </c>
      <c r="O7" s="247">
        <v>3.4</v>
      </c>
      <c r="P7" s="248">
        <v>54.4</v>
      </c>
      <c r="Q7" s="248"/>
      <c r="R7" s="249">
        <f>SUM(O7:Q7)</f>
        <v>57.8</v>
      </c>
      <c r="S7" s="254">
        <v>3</v>
      </c>
      <c r="T7" s="251"/>
      <c r="U7" s="252"/>
      <c r="V7" s="256" t="s">
        <v>129</v>
      </c>
      <c r="W7" s="257" t="s">
        <v>17</v>
      </c>
      <c r="X7" s="257" t="s">
        <v>18</v>
      </c>
      <c r="Y7" s="257">
        <v>43.7</v>
      </c>
      <c r="Z7" s="256" t="s">
        <v>130</v>
      </c>
      <c r="AA7" s="257" t="s">
        <v>82</v>
      </c>
      <c r="AB7" s="257" t="s">
        <v>18</v>
      </c>
      <c r="AC7" s="257">
        <v>10.7</v>
      </c>
      <c r="AD7" s="256" t="s">
        <v>131</v>
      </c>
      <c r="AE7" s="257" t="s">
        <v>76</v>
      </c>
      <c r="AF7" s="257" t="s">
        <v>11</v>
      </c>
      <c r="AG7" s="258">
        <v>3.4</v>
      </c>
      <c r="AL7" s="256"/>
      <c r="AO7" s="258"/>
      <c r="AP7" s="256"/>
      <c r="AS7" s="258"/>
      <c r="AW7" s="258"/>
      <c r="BA7" s="259"/>
    </row>
    <row r="8" spans="1:53" s="73" customFormat="1">
      <c r="A8" s="102">
        <v>1960</v>
      </c>
      <c r="B8" s="85"/>
      <c r="C8" s="966" t="s">
        <v>531</v>
      </c>
      <c r="D8" s="966"/>
      <c r="E8" s="73">
        <v>182</v>
      </c>
      <c r="G8" s="123">
        <v>2</v>
      </c>
      <c r="H8" s="73">
        <v>15</v>
      </c>
      <c r="J8" s="134">
        <v>17</v>
      </c>
      <c r="K8" s="92">
        <f>G8/J8*100</f>
        <v>11.76470588235294</v>
      </c>
      <c r="L8" s="92">
        <f t="shared" ref="L8:L69" si="0">H8/J8*100</f>
        <v>88.235294117647058</v>
      </c>
      <c r="M8" s="92">
        <f t="shared" ref="M8:M69" si="1">I8/J8*100</f>
        <v>0</v>
      </c>
      <c r="N8" s="125">
        <f>SUM(K8:M8)</f>
        <v>100</v>
      </c>
      <c r="O8" s="91">
        <v>3.4</v>
      </c>
      <c r="P8" s="92">
        <v>54.4</v>
      </c>
      <c r="Q8" s="92"/>
      <c r="R8" s="93">
        <f>SUM(O8:Q8)</f>
        <v>57.8</v>
      </c>
      <c r="S8" s="97">
        <v>3</v>
      </c>
      <c r="T8" s="95"/>
      <c r="U8" s="85"/>
      <c r="V8" s="82" t="s">
        <v>129</v>
      </c>
      <c r="W8" s="73" t="s">
        <v>17</v>
      </c>
      <c r="X8" s="73" t="s">
        <v>18</v>
      </c>
      <c r="Y8" s="73">
        <v>43.7</v>
      </c>
      <c r="Z8" s="82" t="s">
        <v>130</v>
      </c>
      <c r="AA8" s="73" t="s">
        <v>82</v>
      </c>
      <c r="AB8" s="73" t="s">
        <v>18</v>
      </c>
      <c r="AC8" s="73">
        <v>10.7</v>
      </c>
      <c r="AD8" s="82" t="s">
        <v>131</v>
      </c>
      <c r="AE8" s="73" t="s">
        <v>76</v>
      </c>
      <c r="AF8" s="73" t="s">
        <v>11</v>
      </c>
      <c r="AG8" s="83">
        <v>3.4</v>
      </c>
      <c r="AL8" s="82"/>
      <c r="AO8" s="83"/>
      <c r="AP8" s="82"/>
      <c r="AS8" s="83"/>
      <c r="AW8" s="83"/>
      <c r="BA8" s="84"/>
    </row>
    <row r="9" spans="1:53" s="334" customFormat="1">
      <c r="A9" s="386">
        <v>1960</v>
      </c>
      <c r="B9" s="355">
        <v>22098</v>
      </c>
      <c r="C9" s="965" t="s">
        <v>532</v>
      </c>
      <c r="D9" s="965"/>
      <c r="E9" s="334">
        <v>184</v>
      </c>
      <c r="F9" s="334">
        <v>4</v>
      </c>
      <c r="G9" s="419"/>
      <c r="H9" s="334">
        <v>18</v>
      </c>
      <c r="J9" s="435">
        <v>18</v>
      </c>
      <c r="K9" s="384">
        <f t="shared" ref="K9:K69" si="2">G9/J9*100</f>
        <v>0</v>
      </c>
      <c r="L9" s="384">
        <f t="shared" si="0"/>
        <v>100</v>
      </c>
      <c r="M9" s="384">
        <f t="shared" si="1"/>
        <v>0</v>
      </c>
      <c r="N9" s="421">
        <f t="shared" ref="N9:N72" si="3">SUM(K9:M9)</f>
        <v>100</v>
      </c>
      <c r="O9" s="383"/>
      <c r="P9" s="384">
        <v>54.4</v>
      </c>
      <c r="Q9" s="384"/>
      <c r="R9" s="385">
        <f t="shared" ref="R9:R72" si="4">SUM(O9:Q9)</f>
        <v>54.4</v>
      </c>
      <c r="S9" s="388">
        <v>1</v>
      </c>
      <c r="T9" s="342"/>
      <c r="U9" s="355">
        <v>22098</v>
      </c>
      <c r="V9" s="343" t="s">
        <v>129</v>
      </c>
      <c r="W9" s="334" t="s">
        <v>17</v>
      </c>
      <c r="X9" s="334" t="s">
        <v>18</v>
      </c>
      <c r="Y9" s="334">
        <v>43.7</v>
      </c>
      <c r="Z9" s="343" t="s">
        <v>130</v>
      </c>
      <c r="AA9" s="334" t="s">
        <v>82</v>
      </c>
      <c r="AB9" s="334" t="s">
        <v>18</v>
      </c>
      <c r="AC9" s="334">
        <v>10.7</v>
      </c>
      <c r="AD9" s="343"/>
      <c r="AG9" s="344"/>
      <c r="AL9" s="343"/>
      <c r="AO9" s="344"/>
      <c r="AP9" s="343"/>
      <c r="AS9" s="344"/>
      <c r="AW9" s="344"/>
      <c r="BA9" s="345"/>
    </row>
    <row r="10" spans="1:53" s="334" customFormat="1">
      <c r="A10" s="386">
        <v>1961</v>
      </c>
      <c r="B10" s="355"/>
      <c r="C10" s="965" t="s">
        <v>532</v>
      </c>
      <c r="D10" s="965"/>
      <c r="E10" s="334">
        <v>317</v>
      </c>
      <c r="G10" s="419"/>
      <c r="H10" s="334">
        <v>18</v>
      </c>
      <c r="J10" s="435">
        <v>18</v>
      </c>
      <c r="K10" s="384">
        <f t="shared" si="2"/>
        <v>0</v>
      </c>
      <c r="L10" s="384">
        <f t="shared" si="0"/>
        <v>100</v>
      </c>
      <c r="M10" s="384">
        <f t="shared" si="1"/>
        <v>0</v>
      </c>
      <c r="N10" s="421">
        <f t="shared" si="3"/>
        <v>100</v>
      </c>
      <c r="O10" s="383"/>
      <c r="P10" s="384">
        <v>54.4</v>
      </c>
      <c r="Q10" s="384"/>
      <c r="R10" s="385">
        <f t="shared" si="4"/>
        <v>54.4</v>
      </c>
      <c r="S10" s="388">
        <v>1</v>
      </c>
      <c r="T10" s="342"/>
      <c r="U10" s="355"/>
      <c r="V10" s="343" t="s">
        <v>129</v>
      </c>
      <c r="W10" s="334" t="s">
        <v>17</v>
      </c>
      <c r="X10" s="334" t="s">
        <v>18</v>
      </c>
      <c r="Y10" s="334">
        <v>43.7</v>
      </c>
      <c r="Z10" s="343" t="s">
        <v>130</v>
      </c>
      <c r="AA10" s="334" t="s">
        <v>82</v>
      </c>
      <c r="AB10" s="334" t="s">
        <v>18</v>
      </c>
      <c r="AC10" s="334">
        <v>10.7</v>
      </c>
      <c r="AD10" s="343"/>
      <c r="AG10" s="344"/>
      <c r="AL10" s="343"/>
      <c r="AO10" s="344"/>
      <c r="AP10" s="343"/>
      <c r="AS10" s="344"/>
      <c r="AW10" s="344"/>
      <c r="BA10" s="345"/>
    </row>
    <row r="11" spans="1:53" s="73" customFormat="1">
      <c r="A11" s="102">
        <v>1961</v>
      </c>
      <c r="B11" s="85">
        <v>22599</v>
      </c>
      <c r="C11" s="966" t="s">
        <v>533</v>
      </c>
      <c r="D11" s="966"/>
      <c r="E11" s="73">
        <v>48</v>
      </c>
      <c r="F11" s="73">
        <v>1</v>
      </c>
      <c r="G11" s="123">
        <v>5</v>
      </c>
      <c r="H11" s="73">
        <v>16</v>
      </c>
      <c r="J11" s="134">
        <v>21</v>
      </c>
      <c r="K11" s="92">
        <f t="shared" si="2"/>
        <v>23.809523809523807</v>
      </c>
      <c r="L11" s="92">
        <f t="shared" si="0"/>
        <v>76.19047619047619</v>
      </c>
      <c r="M11" s="92">
        <f t="shared" si="1"/>
        <v>0</v>
      </c>
      <c r="N11" s="125">
        <f t="shared" si="3"/>
        <v>100</v>
      </c>
      <c r="O11" s="91">
        <v>13.4</v>
      </c>
      <c r="P11" s="92">
        <v>48.5</v>
      </c>
      <c r="Q11" s="92"/>
      <c r="R11" s="93">
        <f t="shared" si="4"/>
        <v>61.9</v>
      </c>
      <c r="S11" s="97">
        <v>2</v>
      </c>
      <c r="T11" s="95">
        <v>22541</v>
      </c>
      <c r="U11" s="85">
        <v>22599</v>
      </c>
      <c r="V11" s="82" t="s">
        <v>129</v>
      </c>
      <c r="W11" s="73" t="s">
        <v>17</v>
      </c>
      <c r="X11" s="73" t="s">
        <v>18</v>
      </c>
      <c r="Y11" s="73">
        <v>38.5</v>
      </c>
      <c r="Z11" s="82" t="s">
        <v>130</v>
      </c>
      <c r="AA11" s="73" t="s">
        <v>82</v>
      </c>
      <c r="AB11" s="73" t="s">
        <v>18</v>
      </c>
      <c r="AC11" s="73">
        <v>10</v>
      </c>
      <c r="AD11" s="82" t="s">
        <v>132</v>
      </c>
      <c r="AE11" s="73" t="s">
        <v>22</v>
      </c>
      <c r="AF11" s="73" t="s">
        <v>11</v>
      </c>
      <c r="AG11" s="83">
        <v>13.4</v>
      </c>
      <c r="AL11" s="82"/>
      <c r="AO11" s="83"/>
      <c r="AP11" s="82"/>
      <c r="AS11" s="83"/>
      <c r="AW11" s="83"/>
      <c r="BA11" s="84"/>
    </row>
    <row r="12" spans="1:53" s="73" customFormat="1">
      <c r="A12" s="102">
        <v>1962</v>
      </c>
      <c r="B12" s="85"/>
      <c r="C12" s="966" t="s">
        <v>533</v>
      </c>
      <c r="D12" s="966"/>
      <c r="E12" s="73">
        <v>322</v>
      </c>
      <c r="G12" s="123">
        <v>5</v>
      </c>
      <c r="H12" s="73">
        <v>16</v>
      </c>
      <c r="J12" s="134">
        <v>21</v>
      </c>
      <c r="K12" s="92">
        <f t="shared" si="2"/>
        <v>23.809523809523807</v>
      </c>
      <c r="L12" s="92">
        <f t="shared" si="0"/>
        <v>76.19047619047619</v>
      </c>
      <c r="M12" s="92">
        <f t="shared" si="1"/>
        <v>0</v>
      </c>
      <c r="N12" s="125">
        <f t="shared" si="3"/>
        <v>100</v>
      </c>
      <c r="O12" s="91">
        <v>13.4</v>
      </c>
      <c r="P12" s="92">
        <v>48.5</v>
      </c>
      <c r="Q12" s="92"/>
      <c r="R12" s="93">
        <f t="shared" si="4"/>
        <v>61.9</v>
      </c>
      <c r="S12" s="97">
        <v>2</v>
      </c>
      <c r="T12" s="95"/>
      <c r="U12" s="85"/>
      <c r="V12" s="82" t="s">
        <v>129</v>
      </c>
      <c r="W12" s="73" t="s">
        <v>17</v>
      </c>
      <c r="X12" s="73" t="s">
        <v>18</v>
      </c>
      <c r="Y12" s="73">
        <v>38.5</v>
      </c>
      <c r="Z12" s="82" t="s">
        <v>130</v>
      </c>
      <c r="AA12" s="73" t="s">
        <v>82</v>
      </c>
      <c r="AB12" s="73" t="s">
        <v>18</v>
      </c>
      <c r="AC12" s="73">
        <v>10</v>
      </c>
      <c r="AD12" s="82" t="s">
        <v>132</v>
      </c>
      <c r="AE12" s="73" t="s">
        <v>22</v>
      </c>
      <c r="AF12" s="73" t="s">
        <v>11</v>
      </c>
      <c r="AG12" s="83">
        <v>13.4</v>
      </c>
      <c r="AL12" s="82"/>
      <c r="AO12" s="83"/>
      <c r="AP12" s="82"/>
      <c r="AS12" s="83"/>
      <c r="AW12" s="83"/>
      <c r="BA12" s="84"/>
    </row>
    <row r="13" spans="1:53" s="334" customFormat="1">
      <c r="A13" s="386">
        <v>1962</v>
      </c>
      <c r="B13" s="355">
        <v>22969</v>
      </c>
      <c r="C13" s="965" t="s">
        <v>534</v>
      </c>
      <c r="D13" s="965"/>
      <c r="E13" s="334">
        <v>25</v>
      </c>
      <c r="F13" s="334">
        <v>4</v>
      </c>
      <c r="G13" s="419"/>
      <c r="H13" s="334">
        <v>16</v>
      </c>
      <c r="J13" s="435">
        <v>16</v>
      </c>
      <c r="K13" s="384">
        <f t="shared" si="2"/>
        <v>0</v>
      </c>
      <c r="L13" s="384">
        <f t="shared" si="0"/>
        <v>100</v>
      </c>
      <c r="M13" s="384">
        <f t="shared" si="1"/>
        <v>0</v>
      </c>
      <c r="N13" s="421">
        <f t="shared" si="3"/>
        <v>100</v>
      </c>
      <c r="O13" s="383"/>
      <c r="P13" s="384">
        <v>48.5</v>
      </c>
      <c r="Q13" s="384"/>
      <c r="R13" s="385">
        <f t="shared" si="4"/>
        <v>48.5</v>
      </c>
      <c r="S13" s="388">
        <v>6</v>
      </c>
      <c r="T13" s="342"/>
      <c r="U13" s="355">
        <v>22969</v>
      </c>
      <c r="V13" s="343" t="s">
        <v>129</v>
      </c>
      <c r="W13" s="334" t="s">
        <v>17</v>
      </c>
      <c r="X13" s="334" t="s">
        <v>18</v>
      </c>
      <c r="Y13" s="334">
        <v>38.5</v>
      </c>
      <c r="Z13" s="343" t="s">
        <v>130</v>
      </c>
      <c r="AA13" s="334" t="s">
        <v>82</v>
      </c>
      <c r="AB13" s="334" t="s">
        <v>18</v>
      </c>
      <c r="AC13" s="334">
        <v>10</v>
      </c>
      <c r="AD13" s="343"/>
      <c r="AG13" s="344"/>
      <c r="AL13" s="343"/>
      <c r="AO13" s="344"/>
      <c r="AP13" s="343"/>
      <c r="AS13" s="344"/>
      <c r="AW13" s="344"/>
      <c r="BA13" s="345"/>
    </row>
    <row r="14" spans="1:53" s="73" customFormat="1">
      <c r="A14" s="102">
        <v>1962</v>
      </c>
      <c r="B14" s="85">
        <v>22994</v>
      </c>
      <c r="C14" s="966" t="s">
        <v>535</v>
      </c>
      <c r="D14" s="966"/>
      <c r="E14" s="73">
        <v>18</v>
      </c>
      <c r="F14" s="73">
        <v>7</v>
      </c>
      <c r="G14" s="123">
        <v>5</v>
      </c>
      <c r="H14" s="73">
        <v>16</v>
      </c>
      <c r="J14" s="134">
        <v>21</v>
      </c>
      <c r="K14" s="92">
        <f t="shared" si="2"/>
        <v>23.809523809523807</v>
      </c>
      <c r="L14" s="92">
        <f t="shared" si="0"/>
        <v>76.19047619047619</v>
      </c>
      <c r="M14" s="92">
        <f t="shared" si="1"/>
        <v>0</v>
      </c>
      <c r="N14" s="125">
        <f t="shared" si="3"/>
        <v>100</v>
      </c>
      <c r="O14" s="91">
        <v>13.4</v>
      </c>
      <c r="P14" s="92">
        <v>48.5</v>
      </c>
      <c r="Q14" s="92"/>
      <c r="R14" s="93">
        <f t="shared" si="4"/>
        <v>61.9</v>
      </c>
      <c r="S14" s="97">
        <v>2</v>
      </c>
      <c r="T14" s="95"/>
      <c r="U14" s="85">
        <v>22994</v>
      </c>
      <c r="V14" s="82" t="s">
        <v>129</v>
      </c>
      <c r="W14" s="73" t="s">
        <v>17</v>
      </c>
      <c r="X14" s="73" t="s">
        <v>18</v>
      </c>
      <c r="Y14" s="73">
        <v>38.5</v>
      </c>
      <c r="Z14" s="82" t="s">
        <v>130</v>
      </c>
      <c r="AA14" s="73" t="s">
        <v>82</v>
      </c>
      <c r="AB14" s="73" t="s">
        <v>18</v>
      </c>
      <c r="AC14" s="73">
        <v>10</v>
      </c>
      <c r="AD14" s="82" t="s">
        <v>132</v>
      </c>
      <c r="AE14" s="73" t="s">
        <v>22</v>
      </c>
      <c r="AF14" s="73" t="s">
        <v>11</v>
      </c>
      <c r="AG14" s="83">
        <v>13.4</v>
      </c>
      <c r="AL14" s="82"/>
      <c r="AO14" s="83"/>
      <c r="AP14" s="82"/>
      <c r="AS14" s="83"/>
      <c r="AW14" s="83"/>
      <c r="BA14" s="84"/>
    </row>
    <row r="15" spans="1:53" s="73" customFormat="1">
      <c r="A15" s="102">
        <v>1962.6</v>
      </c>
      <c r="B15" s="85"/>
      <c r="C15" s="966" t="s">
        <v>535</v>
      </c>
      <c r="D15" s="966"/>
      <c r="E15" s="73">
        <v>288</v>
      </c>
      <c r="G15" s="123">
        <v>5</v>
      </c>
      <c r="H15" s="73">
        <v>16</v>
      </c>
      <c r="J15" s="134">
        <v>21</v>
      </c>
      <c r="K15" s="92">
        <f t="shared" si="2"/>
        <v>23.809523809523807</v>
      </c>
      <c r="L15" s="92">
        <f t="shared" si="0"/>
        <v>76.19047619047619</v>
      </c>
      <c r="M15" s="92">
        <f t="shared" si="1"/>
        <v>0</v>
      </c>
      <c r="N15" s="125">
        <f t="shared" si="3"/>
        <v>100</v>
      </c>
      <c r="O15" s="91">
        <v>13.4</v>
      </c>
      <c r="P15" s="92">
        <v>48.5</v>
      </c>
      <c r="Q15" s="92"/>
      <c r="R15" s="93">
        <f t="shared" si="4"/>
        <v>61.9</v>
      </c>
      <c r="S15" s="97">
        <v>2</v>
      </c>
      <c r="T15" s="95"/>
      <c r="U15" s="85"/>
      <c r="V15" s="82" t="s">
        <v>129</v>
      </c>
      <c r="W15" s="73" t="s">
        <v>17</v>
      </c>
      <c r="X15" s="73" t="s">
        <v>18</v>
      </c>
      <c r="Y15" s="73">
        <v>38.5</v>
      </c>
      <c r="Z15" s="82" t="s">
        <v>130</v>
      </c>
      <c r="AA15" s="73" t="s">
        <v>82</v>
      </c>
      <c r="AB15" s="73" t="s">
        <v>18</v>
      </c>
      <c r="AC15" s="73">
        <v>10</v>
      </c>
      <c r="AD15" s="82" t="s">
        <v>132</v>
      </c>
      <c r="AE15" s="73" t="s">
        <v>22</v>
      </c>
      <c r="AF15" s="73" t="s">
        <v>11</v>
      </c>
      <c r="AG15" s="83">
        <v>13.4</v>
      </c>
      <c r="AL15" s="82"/>
      <c r="AO15" s="83"/>
      <c r="AP15" s="82"/>
      <c r="AS15" s="83"/>
      <c r="AW15" s="83"/>
      <c r="BA15" s="84"/>
    </row>
    <row r="16" spans="1:53" s="334" customFormat="1">
      <c r="A16" s="386">
        <v>1963.05714285714</v>
      </c>
      <c r="B16" s="355">
        <v>23300</v>
      </c>
      <c r="C16" s="965" t="s">
        <v>536</v>
      </c>
      <c r="D16" s="965"/>
      <c r="E16" s="334">
        <v>77</v>
      </c>
      <c r="F16" s="334">
        <v>2</v>
      </c>
      <c r="G16" s="419">
        <v>5</v>
      </c>
      <c r="H16" s="334">
        <v>15</v>
      </c>
      <c r="J16" s="435">
        <v>20</v>
      </c>
      <c r="K16" s="384">
        <f t="shared" si="2"/>
        <v>25</v>
      </c>
      <c r="L16" s="384">
        <f t="shared" si="0"/>
        <v>75</v>
      </c>
      <c r="M16" s="384">
        <f t="shared" si="1"/>
        <v>0</v>
      </c>
      <c r="N16" s="421">
        <f t="shared" si="3"/>
        <v>100</v>
      </c>
      <c r="O16" s="383">
        <v>13.4</v>
      </c>
      <c r="P16" s="384">
        <v>48.5</v>
      </c>
      <c r="Q16" s="384"/>
      <c r="R16" s="385">
        <f t="shared" si="4"/>
        <v>61.9</v>
      </c>
      <c r="S16" s="388">
        <v>2</v>
      </c>
      <c r="T16" s="342"/>
      <c r="U16" s="355">
        <v>23300</v>
      </c>
      <c r="V16" s="343" t="s">
        <v>129</v>
      </c>
      <c r="W16" s="334" t="s">
        <v>17</v>
      </c>
      <c r="X16" s="334" t="s">
        <v>18</v>
      </c>
      <c r="Y16" s="334">
        <v>38.5</v>
      </c>
      <c r="Z16" s="343" t="s">
        <v>130</v>
      </c>
      <c r="AA16" s="334" t="s">
        <v>82</v>
      </c>
      <c r="AB16" s="334" t="s">
        <v>18</v>
      </c>
      <c r="AC16" s="334">
        <v>10</v>
      </c>
      <c r="AD16" s="343" t="s">
        <v>132</v>
      </c>
      <c r="AE16" s="334" t="s">
        <v>22</v>
      </c>
      <c r="AF16" s="334" t="s">
        <v>11</v>
      </c>
      <c r="AG16" s="344">
        <v>13.4</v>
      </c>
      <c r="AL16" s="343"/>
      <c r="AO16" s="344"/>
      <c r="AP16" s="343"/>
      <c r="AS16" s="344"/>
      <c r="AW16" s="344"/>
      <c r="BA16" s="345"/>
    </row>
    <row r="17" spans="1:53" s="334" customFormat="1">
      <c r="A17" s="386">
        <v>1963.5142857142901</v>
      </c>
      <c r="B17" s="355"/>
      <c r="C17" s="965" t="s">
        <v>536</v>
      </c>
      <c r="D17" s="965"/>
      <c r="E17" s="334">
        <v>0</v>
      </c>
      <c r="G17" s="419">
        <v>5</v>
      </c>
      <c r="H17" s="334">
        <v>15</v>
      </c>
      <c r="J17" s="435">
        <v>20</v>
      </c>
      <c r="K17" s="384">
        <f t="shared" si="2"/>
        <v>25</v>
      </c>
      <c r="L17" s="384">
        <f t="shared" si="0"/>
        <v>75</v>
      </c>
      <c r="M17" s="384">
        <f t="shared" si="1"/>
        <v>0</v>
      </c>
      <c r="N17" s="421">
        <f t="shared" si="3"/>
        <v>100</v>
      </c>
      <c r="O17" s="383">
        <v>13.4</v>
      </c>
      <c r="P17" s="384">
        <v>48.5</v>
      </c>
      <c r="Q17" s="384"/>
      <c r="R17" s="385">
        <f t="shared" si="4"/>
        <v>61.9</v>
      </c>
      <c r="S17" s="388">
        <v>2</v>
      </c>
      <c r="T17" s="342"/>
      <c r="U17" s="355"/>
      <c r="V17" s="343" t="s">
        <v>129</v>
      </c>
      <c r="W17" s="334" t="s">
        <v>17</v>
      </c>
      <c r="X17" s="334" t="s">
        <v>18</v>
      </c>
      <c r="Y17" s="334">
        <v>38.5</v>
      </c>
      <c r="Z17" s="343" t="s">
        <v>130</v>
      </c>
      <c r="AA17" s="334" t="s">
        <v>82</v>
      </c>
      <c r="AB17" s="334" t="s">
        <v>18</v>
      </c>
      <c r="AC17" s="334">
        <v>10</v>
      </c>
      <c r="AD17" s="343" t="s">
        <v>132</v>
      </c>
      <c r="AE17" s="334" t="s">
        <v>22</v>
      </c>
      <c r="AF17" s="334" t="s">
        <v>11</v>
      </c>
      <c r="AG17" s="344">
        <v>13.4</v>
      </c>
      <c r="AL17" s="343"/>
      <c r="AO17" s="344"/>
      <c r="AP17" s="343"/>
      <c r="AS17" s="344"/>
      <c r="AW17" s="344"/>
      <c r="BA17" s="345"/>
    </row>
    <row r="18" spans="1:53" s="334" customFormat="1">
      <c r="A18" s="386">
        <v>1963.9714285714299</v>
      </c>
      <c r="B18" s="355"/>
      <c r="C18" s="965" t="s">
        <v>536</v>
      </c>
      <c r="D18" s="965"/>
      <c r="E18" s="334">
        <v>366</v>
      </c>
      <c r="G18" s="419">
        <v>5</v>
      </c>
      <c r="H18" s="334">
        <v>15</v>
      </c>
      <c r="J18" s="435">
        <v>20</v>
      </c>
      <c r="K18" s="384">
        <f t="shared" si="2"/>
        <v>25</v>
      </c>
      <c r="L18" s="384">
        <f t="shared" si="0"/>
        <v>75</v>
      </c>
      <c r="M18" s="384">
        <f t="shared" si="1"/>
        <v>0</v>
      </c>
      <c r="N18" s="421">
        <f t="shared" si="3"/>
        <v>100</v>
      </c>
      <c r="O18" s="383">
        <v>13.4</v>
      </c>
      <c r="P18" s="384">
        <v>48.5</v>
      </c>
      <c r="Q18" s="384"/>
      <c r="R18" s="385">
        <f t="shared" si="4"/>
        <v>61.9</v>
      </c>
      <c r="S18" s="388">
        <v>2</v>
      </c>
      <c r="T18" s="342"/>
      <c r="U18" s="355"/>
      <c r="V18" s="343" t="s">
        <v>129</v>
      </c>
      <c r="W18" s="334" t="s">
        <v>17</v>
      </c>
      <c r="X18" s="334" t="s">
        <v>18</v>
      </c>
      <c r="Y18" s="334">
        <v>38.5</v>
      </c>
      <c r="Z18" s="343" t="s">
        <v>130</v>
      </c>
      <c r="AA18" s="334" t="s">
        <v>82</v>
      </c>
      <c r="AB18" s="334" t="s">
        <v>18</v>
      </c>
      <c r="AC18" s="334">
        <v>10</v>
      </c>
      <c r="AD18" s="343" t="s">
        <v>132</v>
      </c>
      <c r="AE18" s="334" t="s">
        <v>22</v>
      </c>
      <c r="AF18" s="334" t="s">
        <v>11</v>
      </c>
      <c r="AG18" s="344">
        <v>13.4</v>
      </c>
      <c r="AL18" s="343"/>
      <c r="AO18" s="344"/>
      <c r="AP18" s="343"/>
      <c r="AS18" s="344"/>
      <c r="AW18" s="344"/>
      <c r="BA18" s="345"/>
    </row>
    <row r="19" spans="1:53" s="334" customFormat="1">
      <c r="A19" s="386">
        <v>1965</v>
      </c>
      <c r="B19" s="355"/>
      <c r="C19" s="965" t="s">
        <v>536</v>
      </c>
      <c r="D19" s="965"/>
      <c r="E19" s="334">
        <v>298</v>
      </c>
      <c r="G19" s="419">
        <v>5</v>
      </c>
      <c r="H19" s="334">
        <v>15</v>
      </c>
      <c r="J19" s="435">
        <v>20</v>
      </c>
      <c r="K19" s="384">
        <f t="shared" si="2"/>
        <v>25</v>
      </c>
      <c r="L19" s="384">
        <f t="shared" si="0"/>
        <v>75</v>
      </c>
      <c r="M19" s="384">
        <f t="shared" si="1"/>
        <v>0</v>
      </c>
      <c r="N19" s="421">
        <f t="shared" si="3"/>
        <v>100</v>
      </c>
      <c r="O19" s="383">
        <v>13.4</v>
      </c>
      <c r="P19" s="384">
        <v>48.5</v>
      </c>
      <c r="Q19" s="384"/>
      <c r="R19" s="385">
        <f t="shared" si="4"/>
        <v>61.9</v>
      </c>
      <c r="S19" s="388">
        <v>2</v>
      </c>
      <c r="T19" s="342"/>
      <c r="U19" s="355"/>
      <c r="V19" s="343" t="s">
        <v>129</v>
      </c>
      <c r="W19" s="334" t="s">
        <v>17</v>
      </c>
      <c r="X19" s="334" t="s">
        <v>18</v>
      </c>
      <c r="Y19" s="334">
        <v>38.5</v>
      </c>
      <c r="Z19" s="343" t="s">
        <v>130</v>
      </c>
      <c r="AA19" s="334" t="s">
        <v>82</v>
      </c>
      <c r="AB19" s="334" t="s">
        <v>18</v>
      </c>
      <c r="AC19" s="334">
        <v>10</v>
      </c>
      <c r="AD19" s="343" t="s">
        <v>132</v>
      </c>
      <c r="AE19" s="334" t="s">
        <v>22</v>
      </c>
      <c r="AF19" s="334" t="s">
        <v>11</v>
      </c>
      <c r="AG19" s="344">
        <v>13.4</v>
      </c>
      <c r="AL19" s="343"/>
      <c r="AO19" s="344"/>
      <c r="AP19" s="343"/>
      <c r="AS19" s="344"/>
      <c r="AW19" s="344"/>
      <c r="BA19" s="345"/>
    </row>
    <row r="20" spans="1:53" s="73" customFormat="1">
      <c r="A20" s="102">
        <v>1964.88571428572</v>
      </c>
      <c r="B20" s="85">
        <v>24041</v>
      </c>
      <c r="C20" s="966" t="s">
        <v>537</v>
      </c>
      <c r="D20" s="966"/>
      <c r="E20" s="73">
        <v>67</v>
      </c>
      <c r="F20" s="73">
        <v>1</v>
      </c>
      <c r="G20" s="123">
        <v>4</v>
      </c>
      <c r="H20" s="73">
        <v>17</v>
      </c>
      <c r="J20" s="134">
        <v>21</v>
      </c>
      <c r="K20" s="92">
        <f t="shared" si="2"/>
        <v>19.047619047619047</v>
      </c>
      <c r="L20" s="92">
        <f t="shared" si="0"/>
        <v>80.952380952380949</v>
      </c>
      <c r="M20" s="92">
        <f t="shared" si="1"/>
        <v>0</v>
      </c>
      <c r="N20" s="125">
        <f t="shared" si="3"/>
        <v>100</v>
      </c>
      <c r="O20" s="91">
        <v>9.9</v>
      </c>
      <c r="P20" s="92">
        <v>49.4</v>
      </c>
      <c r="Q20" s="92"/>
      <c r="R20" s="93">
        <f t="shared" si="4"/>
        <v>59.3</v>
      </c>
      <c r="S20" s="97">
        <v>2</v>
      </c>
      <c r="T20" s="95">
        <v>24004</v>
      </c>
      <c r="U20" s="85">
        <v>24041</v>
      </c>
      <c r="V20" s="82" t="s">
        <v>129</v>
      </c>
      <c r="W20" s="73" t="s">
        <v>17</v>
      </c>
      <c r="X20" s="73" t="s">
        <v>18</v>
      </c>
      <c r="Y20" s="73">
        <v>39.5</v>
      </c>
      <c r="Z20" s="82" t="s">
        <v>130</v>
      </c>
      <c r="AA20" s="73" t="s">
        <v>82</v>
      </c>
      <c r="AB20" s="73" t="s">
        <v>18</v>
      </c>
      <c r="AC20" s="73">
        <v>9.9</v>
      </c>
      <c r="AD20" s="82" t="s">
        <v>132</v>
      </c>
      <c r="AE20" s="73" t="s">
        <v>22</v>
      </c>
      <c r="AF20" s="73" t="s">
        <v>11</v>
      </c>
      <c r="AG20" s="83">
        <v>9.9</v>
      </c>
      <c r="AL20" s="82"/>
      <c r="AO20" s="83"/>
      <c r="AP20" s="82"/>
      <c r="AS20" s="83"/>
      <c r="AW20" s="83"/>
      <c r="BA20" s="84"/>
    </row>
    <row r="21" spans="1:53" s="73" customFormat="1">
      <c r="A21" s="102">
        <v>1966</v>
      </c>
      <c r="B21" s="85"/>
      <c r="C21" s="966" t="s">
        <v>537</v>
      </c>
      <c r="D21" s="966"/>
      <c r="E21" s="73">
        <v>300</v>
      </c>
      <c r="G21" s="123">
        <v>4</v>
      </c>
      <c r="H21" s="73">
        <v>17</v>
      </c>
      <c r="J21" s="134">
        <v>21</v>
      </c>
      <c r="K21" s="92">
        <f t="shared" si="2"/>
        <v>19.047619047619047</v>
      </c>
      <c r="L21" s="92">
        <f t="shared" si="0"/>
        <v>80.952380952380949</v>
      </c>
      <c r="M21" s="92">
        <f t="shared" si="1"/>
        <v>0</v>
      </c>
      <c r="N21" s="125">
        <f t="shared" si="3"/>
        <v>100</v>
      </c>
      <c r="O21" s="91">
        <v>9.9</v>
      </c>
      <c r="P21" s="92">
        <v>49.4</v>
      </c>
      <c r="Q21" s="92"/>
      <c r="R21" s="93">
        <f t="shared" si="4"/>
        <v>59.3</v>
      </c>
      <c r="S21" s="97">
        <v>2</v>
      </c>
      <c r="T21" s="95"/>
      <c r="U21" s="85"/>
      <c r="V21" s="82" t="s">
        <v>129</v>
      </c>
      <c r="W21" s="73" t="s">
        <v>17</v>
      </c>
      <c r="X21" s="73" t="s">
        <v>18</v>
      </c>
      <c r="Y21" s="73">
        <v>39.5</v>
      </c>
      <c r="Z21" s="82" t="s">
        <v>130</v>
      </c>
      <c r="AA21" s="73" t="s">
        <v>82</v>
      </c>
      <c r="AB21" s="73" t="s">
        <v>18</v>
      </c>
      <c r="AC21" s="73">
        <v>9.9</v>
      </c>
      <c r="AD21" s="82" t="s">
        <v>132</v>
      </c>
      <c r="AE21" s="73" t="s">
        <v>22</v>
      </c>
      <c r="AF21" s="73" t="s">
        <v>11</v>
      </c>
      <c r="AG21" s="83">
        <v>9.9</v>
      </c>
      <c r="AL21" s="82"/>
      <c r="AO21" s="83"/>
      <c r="AP21" s="82"/>
      <c r="AS21" s="83"/>
      <c r="AW21" s="83"/>
      <c r="BA21" s="84"/>
    </row>
    <row r="22" spans="1:53" s="334" customFormat="1">
      <c r="A22" s="386">
        <v>1965.8</v>
      </c>
      <c r="B22" s="355">
        <v>24408</v>
      </c>
      <c r="C22" s="965" t="s">
        <v>538</v>
      </c>
      <c r="D22" s="965"/>
      <c r="E22" s="334">
        <v>34</v>
      </c>
      <c r="F22" s="334">
        <v>4</v>
      </c>
      <c r="G22" s="419"/>
      <c r="H22" s="334">
        <v>18</v>
      </c>
      <c r="J22" s="435">
        <v>18</v>
      </c>
      <c r="K22" s="384">
        <f t="shared" si="2"/>
        <v>0</v>
      </c>
      <c r="L22" s="384">
        <f t="shared" si="0"/>
        <v>100</v>
      </c>
      <c r="M22" s="384">
        <f t="shared" si="1"/>
        <v>0</v>
      </c>
      <c r="N22" s="421">
        <f t="shared" si="3"/>
        <v>100</v>
      </c>
      <c r="O22" s="383"/>
      <c r="P22" s="384">
        <v>49.4</v>
      </c>
      <c r="Q22" s="384"/>
      <c r="R22" s="385">
        <f t="shared" si="4"/>
        <v>49.4</v>
      </c>
      <c r="S22" s="388">
        <v>6</v>
      </c>
      <c r="T22" s="342"/>
      <c r="U22" s="355">
        <v>24408</v>
      </c>
      <c r="V22" s="343" t="s">
        <v>129</v>
      </c>
      <c r="W22" s="334" t="s">
        <v>17</v>
      </c>
      <c r="X22" s="334" t="s">
        <v>18</v>
      </c>
      <c r="Y22" s="334">
        <v>39.5</v>
      </c>
      <c r="Z22" s="343" t="s">
        <v>130</v>
      </c>
      <c r="AA22" s="334" t="s">
        <v>82</v>
      </c>
      <c r="AB22" s="334" t="s">
        <v>18</v>
      </c>
      <c r="AC22" s="334">
        <v>9.9</v>
      </c>
      <c r="AD22" s="343"/>
      <c r="AG22" s="344"/>
      <c r="AL22" s="343"/>
      <c r="AO22" s="344"/>
      <c r="AP22" s="343"/>
      <c r="AS22" s="344"/>
      <c r="AW22" s="344"/>
      <c r="BA22" s="345"/>
    </row>
    <row r="23" spans="1:53" s="73" customFormat="1">
      <c r="A23" s="102">
        <v>1965.8</v>
      </c>
      <c r="B23" s="85">
        <v>24442</v>
      </c>
      <c r="C23" s="966" t="s">
        <v>539</v>
      </c>
      <c r="D23" s="966"/>
      <c r="E23" s="73">
        <v>31</v>
      </c>
      <c r="F23" s="73">
        <v>2</v>
      </c>
      <c r="G23" s="123"/>
      <c r="H23" s="73">
        <v>11</v>
      </c>
      <c r="I23" s="73">
        <v>9</v>
      </c>
      <c r="J23" s="134">
        <v>20</v>
      </c>
      <c r="K23" s="92">
        <f t="shared" si="2"/>
        <v>0</v>
      </c>
      <c r="L23" s="92">
        <f t="shared" si="0"/>
        <v>55.000000000000007</v>
      </c>
      <c r="M23" s="92">
        <f t="shared" si="1"/>
        <v>45</v>
      </c>
      <c r="N23" s="125">
        <f t="shared" si="3"/>
        <v>100</v>
      </c>
      <c r="O23" s="91"/>
      <c r="P23" s="92">
        <v>49.4</v>
      </c>
      <c r="Q23" s="92">
        <v>40.700000000000003</v>
      </c>
      <c r="R23" s="93">
        <f t="shared" si="4"/>
        <v>90.1</v>
      </c>
      <c r="S23" s="97">
        <v>2</v>
      </c>
      <c r="T23" s="95"/>
      <c r="U23" s="85">
        <v>24442</v>
      </c>
      <c r="V23" s="82" t="s">
        <v>129</v>
      </c>
      <c r="W23" s="73" t="s">
        <v>17</v>
      </c>
      <c r="X23" s="73" t="s">
        <v>18</v>
      </c>
      <c r="Y23" s="73">
        <v>39.5</v>
      </c>
      <c r="Z23" s="82" t="s">
        <v>130</v>
      </c>
      <c r="AA23" s="73" t="s">
        <v>82</v>
      </c>
      <c r="AB23" s="73" t="s">
        <v>18</v>
      </c>
      <c r="AC23" s="73">
        <v>9.9</v>
      </c>
      <c r="AD23" s="82" t="s">
        <v>133</v>
      </c>
      <c r="AE23" s="73" t="s">
        <v>20</v>
      </c>
      <c r="AF23" s="73" t="s">
        <v>12</v>
      </c>
      <c r="AG23" s="83">
        <v>40.700000000000003</v>
      </c>
      <c r="AL23" s="82"/>
      <c r="AO23" s="83"/>
      <c r="AP23" s="82"/>
      <c r="AS23" s="83"/>
      <c r="AW23" s="83"/>
      <c r="BA23" s="84"/>
    </row>
    <row r="24" spans="1:53" s="73" customFormat="1">
      <c r="A24" s="102">
        <v>1967</v>
      </c>
      <c r="B24" s="85"/>
      <c r="C24" s="966" t="s">
        <v>539</v>
      </c>
      <c r="D24" s="966"/>
      <c r="E24" s="73">
        <v>0</v>
      </c>
      <c r="G24" s="123"/>
      <c r="H24" s="73">
        <v>11</v>
      </c>
      <c r="I24" s="73">
        <v>9</v>
      </c>
      <c r="J24" s="134">
        <v>20</v>
      </c>
      <c r="K24" s="92">
        <f t="shared" si="2"/>
        <v>0</v>
      </c>
      <c r="L24" s="92">
        <f t="shared" si="0"/>
        <v>55.000000000000007</v>
      </c>
      <c r="M24" s="92">
        <f t="shared" si="1"/>
        <v>45</v>
      </c>
      <c r="N24" s="125">
        <f t="shared" si="3"/>
        <v>100</v>
      </c>
      <c r="O24" s="91"/>
      <c r="P24" s="92">
        <v>49.4</v>
      </c>
      <c r="Q24" s="92">
        <v>40.700000000000003</v>
      </c>
      <c r="R24" s="93">
        <f t="shared" si="4"/>
        <v>90.1</v>
      </c>
      <c r="S24" s="97">
        <v>2</v>
      </c>
      <c r="T24" s="95"/>
      <c r="U24" s="85"/>
      <c r="V24" s="82" t="s">
        <v>129</v>
      </c>
      <c r="W24" s="73" t="s">
        <v>17</v>
      </c>
      <c r="X24" s="73" t="s">
        <v>18</v>
      </c>
      <c r="Y24" s="73">
        <v>39.5</v>
      </c>
      <c r="Z24" s="82" t="s">
        <v>130</v>
      </c>
      <c r="AA24" s="73" t="s">
        <v>82</v>
      </c>
      <c r="AB24" s="73" t="s">
        <v>18</v>
      </c>
      <c r="AC24" s="73">
        <v>9.9</v>
      </c>
      <c r="AD24" s="82" t="s">
        <v>133</v>
      </c>
      <c r="AE24" s="73" t="s">
        <v>20</v>
      </c>
      <c r="AF24" s="73" t="s">
        <v>12</v>
      </c>
      <c r="AG24" s="83">
        <v>40.700000000000003</v>
      </c>
      <c r="AL24" s="82"/>
      <c r="AO24" s="83"/>
      <c r="AP24" s="82"/>
      <c r="AS24" s="83"/>
      <c r="AW24" s="83"/>
      <c r="BA24" s="84"/>
    </row>
    <row r="25" spans="1:53" s="73" customFormat="1">
      <c r="A25" s="102">
        <v>1966.7142857142901</v>
      </c>
      <c r="B25" s="85"/>
      <c r="C25" s="966" t="s">
        <v>539</v>
      </c>
      <c r="D25" s="966"/>
      <c r="E25" s="73">
        <v>365</v>
      </c>
      <c r="G25" s="123"/>
      <c r="H25" s="73">
        <v>11</v>
      </c>
      <c r="I25" s="73">
        <v>9</v>
      </c>
      <c r="J25" s="134">
        <v>20</v>
      </c>
      <c r="K25" s="92">
        <f t="shared" si="2"/>
        <v>0</v>
      </c>
      <c r="L25" s="92">
        <f t="shared" si="0"/>
        <v>55.000000000000007</v>
      </c>
      <c r="M25" s="92">
        <f t="shared" si="1"/>
        <v>45</v>
      </c>
      <c r="N25" s="125">
        <f t="shared" si="3"/>
        <v>100</v>
      </c>
      <c r="O25" s="91"/>
      <c r="P25" s="92">
        <v>49.4</v>
      </c>
      <c r="Q25" s="92">
        <v>40.700000000000003</v>
      </c>
      <c r="R25" s="93">
        <f t="shared" si="4"/>
        <v>90.1</v>
      </c>
      <c r="S25" s="97">
        <v>2</v>
      </c>
      <c r="T25" s="95"/>
      <c r="U25" s="85"/>
      <c r="V25" s="82" t="s">
        <v>129</v>
      </c>
      <c r="W25" s="73" t="s">
        <v>17</v>
      </c>
      <c r="X25" s="73" t="s">
        <v>18</v>
      </c>
      <c r="Y25" s="73">
        <v>39.5</v>
      </c>
      <c r="Z25" s="82" t="s">
        <v>130</v>
      </c>
      <c r="AA25" s="73" t="s">
        <v>82</v>
      </c>
      <c r="AB25" s="73" t="s">
        <v>18</v>
      </c>
      <c r="AC25" s="73">
        <v>9.9</v>
      </c>
      <c r="AD25" s="82" t="s">
        <v>133</v>
      </c>
      <c r="AE25" s="73" t="s">
        <v>20</v>
      </c>
      <c r="AF25" s="73" t="s">
        <v>12</v>
      </c>
      <c r="AG25" s="83">
        <v>40.700000000000003</v>
      </c>
      <c r="AL25" s="82"/>
      <c r="AO25" s="83"/>
      <c r="AP25" s="82"/>
      <c r="AS25" s="83"/>
      <c r="AW25" s="83"/>
      <c r="BA25" s="84"/>
    </row>
    <row r="26" spans="1:53" s="73" customFormat="1">
      <c r="A26" s="102">
        <v>1968</v>
      </c>
      <c r="B26" s="85"/>
      <c r="C26" s="966" t="s">
        <v>539</v>
      </c>
      <c r="D26" s="966"/>
      <c r="E26" s="73">
        <v>0</v>
      </c>
      <c r="G26" s="123"/>
      <c r="H26" s="73">
        <v>11</v>
      </c>
      <c r="I26" s="73">
        <v>9</v>
      </c>
      <c r="J26" s="134">
        <v>20</v>
      </c>
      <c r="K26" s="92">
        <f t="shared" si="2"/>
        <v>0</v>
      </c>
      <c r="L26" s="92">
        <f t="shared" si="0"/>
        <v>55.000000000000007</v>
      </c>
      <c r="M26" s="92">
        <f t="shared" si="1"/>
        <v>45</v>
      </c>
      <c r="N26" s="125">
        <f t="shared" si="3"/>
        <v>100</v>
      </c>
      <c r="O26" s="91"/>
      <c r="P26" s="92">
        <v>49.4</v>
      </c>
      <c r="Q26" s="92">
        <v>40.700000000000003</v>
      </c>
      <c r="R26" s="93">
        <f t="shared" si="4"/>
        <v>90.1</v>
      </c>
      <c r="S26" s="97">
        <v>2</v>
      </c>
      <c r="T26" s="95"/>
      <c r="U26" s="85"/>
      <c r="V26" s="82" t="s">
        <v>129</v>
      </c>
      <c r="W26" s="73" t="s">
        <v>17</v>
      </c>
      <c r="X26" s="73" t="s">
        <v>18</v>
      </c>
      <c r="Y26" s="73">
        <v>39.5</v>
      </c>
      <c r="Z26" s="82" t="s">
        <v>130</v>
      </c>
      <c r="AA26" s="73" t="s">
        <v>82</v>
      </c>
      <c r="AB26" s="73" t="s">
        <v>18</v>
      </c>
      <c r="AC26" s="73">
        <v>9.9</v>
      </c>
      <c r="AD26" s="82" t="s">
        <v>133</v>
      </c>
      <c r="AE26" s="73" t="s">
        <v>20</v>
      </c>
      <c r="AF26" s="73" t="s">
        <v>12</v>
      </c>
      <c r="AG26" s="83">
        <v>40.700000000000003</v>
      </c>
      <c r="AL26" s="82"/>
      <c r="AO26" s="83"/>
      <c r="AP26" s="82"/>
      <c r="AS26" s="83"/>
      <c r="AW26" s="83"/>
      <c r="BA26" s="84"/>
    </row>
    <row r="27" spans="1:53" s="73" customFormat="1">
      <c r="A27" s="102">
        <v>1967.62857142857</v>
      </c>
      <c r="B27" s="85"/>
      <c r="C27" s="966" t="s">
        <v>539</v>
      </c>
      <c r="D27" s="966"/>
      <c r="E27" s="73">
        <v>366</v>
      </c>
      <c r="G27" s="123"/>
      <c r="H27" s="73">
        <v>11</v>
      </c>
      <c r="I27" s="73">
        <v>9</v>
      </c>
      <c r="J27" s="134">
        <v>20</v>
      </c>
      <c r="K27" s="92">
        <f t="shared" si="2"/>
        <v>0</v>
      </c>
      <c r="L27" s="92">
        <f t="shared" si="0"/>
        <v>55.000000000000007</v>
      </c>
      <c r="M27" s="92">
        <f t="shared" si="1"/>
        <v>45</v>
      </c>
      <c r="N27" s="125">
        <f t="shared" si="3"/>
        <v>100</v>
      </c>
      <c r="O27" s="91"/>
      <c r="P27" s="92">
        <v>49.4</v>
      </c>
      <c r="Q27" s="92">
        <v>40.700000000000003</v>
      </c>
      <c r="R27" s="93">
        <f t="shared" si="4"/>
        <v>90.1</v>
      </c>
      <c r="S27" s="97">
        <v>2</v>
      </c>
      <c r="T27" s="95"/>
      <c r="U27" s="85"/>
      <c r="V27" s="82" t="s">
        <v>129</v>
      </c>
      <c r="W27" s="73" t="s">
        <v>17</v>
      </c>
      <c r="X27" s="73" t="s">
        <v>18</v>
      </c>
      <c r="Y27" s="73">
        <v>39.5</v>
      </c>
      <c r="Z27" s="82" t="s">
        <v>130</v>
      </c>
      <c r="AA27" s="73" t="s">
        <v>82</v>
      </c>
      <c r="AB27" s="73" t="s">
        <v>18</v>
      </c>
      <c r="AC27" s="73">
        <v>9.9</v>
      </c>
      <c r="AD27" s="82" t="s">
        <v>133</v>
      </c>
      <c r="AE27" s="73" t="s">
        <v>20</v>
      </c>
      <c r="AF27" s="73" t="s">
        <v>12</v>
      </c>
      <c r="AG27" s="83">
        <v>40.700000000000003</v>
      </c>
      <c r="AL27" s="82"/>
      <c r="AO27" s="83"/>
      <c r="AP27" s="82"/>
      <c r="AS27" s="83"/>
      <c r="AW27" s="83"/>
      <c r="BA27" s="84"/>
    </row>
    <row r="28" spans="1:53" s="73" customFormat="1">
      <c r="A28" s="102">
        <v>1969</v>
      </c>
      <c r="B28" s="85"/>
      <c r="C28" s="966" t="s">
        <v>539</v>
      </c>
      <c r="D28" s="966"/>
      <c r="E28" s="73">
        <v>294</v>
      </c>
      <c r="G28" s="123"/>
      <c r="H28" s="73">
        <v>11</v>
      </c>
      <c r="I28" s="73">
        <v>9</v>
      </c>
      <c r="J28" s="134">
        <v>20</v>
      </c>
      <c r="K28" s="92">
        <f t="shared" si="2"/>
        <v>0</v>
      </c>
      <c r="L28" s="92">
        <f t="shared" si="0"/>
        <v>55.000000000000007</v>
      </c>
      <c r="M28" s="92">
        <f t="shared" si="1"/>
        <v>45</v>
      </c>
      <c r="N28" s="125">
        <f t="shared" si="3"/>
        <v>100</v>
      </c>
      <c r="O28" s="91"/>
      <c r="P28" s="92">
        <v>49.4</v>
      </c>
      <c r="Q28" s="92">
        <v>40.700000000000003</v>
      </c>
      <c r="R28" s="93">
        <f t="shared" si="4"/>
        <v>90.1</v>
      </c>
      <c r="S28" s="97">
        <v>2</v>
      </c>
      <c r="T28" s="95"/>
      <c r="U28" s="85"/>
      <c r="V28" s="82" t="s">
        <v>129</v>
      </c>
      <c r="W28" s="73" t="s">
        <v>17</v>
      </c>
      <c r="X28" s="73" t="s">
        <v>18</v>
      </c>
      <c r="Y28" s="73">
        <v>39.5</v>
      </c>
      <c r="Z28" s="82" t="s">
        <v>130</v>
      </c>
      <c r="AA28" s="73" t="s">
        <v>82</v>
      </c>
      <c r="AB28" s="73" t="s">
        <v>18</v>
      </c>
      <c r="AC28" s="73">
        <v>9.9</v>
      </c>
      <c r="AD28" s="82" t="s">
        <v>133</v>
      </c>
      <c r="AE28" s="73" t="s">
        <v>20</v>
      </c>
      <c r="AF28" s="73" t="s">
        <v>12</v>
      </c>
      <c r="AG28" s="83">
        <v>40.700000000000003</v>
      </c>
      <c r="AL28" s="82"/>
      <c r="AO28" s="83"/>
      <c r="AP28" s="82"/>
      <c r="AS28" s="83"/>
      <c r="AW28" s="83"/>
      <c r="BA28" s="84"/>
    </row>
    <row r="29" spans="1:53" s="334" customFormat="1">
      <c r="A29" s="386">
        <v>1968.5428571428599</v>
      </c>
      <c r="B29" s="355">
        <v>25498</v>
      </c>
      <c r="C29" s="965" t="s">
        <v>540</v>
      </c>
      <c r="D29" s="965"/>
      <c r="E29" s="334">
        <v>71</v>
      </c>
      <c r="F29" s="334">
        <v>1</v>
      </c>
      <c r="G29" s="419">
        <v>3</v>
      </c>
      <c r="I29" s="334">
        <v>12</v>
      </c>
      <c r="J29" s="435">
        <v>16</v>
      </c>
      <c r="K29" s="384">
        <f t="shared" si="2"/>
        <v>18.75</v>
      </c>
      <c r="L29" s="384">
        <f t="shared" si="0"/>
        <v>0</v>
      </c>
      <c r="M29" s="384">
        <f t="shared" si="1"/>
        <v>75</v>
      </c>
      <c r="N29" s="421">
        <f t="shared" si="3"/>
        <v>93.75</v>
      </c>
      <c r="O29" s="383">
        <v>6</v>
      </c>
      <c r="P29" s="384"/>
      <c r="Q29" s="384">
        <v>45.2</v>
      </c>
      <c r="R29" s="385">
        <f t="shared" si="4"/>
        <v>51.2</v>
      </c>
      <c r="S29" s="388">
        <v>2</v>
      </c>
      <c r="T29" s="342">
        <v>25474</v>
      </c>
      <c r="U29" s="355">
        <v>25498</v>
      </c>
      <c r="V29" s="343" t="s">
        <v>133</v>
      </c>
      <c r="W29" s="334" t="s">
        <v>20</v>
      </c>
      <c r="X29" s="334" t="s">
        <v>12</v>
      </c>
      <c r="Y29" s="344">
        <v>45.2</v>
      </c>
      <c r="Z29" s="343" t="s">
        <v>132</v>
      </c>
      <c r="AA29" s="334" t="s">
        <v>22</v>
      </c>
      <c r="AB29" s="334" t="s">
        <v>11</v>
      </c>
      <c r="AC29" s="344">
        <v>6</v>
      </c>
      <c r="AD29" s="343"/>
      <c r="AG29" s="344"/>
      <c r="AL29" s="343"/>
      <c r="AO29" s="344"/>
      <c r="AP29" s="343"/>
      <c r="AS29" s="344"/>
      <c r="AW29" s="344"/>
      <c r="BA29" s="345"/>
    </row>
    <row r="30" spans="1:53" s="334" customFormat="1">
      <c r="A30" s="386">
        <v>1970</v>
      </c>
      <c r="B30" s="355"/>
      <c r="C30" s="965" t="s">
        <v>540</v>
      </c>
      <c r="D30" s="965"/>
      <c r="E30" s="334">
        <v>0</v>
      </c>
      <c r="G30" s="419">
        <v>3</v>
      </c>
      <c r="I30" s="334">
        <v>12</v>
      </c>
      <c r="J30" s="435">
        <v>16</v>
      </c>
      <c r="K30" s="384">
        <f t="shared" si="2"/>
        <v>18.75</v>
      </c>
      <c r="L30" s="384">
        <f t="shared" si="0"/>
        <v>0</v>
      </c>
      <c r="M30" s="384">
        <f t="shared" si="1"/>
        <v>75</v>
      </c>
      <c r="N30" s="421">
        <f t="shared" si="3"/>
        <v>93.75</v>
      </c>
      <c r="O30" s="383">
        <v>6</v>
      </c>
      <c r="P30" s="384"/>
      <c r="Q30" s="384">
        <v>45.2</v>
      </c>
      <c r="R30" s="385">
        <f t="shared" si="4"/>
        <v>51.2</v>
      </c>
      <c r="S30" s="388">
        <v>2</v>
      </c>
      <c r="T30" s="342"/>
      <c r="U30" s="355"/>
      <c r="V30" s="343" t="s">
        <v>133</v>
      </c>
      <c r="W30" s="334" t="s">
        <v>20</v>
      </c>
      <c r="X30" s="334" t="s">
        <v>12</v>
      </c>
      <c r="Y30" s="344">
        <v>45.2</v>
      </c>
      <c r="Z30" s="343" t="s">
        <v>132</v>
      </c>
      <c r="AA30" s="334" t="s">
        <v>22</v>
      </c>
      <c r="AB30" s="334" t="s">
        <v>11</v>
      </c>
      <c r="AC30" s="344">
        <v>6</v>
      </c>
      <c r="AD30" s="343"/>
      <c r="AG30" s="344"/>
      <c r="AL30" s="343"/>
      <c r="AO30" s="344"/>
      <c r="AP30" s="343"/>
      <c r="AS30" s="344"/>
      <c r="AW30" s="344"/>
      <c r="BA30" s="345"/>
    </row>
    <row r="31" spans="1:53" s="334" customFormat="1">
      <c r="A31" s="386">
        <v>1970</v>
      </c>
      <c r="B31" s="355"/>
      <c r="C31" s="965" t="s">
        <v>540</v>
      </c>
      <c r="D31" s="965"/>
      <c r="E31" s="334">
        <v>365</v>
      </c>
      <c r="G31" s="419">
        <v>3</v>
      </c>
      <c r="I31" s="334">
        <v>12</v>
      </c>
      <c r="J31" s="435">
        <v>16</v>
      </c>
      <c r="K31" s="384">
        <f t="shared" si="2"/>
        <v>18.75</v>
      </c>
      <c r="L31" s="384">
        <f t="shared" si="0"/>
        <v>0</v>
      </c>
      <c r="M31" s="384">
        <f t="shared" si="1"/>
        <v>75</v>
      </c>
      <c r="N31" s="421">
        <f t="shared" si="3"/>
        <v>93.75</v>
      </c>
      <c r="O31" s="383">
        <v>6</v>
      </c>
      <c r="P31" s="384"/>
      <c r="Q31" s="384">
        <v>45.2</v>
      </c>
      <c r="R31" s="385">
        <f t="shared" si="4"/>
        <v>51.2</v>
      </c>
      <c r="S31" s="388">
        <v>2</v>
      </c>
      <c r="T31" s="342"/>
      <c r="U31" s="355"/>
      <c r="V31" s="343" t="s">
        <v>133</v>
      </c>
      <c r="W31" s="334" t="s">
        <v>20</v>
      </c>
      <c r="X31" s="334" t="s">
        <v>12</v>
      </c>
      <c r="Y31" s="344">
        <v>45.2</v>
      </c>
      <c r="Z31" s="343" t="s">
        <v>132</v>
      </c>
      <c r="AA31" s="334" t="s">
        <v>22</v>
      </c>
      <c r="AB31" s="334" t="s">
        <v>11</v>
      </c>
      <c r="AC31" s="344">
        <v>6</v>
      </c>
      <c r="AD31" s="343"/>
      <c r="AG31" s="344"/>
      <c r="AL31" s="343"/>
      <c r="AO31" s="344"/>
      <c r="AP31" s="343"/>
      <c r="AS31" s="344"/>
      <c r="AW31" s="344"/>
      <c r="BA31" s="345"/>
    </row>
    <row r="32" spans="1:53" s="334" customFormat="1">
      <c r="A32" s="386">
        <v>1971</v>
      </c>
      <c r="B32" s="355"/>
      <c r="C32" s="965" t="s">
        <v>540</v>
      </c>
      <c r="D32" s="965"/>
      <c r="E32" s="334">
        <v>0</v>
      </c>
      <c r="G32" s="419">
        <v>3</v>
      </c>
      <c r="I32" s="334">
        <v>12</v>
      </c>
      <c r="J32" s="435">
        <v>16</v>
      </c>
      <c r="K32" s="384">
        <f t="shared" si="2"/>
        <v>18.75</v>
      </c>
      <c r="L32" s="384">
        <f t="shared" si="0"/>
        <v>0</v>
      </c>
      <c r="M32" s="384">
        <f t="shared" si="1"/>
        <v>75</v>
      </c>
      <c r="N32" s="421">
        <f t="shared" si="3"/>
        <v>93.75</v>
      </c>
      <c r="O32" s="383">
        <v>6</v>
      </c>
      <c r="P32" s="384"/>
      <c r="Q32" s="384">
        <v>45.2</v>
      </c>
      <c r="R32" s="385">
        <f t="shared" si="4"/>
        <v>51.2</v>
      </c>
      <c r="S32" s="388">
        <v>2</v>
      </c>
      <c r="T32" s="342"/>
      <c r="U32" s="355"/>
      <c r="V32" s="343" t="s">
        <v>133</v>
      </c>
      <c r="W32" s="334" t="s">
        <v>20</v>
      </c>
      <c r="X32" s="334" t="s">
        <v>12</v>
      </c>
      <c r="Y32" s="344">
        <v>45.2</v>
      </c>
      <c r="Z32" s="343" t="s">
        <v>132</v>
      </c>
      <c r="AA32" s="334" t="s">
        <v>22</v>
      </c>
      <c r="AB32" s="334" t="s">
        <v>11</v>
      </c>
      <c r="AC32" s="344">
        <v>6</v>
      </c>
      <c r="AD32" s="343"/>
      <c r="AG32" s="344"/>
      <c r="AL32" s="343"/>
      <c r="AO32" s="344"/>
      <c r="AP32" s="343"/>
      <c r="AS32" s="344"/>
      <c r="AW32" s="344"/>
      <c r="BA32" s="345"/>
    </row>
    <row r="33" spans="1:53" s="334" customFormat="1">
      <c r="A33" s="386">
        <v>1971</v>
      </c>
      <c r="B33" s="355"/>
      <c r="C33" s="965" t="s">
        <v>540</v>
      </c>
      <c r="D33" s="965"/>
      <c r="E33" s="334">
        <v>365</v>
      </c>
      <c r="G33" s="419">
        <v>3</v>
      </c>
      <c r="I33" s="334">
        <v>12</v>
      </c>
      <c r="J33" s="435">
        <v>16</v>
      </c>
      <c r="K33" s="384">
        <f t="shared" si="2"/>
        <v>18.75</v>
      </c>
      <c r="L33" s="384">
        <f t="shared" si="0"/>
        <v>0</v>
      </c>
      <c r="M33" s="384">
        <f t="shared" si="1"/>
        <v>75</v>
      </c>
      <c r="N33" s="421">
        <f t="shared" si="3"/>
        <v>93.75</v>
      </c>
      <c r="O33" s="383">
        <v>6</v>
      </c>
      <c r="P33" s="384"/>
      <c r="Q33" s="384">
        <v>45.2</v>
      </c>
      <c r="R33" s="385">
        <f t="shared" si="4"/>
        <v>51.2</v>
      </c>
      <c r="S33" s="388">
        <v>2</v>
      </c>
      <c r="T33" s="342"/>
      <c r="U33" s="355"/>
      <c r="V33" s="343" t="s">
        <v>133</v>
      </c>
      <c r="W33" s="334" t="s">
        <v>20</v>
      </c>
      <c r="X33" s="334" t="s">
        <v>12</v>
      </c>
      <c r="Y33" s="344">
        <v>45.2</v>
      </c>
      <c r="Z33" s="343" t="s">
        <v>132</v>
      </c>
      <c r="AA33" s="334" t="s">
        <v>22</v>
      </c>
      <c r="AB33" s="334" t="s">
        <v>11</v>
      </c>
      <c r="AC33" s="344">
        <v>6</v>
      </c>
      <c r="AD33" s="343"/>
      <c r="AG33" s="344"/>
      <c r="AL33" s="343"/>
      <c r="AO33" s="344"/>
      <c r="AP33" s="343"/>
      <c r="AS33" s="344"/>
      <c r="AW33" s="344"/>
      <c r="BA33" s="345"/>
    </row>
    <row r="34" spans="1:53" s="334" customFormat="1">
      <c r="A34" s="386">
        <v>1972</v>
      </c>
      <c r="B34" s="355"/>
      <c r="C34" s="965" t="s">
        <v>540</v>
      </c>
      <c r="D34" s="965"/>
      <c r="E34" s="334">
        <v>137</v>
      </c>
      <c r="G34" s="419">
        <v>3</v>
      </c>
      <c r="I34" s="334">
        <v>12</v>
      </c>
      <c r="J34" s="435">
        <v>16</v>
      </c>
      <c r="K34" s="384">
        <f t="shared" si="2"/>
        <v>18.75</v>
      </c>
      <c r="L34" s="384">
        <f t="shared" si="0"/>
        <v>0</v>
      </c>
      <c r="M34" s="384">
        <f t="shared" si="1"/>
        <v>75</v>
      </c>
      <c r="N34" s="421">
        <f t="shared" si="3"/>
        <v>93.75</v>
      </c>
      <c r="O34" s="383">
        <v>6</v>
      </c>
      <c r="P34" s="384"/>
      <c r="Q34" s="384">
        <v>45.2</v>
      </c>
      <c r="R34" s="385">
        <f t="shared" si="4"/>
        <v>51.2</v>
      </c>
      <c r="S34" s="388">
        <v>2</v>
      </c>
      <c r="T34" s="342"/>
      <c r="U34" s="355"/>
      <c r="V34" s="343" t="s">
        <v>133</v>
      </c>
      <c r="W34" s="334" t="s">
        <v>20</v>
      </c>
      <c r="X34" s="334" t="s">
        <v>12</v>
      </c>
      <c r="Y34" s="344">
        <v>45.2</v>
      </c>
      <c r="Z34" s="343" t="s">
        <v>132</v>
      </c>
      <c r="AA34" s="334" t="s">
        <v>22</v>
      </c>
      <c r="AB34" s="334" t="s">
        <v>11</v>
      </c>
      <c r="AC34" s="344">
        <v>6</v>
      </c>
      <c r="AD34" s="343"/>
      <c r="AG34" s="344"/>
      <c r="AL34" s="343"/>
      <c r="AO34" s="344"/>
      <c r="AP34" s="343"/>
      <c r="AS34" s="344"/>
      <c r="AW34" s="344"/>
      <c r="BA34" s="345"/>
    </row>
    <row r="35" spans="1:53" s="73" customFormat="1">
      <c r="A35" s="102">
        <v>1972</v>
      </c>
      <c r="B35" s="85">
        <v>26436</v>
      </c>
      <c r="C35" s="966" t="s">
        <v>541</v>
      </c>
      <c r="D35" s="966"/>
      <c r="E35" s="73">
        <v>212</v>
      </c>
      <c r="F35" s="73">
        <v>5</v>
      </c>
      <c r="G35" s="123">
        <v>3</v>
      </c>
      <c r="I35" s="73">
        <v>13</v>
      </c>
      <c r="J35" s="134">
        <v>16</v>
      </c>
      <c r="K35" s="92">
        <f>G35/J35*100</f>
        <v>18.75</v>
      </c>
      <c r="L35" s="92">
        <f>H35/J35*100</f>
        <v>0</v>
      </c>
      <c r="M35" s="92">
        <f>I35/J35*100</f>
        <v>81.25</v>
      </c>
      <c r="N35" s="125">
        <f t="shared" si="3"/>
        <v>100</v>
      </c>
      <c r="O35" s="91">
        <v>6</v>
      </c>
      <c r="P35" s="92"/>
      <c r="Q35" s="92">
        <v>45.2</v>
      </c>
      <c r="R35" s="93">
        <f t="shared" si="4"/>
        <v>51.2</v>
      </c>
      <c r="S35" s="97">
        <v>2</v>
      </c>
      <c r="T35" s="95"/>
      <c r="U35" s="85">
        <v>26436</v>
      </c>
      <c r="V35" s="82" t="s">
        <v>133</v>
      </c>
      <c r="W35" s="73" t="s">
        <v>20</v>
      </c>
      <c r="X35" s="73" t="s">
        <v>12</v>
      </c>
      <c r="Y35" s="83">
        <v>45.2</v>
      </c>
      <c r="Z35" s="82" t="s">
        <v>132</v>
      </c>
      <c r="AA35" s="73" t="s">
        <v>22</v>
      </c>
      <c r="AB35" s="73" t="s">
        <v>11</v>
      </c>
      <c r="AC35" s="83">
        <v>6</v>
      </c>
      <c r="AD35" s="82"/>
      <c r="AG35" s="83"/>
      <c r="AL35" s="82"/>
      <c r="AO35" s="83"/>
      <c r="AP35" s="82"/>
      <c r="AS35" s="83"/>
      <c r="AW35" s="83"/>
      <c r="BA35" s="84"/>
    </row>
    <row r="36" spans="1:53" s="334" customFormat="1">
      <c r="A36" s="386">
        <v>1972</v>
      </c>
      <c r="B36" s="355">
        <v>26648</v>
      </c>
      <c r="C36" s="965" t="s">
        <v>542</v>
      </c>
      <c r="D36" s="965"/>
      <c r="E36" s="334">
        <v>17</v>
      </c>
      <c r="F36" s="334">
        <v>1</v>
      </c>
      <c r="G36" s="419">
        <v>5</v>
      </c>
      <c r="I36" s="334">
        <v>13</v>
      </c>
      <c r="J36" s="435">
        <v>18</v>
      </c>
      <c r="K36" s="384">
        <f t="shared" si="2"/>
        <v>27.777777777777779</v>
      </c>
      <c r="L36" s="384">
        <f t="shared" si="0"/>
        <v>0</v>
      </c>
      <c r="M36" s="384">
        <f t="shared" si="1"/>
        <v>72.222222222222214</v>
      </c>
      <c r="N36" s="421">
        <f t="shared" si="3"/>
        <v>100</v>
      </c>
      <c r="O36" s="383">
        <v>8.3000000000000007</v>
      </c>
      <c r="P36" s="384"/>
      <c r="Q36" s="384">
        <v>46.4</v>
      </c>
      <c r="R36" s="385">
        <f t="shared" si="4"/>
        <v>54.7</v>
      </c>
      <c r="S36" s="388">
        <v>2</v>
      </c>
      <c r="T36" s="342">
        <v>26622</v>
      </c>
      <c r="U36" s="355">
        <v>26648</v>
      </c>
      <c r="V36" s="343" t="s">
        <v>133</v>
      </c>
      <c r="W36" s="334" t="s">
        <v>20</v>
      </c>
      <c r="X36" s="334" t="s">
        <v>12</v>
      </c>
      <c r="Y36" s="334">
        <v>46.4</v>
      </c>
      <c r="Z36" s="343" t="s">
        <v>132</v>
      </c>
      <c r="AA36" s="334" t="s">
        <v>22</v>
      </c>
      <c r="AB36" s="334" t="s">
        <v>11</v>
      </c>
      <c r="AC36" s="334">
        <v>8.3000000000000007</v>
      </c>
      <c r="AD36" s="343"/>
      <c r="AG36" s="344"/>
      <c r="AL36" s="343"/>
      <c r="AO36" s="344"/>
      <c r="AP36" s="343"/>
      <c r="AS36" s="344"/>
      <c r="AW36" s="344"/>
      <c r="BA36" s="345"/>
    </row>
    <row r="37" spans="1:53" s="334" customFormat="1">
      <c r="A37" s="386">
        <v>1973</v>
      </c>
      <c r="B37" s="355"/>
      <c r="C37" s="965" t="s">
        <v>542</v>
      </c>
      <c r="D37" s="965"/>
      <c r="E37" s="334">
        <v>0</v>
      </c>
      <c r="G37" s="419">
        <v>5</v>
      </c>
      <c r="I37" s="334">
        <v>13</v>
      </c>
      <c r="J37" s="435">
        <v>18</v>
      </c>
      <c r="K37" s="384">
        <f t="shared" si="2"/>
        <v>27.777777777777779</v>
      </c>
      <c r="L37" s="384">
        <f t="shared" si="0"/>
        <v>0</v>
      </c>
      <c r="M37" s="384">
        <f t="shared" si="1"/>
        <v>72.222222222222214</v>
      </c>
      <c r="N37" s="421">
        <f t="shared" si="3"/>
        <v>100</v>
      </c>
      <c r="O37" s="383">
        <v>8.3000000000000007</v>
      </c>
      <c r="P37" s="384"/>
      <c r="Q37" s="384">
        <v>46.4</v>
      </c>
      <c r="R37" s="385">
        <f t="shared" si="4"/>
        <v>54.7</v>
      </c>
      <c r="S37" s="388">
        <v>2</v>
      </c>
      <c r="T37" s="342"/>
      <c r="U37" s="355"/>
      <c r="V37" s="343" t="s">
        <v>133</v>
      </c>
      <c r="W37" s="334" t="s">
        <v>20</v>
      </c>
      <c r="X37" s="334" t="s">
        <v>12</v>
      </c>
      <c r="Y37" s="334">
        <v>46.4</v>
      </c>
      <c r="Z37" s="343" t="s">
        <v>132</v>
      </c>
      <c r="AA37" s="334" t="s">
        <v>22</v>
      </c>
      <c r="AB37" s="334" t="s">
        <v>11</v>
      </c>
      <c r="AC37" s="334">
        <v>8.3000000000000007</v>
      </c>
      <c r="AD37" s="343"/>
      <c r="AG37" s="344"/>
      <c r="AL37" s="343"/>
      <c r="AO37" s="344"/>
      <c r="AP37" s="343"/>
      <c r="AS37" s="344"/>
      <c r="AW37" s="344"/>
      <c r="BA37" s="345"/>
    </row>
    <row r="38" spans="1:53" s="334" customFormat="1">
      <c r="A38" s="386">
        <v>1973</v>
      </c>
      <c r="B38" s="355"/>
      <c r="C38" s="965" t="s">
        <v>542</v>
      </c>
      <c r="D38" s="965"/>
      <c r="E38" s="334">
        <v>365</v>
      </c>
      <c r="G38" s="419">
        <v>5</v>
      </c>
      <c r="I38" s="334">
        <v>13</v>
      </c>
      <c r="J38" s="435">
        <v>18</v>
      </c>
      <c r="K38" s="384">
        <f t="shared" si="2"/>
        <v>27.777777777777779</v>
      </c>
      <c r="L38" s="384">
        <f t="shared" si="0"/>
        <v>0</v>
      </c>
      <c r="M38" s="384">
        <f t="shared" si="1"/>
        <v>72.222222222222214</v>
      </c>
      <c r="N38" s="421">
        <f t="shared" si="3"/>
        <v>100</v>
      </c>
      <c r="O38" s="383">
        <v>8.3000000000000007</v>
      </c>
      <c r="P38" s="384"/>
      <c r="Q38" s="384">
        <v>46.4</v>
      </c>
      <c r="R38" s="385">
        <f t="shared" si="4"/>
        <v>54.7</v>
      </c>
      <c r="S38" s="388">
        <v>2</v>
      </c>
      <c r="T38" s="342"/>
      <c r="U38" s="355"/>
      <c r="V38" s="343" t="s">
        <v>133</v>
      </c>
      <c r="W38" s="334" t="s">
        <v>20</v>
      </c>
      <c r="X38" s="334" t="s">
        <v>12</v>
      </c>
      <c r="Y38" s="334">
        <v>46.4</v>
      </c>
      <c r="Z38" s="343" t="s">
        <v>132</v>
      </c>
      <c r="AA38" s="334" t="s">
        <v>22</v>
      </c>
      <c r="AB38" s="334" t="s">
        <v>11</v>
      </c>
      <c r="AC38" s="334">
        <v>8.3000000000000007</v>
      </c>
      <c r="AD38" s="343"/>
      <c r="AG38" s="344"/>
      <c r="AL38" s="343"/>
      <c r="AO38" s="344"/>
      <c r="AP38" s="343"/>
      <c r="AS38" s="344"/>
      <c r="AW38" s="344"/>
      <c r="BA38" s="345"/>
    </row>
    <row r="39" spans="1:53" s="334" customFormat="1">
      <c r="A39" s="386">
        <v>1974</v>
      </c>
      <c r="B39" s="355"/>
      <c r="C39" s="965" t="s">
        <v>542</v>
      </c>
      <c r="D39" s="965"/>
      <c r="E39" s="334">
        <v>135</v>
      </c>
      <c r="G39" s="419">
        <v>5</v>
      </c>
      <c r="I39" s="334">
        <v>13</v>
      </c>
      <c r="J39" s="435">
        <v>18</v>
      </c>
      <c r="K39" s="384">
        <f t="shared" si="2"/>
        <v>27.777777777777779</v>
      </c>
      <c r="L39" s="384">
        <f t="shared" si="0"/>
        <v>0</v>
      </c>
      <c r="M39" s="384">
        <f t="shared" si="1"/>
        <v>72.222222222222214</v>
      </c>
      <c r="N39" s="421">
        <f t="shared" si="3"/>
        <v>100</v>
      </c>
      <c r="O39" s="383">
        <v>8.3000000000000007</v>
      </c>
      <c r="P39" s="384"/>
      <c r="Q39" s="384">
        <v>46.4</v>
      </c>
      <c r="R39" s="385">
        <f t="shared" si="4"/>
        <v>54.7</v>
      </c>
      <c r="S39" s="388">
        <v>2</v>
      </c>
      <c r="T39" s="342"/>
      <c r="U39" s="355"/>
      <c r="V39" s="343" t="s">
        <v>133</v>
      </c>
      <c r="W39" s="334" t="s">
        <v>20</v>
      </c>
      <c r="X39" s="334" t="s">
        <v>12</v>
      </c>
      <c r="Y39" s="334">
        <v>46.4</v>
      </c>
      <c r="Z39" s="343" t="s">
        <v>132</v>
      </c>
      <c r="AA39" s="334" t="s">
        <v>22</v>
      </c>
      <c r="AB39" s="334" t="s">
        <v>11</v>
      </c>
      <c r="AC39" s="334">
        <v>8.3000000000000007</v>
      </c>
      <c r="AD39" s="343"/>
      <c r="AG39" s="344"/>
      <c r="AL39" s="343"/>
      <c r="AO39" s="344"/>
      <c r="AP39" s="343"/>
      <c r="AS39" s="344"/>
      <c r="AW39" s="344"/>
      <c r="BA39" s="345"/>
    </row>
    <row r="40" spans="1:53" s="73" customFormat="1">
      <c r="A40" s="102">
        <v>1974</v>
      </c>
      <c r="B40" s="85">
        <v>27165</v>
      </c>
      <c r="C40" s="966" t="s">
        <v>543</v>
      </c>
      <c r="D40" s="966"/>
      <c r="E40" s="73">
        <v>230</v>
      </c>
      <c r="F40" s="73">
        <v>2</v>
      </c>
      <c r="G40" s="123">
        <v>4</v>
      </c>
      <c r="I40" s="73">
        <v>12</v>
      </c>
      <c r="J40" s="134">
        <v>16</v>
      </c>
      <c r="K40" s="92">
        <f t="shared" si="2"/>
        <v>25</v>
      </c>
      <c r="L40" s="92">
        <f t="shared" si="0"/>
        <v>0</v>
      </c>
      <c r="M40" s="92">
        <f t="shared" si="1"/>
        <v>75</v>
      </c>
      <c r="N40" s="125">
        <f t="shared" si="3"/>
        <v>100</v>
      </c>
      <c r="O40" s="91">
        <v>8.3000000000000007</v>
      </c>
      <c r="P40" s="92"/>
      <c r="Q40" s="92">
        <v>46.4</v>
      </c>
      <c r="R40" s="93">
        <f t="shared" si="4"/>
        <v>54.7</v>
      </c>
      <c r="S40" s="97">
        <v>2</v>
      </c>
      <c r="T40" s="95"/>
      <c r="U40" s="85">
        <v>27165</v>
      </c>
      <c r="V40" s="82" t="s">
        <v>133</v>
      </c>
      <c r="W40" s="73" t="s">
        <v>20</v>
      </c>
      <c r="X40" s="73" t="s">
        <v>12</v>
      </c>
      <c r="Y40" s="73">
        <v>46.4</v>
      </c>
      <c r="Z40" s="82" t="s">
        <v>132</v>
      </c>
      <c r="AA40" s="73" t="s">
        <v>22</v>
      </c>
      <c r="AB40" s="73" t="s">
        <v>11</v>
      </c>
      <c r="AC40" s="73">
        <v>8.3000000000000007</v>
      </c>
      <c r="AD40" s="82"/>
      <c r="AG40" s="83"/>
      <c r="AL40" s="82"/>
      <c r="AO40" s="83"/>
      <c r="AP40" s="82"/>
      <c r="AS40" s="83"/>
      <c r="AW40" s="83"/>
      <c r="BA40" s="84"/>
    </row>
    <row r="41" spans="1:53" s="73" customFormat="1">
      <c r="A41" s="102">
        <v>1975</v>
      </c>
      <c r="B41" s="85"/>
      <c r="C41" s="966" t="s">
        <v>543</v>
      </c>
      <c r="D41" s="966"/>
      <c r="E41" s="73">
        <v>0</v>
      </c>
      <c r="G41" s="123">
        <v>4</v>
      </c>
      <c r="I41" s="73">
        <v>12</v>
      </c>
      <c r="J41" s="134">
        <v>16</v>
      </c>
      <c r="K41" s="92">
        <f t="shared" si="2"/>
        <v>25</v>
      </c>
      <c r="L41" s="92">
        <f t="shared" si="0"/>
        <v>0</v>
      </c>
      <c r="M41" s="92">
        <f t="shared" si="1"/>
        <v>75</v>
      </c>
      <c r="N41" s="125">
        <f t="shared" si="3"/>
        <v>100</v>
      </c>
      <c r="O41" s="91">
        <v>8.3000000000000007</v>
      </c>
      <c r="P41" s="92"/>
      <c r="Q41" s="92">
        <v>46.4</v>
      </c>
      <c r="R41" s="93">
        <f t="shared" si="4"/>
        <v>54.7</v>
      </c>
      <c r="S41" s="97">
        <v>2</v>
      </c>
      <c r="T41" s="95"/>
      <c r="U41" s="85"/>
      <c r="V41" s="82" t="s">
        <v>133</v>
      </c>
      <c r="W41" s="73" t="s">
        <v>20</v>
      </c>
      <c r="X41" s="73" t="s">
        <v>12</v>
      </c>
      <c r="Y41" s="73">
        <v>46.4</v>
      </c>
      <c r="Z41" s="82" t="s">
        <v>132</v>
      </c>
      <c r="AA41" s="73" t="s">
        <v>22</v>
      </c>
      <c r="AB41" s="73" t="s">
        <v>11</v>
      </c>
      <c r="AC41" s="73">
        <v>8.3000000000000007</v>
      </c>
      <c r="AD41" s="82"/>
      <c r="AG41" s="83"/>
      <c r="AL41" s="82"/>
      <c r="AO41" s="83"/>
      <c r="AP41" s="82"/>
      <c r="AS41" s="83"/>
      <c r="AW41" s="83"/>
      <c r="BA41" s="84"/>
    </row>
    <row r="42" spans="1:53" s="73" customFormat="1">
      <c r="A42" s="102">
        <v>1975</v>
      </c>
      <c r="B42" s="85"/>
      <c r="C42" s="966" t="s">
        <v>543</v>
      </c>
      <c r="D42" s="966"/>
      <c r="E42" s="73">
        <v>365</v>
      </c>
      <c r="G42" s="123">
        <v>4</v>
      </c>
      <c r="I42" s="73">
        <v>12</v>
      </c>
      <c r="J42" s="134">
        <v>16</v>
      </c>
      <c r="K42" s="92">
        <f t="shared" si="2"/>
        <v>25</v>
      </c>
      <c r="L42" s="92">
        <f t="shared" si="0"/>
        <v>0</v>
      </c>
      <c r="M42" s="92">
        <f t="shared" si="1"/>
        <v>75</v>
      </c>
      <c r="N42" s="125">
        <f t="shared" si="3"/>
        <v>100</v>
      </c>
      <c r="O42" s="91">
        <v>8.3000000000000007</v>
      </c>
      <c r="P42" s="92"/>
      <c r="Q42" s="92">
        <v>46.4</v>
      </c>
      <c r="R42" s="93">
        <f t="shared" si="4"/>
        <v>54.7</v>
      </c>
      <c r="S42" s="97">
        <v>2</v>
      </c>
      <c r="T42" s="95"/>
      <c r="U42" s="85"/>
      <c r="V42" s="82" t="s">
        <v>133</v>
      </c>
      <c r="W42" s="73" t="s">
        <v>20</v>
      </c>
      <c r="X42" s="73" t="s">
        <v>12</v>
      </c>
      <c r="Y42" s="73">
        <v>46.4</v>
      </c>
      <c r="Z42" s="82" t="s">
        <v>132</v>
      </c>
      <c r="AA42" s="73" t="s">
        <v>22</v>
      </c>
      <c r="AB42" s="73" t="s">
        <v>11</v>
      </c>
      <c r="AC42" s="73">
        <v>8.3000000000000007</v>
      </c>
      <c r="AD42" s="82"/>
      <c r="AG42" s="83"/>
      <c r="AL42" s="82"/>
      <c r="AO42" s="83"/>
      <c r="AP42" s="82"/>
      <c r="AS42" s="83"/>
      <c r="AW42" s="83"/>
      <c r="BA42" s="84"/>
    </row>
    <row r="43" spans="1:53" s="73" customFormat="1">
      <c r="A43" s="102">
        <v>1976</v>
      </c>
      <c r="B43" s="85"/>
      <c r="C43" s="966" t="s">
        <v>543</v>
      </c>
      <c r="D43" s="966"/>
      <c r="E43" s="73">
        <v>349</v>
      </c>
      <c r="G43" s="123">
        <v>4</v>
      </c>
      <c r="I43" s="73">
        <v>12</v>
      </c>
      <c r="J43" s="134">
        <v>16</v>
      </c>
      <c r="K43" s="92">
        <f t="shared" si="2"/>
        <v>25</v>
      </c>
      <c r="L43" s="92">
        <f t="shared" si="0"/>
        <v>0</v>
      </c>
      <c r="M43" s="92">
        <f t="shared" si="1"/>
        <v>75</v>
      </c>
      <c r="N43" s="125">
        <f t="shared" si="3"/>
        <v>100</v>
      </c>
      <c r="O43" s="91">
        <v>8.3000000000000007</v>
      </c>
      <c r="P43" s="92"/>
      <c r="Q43" s="92">
        <v>46.4</v>
      </c>
      <c r="R43" s="93">
        <f t="shared" si="4"/>
        <v>54.7</v>
      </c>
      <c r="S43" s="97">
        <v>2</v>
      </c>
      <c r="T43" s="95"/>
      <c r="U43" s="85"/>
      <c r="V43" s="82" t="s">
        <v>133</v>
      </c>
      <c r="W43" s="73" t="s">
        <v>20</v>
      </c>
      <c r="X43" s="73" t="s">
        <v>12</v>
      </c>
      <c r="Y43" s="73">
        <v>46.4</v>
      </c>
      <c r="Z43" s="82" t="s">
        <v>132</v>
      </c>
      <c r="AA43" s="73" t="s">
        <v>22</v>
      </c>
      <c r="AB43" s="73" t="s">
        <v>11</v>
      </c>
      <c r="AC43" s="73">
        <v>8.3000000000000007</v>
      </c>
      <c r="AD43" s="82"/>
      <c r="AG43" s="83"/>
      <c r="AL43" s="82"/>
      <c r="AO43" s="83"/>
      <c r="AP43" s="82"/>
      <c r="AS43" s="83"/>
      <c r="AW43" s="83"/>
      <c r="BA43" s="84"/>
    </row>
    <row r="44" spans="1:53" s="334" customFormat="1">
      <c r="A44" s="386">
        <v>1976</v>
      </c>
      <c r="B44" s="355">
        <v>28109</v>
      </c>
      <c r="C44" s="965" t="s">
        <v>544</v>
      </c>
      <c r="D44" s="965"/>
      <c r="E44" s="334">
        <v>17</v>
      </c>
      <c r="F44" s="334">
        <v>1</v>
      </c>
      <c r="G44" s="419">
        <v>4</v>
      </c>
      <c r="I44" s="334">
        <v>12</v>
      </c>
      <c r="J44" s="435">
        <v>16</v>
      </c>
      <c r="K44" s="384">
        <f t="shared" si="2"/>
        <v>25</v>
      </c>
      <c r="L44" s="384">
        <f t="shared" si="0"/>
        <v>0</v>
      </c>
      <c r="M44" s="384">
        <f t="shared" si="1"/>
        <v>75</v>
      </c>
      <c r="N44" s="421">
        <f t="shared" si="3"/>
        <v>100</v>
      </c>
      <c r="O44" s="383">
        <v>7.9</v>
      </c>
      <c r="P44" s="384"/>
      <c r="Q44" s="384">
        <v>43.1</v>
      </c>
      <c r="R44" s="385">
        <f t="shared" si="4"/>
        <v>51</v>
      </c>
      <c r="S44" s="388">
        <v>2</v>
      </c>
      <c r="T44" s="342">
        <v>28036</v>
      </c>
      <c r="U44" s="355">
        <v>28109</v>
      </c>
      <c r="V44" s="343" t="s">
        <v>133</v>
      </c>
      <c r="W44" s="334" t="s">
        <v>20</v>
      </c>
      <c r="X44" s="334" t="s">
        <v>12</v>
      </c>
      <c r="Y44" s="334">
        <v>43.1</v>
      </c>
      <c r="Z44" s="343" t="s">
        <v>132</v>
      </c>
      <c r="AA44" s="334" t="s">
        <v>22</v>
      </c>
      <c r="AB44" s="334" t="s">
        <v>11</v>
      </c>
      <c r="AC44" s="334">
        <v>7.9</v>
      </c>
      <c r="AD44" s="343"/>
      <c r="AG44" s="344"/>
      <c r="AL44" s="343"/>
      <c r="AO44" s="344"/>
      <c r="AP44" s="343"/>
      <c r="AS44" s="344"/>
      <c r="AW44" s="344"/>
      <c r="BA44" s="345"/>
    </row>
    <row r="45" spans="1:53" s="334" customFormat="1">
      <c r="A45" s="386">
        <v>1977</v>
      </c>
      <c r="B45" s="355"/>
      <c r="C45" s="965" t="s">
        <v>544</v>
      </c>
      <c r="D45" s="965"/>
      <c r="E45" s="334">
        <v>0</v>
      </c>
      <c r="G45" s="419">
        <v>4</v>
      </c>
      <c r="I45" s="334">
        <v>12</v>
      </c>
      <c r="J45" s="435">
        <v>16</v>
      </c>
      <c r="K45" s="384">
        <f t="shared" si="2"/>
        <v>25</v>
      </c>
      <c r="L45" s="384">
        <f t="shared" si="0"/>
        <v>0</v>
      </c>
      <c r="M45" s="384">
        <f t="shared" si="1"/>
        <v>75</v>
      </c>
      <c r="N45" s="421">
        <f t="shared" si="3"/>
        <v>100</v>
      </c>
      <c r="O45" s="383">
        <v>7.9</v>
      </c>
      <c r="P45" s="384"/>
      <c r="Q45" s="384">
        <v>43.1</v>
      </c>
      <c r="R45" s="385">
        <f t="shared" si="4"/>
        <v>51</v>
      </c>
      <c r="S45" s="388">
        <v>2</v>
      </c>
      <c r="T45" s="342"/>
      <c r="U45" s="355"/>
      <c r="V45" s="343" t="s">
        <v>133</v>
      </c>
      <c r="W45" s="334" t="s">
        <v>20</v>
      </c>
      <c r="X45" s="334" t="s">
        <v>12</v>
      </c>
      <c r="Y45" s="334">
        <v>43.1</v>
      </c>
      <c r="Z45" s="343" t="s">
        <v>132</v>
      </c>
      <c r="AA45" s="334" t="s">
        <v>22</v>
      </c>
      <c r="AB45" s="334" t="s">
        <v>11</v>
      </c>
      <c r="AC45" s="334">
        <v>7.9</v>
      </c>
      <c r="AD45" s="343"/>
      <c r="AG45" s="344"/>
      <c r="AL45" s="343"/>
      <c r="AO45" s="344"/>
      <c r="AP45" s="343"/>
      <c r="AS45" s="344"/>
      <c r="AW45" s="344"/>
      <c r="BA45" s="345"/>
    </row>
    <row r="46" spans="1:53" s="334" customFormat="1">
      <c r="A46" s="386">
        <v>1977</v>
      </c>
      <c r="B46" s="355"/>
      <c r="C46" s="965" t="s">
        <v>544</v>
      </c>
      <c r="D46" s="965"/>
      <c r="E46" s="334">
        <v>365</v>
      </c>
      <c r="G46" s="419">
        <v>4</v>
      </c>
      <c r="I46" s="334">
        <v>12</v>
      </c>
      <c r="J46" s="435">
        <v>16</v>
      </c>
      <c r="K46" s="384">
        <f t="shared" si="2"/>
        <v>25</v>
      </c>
      <c r="L46" s="384">
        <f t="shared" si="0"/>
        <v>0</v>
      </c>
      <c r="M46" s="384">
        <f t="shared" si="1"/>
        <v>75</v>
      </c>
      <c r="N46" s="421">
        <f t="shared" si="3"/>
        <v>100</v>
      </c>
      <c r="O46" s="383">
        <v>7.9</v>
      </c>
      <c r="P46" s="384"/>
      <c r="Q46" s="384">
        <v>43.1</v>
      </c>
      <c r="R46" s="385">
        <f t="shared" si="4"/>
        <v>51</v>
      </c>
      <c r="S46" s="388">
        <v>2</v>
      </c>
      <c r="T46" s="342"/>
      <c r="U46" s="355"/>
      <c r="V46" s="343" t="s">
        <v>133</v>
      </c>
      <c r="W46" s="334" t="s">
        <v>20</v>
      </c>
      <c r="X46" s="334" t="s">
        <v>12</v>
      </c>
      <c r="Y46" s="334">
        <v>43.1</v>
      </c>
      <c r="Z46" s="343" t="s">
        <v>132</v>
      </c>
      <c r="AA46" s="334" t="s">
        <v>22</v>
      </c>
      <c r="AB46" s="334" t="s">
        <v>11</v>
      </c>
      <c r="AC46" s="334">
        <v>7.9</v>
      </c>
      <c r="AD46" s="343"/>
      <c r="AG46" s="344"/>
      <c r="AL46" s="343"/>
      <c r="AO46" s="344"/>
      <c r="AP46" s="343"/>
      <c r="AS46" s="344"/>
      <c r="AW46" s="344"/>
      <c r="BA46" s="345"/>
    </row>
    <row r="47" spans="1:53" s="334" customFormat="1">
      <c r="A47" s="386">
        <v>1978</v>
      </c>
      <c r="B47" s="355"/>
      <c r="C47" s="965" t="s">
        <v>544</v>
      </c>
      <c r="D47" s="965"/>
      <c r="E47" s="334">
        <v>0</v>
      </c>
      <c r="G47" s="419">
        <v>4</v>
      </c>
      <c r="I47" s="334">
        <v>12</v>
      </c>
      <c r="J47" s="435">
        <v>16</v>
      </c>
      <c r="K47" s="384">
        <f t="shared" si="2"/>
        <v>25</v>
      </c>
      <c r="L47" s="384">
        <f t="shared" si="0"/>
        <v>0</v>
      </c>
      <c r="M47" s="384">
        <f t="shared" si="1"/>
        <v>75</v>
      </c>
      <c r="N47" s="421">
        <f t="shared" si="3"/>
        <v>100</v>
      </c>
      <c r="O47" s="383">
        <v>7.9</v>
      </c>
      <c r="P47" s="384"/>
      <c r="Q47" s="384">
        <v>43.1</v>
      </c>
      <c r="R47" s="385">
        <f t="shared" si="4"/>
        <v>51</v>
      </c>
      <c r="S47" s="388">
        <v>2</v>
      </c>
      <c r="T47" s="342"/>
      <c r="U47" s="355"/>
      <c r="V47" s="343" t="s">
        <v>133</v>
      </c>
      <c r="W47" s="334" t="s">
        <v>20</v>
      </c>
      <c r="X47" s="334" t="s">
        <v>12</v>
      </c>
      <c r="Y47" s="334">
        <v>43.1</v>
      </c>
      <c r="Z47" s="343" t="s">
        <v>132</v>
      </c>
      <c r="AA47" s="334" t="s">
        <v>22</v>
      </c>
      <c r="AB47" s="334" t="s">
        <v>11</v>
      </c>
      <c r="AC47" s="334">
        <v>7.9</v>
      </c>
      <c r="AD47" s="343"/>
      <c r="AG47" s="344"/>
      <c r="AL47" s="343"/>
      <c r="AO47" s="344"/>
      <c r="AP47" s="343"/>
      <c r="AS47" s="344"/>
      <c r="AW47" s="344"/>
      <c r="BA47" s="345"/>
    </row>
    <row r="48" spans="1:53" s="334" customFormat="1">
      <c r="A48" s="386">
        <v>1978</v>
      </c>
      <c r="B48" s="355"/>
      <c r="C48" s="965" t="s">
        <v>544</v>
      </c>
      <c r="D48" s="965"/>
      <c r="E48" s="334">
        <v>365</v>
      </c>
      <c r="G48" s="419">
        <v>4</v>
      </c>
      <c r="I48" s="334">
        <v>12</v>
      </c>
      <c r="J48" s="435">
        <v>16</v>
      </c>
      <c r="K48" s="384">
        <f t="shared" si="2"/>
        <v>25</v>
      </c>
      <c r="L48" s="384">
        <f t="shared" si="0"/>
        <v>0</v>
      </c>
      <c r="M48" s="384">
        <f t="shared" si="1"/>
        <v>75</v>
      </c>
      <c r="N48" s="421">
        <f t="shared" si="3"/>
        <v>100</v>
      </c>
      <c r="O48" s="383">
        <v>7.9</v>
      </c>
      <c r="P48" s="384"/>
      <c r="Q48" s="384">
        <v>43.1</v>
      </c>
      <c r="R48" s="385">
        <f t="shared" si="4"/>
        <v>51</v>
      </c>
      <c r="S48" s="388">
        <v>2</v>
      </c>
      <c r="T48" s="342"/>
      <c r="U48" s="355"/>
      <c r="V48" s="343" t="s">
        <v>133</v>
      </c>
      <c r="W48" s="334" t="s">
        <v>20</v>
      </c>
      <c r="X48" s="334" t="s">
        <v>12</v>
      </c>
      <c r="Y48" s="334">
        <v>43.1</v>
      </c>
      <c r="Z48" s="343" t="s">
        <v>132</v>
      </c>
      <c r="AA48" s="334" t="s">
        <v>22</v>
      </c>
      <c r="AB48" s="334" t="s">
        <v>11</v>
      </c>
      <c r="AC48" s="334">
        <v>7.9</v>
      </c>
      <c r="AD48" s="343"/>
      <c r="AG48" s="344"/>
      <c r="AL48" s="343"/>
      <c r="AO48" s="344"/>
      <c r="AP48" s="343"/>
      <c r="AS48" s="344"/>
      <c r="AW48" s="344"/>
      <c r="BA48" s="345"/>
    </row>
    <row r="49" spans="1:53" s="334" customFormat="1">
      <c r="A49" s="386">
        <v>1979</v>
      </c>
      <c r="B49" s="355"/>
      <c r="C49" s="965" t="s">
        <v>544</v>
      </c>
      <c r="D49" s="965"/>
      <c r="E49" s="334">
        <v>0</v>
      </c>
      <c r="G49" s="419">
        <v>4</v>
      </c>
      <c r="I49" s="334">
        <v>12</v>
      </c>
      <c r="J49" s="435">
        <v>16</v>
      </c>
      <c r="K49" s="384">
        <f t="shared" si="2"/>
        <v>25</v>
      </c>
      <c r="L49" s="384">
        <f t="shared" si="0"/>
        <v>0</v>
      </c>
      <c r="M49" s="384">
        <f t="shared" si="1"/>
        <v>75</v>
      </c>
      <c r="N49" s="421">
        <f t="shared" si="3"/>
        <v>100</v>
      </c>
      <c r="O49" s="383">
        <v>7.9</v>
      </c>
      <c r="P49" s="384"/>
      <c r="Q49" s="384">
        <v>43.1</v>
      </c>
      <c r="R49" s="385">
        <f t="shared" si="4"/>
        <v>51</v>
      </c>
      <c r="S49" s="388">
        <v>2</v>
      </c>
      <c r="T49" s="342"/>
      <c r="U49" s="355"/>
      <c r="V49" s="343" t="s">
        <v>133</v>
      </c>
      <c r="W49" s="334" t="s">
        <v>20</v>
      </c>
      <c r="X49" s="334" t="s">
        <v>12</v>
      </c>
      <c r="Y49" s="334">
        <v>43.1</v>
      </c>
      <c r="Z49" s="343" t="s">
        <v>132</v>
      </c>
      <c r="AA49" s="334" t="s">
        <v>22</v>
      </c>
      <c r="AB49" s="334" t="s">
        <v>11</v>
      </c>
      <c r="AC49" s="334">
        <v>7.9</v>
      </c>
      <c r="AD49" s="343"/>
      <c r="AG49" s="344"/>
      <c r="AL49" s="343"/>
      <c r="AO49" s="344"/>
      <c r="AP49" s="343"/>
      <c r="AS49" s="344"/>
      <c r="AW49" s="344"/>
      <c r="BA49" s="345"/>
    </row>
    <row r="50" spans="1:53" s="334" customFormat="1">
      <c r="A50" s="386">
        <v>1979</v>
      </c>
      <c r="B50" s="355"/>
      <c r="C50" s="965" t="s">
        <v>544</v>
      </c>
      <c r="D50" s="965"/>
      <c r="E50" s="334">
        <v>365</v>
      </c>
      <c r="G50" s="419">
        <v>4</v>
      </c>
      <c r="I50" s="334">
        <v>12</v>
      </c>
      <c r="J50" s="435">
        <v>16</v>
      </c>
      <c r="K50" s="384">
        <f t="shared" si="2"/>
        <v>25</v>
      </c>
      <c r="L50" s="384">
        <f t="shared" si="0"/>
        <v>0</v>
      </c>
      <c r="M50" s="384">
        <f t="shared" si="1"/>
        <v>75</v>
      </c>
      <c r="N50" s="421">
        <f t="shared" si="3"/>
        <v>100</v>
      </c>
      <c r="O50" s="383">
        <v>7.9</v>
      </c>
      <c r="P50" s="384"/>
      <c r="Q50" s="384">
        <v>43.1</v>
      </c>
      <c r="R50" s="385">
        <f t="shared" si="4"/>
        <v>51</v>
      </c>
      <c r="S50" s="388">
        <v>2</v>
      </c>
      <c r="T50" s="342"/>
      <c r="U50" s="355"/>
      <c r="V50" s="343" t="s">
        <v>133</v>
      </c>
      <c r="W50" s="334" t="s">
        <v>20</v>
      </c>
      <c r="X50" s="334" t="s">
        <v>12</v>
      </c>
      <c r="Y50" s="334">
        <v>43.1</v>
      </c>
      <c r="Z50" s="343" t="s">
        <v>132</v>
      </c>
      <c r="AA50" s="334" t="s">
        <v>22</v>
      </c>
      <c r="AB50" s="334" t="s">
        <v>11</v>
      </c>
      <c r="AC50" s="334">
        <v>7.9</v>
      </c>
      <c r="AD50" s="343"/>
      <c r="AG50" s="344"/>
      <c r="AL50" s="343"/>
      <c r="AO50" s="344"/>
      <c r="AP50" s="343"/>
      <c r="AS50" s="344"/>
      <c r="AW50" s="344"/>
      <c r="BA50" s="345"/>
    </row>
    <row r="51" spans="1:53" s="334" customFormat="1">
      <c r="A51" s="386">
        <v>1980</v>
      </c>
      <c r="B51" s="355"/>
      <c r="C51" s="965" t="s">
        <v>544</v>
      </c>
      <c r="D51" s="965"/>
      <c r="E51" s="334">
        <v>308</v>
      </c>
      <c r="G51" s="419">
        <v>4</v>
      </c>
      <c r="I51" s="334">
        <v>12</v>
      </c>
      <c r="J51" s="435">
        <v>16</v>
      </c>
      <c r="K51" s="384">
        <f t="shared" si="2"/>
        <v>25</v>
      </c>
      <c r="L51" s="384">
        <f t="shared" si="0"/>
        <v>0</v>
      </c>
      <c r="M51" s="384">
        <f t="shared" si="1"/>
        <v>75</v>
      </c>
      <c r="N51" s="421">
        <f t="shared" si="3"/>
        <v>100</v>
      </c>
      <c r="O51" s="383">
        <v>7.9</v>
      </c>
      <c r="P51" s="384"/>
      <c r="Q51" s="384">
        <v>43.1</v>
      </c>
      <c r="R51" s="385">
        <f t="shared" si="4"/>
        <v>51</v>
      </c>
      <c r="S51" s="388">
        <v>2</v>
      </c>
      <c r="T51" s="342"/>
      <c r="U51" s="355"/>
      <c r="V51" s="343" t="s">
        <v>133</v>
      </c>
      <c r="W51" s="334" t="s">
        <v>20</v>
      </c>
      <c r="X51" s="334" t="s">
        <v>12</v>
      </c>
      <c r="Y51" s="334">
        <v>43.1</v>
      </c>
      <c r="Z51" s="343" t="s">
        <v>132</v>
      </c>
      <c r="AA51" s="334" t="s">
        <v>22</v>
      </c>
      <c r="AB51" s="334" t="s">
        <v>11</v>
      </c>
      <c r="AC51" s="334">
        <v>7.9</v>
      </c>
      <c r="AD51" s="343"/>
      <c r="AG51" s="344"/>
      <c r="AL51" s="343"/>
      <c r="AO51" s="344"/>
      <c r="AP51" s="343"/>
      <c r="AS51" s="344"/>
      <c r="AW51" s="344"/>
      <c r="BA51" s="345"/>
    </row>
    <row r="52" spans="1:53" s="73" customFormat="1">
      <c r="A52" s="102">
        <v>1980</v>
      </c>
      <c r="B52" s="85">
        <v>29529</v>
      </c>
      <c r="C52" s="966" t="s">
        <v>545</v>
      </c>
      <c r="D52" s="966"/>
      <c r="E52" s="73">
        <v>58</v>
      </c>
      <c r="F52" s="73">
        <v>1</v>
      </c>
      <c r="G52" s="123">
        <v>4</v>
      </c>
      <c r="I52" s="73">
        <v>13</v>
      </c>
      <c r="J52" s="134">
        <v>17</v>
      </c>
      <c r="K52" s="92">
        <f t="shared" si="2"/>
        <v>23.52941176470588</v>
      </c>
      <c r="L52" s="92">
        <f t="shared" si="0"/>
        <v>0</v>
      </c>
      <c r="M52" s="92">
        <f t="shared" si="1"/>
        <v>76.470588235294116</v>
      </c>
      <c r="N52" s="125">
        <f t="shared" si="3"/>
        <v>100</v>
      </c>
      <c r="O52" s="91">
        <v>10.7</v>
      </c>
      <c r="P52" s="92"/>
      <c r="Q52" s="92">
        <v>43.9</v>
      </c>
      <c r="R52" s="93">
        <f t="shared" si="4"/>
        <v>54.599999999999994</v>
      </c>
      <c r="S52" s="97">
        <v>2</v>
      </c>
      <c r="T52" s="95">
        <v>29499</v>
      </c>
      <c r="U52" s="85">
        <v>29529</v>
      </c>
      <c r="V52" s="82" t="s">
        <v>133</v>
      </c>
      <c r="W52" s="73" t="s">
        <v>20</v>
      </c>
      <c r="X52" s="73" t="s">
        <v>12</v>
      </c>
      <c r="Y52" s="73">
        <v>43.9</v>
      </c>
      <c r="Z52" s="82" t="s">
        <v>132</v>
      </c>
      <c r="AA52" s="73" t="s">
        <v>22</v>
      </c>
      <c r="AB52" s="73" t="s">
        <v>11</v>
      </c>
      <c r="AC52" s="73">
        <v>10.7</v>
      </c>
      <c r="AD52" s="82"/>
      <c r="AG52" s="83"/>
      <c r="AL52" s="82"/>
      <c r="AO52" s="83"/>
      <c r="AP52" s="82"/>
      <c r="AS52" s="83"/>
      <c r="AW52" s="83"/>
      <c r="BA52" s="84"/>
    </row>
    <row r="53" spans="1:53" s="73" customFormat="1">
      <c r="A53" s="102">
        <v>1981</v>
      </c>
      <c r="B53" s="85"/>
      <c r="C53" s="966" t="s">
        <v>545</v>
      </c>
      <c r="D53" s="966"/>
      <c r="E53" s="73">
        <v>0</v>
      </c>
      <c r="G53" s="123">
        <v>4</v>
      </c>
      <c r="I53" s="73">
        <v>13</v>
      </c>
      <c r="J53" s="134">
        <v>17</v>
      </c>
      <c r="K53" s="92">
        <f t="shared" si="2"/>
        <v>23.52941176470588</v>
      </c>
      <c r="L53" s="92">
        <f t="shared" si="0"/>
        <v>0</v>
      </c>
      <c r="M53" s="92">
        <f t="shared" si="1"/>
        <v>76.470588235294116</v>
      </c>
      <c r="N53" s="125">
        <f t="shared" si="3"/>
        <v>100</v>
      </c>
      <c r="O53" s="91">
        <v>10.7</v>
      </c>
      <c r="P53" s="92"/>
      <c r="Q53" s="92">
        <v>43.9</v>
      </c>
      <c r="R53" s="93">
        <f t="shared" si="4"/>
        <v>54.599999999999994</v>
      </c>
      <c r="S53" s="97">
        <v>2</v>
      </c>
      <c r="T53" s="95"/>
      <c r="U53" s="85"/>
      <c r="V53" s="82" t="s">
        <v>133</v>
      </c>
      <c r="W53" s="73" t="s">
        <v>20</v>
      </c>
      <c r="X53" s="73" t="s">
        <v>12</v>
      </c>
      <c r="Y53" s="73">
        <v>43.9</v>
      </c>
      <c r="Z53" s="82" t="s">
        <v>132</v>
      </c>
      <c r="AA53" s="73" t="s">
        <v>22</v>
      </c>
      <c r="AB53" s="73" t="s">
        <v>11</v>
      </c>
      <c r="AC53" s="73">
        <v>10.7</v>
      </c>
      <c r="AD53" s="82"/>
      <c r="AG53" s="83"/>
      <c r="AL53" s="82"/>
      <c r="AO53" s="83"/>
      <c r="AP53" s="82"/>
      <c r="AS53" s="83"/>
      <c r="AW53" s="83"/>
      <c r="BA53" s="84"/>
    </row>
    <row r="54" spans="1:53" s="73" customFormat="1">
      <c r="A54" s="102">
        <v>1981</v>
      </c>
      <c r="B54" s="85"/>
      <c r="C54" s="966" t="s">
        <v>545</v>
      </c>
      <c r="D54" s="966"/>
      <c r="E54" s="73">
        <v>365</v>
      </c>
      <c r="G54" s="123">
        <v>4</v>
      </c>
      <c r="I54" s="73">
        <v>13</v>
      </c>
      <c r="J54" s="134">
        <v>17</v>
      </c>
      <c r="K54" s="92">
        <f t="shared" si="2"/>
        <v>23.52941176470588</v>
      </c>
      <c r="L54" s="92">
        <f t="shared" si="0"/>
        <v>0</v>
      </c>
      <c r="M54" s="92">
        <f t="shared" si="1"/>
        <v>76.470588235294116</v>
      </c>
      <c r="N54" s="125">
        <f t="shared" si="3"/>
        <v>100</v>
      </c>
      <c r="O54" s="91">
        <v>10.7</v>
      </c>
      <c r="P54" s="92"/>
      <c r="Q54" s="92">
        <v>43.9</v>
      </c>
      <c r="R54" s="93">
        <f t="shared" si="4"/>
        <v>54.599999999999994</v>
      </c>
      <c r="S54" s="97">
        <v>2</v>
      </c>
      <c r="T54" s="95"/>
      <c r="U54" s="85"/>
      <c r="V54" s="82" t="s">
        <v>133</v>
      </c>
      <c r="W54" s="73" t="s">
        <v>20</v>
      </c>
      <c r="X54" s="73" t="s">
        <v>12</v>
      </c>
      <c r="Y54" s="73">
        <v>43.9</v>
      </c>
      <c r="Z54" s="82" t="s">
        <v>132</v>
      </c>
      <c r="AA54" s="73" t="s">
        <v>22</v>
      </c>
      <c r="AB54" s="73" t="s">
        <v>11</v>
      </c>
      <c r="AC54" s="73">
        <v>10.7</v>
      </c>
      <c r="AD54" s="82"/>
      <c r="AG54" s="83"/>
      <c r="AL54" s="82"/>
      <c r="AO54" s="83"/>
      <c r="AP54" s="82"/>
      <c r="AS54" s="83"/>
      <c r="AW54" s="83"/>
      <c r="BA54" s="84"/>
    </row>
    <row r="55" spans="1:53" s="73" customFormat="1">
      <c r="A55" s="102">
        <v>1982</v>
      </c>
      <c r="B55" s="85"/>
      <c r="C55" s="966" t="s">
        <v>545</v>
      </c>
      <c r="D55" s="966"/>
      <c r="E55" s="73">
        <v>259</v>
      </c>
      <c r="G55" s="123">
        <v>4</v>
      </c>
      <c r="I55" s="73">
        <v>13</v>
      </c>
      <c r="J55" s="134">
        <v>17</v>
      </c>
      <c r="K55" s="92">
        <f t="shared" si="2"/>
        <v>23.52941176470588</v>
      </c>
      <c r="L55" s="92">
        <f t="shared" si="0"/>
        <v>0</v>
      </c>
      <c r="M55" s="92">
        <f t="shared" si="1"/>
        <v>76.470588235294116</v>
      </c>
      <c r="N55" s="125">
        <f t="shared" si="3"/>
        <v>100</v>
      </c>
      <c r="O55" s="91">
        <v>10.7</v>
      </c>
      <c r="P55" s="92"/>
      <c r="Q55" s="92">
        <v>43.9</v>
      </c>
      <c r="R55" s="93">
        <f t="shared" si="4"/>
        <v>54.599999999999994</v>
      </c>
      <c r="S55" s="97">
        <v>2</v>
      </c>
      <c r="T55" s="95"/>
      <c r="U55" s="85"/>
      <c r="V55" s="82" t="s">
        <v>133</v>
      </c>
      <c r="W55" s="73" t="s">
        <v>20</v>
      </c>
      <c r="X55" s="73" t="s">
        <v>12</v>
      </c>
      <c r="Y55" s="73">
        <v>43.9</v>
      </c>
      <c r="Z55" s="82" t="s">
        <v>132</v>
      </c>
      <c r="AA55" s="73" t="s">
        <v>22</v>
      </c>
      <c r="AB55" s="73" t="s">
        <v>11</v>
      </c>
      <c r="AC55" s="73">
        <v>10.7</v>
      </c>
      <c r="AD55" s="82"/>
      <c r="AG55" s="83"/>
      <c r="AL55" s="82"/>
      <c r="AO55" s="83"/>
      <c r="AP55" s="82"/>
      <c r="AS55" s="83"/>
      <c r="AW55" s="83"/>
      <c r="BA55" s="84"/>
    </row>
    <row r="56" spans="1:53" s="334" customFormat="1">
      <c r="A56" s="386">
        <v>1982</v>
      </c>
      <c r="B56" s="355">
        <v>30211</v>
      </c>
      <c r="C56" s="965" t="s">
        <v>546</v>
      </c>
      <c r="D56" s="965"/>
      <c r="E56" s="334">
        <v>17</v>
      </c>
      <c r="F56" s="334">
        <v>4</v>
      </c>
      <c r="G56" s="419"/>
      <c r="I56" s="334">
        <v>13</v>
      </c>
      <c r="J56" s="435">
        <v>13</v>
      </c>
      <c r="K56" s="384">
        <f t="shared" si="2"/>
        <v>0</v>
      </c>
      <c r="L56" s="384">
        <f t="shared" si="0"/>
        <v>0</v>
      </c>
      <c r="M56" s="384">
        <f t="shared" si="1"/>
        <v>100</v>
      </c>
      <c r="N56" s="421">
        <f t="shared" si="3"/>
        <v>100</v>
      </c>
      <c r="O56" s="383"/>
      <c r="P56" s="384"/>
      <c r="Q56" s="384">
        <v>43.9</v>
      </c>
      <c r="R56" s="385">
        <f t="shared" si="4"/>
        <v>43.9</v>
      </c>
      <c r="S56" s="388">
        <v>6</v>
      </c>
      <c r="T56" s="342"/>
      <c r="U56" s="355">
        <v>30211</v>
      </c>
      <c r="V56" s="343" t="s">
        <v>133</v>
      </c>
      <c r="W56" s="334" t="s">
        <v>20</v>
      </c>
      <c r="X56" s="334" t="s">
        <v>12</v>
      </c>
      <c r="Y56" s="334">
        <v>43.9</v>
      </c>
      <c r="Z56" s="343"/>
      <c r="AD56" s="343"/>
      <c r="AG56" s="344"/>
      <c r="AL56" s="343"/>
      <c r="AO56" s="344"/>
      <c r="AP56" s="343"/>
      <c r="AS56" s="344"/>
      <c r="AW56" s="344"/>
      <c r="BA56" s="345"/>
    </row>
    <row r="57" spans="1:53" s="73" customFormat="1">
      <c r="A57" s="102">
        <v>1982</v>
      </c>
      <c r="B57" s="85">
        <v>30228</v>
      </c>
      <c r="C57" s="966" t="s">
        <v>547</v>
      </c>
      <c r="D57" s="966"/>
      <c r="E57" s="73">
        <v>89</v>
      </c>
      <c r="F57" s="73">
        <v>5</v>
      </c>
      <c r="G57" s="123">
        <v>4</v>
      </c>
      <c r="H57" s="73">
        <v>13</v>
      </c>
      <c r="J57" s="134">
        <v>17</v>
      </c>
      <c r="K57" s="92">
        <f t="shared" si="2"/>
        <v>23.52941176470588</v>
      </c>
      <c r="L57" s="92">
        <f t="shared" si="0"/>
        <v>76.470588235294116</v>
      </c>
      <c r="M57" s="92">
        <f t="shared" si="1"/>
        <v>0</v>
      </c>
      <c r="N57" s="125">
        <f t="shared" si="3"/>
        <v>100</v>
      </c>
      <c r="O57" s="91">
        <v>10.7</v>
      </c>
      <c r="P57" s="92">
        <v>45.5</v>
      </c>
      <c r="Q57" s="92"/>
      <c r="R57" s="93">
        <f t="shared" si="4"/>
        <v>56.2</v>
      </c>
      <c r="S57" s="97">
        <v>6</v>
      </c>
      <c r="T57" s="95"/>
      <c r="U57" s="85">
        <v>30228</v>
      </c>
      <c r="V57" s="82" t="s">
        <v>129</v>
      </c>
      <c r="W57" s="73" t="s">
        <v>17</v>
      </c>
      <c r="X57" s="73" t="s">
        <v>18</v>
      </c>
      <c r="Y57" s="73">
        <v>35</v>
      </c>
      <c r="Z57" s="82" t="s">
        <v>130</v>
      </c>
      <c r="AA57" s="73" t="s">
        <v>82</v>
      </c>
      <c r="AB57" s="73" t="s">
        <v>18</v>
      </c>
      <c r="AC57" s="73">
        <v>10.5</v>
      </c>
      <c r="AD57" s="82" t="s">
        <v>132</v>
      </c>
      <c r="AE57" s="73" t="s">
        <v>22</v>
      </c>
      <c r="AF57" s="73" t="s">
        <v>11</v>
      </c>
      <c r="AG57" s="83">
        <v>10.7</v>
      </c>
      <c r="AL57" s="82"/>
      <c r="AO57" s="83"/>
      <c r="AP57" s="82"/>
      <c r="AS57" s="83"/>
      <c r="AW57" s="83"/>
      <c r="BA57" s="84"/>
    </row>
    <row r="58" spans="1:53" s="73" customFormat="1">
      <c r="A58" s="102">
        <v>1983</v>
      </c>
      <c r="B58" s="85"/>
      <c r="C58" s="966" t="s">
        <v>547</v>
      </c>
      <c r="D58" s="966"/>
      <c r="E58" s="73">
        <v>88</v>
      </c>
      <c r="G58" s="123">
        <v>4</v>
      </c>
      <c r="H58" s="73">
        <v>13</v>
      </c>
      <c r="J58" s="134">
        <v>17</v>
      </c>
      <c r="K58" s="92">
        <f t="shared" si="2"/>
        <v>23.52941176470588</v>
      </c>
      <c r="L58" s="92">
        <f t="shared" si="0"/>
        <v>76.470588235294116</v>
      </c>
      <c r="M58" s="92">
        <f t="shared" si="1"/>
        <v>0</v>
      </c>
      <c r="N58" s="125">
        <f t="shared" si="3"/>
        <v>100</v>
      </c>
      <c r="O58" s="91">
        <v>10.7</v>
      </c>
      <c r="P58" s="92">
        <v>45.5</v>
      </c>
      <c r="Q58" s="92"/>
      <c r="R58" s="93">
        <f t="shared" si="4"/>
        <v>56.2</v>
      </c>
      <c r="S58" s="97">
        <v>6</v>
      </c>
      <c r="T58" s="95"/>
      <c r="U58" s="85"/>
      <c r="V58" s="82" t="s">
        <v>129</v>
      </c>
      <c r="W58" s="73" t="s">
        <v>17</v>
      </c>
      <c r="X58" s="73" t="s">
        <v>18</v>
      </c>
      <c r="Y58" s="73">
        <v>35</v>
      </c>
      <c r="Z58" s="82" t="s">
        <v>130</v>
      </c>
      <c r="AA58" s="73" t="s">
        <v>82</v>
      </c>
      <c r="AB58" s="73" t="s">
        <v>18</v>
      </c>
      <c r="AC58" s="73">
        <v>10.5</v>
      </c>
      <c r="AD58" s="82" t="s">
        <v>132</v>
      </c>
      <c r="AE58" s="73" t="s">
        <v>22</v>
      </c>
      <c r="AF58" s="73" t="s">
        <v>11</v>
      </c>
      <c r="AG58" s="83">
        <v>10.7</v>
      </c>
      <c r="AL58" s="82"/>
      <c r="AO58" s="83"/>
      <c r="AP58" s="82"/>
      <c r="AS58" s="83"/>
      <c r="AW58" s="83"/>
      <c r="BA58" s="84"/>
    </row>
    <row r="59" spans="1:53" s="334" customFormat="1">
      <c r="A59" s="386">
        <v>1983</v>
      </c>
      <c r="B59" s="355">
        <v>30405</v>
      </c>
      <c r="C59" s="965" t="s">
        <v>548</v>
      </c>
      <c r="D59" s="965"/>
      <c r="E59" s="334">
        <v>277</v>
      </c>
      <c r="F59" s="334">
        <v>1</v>
      </c>
      <c r="G59" s="419">
        <v>3</v>
      </c>
      <c r="H59" s="334">
        <v>14</v>
      </c>
      <c r="J59" s="435">
        <v>17</v>
      </c>
      <c r="K59" s="384">
        <f t="shared" si="2"/>
        <v>17.647058823529413</v>
      </c>
      <c r="L59" s="384">
        <f t="shared" si="0"/>
        <v>82.35294117647058</v>
      </c>
      <c r="M59" s="384">
        <f t="shared" si="1"/>
        <v>0</v>
      </c>
      <c r="N59" s="421">
        <f t="shared" si="3"/>
        <v>100</v>
      </c>
      <c r="O59" s="383">
        <v>6.8</v>
      </c>
      <c r="P59" s="384">
        <v>49</v>
      </c>
      <c r="Q59" s="384"/>
      <c r="R59" s="385">
        <f t="shared" si="4"/>
        <v>55.8</v>
      </c>
      <c r="S59" s="388">
        <v>2</v>
      </c>
      <c r="T59" s="342">
        <v>30381</v>
      </c>
      <c r="U59" s="355">
        <v>30405</v>
      </c>
      <c r="V59" s="343" t="s">
        <v>129</v>
      </c>
      <c r="W59" s="334" t="s">
        <v>17</v>
      </c>
      <c r="X59" s="334" t="s">
        <v>18</v>
      </c>
      <c r="Y59" s="334">
        <v>38.4</v>
      </c>
      <c r="Z59" s="343" t="s">
        <v>130</v>
      </c>
      <c r="AA59" s="334" t="s">
        <v>82</v>
      </c>
      <c r="AB59" s="334" t="s">
        <v>18</v>
      </c>
      <c r="AC59" s="334">
        <v>10.6</v>
      </c>
      <c r="AD59" s="343" t="s">
        <v>132</v>
      </c>
      <c r="AE59" s="334" t="s">
        <v>22</v>
      </c>
      <c r="AF59" s="334" t="s">
        <v>11</v>
      </c>
      <c r="AG59" s="344">
        <v>6.8</v>
      </c>
      <c r="AL59" s="343"/>
      <c r="AO59" s="344"/>
      <c r="AP59" s="343"/>
      <c r="AS59" s="344"/>
      <c r="AW59" s="344"/>
      <c r="BA59" s="345"/>
    </row>
    <row r="60" spans="1:53" s="334" customFormat="1">
      <c r="A60" s="386">
        <v>1984</v>
      </c>
      <c r="B60" s="355"/>
      <c r="C60" s="965" t="s">
        <v>548</v>
      </c>
      <c r="D60" s="965"/>
      <c r="E60" s="334">
        <v>0</v>
      </c>
      <c r="G60" s="419">
        <v>3</v>
      </c>
      <c r="H60" s="334">
        <v>14</v>
      </c>
      <c r="J60" s="435">
        <v>17</v>
      </c>
      <c r="K60" s="384">
        <f t="shared" si="2"/>
        <v>17.647058823529413</v>
      </c>
      <c r="L60" s="384">
        <f t="shared" si="0"/>
        <v>82.35294117647058</v>
      </c>
      <c r="M60" s="384">
        <f t="shared" si="1"/>
        <v>0</v>
      </c>
      <c r="N60" s="421">
        <f t="shared" si="3"/>
        <v>100</v>
      </c>
      <c r="O60" s="383">
        <v>6.8</v>
      </c>
      <c r="P60" s="384">
        <v>49</v>
      </c>
      <c r="Q60" s="384"/>
      <c r="R60" s="385">
        <f t="shared" si="4"/>
        <v>55.8</v>
      </c>
      <c r="S60" s="388">
        <v>2</v>
      </c>
      <c r="T60" s="342"/>
      <c r="U60" s="355"/>
      <c r="V60" s="343" t="s">
        <v>129</v>
      </c>
      <c r="W60" s="334" t="s">
        <v>17</v>
      </c>
      <c r="X60" s="334" t="s">
        <v>18</v>
      </c>
      <c r="Y60" s="334">
        <v>38.4</v>
      </c>
      <c r="Z60" s="343" t="s">
        <v>130</v>
      </c>
      <c r="AA60" s="334" t="s">
        <v>82</v>
      </c>
      <c r="AB60" s="334" t="s">
        <v>18</v>
      </c>
      <c r="AC60" s="334">
        <v>10.6</v>
      </c>
      <c r="AD60" s="343" t="s">
        <v>132</v>
      </c>
      <c r="AE60" s="334" t="s">
        <v>22</v>
      </c>
      <c r="AF60" s="334" t="s">
        <v>11</v>
      </c>
      <c r="AG60" s="344">
        <v>6.8</v>
      </c>
      <c r="AL60" s="343"/>
      <c r="AO60" s="344"/>
      <c r="AP60" s="343"/>
      <c r="AS60" s="344"/>
      <c r="AW60" s="344"/>
      <c r="BA60" s="345"/>
    </row>
    <row r="61" spans="1:53" s="334" customFormat="1">
      <c r="A61" s="386">
        <v>1984</v>
      </c>
      <c r="B61" s="355"/>
      <c r="C61" s="965" t="s">
        <v>548</v>
      </c>
      <c r="D61" s="965"/>
      <c r="E61" s="334">
        <v>366</v>
      </c>
      <c r="G61" s="419">
        <v>3</v>
      </c>
      <c r="H61" s="334">
        <v>14</v>
      </c>
      <c r="J61" s="435">
        <v>17</v>
      </c>
      <c r="K61" s="384">
        <f t="shared" si="2"/>
        <v>17.647058823529413</v>
      </c>
      <c r="L61" s="384">
        <f t="shared" si="0"/>
        <v>82.35294117647058</v>
      </c>
      <c r="M61" s="384">
        <f t="shared" si="1"/>
        <v>0</v>
      </c>
      <c r="N61" s="421">
        <f t="shared" si="3"/>
        <v>100</v>
      </c>
      <c r="O61" s="383">
        <v>6.8</v>
      </c>
      <c r="P61" s="384">
        <v>49</v>
      </c>
      <c r="Q61" s="384"/>
      <c r="R61" s="385">
        <f t="shared" si="4"/>
        <v>55.8</v>
      </c>
      <c r="S61" s="388">
        <v>2</v>
      </c>
      <c r="T61" s="342"/>
      <c r="U61" s="355"/>
      <c r="V61" s="343" t="s">
        <v>129</v>
      </c>
      <c r="W61" s="334" t="s">
        <v>17</v>
      </c>
      <c r="X61" s="334" t="s">
        <v>18</v>
      </c>
      <c r="Y61" s="334">
        <v>38.4</v>
      </c>
      <c r="Z61" s="343" t="s">
        <v>130</v>
      </c>
      <c r="AA61" s="334" t="s">
        <v>82</v>
      </c>
      <c r="AB61" s="334" t="s">
        <v>18</v>
      </c>
      <c r="AC61" s="334">
        <v>10.6</v>
      </c>
      <c r="AD61" s="343" t="s">
        <v>132</v>
      </c>
      <c r="AE61" s="334" t="s">
        <v>22</v>
      </c>
      <c r="AF61" s="334" t="s">
        <v>11</v>
      </c>
      <c r="AG61" s="344">
        <v>6.8</v>
      </c>
      <c r="AL61" s="343"/>
      <c r="AO61" s="344"/>
      <c r="AP61" s="343"/>
      <c r="AS61" s="344"/>
      <c r="AW61" s="344"/>
      <c r="BA61" s="345"/>
    </row>
    <row r="62" spans="1:53" s="334" customFormat="1">
      <c r="A62" s="386">
        <v>1985</v>
      </c>
      <c r="B62" s="355"/>
      <c r="C62" s="965" t="s">
        <v>548</v>
      </c>
      <c r="D62" s="965"/>
      <c r="E62" s="334">
        <v>0</v>
      </c>
      <c r="G62" s="419">
        <v>3</v>
      </c>
      <c r="H62" s="334">
        <v>14</v>
      </c>
      <c r="J62" s="435">
        <v>17</v>
      </c>
      <c r="K62" s="384">
        <f t="shared" si="2"/>
        <v>17.647058823529413</v>
      </c>
      <c r="L62" s="384">
        <f t="shared" si="0"/>
        <v>82.35294117647058</v>
      </c>
      <c r="M62" s="384">
        <f t="shared" si="1"/>
        <v>0</v>
      </c>
      <c r="N62" s="421">
        <f t="shared" si="3"/>
        <v>100</v>
      </c>
      <c r="O62" s="383">
        <v>6.8</v>
      </c>
      <c r="P62" s="384">
        <v>49</v>
      </c>
      <c r="Q62" s="384"/>
      <c r="R62" s="385">
        <f t="shared" si="4"/>
        <v>55.8</v>
      </c>
      <c r="S62" s="388">
        <v>2</v>
      </c>
      <c r="T62" s="342"/>
      <c r="U62" s="355"/>
      <c r="V62" s="343" t="s">
        <v>129</v>
      </c>
      <c r="W62" s="334" t="s">
        <v>17</v>
      </c>
      <c r="X62" s="334" t="s">
        <v>18</v>
      </c>
      <c r="Y62" s="334">
        <v>38.4</v>
      </c>
      <c r="Z62" s="343" t="s">
        <v>130</v>
      </c>
      <c r="AA62" s="334" t="s">
        <v>82</v>
      </c>
      <c r="AB62" s="334" t="s">
        <v>18</v>
      </c>
      <c r="AC62" s="334">
        <v>10.6</v>
      </c>
      <c r="AD62" s="343" t="s">
        <v>132</v>
      </c>
      <c r="AE62" s="334" t="s">
        <v>22</v>
      </c>
      <c r="AF62" s="334" t="s">
        <v>11</v>
      </c>
      <c r="AG62" s="344">
        <v>6.8</v>
      </c>
      <c r="AL62" s="343"/>
      <c r="AO62" s="344"/>
      <c r="AP62" s="343"/>
      <c r="AS62" s="344"/>
      <c r="AW62" s="344"/>
      <c r="BA62" s="345"/>
    </row>
    <row r="63" spans="1:53" s="334" customFormat="1">
      <c r="A63" s="386">
        <v>1985</v>
      </c>
      <c r="B63" s="355"/>
      <c r="C63" s="965" t="s">
        <v>548</v>
      </c>
      <c r="D63" s="965"/>
      <c r="E63" s="334">
        <v>365</v>
      </c>
      <c r="G63" s="419">
        <v>3</v>
      </c>
      <c r="H63" s="334">
        <v>14</v>
      </c>
      <c r="J63" s="435">
        <v>17</v>
      </c>
      <c r="K63" s="384">
        <f t="shared" si="2"/>
        <v>17.647058823529413</v>
      </c>
      <c r="L63" s="384">
        <f t="shared" si="0"/>
        <v>82.35294117647058</v>
      </c>
      <c r="M63" s="384">
        <f t="shared" si="1"/>
        <v>0</v>
      </c>
      <c r="N63" s="421">
        <f t="shared" si="3"/>
        <v>100</v>
      </c>
      <c r="O63" s="383">
        <v>6.8</v>
      </c>
      <c r="P63" s="384">
        <v>49</v>
      </c>
      <c r="Q63" s="384"/>
      <c r="R63" s="385">
        <f t="shared" si="4"/>
        <v>55.8</v>
      </c>
      <c r="S63" s="388">
        <v>2</v>
      </c>
      <c r="T63" s="342"/>
      <c r="U63" s="355"/>
      <c r="V63" s="343" t="s">
        <v>129</v>
      </c>
      <c r="W63" s="334" t="s">
        <v>17</v>
      </c>
      <c r="X63" s="334" t="s">
        <v>18</v>
      </c>
      <c r="Y63" s="334">
        <v>38.4</v>
      </c>
      <c r="Z63" s="343" t="s">
        <v>130</v>
      </c>
      <c r="AA63" s="334" t="s">
        <v>82</v>
      </c>
      <c r="AB63" s="334" t="s">
        <v>18</v>
      </c>
      <c r="AC63" s="334">
        <v>10.6</v>
      </c>
      <c r="AD63" s="343" t="s">
        <v>132</v>
      </c>
      <c r="AE63" s="334" t="s">
        <v>22</v>
      </c>
      <c r="AF63" s="334" t="s">
        <v>11</v>
      </c>
      <c r="AG63" s="344">
        <v>6.8</v>
      </c>
      <c r="AL63" s="343"/>
      <c r="AO63" s="344"/>
      <c r="AP63" s="343"/>
      <c r="AS63" s="344"/>
      <c r="AW63" s="344"/>
      <c r="BA63" s="345"/>
    </row>
    <row r="64" spans="1:53" s="334" customFormat="1">
      <c r="A64" s="386">
        <v>1986</v>
      </c>
      <c r="B64" s="355"/>
      <c r="C64" s="965" t="s">
        <v>548</v>
      </c>
      <c r="D64" s="965"/>
      <c r="E64" s="334">
        <v>0</v>
      </c>
      <c r="G64" s="419">
        <v>3</v>
      </c>
      <c r="H64" s="334">
        <v>14</v>
      </c>
      <c r="J64" s="435">
        <v>17</v>
      </c>
      <c r="K64" s="384">
        <f t="shared" si="2"/>
        <v>17.647058823529413</v>
      </c>
      <c r="L64" s="384">
        <f t="shared" si="0"/>
        <v>82.35294117647058</v>
      </c>
      <c r="M64" s="384">
        <f t="shared" si="1"/>
        <v>0</v>
      </c>
      <c r="N64" s="421">
        <f t="shared" si="3"/>
        <v>100</v>
      </c>
      <c r="O64" s="383">
        <v>6.8</v>
      </c>
      <c r="P64" s="384">
        <v>49</v>
      </c>
      <c r="Q64" s="384"/>
      <c r="R64" s="385">
        <f t="shared" si="4"/>
        <v>55.8</v>
      </c>
      <c r="S64" s="388">
        <v>2</v>
      </c>
      <c r="T64" s="342"/>
      <c r="U64" s="355"/>
      <c r="V64" s="343" t="s">
        <v>129</v>
      </c>
      <c r="W64" s="334" t="s">
        <v>17</v>
      </c>
      <c r="X64" s="334" t="s">
        <v>18</v>
      </c>
      <c r="Y64" s="334">
        <v>38.4</v>
      </c>
      <c r="Z64" s="343" t="s">
        <v>130</v>
      </c>
      <c r="AA64" s="334" t="s">
        <v>82</v>
      </c>
      <c r="AB64" s="334" t="s">
        <v>18</v>
      </c>
      <c r="AC64" s="334">
        <v>10.6</v>
      </c>
      <c r="AD64" s="343" t="s">
        <v>132</v>
      </c>
      <c r="AE64" s="334" t="s">
        <v>22</v>
      </c>
      <c r="AF64" s="334" t="s">
        <v>11</v>
      </c>
      <c r="AG64" s="344">
        <v>6.8</v>
      </c>
      <c r="AL64" s="343"/>
      <c r="AO64" s="344"/>
      <c r="AP64" s="343"/>
      <c r="AS64" s="344"/>
      <c r="AW64" s="344"/>
      <c r="BA64" s="345"/>
    </row>
    <row r="65" spans="1:53" s="334" customFormat="1">
      <c r="A65" s="386">
        <v>1986</v>
      </c>
      <c r="B65" s="355"/>
      <c r="C65" s="965" t="s">
        <v>548</v>
      </c>
      <c r="D65" s="965"/>
      <c r="E65" s="334">
        <v>365</v>
      </c>
      <c r="G65" s="419">
        <v>3</v>
      </c>
      <c r="H65" s="334">
        <v>14</v>
      </c>
      <c r="J65" s="435">
        <v>17</v>
      </c>
      <c r="K65" s="384">
        <f t="shared" si="2"/>
        <v>17.647058823529413</v>
      </c>
      <c r="L65" s="384">
        <f t="shared" si="0"/>
        <v>82.35294117647058</v>
      </c>
      <c r="M65" s="384">
        <f t="shared" si="1"/>
        <v>0</v>
      </c>
      <c r="N65" s="421">
        <f t="shared" si="3"/>
        <v>100</v>
      </c>
      <c r="O65" s="383">
        <v>6.8</v>
      </c>
      <c r="P65" s="384">
        <v>49</v>
      </c>
      <c r="Q65" s="384"/>
      <c r="R65" s="385">
        <f t="shared" si="4"/>
        <v>55.8</v>
      </c>
      <c r="S65" s="388">
        <v>2</v>
      </c>
      <c r="T65" s="342"/>
      <c r="U65" s="355"/>
      <c r="V65" s="343" t="s">
        <v>129</v>
      </c>
      <c r="W65" s="334" t="s">
        <v>17</v>
      </c>
      <c r="X65" s="334" t="s">
        <v>18</v>
      </c>
      <c r="Y65" s="334">
        <v>38.4</v>
      </c>
      <c r="Z65" s="343" t="s">
        <v>130</v>
      </c>
      <c r="AA65" s="334" t="s">
        <v>82</v>
      </c>
      <c r="AB65" s="334" t="s">
        <v>18</v>
      </c>
      <c r="AC65" s="334">
        <v>10.6</v>
      </c>
      <c r="AD65" s="343" t="s">
        <v>132</v>
      </c>
      <c r="AE65" s="334" t="s">
        <v>22</v>
      </c>
      <c r="AF65" s="334" t="s">
        <v>11</v>
      </c>
      <c r="AG65" s="344">
        <v>6.8</v>
      </c>
      <c r="AL65" s="343"/>
      <c r="AO65" s="344"/>
      <c r="AP65" s="343"/>
      <c r="AS65" s="344"/>
      <c r="AW65" s="344"/>
      <c r="BA65" s="345"/>
    </row>
    <row r="66" spans="1:53" s="334" customFormat="1">
      <c r="A66" s="386">
        <v>1987</v>
      </c>
      <c r="B66" s="355"/>
      <c r="C66" s="965" t="s">
        <v>548</v>
      </c>
      <c r="D66" s="965"/>
      <c r="E66" s="334">
        <v>69</v>
      </c>
      <c r="G66" s="419">
        <v>3</v>
      </c>
      <c r="H66" s="334">
        <v>14</v>
      </c>
      <c r="J66" s="435">
        <v>17</v>
      </c>
      <c r="K66" s="384">
        <f t="shared" si="2"/>
        <v>17.647058823529413</v>
      </c>
      <c r="L66" s="384">
        <f t="shared" si="0"/>
        <v>82.35294117647058</v>
      </c>
      <c r="M66" s="384">
        <f t="shared" si="1"/>
        <v>0</v>
      </c>
      <c r="N66" s="421">
        <f t="shared" si="3"/>
        <v>100</v>
      </c>
      <c r="O66" s="383">
        <v>6.8</v>
      </c>
      <c r="P66" s="384">
        <v>49</v>
      </c>
      <c r="Q66" s="384"/>
      <c r="R66" s="385">
        <f t="shared" si="4"/>
        <v>55.8</v>
      </c>
      <c r="S66" s="388">
        <v>2</v>
      </c>
      <c r="T66" s="342"/>
      <c r="U66" s="355"/>
      <c r="V66" s="343" t="s">
        <v>129</v>
      </c>
      <c r="W66" s="334" t="s">
        <v>17</v>
      </c>
      <c r="X66" s="334" t="s">
        <v>18</v>
      </c>
      <c r="Y66" s="334">
        <v>38.4</v>
      </c>
      <c r="Z66" s="343" t="s">
        <v>130</v>
      </c>
      <c r="AA66" s="334" t="s">
        <v>82</v>
      </c>
      <c r="AB66" s="334" t="s">
        <v>18</v>
      </c>
      <c r="AC66" s="334">
        <v>10.6</v>
      </c>
      <c r="AD66" s="343" t="s">
        <v>132</v>
      </c>
      <c r="AE66" s="334" t="s">
        <v>22</v>
      </c>
      <c r="AF66" s="334" t="s">
        <v>11</v>
      </c>
      <c r="AG66" s="344">
        <v>6.8</v>
      </c>
      <c r="AL66" s="343"/>
      <c r="AO66" s="344"/>
      <c r="AP66" s="343"/>
      <c r="AS66" s="344"/>
      <c r="AW66" s="344"/>
      <c r="BA66" s="345"/>
    </row>
    <row r="67" spans="1:53" s="73" customFormat="1">
      <c r="A67" s="102">
        <v>1987</v>
      </c>
      <c r="B67" s="85">
        <v>31847</v>
      </c>
      <c r="C67" s="966" t="s">
        <v>549</v>
      </c>
      <c r="D67" s="966"/>
      <c r="E67" s="73">
        <v>296</v>
      </c>
      <c r="F67" s="73">
        <v>1</v>
      </c>
      <c r="G67" s="123">
        <v>4</v>
      </c>
      <c r="H67" s="73">
        <v>15</v>
      </c>
      <c r="J67" s="134">
        <v>19</v>
      </c>
      <c r="K67" s="92">
        <f t="shared" si="2"/>
        <v>21.052631578947366</v>
      </c>
      <c r="L67" s="92">
        <f t="shared" si="0"/>
        <v>78.94736842105263</v>
      </c>
      <c r="M67" s="92">
        <f t="shared" si="1"/>
        <v>0</v>
      </c>
      <c r="N67" s="125">
        <f t="shared" si="3"/>
        <v>100</v>
      </c>
      <c r="O67" s="91">
        <v>9.3000000000000007</v>
      </c>
      <c r="P67" s="92">
        <v>44.9</v>
      </c>
      <c r="Q67" s="92"/>
      <c r="R67" s="93">
        <f t="shared" si="4"/>
        <v>54.2</v>
      </c>
      <c r="S67" s="97">
        <v>2</v>
      </c>
      <c r="T67" s="95">
        <v>31802</v>
      </c>
      <c r="U67" s="85">
        <v>31847</v>
      </c>
      <c r="V67" s="82" t="s">
        <v>129</v>
      </c>
      <c r="W67" s="73" t="s">
        <v>17</v>
      </c>
      <c r="X67" s="73" t="s">
        <v>18</v>
      </c>
      <c r="Y67" s="73">
        <v>35</v>
      </c>
      <c r="Z67" s="82" t="s">
        <v>130</v>
      </c>
      <c r="AA67" s="73" t="s">
        <v>82</v>
      </c>
      <c r="AB67" s="73" t="s">
        <v>18</v>
      </c>
      <c r="AC67" s="73">
        <v>9.9</v>
      </c>
      <c r="AD67" s="82" t="s">
        <v>132</v>
      </c>
      <c r="AE67" s="73" t="s">
        <v>22</v>
      </c>
      <c r="AF67" s="73" t="s">
        <v>11</v>
      </c>
      <c r="AG67" s="83">
        <v>9.3000000000000007</v>
      </c>
      <c r="AL67" s="82"/>
      <c r="AO67" s="83"/>
      <c r="AP67" s="82"/>
      <c r="AS67" s="83"/>
      <c r="AW67" s="83"/>
      <c r="BA67" s="84"/>
    </row>
    <row r="68" spans="1:53" s="73" customFormat="1">
      <c r="A68" s="102">
        <v>1988</v>
      </c>
      <c r="B68" s="85"/>
      <c r="C68" s="966" t="s">
        <v>549</v>
      </c>
      <c r="D68" s="966"/>
      <c r="E68" s="73">
        <v>0</v>
      </c>
      <c r="G68" s="123">
        <v>4</v>
      </c>
      <c r="H68" s="73">
        <v>15</v>
      </c>
      <c r="J68" s="134">
        <v>19</v>
      </c>
      <c r="K68" s="92">
        <f t="shared" si="2"/>
        <v>21.052631578947366</v>
      </c>
      <c r="L68" s="92">
        <f t="shared" si="0"/>
        <v>78.94736842105263</v>
      </c>
      <c r="M68" s="92">
        <f t="shared" si="1"/>
        <v>0</v>
      </c>
      <c r="N68" s="125">
        <f t="shared" si="3"/>
        <v>100</v>
      </c>
      <c r="O68" s="91">
        <v>9.3000000000000007</v>
      </c>
      <c r="P68" s="92">
        <v>44.9</v>
      </c>
      <c r="Q68" s="92"/>
      <c r="R68" s="93">
        <f t="shared" si="4"/>
        <v>54.2</v>
      </c>
      <c r="S68" s="97">
        <v>2</v>
      </c>
      <c r="T68" s="95"/>
      <c r="U68" s="85"/>
      <c r="V68" s="82" t="s">
        <v>129</v>
      </c>
      <c r="W68" s="73" t="s">
        <v>17</v>
      </c>
      <c r="X68" s="73" t="s">
        <v>18</v>
      </c>
      <c r="Y68" s="73">
        <v>35</v>
      </c>
      <c r="Z68" s="82" t="s">
        <v>130</v>
      </c>
      <c r="AA68" s="73" t="s">
        <v>82</v>
      </c>
      <c r="AB68" s="73" t="s">
        <v>18</v>
      </c>
      <c r="AC68" s="73">
        <v>9.9</v>
      </c>
      <c r="AD68" s="82" t="s">
        <v>132</v>
      </c>
      <c r="AE68" s="73" t="s">
        <v>22</v>
      </c>
      <c r="AF68" s="73" t="s">
        <v>11</v>
      </c>
      <c r="AG68" s="83">
        <v>9.3000000000000007</v>
      </c>
      <c r="AL68" s="82"/>
      <c r="AO68" s="83"/>
      <c r="AP68" s="82"/>
      <c r="AS68" s="83"/>
      <c r="AW68" s="83"/>
      <c r="BA68" s="84"/>
    </row>
    <row r="69" spans="1:53" s="73" customFormat="1">
      <c r="A69" s="102">
        <v>1988</v>
      </c>
      <c r="B69" s="85"/>
      <c r="C69" s="966" t="s">
        <v>549</v>
      </c>
      <c r="D69" s="966"/>
      <c r="E69" s="73">
        <v>366</v>
      </c>
      <c r="G69" s="123">
        <v>4</v>
      </c>
      <c r="H69" s="73">
        <v>15</v>
      </c>
      <c r="J69" s="134">
        <v>19</v>
      </c>
      <c r="K69" s="92">
        <f t="shared" si="2"/>
        <v>21.052631578947366</v>
      </c>
      <c r="L69" s="92">
        <f t="shared" si="0"/>
        <v>78.94736842105263</v>
      </c>
      <c r="M69" s="92">
        <f t="shared" si="1"/>
        <v>0</v>
      </c>
      <c r="N69" s="125">
        <f t="shared" si="3"/>
        <v>100</v>
      </c>
      <c r="O69" s="91">
        <v>9.3000000000000007</v>
      </c>
      <c r="P69" s="92">
        <v>44.9</v>
      </c>
      <c r="Q69" s="92"/>
      <c r="R69" s="93">
        <f t="shared" si="4"/>
        <v>54.2</v>
      </c>
      <c r="S69" s="97">
        <v>2</v>
      </c>
      <c r="T69" s="95"/>
      <c r="U69" s="85"/>
      <c r="V69" s="82" t="s">
        <v>129</v>
      </c>
      <c r="W69" s="73" t="s">
        <v>17</v>
      </c>
      <c r="X69" s="73" t="s">
        <v>18</v>
      </c>
      <c r="Y69" s="73">
        <v>35</v>
      </c>
      <c r="Z69" s="82" t="s">
        <v>130</v>
      </c>
      <c r="AA69" s="73" t="s">
        <v>82</v>
      </c>
      <c r="AB69" s="73" t="s">
        <v>18</v>
      </c>
      <c r="AC69" s="73">
        <v>9.9</v>
      </c>
      <c r="AD69" s="82" t="s">
        <v>132</v>
      </c>
      <c r="AE69" s="73" t="s">
        <v>22</v>
      </c>
      <c r="AF69" s="73" t="s">
        <v>11</v>
      </c>
      <c r="AG69" s="83">
        <v>9.3000000000000007</v>
      </c>
      <c r="AL69" s="82"/>
      <c r="AO69" s="83"/>
      <c r="AP69" s="82"/>
      <c r="AS69" s="83"/>
      <c r="AW69" s="83"/>
      <c r="BA69" s="84"/>
    </row>
    <row r="70" spans="1:53" s="73" customFormat="1">
      <c r="A70" s="73">
        <v>1989</v>
      </c>
      <c r="B70" s="85"/>
      <c r="C70" s="966" t="s">
        <v>549</v>
      </c>
      <c r="D70" s="966"/>
      <c r="E70" s="73">
        <v>181</v>
      </c>
      <c r="G70" s="123">
        <v>4</v>
      </c>
      <c r="H70" s="73">
        <v>15</v>
      </c>
      <c r="J70" s="134">
        <v>19</v>
      </c>
      <c r="K70" s="92">
        <f t="shared" ref="K70:K77" si="5">G70/J70*100</f>
        <v>21.052631578947366</v>
      </c>
      <c r="L70" s="92">
        <f t="shared" ref="L70:L77" si="6">H70/J70*100</f>
        <v>78.94736842105263</v>
      </c>
      <c r="M70" s="92">
        <f t="shared" ref="M70:M77" si="7">I70/J70*100</f>
        <v>0</v>
      </c>
      <c r="N70" s="125">
        <f t="shared" si="3"/>
        <v>100</v>
      </c>
      <c r="O70" s="91">
        <v>9.3000000000000007</v>
      </c>
      <c r="P70" s="92">
        <v>44.9</v>
      </c>
      <c r="Q70" s="92"/>
      <c r="R70" s="93">
        <f t="shared" si="4"/>
        <v>54.2</v>
      </c>
      <c r="S70" s="97">
        <v>2</v>
      </c>
      <c r="T70" s="95"/>
      <c r="U70" s="85"/>
      <c r="V70" s="82" t="s">
        <v>129</v>
      </c>
      <c r="W70" s="73" t="s">
        <v>17</v>
      </c>
      <c r="X70" s="73" t="s">
        <v>18</v>
      </c>
      <c r="Y70" s="73">
        <v>35</v>
      </c>
      <c r="Z70" s="82" t="s">
        <v>130</v>
      </c>
      <c r="AA70" s="73" t="s">
        <v>82</v>
      </c>
      <c r="AB70" s="73" t="s">
        <v>18</v>
      </c>
      <c r="AC70" s="73">
        <v>9.9</v>
      </c>
      <c r="AD70" s="82" t="s">
        <v>132</v>
      </c>
      <c r="AE70" s="73" t="s">
        <v>22</v>
      </c>
      <c r="AF70" s="73" t="s">
        <v>11</v>
      </c>
      <c r="AG70" s="83">
        <v>9.3000000000000007</v>
      </c>
      <c r="AL70" s="82"/>
      <c r="AO70" s="83"/>
      <c r="AP70" s="82"/>
      <c r="AS70" s="83"/>
      <c r="AW70" s="83"/>
      <c r="BA70" s="84"/>
    </row>
    <row r="71" spans="1:53" s="136" customFormat="1">
      <c r="A71" s="136">
        <v>1989</v>
      </c>
      <c r="B71" s="159">
        <v>32690</v>
      </c>
      <c r="C71" s="1000" t="s">
        <v>549</v>
      </c>
      <c r="D71" s="1000"/>
      <c r="E71" s="136">
        <v>184</v>
      </c>
      <c r="F71" s="160">
        <v>0</v>
      </c>
      <c r="G71" s="138">
        <v>4</v>
      </c>
      <c r="H71" s="136">
        <v>16</v>
      </c>
      <c r="J71" s="139">
        <v>20</v>
      </c>
      <c r="K71" s="140">
        <f t="shared" si="5"/>
        <v>20</v>
      </c>
      <c r="L71" s="140">
        <f t="shared" si="6"/>
        <v>80</v>
      </c>
      <c r="M71" s="140">
        <f t="shared" si="7"/>
        <v>0</v>
      </c>
      <c r="N71" s="141">
        <f t="shared" si="3"/>
        <v>100</v>
      </c>
      <c r="O71" s="142">
        <v>9.3000000000000007</v>
      </c>
      <c r="P71" s="140">
        <v>44.9</v>
      </c>
      <c r="Q71" s="140"/>
      <c r="R71" s="143">
        <f t="shared" si="4"/>
        <v>54.2</v>
      </c>
      <c r="S71" s="144">
        <v>2</v>
      </c>
      <c r="T71" s="145"/>
      <c r="U71" s="137"/>
      <c r="V71" s="146" t="s">
        <v>129</v>
      </c>
      <c r="W71" s="136" t="s">
        <v>17</v>
      </c>
      <c r="X71" s="136" t="s">
        <v>18</v>
      </c>
      <c r="Y71" s="136">
        <v>35</v>
      </c>
      <c r="Z71" s="146" t="s">
        <v>130</v>
      </c>
      <c r="AA71" s="136" t="s">
        <v>82</v>
      </c>
      <c r="AB71" s="136" t="s">
        <v>18</v>
      </c>
      <c r="AC71" s="136">
        <v>9.9</v>
      </c>
      <c r="AD71" s="146" t="s">
        <v>132</v>
      </c>
      <c r="AE71" s="136" t="s">
        <v>22</v>
      </c>
      <c r="AF71" s="136" t="s">
        <v>11</v>
      </c>
      <c r="AG71" s="147">
        <v>9.3000000000000007</v>
      </c>
      <c r="AL71" s="146"/>
      <c r="AO71" s="147"/>
      <c r="AP71" s="146"/>
      <c r="AS71" s="147"/>
      <c r="AW71" s="147"/>
      <c r="BA71" s="148"/>
    </row>
    <row r="72" spans="1:53" s="73" customFormat="1">
      <c r="A72" s="73">
        <v>1990</v>
      </c>
      <c r="C72" s="966" t="s">
        <v>549</v>
      </c>
      <c r="D72" s="966"/>
      <c r="E72" s="73">
        <v>275</v>
      </c>
      <c r="G72" s="123">
        <v>4</v>
      </c>
      <c r="H72" s="73">
        <v>16</v>
      </c>
      <c r="J72" s="134">
        <v>20</v>
      </c>
      <c r="K72" s="92">
        <f t="shared" si="5"/>
        <v>20</v>
      </c>
      <c r="L72" s="92">
        <f t="shared" si="6"/>
        <v>80</v>
      </c>
      <c r="M72" s="92">
        <f t="shared" si="7"/>
        <v>0</v>
      </c>
      <c r="N72" s="125">
        <f t="shared" si="3"/>
        <v>100</v>
      </c>
      <c r="O72" s="91">
        <v>9.3000000000000007</v>
      </c>
      <c r="P72" s="92">
        <v>44.9</v>
      </c>
      <c r="Q72" s="92"/>
      <c r="R72" s="93">
        <f t="shared" si="4"/>
        <v>54.2</v>
      </c>
      <c r="S72" s="97">
        <v>2</v>
      </c>
      <c r="T72" s="95"/>
      <c r="U72" s="85"/>
      <c r="V72" s="82" t="s">
        <v>129</v>
      </c>
      <c r="W72" s="73" t="s">
        <v>17</v>
      </c>
      <c r="X72" s="73" t="s">
        <v>18</v>
      </c>
      <c r="Y72" s="83">
        <v>35</v>
      </c>
      <c r="Z72" s="73" t="s">
        <v>130</v>
      </c>
      <c r="AA72" s="73" t="s">
        <v>82</v>
      </c>
      <c r="AB72" s="73" t="s">
        <v>18</v>
      </c>
      <c r="AC72" s="73">
        <v>9.9</v>
      </c>
      <c r="AD72" s="82" t="s">
        <v>132</v>
      </c>
      <c r="AE72" s="73" t="s">
        <v>22</v>
      </c>
      <c r="AF72" s="73" t="s">
        <v>11</v>
      </c>
      <c r="AG72" s="83">
        <v>9.3000000000000007</v>
      </c>
      <c r="AL72" s="82"/>
      <c r="AO72" s="83"/>
      <c r="AP72" s="82"/>
      <c r="AS72" s="83"/>
      <c r="AW72" s="83"/>
      <c r="BA72" s="84"/>
    </row>
    <row r="73" spans="1:53" s="334" customFormat="1">
      <c r="A73" s="334">
        <v>1990</v>
      </c>
      <c r="B73" s="355">
        <v>33149</v>
      </c>
      <c r="C73" s="992" t="s">
        <v>550</v>
      </c>
      <c r="D73" s="992"/>
      <c r="E73" s="334">
        <f>365-E72</f>
        <v>90</v>
      </c>
      <c r="F73" s="334" t="s">
        <v>345</v>
      </c>
      <c r="G73" s="419">
        <v>5</v>
      </c>
      <c r="H73" s="334">
        <v>20</v>
      </c>
      <c r="J73" s="435">
        <v>25</v>
      </c>
      <c r="K73" s="384">
        <f t="shared" si="5"/>
        <v>20</v>
      </c>
      <c r="L73" s="384">
        <f t="shared" si="6"/>
        <v>80</v>
      </c>
      <c r="M73" s="384">
        <f t="shared" si="7"/>
        <v>0</v>
      </c>
      <c r="N73" s="421">
        <f t="shared" ref="N73:N118" si="8">SUM(K73:M73)</f>
        <v>100</v>
      </c>
      <c r="O73" s="383">
        <v>9.3000000000000007</v>
      </c>
      <c r="P73" s="384">
        <v>44.9</v>
      </c>
      <c r="Q73" s="384"/>
      <c r="R73" s="385">
        <f t="shared" ref="R73:R119" si="9">SUM(O73:Q73)</f>
        <v>54.2</v>
      </c>
      <c r="S73" s="388">
        <v>2</v>
      </c>
      <c r="T73" s="342"/>
      <c r="U73" s="355">
        <v>33149</v>
      </c>
      <c r="V73" s="343" t="s">
        <v>129</v>
      </c>
      <c r="W73" s="334" t="s">
        <v>17</v>
      </c>
      <c r="X73" s="334" t="s">
        <v>18</v>
      </c>
      <c r="Y73" s="344">
        <v>35</v>
      </c>
      <c r="Z73" s="334" t="s">
        <v>130</v>
      </c>
      <c r="AA73" s="334" t="s">
        <v>82</v>
      </c>
      <c r="AB73" s="334" t="s">
        <v>18</v>
      </c>
      <c r="AC73" s="334">
        <v>9.9</v>
      </c>
      <c r="AD73" s="343" t="s">
        <v>132</v>
      </c>
      <c r="AE73" s="334" t="s">
        <v>22</v>
      </c>
      <c r="AF73" s="334" t="s">
        <v>11</v>
      </c>
      <c r="AG73" s="344">
        <v>9.3000000000000007</v>
      </c>
      <c r="AL73" s="343"/>
      <c r="AO73" s="344"/>
      <c r="AP73" s="343"/>
      <c r="AS73" s="344"/>
      <c r="AW73" s="344"/>
      <c r="BA73" s="345"/>
    </row>
    <row r="74" spans="1:53" s="334" customFormat="1">
      <c r="A74" s="334">
        <v>1991</v>
      </c>
      <c r="C74" s="992" t="s">
        <v>550</v>
      </c>
      <c r="D74" s="992"/>
      <c r="E74" s="334">
        <v>17</v>
      </c>
      <c r="G74" s="419">
        <v>5</v>
      </c>
      <c r="H74" s="334">
        <v>20</v>
      </c>
      <c r="J74" s="435">
        <v>25</v>
      </c>
      <c r="K74" s="384">
        <f t="shared" si="5"/>
        <v>20</v>
      </c>
      <c r="L74" s="384">
        <f t="shared" si="6"/>
        <v>80</v>
      </c>
      <c r="M74" s="384">
        <f t="shared" si="7"/>
        <v>0</v>
      </c>
      <c r="N74" s="421">
        <f t="shared" si="8"/>
        <v>100</v>
      </c>
      <c r="O74" s="383">
        <v>9.3000000000000007</v>
      </c>
      <c r="P74" s="384">
        <v>44.9</v>
      </c>
      <c r="Q74" s="384"/>
      <c r="R74" s="385">
        <f t="shared" si="9"/>
        <v>54.2</v>
      </c>
      <c r="S74" s="388">
        <v>2</v>
      </c>
      <c r="T74" s="342">
        <v>33209</v>
      </c>
      <c r="U74" s="355"/>
      <c r="V74" s="343" t="s">
        <v>129</v>
      </c>
      <c r="W74" s="334" t="s">
        <v>17</v>
      </c>
      <c r="X74" s="334" t="s">
        <v>18</v>
      </c>
      <c r="Y74" s="344">
        <v>35</v>
      </c>
      <c r="Z74" s="334" t="s">
        <v>130</v>
      </c>
      <c r="AA74" s="334" t="s">
        <v>82</v>
      </c>
      <c r="AB74" s="334" t="s">
        <v>18</v>
      </c>
      <c r="AC74" s="334">
        <v>9.9</v>
      </c>
      <c r="AD74" s="343" t="s">
        <v>132</v>
      </c>
      <c r="AE74" s="334" t="s">
        <v>22</v>
      </c>
      <c r="AF74" s="334" t="s">
        <v>11</v>
      </c>
      <c r="AG74" s="344">
        <v>9.3000000000000007</v>
      </c>
      <c r="AL74" s="343"/>
      <c r="AO74" s="344"/>
      <c r="AP74" s="343"/>
      <c r="AS74" s="344"/>
      <c r="AW74" s="344"/>
      <c r="BA74" s="345"/>
    </row>
    <row r="75" spans="1:53" s="73" customFormat="1">
      <c r="A75" s="73">
        <v>1991</v>
      </c>
      <c r="B75" s="85">
        <v>33256</v>
      </c>
      <c r="C75" s="988" t="s">
        <v>551</v>
      </c>
      <c r="D75" s="988"/>
      <c r="E75" s="73">
        <f>365-E74</f>
        <v>348</v>
      </c>
      <c r="F75" s="73">
        <v>1</v>
      </c>
      <c r="G75" s="123">
        <v>5</v>
      </c>
      <c r="H75" s="73">
        <v>15</v>
      </c>
      <c r="J75" s="134">
        <v>20</v>
      </c>
      <c r="K75" s="92">
        <f t="shared" si="5"/>
        <v>25</v>
      </c>
      <c r="L75" s="92">
        <f t="shared" si="6"/>
        <v>75</v>
      </c>
      <c r="M75" s="92">
        <f t="shared" si="7"/>
        <v>0</v>
      </c>
      <c r="N75" s="125">
        <f t="shared" si="8"/>
        <v>100</v>
      </c>
      <c r="O75" s="91">
        <v>11.9</v>
      </c>
      <c r="P75" s="92">
        <v>48.2</v>
      </c>
      <c r="Q75" s="92"/>
      <c r="R75" s="93">
        <f t="shared" si="9"/>
        <v>60.1</v>
      </c>
      <c r="S75" s="97">
        <v>2</v>
      </c>
      <c r="T75" s="95"/>
      <c r="U75" s="85">
        <v>33256</v>
      </c>
      <c r="V75" s="82" t="s">
        <v>129</v>
      </c>
      <c r="W75" s="73" t="s">
        <v>17</v>
      </c>
      <c r="X75" s="73" t="s">
        <v>18</v>
      </c>
      <c r="Y75" s="83">
        <v>40.5</v>
      </c>
      <c r="Z75" s="73" t="s">
        <v>130</v>
      </c>
      <c r="AA75" s="73" t="s">
        <v>82</v>
      </c>
      <c r="AB75" s="73" t="s">
        <v>18</v>
      </c>
      <c r="AC75" s="73">
        <v>7.7</v>
      </c>
      <c r="AD75" s="82" t="s">
        <v>132</v>
      </c>
      <c r="AE75" s="73" t="s">
        <v>22</v>
      </c>
      <c r="AF75" s="73" t="s">
        <v>11</v>
      </c>
      <c r="AG75" s="83">
        <v>11.9</v>
      </c>
      <c r="AL75" s="82"/>
      <c r="AO75" s="83"/>
      <c r="AP75" s="82"/>
      <c r="AS75" s="83"/>
      <c r="AW75" s="83"/>
      <c r="BA75" s="84"/>
    </row>
    <row r="76" spans="1:53" s="73" customFormat="1">
      <c r="A76" s="73">
        <v>1992</v>
      </c>
      <c r="C76" s="988" t="s">
        <v>551</v>
      </c>
      <c r="D76" s="988"/>
      <c r="E76" s="73">
        <v>0</v>
      </c>
      <c r="G76" s="123">
        <v>5</v>
      </c>
      <c r="H76" s="73">
        <v>15</v>
      </c>
      <c r="J76" s="134">
        <v>20</v>
      </c>
      <c r="K76" s="92">
        <f t="shared" si="5"/>
        <v>25</v>
      </c>
      <c r="L76" s="92">
        <f t="shared" si="6"/>
        <v>75</v>
      </c>
      <c r="M76" s="92">
        <f t="shared" si="7"/>
        <v>0</v>
      </c>
      <c r="N76" s="125">
        <f t="shared" si="8"/>
        <v>100</v>
      </c>
      <c r="O76" s="91">
        <v>11.9</v>
      </c>
      <c r="P76" s="92">
        <v>48.2</v>
      </c>
      <c r="Q76" s="92"/>
      <c r="R76" s="93">
        <f t="shared" si="9"/>
        <v>60.1</v>
      </c>
      <c r="S76" s="97">
        <v>2</v>
      </c>
      <c r="T76" s="95"/>
      <c r="U76" s="85"/>
      <c r="V76" s="82" t="s">
        <v>129</v>
      </c>
      <c r="W76" s="73" t="s">
        <v>17</v>
      </c>
      <c r="X76" s="73" t="s">
        <v>18</v>
      </c>
      <c r="Y76" s="83">
        <v>40.5</v>
      </c>
      <c r="Z76" s="73" t="s">
        <v>130</v>
      </c>
      <c r="AA76" s="73" t="s">
        <v>82</v>
      </c>
      <c r="AB76" s="73" t="s">
        <v>18</v>
      </c>
      <c r="AC76" s="73">
        <v>7.7</v>
      </c>
      <c r="AD76" s="82" t="s">
        <v>132</v>
      </c>
      <c r="AE76" s="73" t="s">
        <v>22</v>
      </c>
      <c r="AF76" s="73" t="s">
        <v>11</v>
      </c>
      <c r="AG76" s="83">
        <v>11.9</v>
      </c>
      <c r="AL76" s="82"/>
      <c r="AO76" s="83"/>
      <c r="AP76" s="82"/>
      <c r="AS76" s="83"/>
      <c r="AW76" s="83"/>
      <c r="BA76" s="84"/>
    </row>
    <row r="77" spans="1:53" s="73" customFormat="1">
      <c r="A77" s="73">
        <v>1992</v>
      </c>
      <c r="C77" s="988" t="s">
        <v>551</v>
      </c>
      <c r="D77" s="988"/>
      <c r="E77" s="73">
        <v>366</v>
      </c>
      <c r="G77" s="123">
        <v>5</v>
      </c>
      <c r="H77" s="73">
        <v>15</v>
      </c>
      <c r="J77" s="134">
        <v>20</v>
      </c>
      <c r="K77" s="92">
        <f t="shared" si="5"/>
        <v>25</v>
      </c>
      <c r="L77" s="92">
        <f t="shared" si="6"/>
        <v>75</v>
      </c>
      <c r="M77" s="92">
        <f t="shared" si="7"/>
        <v>0</v>
      </c>
      <c r="N77" s="125">
        <f t="shared" si="8"/>
        <v>100</v>
      </c>
      <c r="O77" s="91">
        <v>11.9</v>
      </c>
      <c r="P77" s="92">
        <v>48.2</v>
      </c>
      <c r="Q77" s="92"/>
      <c r="R77" s="93">
        <f t="shared" si="9"/>
        <v>60.1</v>
      </c>
      <c r="S77" s="97">
        <v>2</v>
      </c>
      <c r="T77" s="95"/>
      <c r="U77" s="85"/>
      <c r="V77" s="82" t="s">
        <v>129</v>
      </c>
      <c r="W77" s="73" t="s">
        <v>17</v>
      </c>
      <c r="X77" s="73" t="s">
        <v>18</v>
      </c>
      <c r="Y77" s="83">
        <v>40.5</v>
      </c>
      <c r="Z77" s="73" t="s">
        <v>130</v>
      </c>
      <c r="AA77" s="73" t="s">
        <v>82</v>
      </c>
      <c r="AB77" s="73" t="s">
        <v>18</v>
      </c>
      <c r="AC77" s="73">
        <v>7.7</v>
      </c>
      <c r="AD77" s="82" t="s">
        <v>132</v>
      </c>
      <c r="AE77" s="73" t="s">
        <v>22</v>
      </c>
      <c r="AF77" s="73" t="s">
        <v>11</v>
      </c>
      <c r="AG77" s="83">
        <v>11.9</v>
      </c>
      <c r="AL77" s="82"/>
      <c r="AO77" s="83"/>
      <c r="AP77" s="82"/>
      <c r="AS77" s="83"/>
      <c r="AW77" s="83"/>
      <c r="BA77" s="84"/>
    </row>
    <row r="78" spans="1:53" s="73" customFormat="1">
      <c r="A78" s="73">
        <v>1993</v>
      </c>
      <c r="C78" s="988" t="s">
        <v>551</v>
      </c>
      <c r="D78" s="988"/>
      <c r="E78" s="73">
        <v>0</v>
      </c>
      <c r="G78" s="123">
        <v>5</v>
      </c>
      <c r="H78" s="73">
        <v>15</v>
      </c>
      <c r="J78" s="134">
        <v>20</v>
      </c>
      <c r="K78" s="92">
        <f t="shared" ref="K78:K101" si="10">G78/J78*100</f>
        <v>25</v>
      </c>
      <c r="L78" s="92">
        <f t="shared" ref="L78:L101" si="11">H78/J78*100</f>
        <v>75</v>
      </c>
      <c r="M78" s="92">
        <f t="shared" ref="M78:M101" si="12">I78/J78*100</f>
        <v>0</v>
      </c>
      <c r="N78" s="125">
        <f t="shared" si="8"/>
        <v>100</v>
      </c>
      <c r="O78" s="91">
        <v>11.9</v>
      </c>
      <c r="P78" s="92">
        <v>48.2</v>
      </c>
      <c r="Q78" s="92"/>
      <c r="R78" s="93">
        <f t="shared" si="9"/>
        <v>60.1</v>
      </c>
      <c r="S78" s="97">
        <v>2</v>
      </c>
      <c r="T78" s="95"/>
      <c r="U78" s="85"/>
      <c r="V78" s="82" t="s">
        <v>129</v>
      </c>
      <c r="W78" s="73" t="s">
        <v>17</v>
      </c>
      <c r="X78" s="73" t="s">
        <v>18</v>
      </c>
      <c r="Y78" s="83">
        <v>40.5</v>
      </c>
      <c r="Z78" s="73" t="s">
        <v>130</v>
      </c>
      <c r="AA78" s="73" t="s">
        <v>82</v>
      </c>
      <c r="AB78" s="73" t="s">
        <v>18</v>
      </c>
      <c r="AC78" s="73">
        <v>7.7</v>
      </c>
      <c r="AD78" s="82" t="s">
        <v>132</v>
      </c>
      <c r="AE78" s="73" t="s">
        <v>22</v>
      </c>
      <c r="AF78" s="73" t="s">
        <v>11</v>
      </c>
      <c r="AG78" s="83">
        <v>11.9</v>
      </c>
      <c r="AL78" s="82"/>
      <c r="AO78" s="83"/>
      <c r="AP78" s="82"/>
      <c r="AS78" s="83"/>
      <c r="AW78" s="83"/>
      <c r="BA78" s="84"/>
    </row>
    <row r="79" spans="1:53" s="73" customFormat="1">
      <c r="A79" s="73">
        <v>1993</v>
      </c>
      <c r="C79" s="988" t="s">
        <v>551</v>
      </c>
      <c r="D79" s="988"/>
      <c r="E79" s="73">
        <f>365-E78</f>
        <v>365</v>
      </c>
      <c r="G79" s="123">
        <v>5</v>
      </c>
      <c r="H79" s="73">
        <v>15</v>
      </c>
      <c r="J79" s="134">
        <v>20</v>
      </c>
      <c r="K79" s="92">
        <f t="shared" si="10"/>
        <v>25</v>
      </c>
      <c r="L79" s="92">
        <f t="shared" si="11"/>
        <v>75</v>
      </c>
      <c r="M79" s="92">
        <f t="shared" si="12"/>
        <v>0</v>
      </c>
      <c r="N79" s="125">
        <f t="shared" si="8"/>
        <v>100</v>
      </c>
      <c r="O79" s="91">
        <v>11.9</v>
      </c>
      <c r="P79" s="92">
        <v>48.2</v>
      </c>
      <c r="Q79" s="92"/>
      <c r="R79" s="93">
        <f t="shared" si="9"/>
        <v>60.1</v>
      </c>
      <c r="S79" s="97">
        <v>2</v>
      </c>
      <c r="T79" s="95"/>
      <c r="U79" s="85"/>
      <c r="V79" s="82" t="s">
        <v>129</v>
      </c>
      <c r="W79" s="73" t="s">
        <v>17</v>
      </c>
      <c r="X79" s="73" t="s">
        <v>18</v>
      </c>
      <c r="Y79" s="83">
        <v>40.5</v>
      </c>
      <c r="Z79" s="73" t="s">
        <v>130</v>
      </c>
      <c r="AA79" s="73" t="s">
        <v>82</v>
      </c>
      <c r="AB79" s="73" t="s">
        <v>18</v>
      </c>
      <c r="AC79" s="73">
        <v>7.7</v>
      </c>
      <c r="AD79" s="82" t="s">
        <v>132</v>
      </c>
      <c r="AE79" s="73" t="s">
        <v>22</v>
      </c>
      <c r="AF79" s="73" t="s">
        <v>11</v>
      </c>
      <c r="AG79" s="83">
        <v>11.9</v>
      </c>
      <c r="AL79" s="82"/>
      <c r="AO79" s="83"/>
      <c r="AP79" s="82"/>
      <c r="AS79" s="83"/>
      <c r="AW79" s="83"/>
      <c r="BA79" s="84"/>
    </row>
    <row r="80" spans="1:53" s="73" customFormat="1">
      <c r="A80" s="73">
        <v>1994</v>
      </c>
      <c r="C80" s="988" t="s">
        <v>551</v>
      </c>
      <c r="D80" s="988"/>
      <c r="E80" s="73">
        <v>320</v>
      </c>
      <c r="G80" s="123">
        <v>5</v>
      </c>
      <c r="H80" s="73">
        <v>15</v>
      </c>
      <c r="J80" s="134">
        <v>20</v>
      </c>
      <c r="K80" s="92">
        <f t="shared" si="10"/>
        <v>25</v>
      </c>
      <c r="L80" s="92">
        <f t="shared" si="11"/>
        <v>75</v>
      </c>
      <c r="M80" s="92">
        <f t="shared" si="12"/>
        <v>0</v>
      </c>
      <c r="N80" s="125">
        <f t="shared" si="8"/>
        <v>100</v>
      </c>
      <c r="O80" s="91">
        <v>11.9</v>
      </c>
      <c r="P80" s="92">
        <v>48.2</v>
      </c>
      <c r="Q80" s="92"/>
      <c r="R80" s="93">
        <f t="shared" si="9"/>
        <v>60.1</v>
      </c>
      <c r="S80" s="97">
        <v>2</v>
      </c>
      <c r="T80" s="95"/>
      <c r="U80" s="85"/>
      <c r="V80" s="82" t="s">
        <v>129</v>
      </c>
      <c r="W80" s="73" t="s">
        <v>17</v>
      </c>
      <c r="X80" s="73" t="s">
        <v>18</v>
      </c>
      <c r="Y80" s="83">
        <v>40.5</v>
      </c>
      <c r="Z80" s="73" t="s">
        <v>130</v>
      </c>
      <c r="AA80" s="73" t="s">
        <v>82</v>
      </c>
      <c r="AB80" s="73" t="s">
        <v>18</v>
      </c>
      <c r="AC80" s="73">
        <v>7.7</v>
      </c>
      <c r="AD80" s="82" t="s">
        <v>132</v>
      </c>
      <c r="AE80" s="73" t="s">
        <v>22</v>
      </c>
      <c r="AF80" s="73" t="s">
        <v>11</v>
      </c>
      <c r="AG80" s="83">
        <v>11.9</v>
      </c>
      <c r="AL80" s="82"/>
      <c r="AO80" s="83"/>
      <c r="AP80" s="82"/>
      <c r="AS80" s="83"/>
      <c r="AW80" s="83"/>
      <c r="BA80" s="84"/>
    </row>
    <row r="81" spans="1:53" s="334" customFormat="1">
      <c r="A81" s="334">
        <v>1994</v>
      </c>
      <c r="B81" s="355">
        <v>34655</v>
      </c>
      <c r="C81" s="992" t="s">
        <v>552</v>
      </c>
      <c r="D81" s="992"/>
      <c r="E81" s="334">
        <f>365-E80</f>
        <v>45</v>
      </c>
      <c r="F81" s="334">
        <v>1</v>
      </c>
      <c r="G81" s="419">
        <v>3</v>
      </c>
      <c r="H81" s="334">
        <v>15</v>
      </c>
      <c r="J81" s="435">
        <v>18</v>
      </c>
      <c r="K81" s="384">
        <f t="shared" si="10"/>
        <v>16.666666666666664</v>
      </c>
      <c r="L81" s="384">
        <f t="shared" si="11"/>
        <v>83.333333333333343</v>
      </c>
      <c r="M81" s="384">
        <f t="shared" si="12"/>
        <v>0</v>
      </c>
      <c r="N81" s="421">
        <f t="shared" si="8"/>
        <v>100</v>
      </c>
      <c r="O81" s="383">
        <v>7</v>
      </c>
      <c r="P81" s="384">
        <v>43.7</v>
      </c>
      <c r="Q81" s="384"/>
      <c r="R81" s="385">
        <f t="shared" si="9"/>
        <v>50.7</v>
      </c>
      <c r="S81" s="388">
        <v>2</v>
      </c>
      <c r="T81" s="342">
        <v>34623</v>
      </c>
      <c r="U81" s="355">
        <v>34655</v>
      </c>
      <c r="V81" s="343" t="s">
        <v>129</v>
      </c>
      <c r="W81" s="334" t="s">
        <v>17</v>
      </c>
      <c r="X81" s="334" t="s">
        <v>18</v>
      </c>
      <c r="Y81" s="344">
        <v>36.299999999999997</v>
      </c>
      <c r="Z81" s="334" t="s">
        <v>130</v>
      </c>
      <c r="AA81" s="334" t="s">
        <v>82</v>
      </c>
      <c r="AB81" s="334" t="s">
        <v>18</v>
      </c>
      <c r="AC81" s="334">
        <v>7.4</v>
      </c>
      <c r="AD81" s="343" t="s">
        <v>132</v>
      </c>
      <c r="AE81" s="334" t="s">
        <v>22</v>
      </c>
      <c r="AF81" s="334" t="s">
        <v>11</v>
      </c>
      <c r="AG81" s="344">
        <v>7</v>
      </c>
      <c r="AL81" s="343"/>
      <c r="AO81" s="344"/>
      <c r="AP81" s="343"/>
      <c r="AS81" s="344"/>
      <c r="AW81" s="344"/>
      <c r="BA81" s="345"/>
    </row>
    <row r="82" spans="1:53" s="334" customFormat="1">
      <c r="A82" s="334">
        <v>1995</v>
      </c>
      <c r="C82" s="992" t="s">
        <v>552</v>
      </c>
      <c r="D82" s="992"/>
      <c r="E82" s="334">
        <v>0</v>
      </c>
      <c r="G82" s="419">
        <v>3</v>
      </c>
      <c r="H82" s="334">
        <v>15</v>
      </c>
      <c r="J82" s="435">
        <v>18</v>
      </c>
      <c r="K82" s="384">
        <f t="shared" si="10"/>
        <v>16.666666666666664</v>
      </c>
      <c r="L82" s="384">
        <f t="shared" si="11"/>
        <v>83.333333333333343</v>
      </c>
      <c r="M82" s="384">
        <f t="shared" si="12"/>
        <v>0</v>
      </c>
      <c r="N82" s="421">
        <f t="shared" si="8"/>
        <v>100</v>
      </c>
      <c r="O82" s="383">
        <v>7</v>
      </c>
      <c r="P82" s="384">
        <v>43.7</v>
      </c>
      <c r="Q82" s="384"/>
      <c r="R82" s="385">
        <f t="shared" si="9"/>
        <v>50.7</v>
      </c>
      <c r="S82" s="388">
        <v>2</v>
      </c>
      <c r="T82" s="342"/>
      <c r="U82" s="355"/>
      <c r="V82" s="343" t="s">
        <v>129</v>
      </c>
      <c r="W82" s="334" t="s">
        <v>17</v>
      </c>
      <c r="X82" s="334" t="s">
        <v>18</v>
      </c>
      <c r="Y82" s="344">
        <v>36.299999999999997</v>
      </c>
      <c r="Z82" s="334" t="s">
        <v>130</v>
      </c>
      <c r="AA82" s="334" t="s">
        <v>82</v>
      </c>
      <c r="AB82" s="334" t="s">
        <v>18</v>
      </c>
      <c r="AC82" s="334">
        <v>7.4</v>
      </c>
      <c r="AD82" s="343" t="s">
        <v>132</v>
      </c>
      <c r="AE82" s="334" t="s">
        <v>22</v>
      </c>
      <c r="AF82" s="334" t="s">
        <v>11</v>
      </c>
      <c r="AG82" s="344">
        <v>7</v>
      </c>
      <c r="AL82" s="343"/>
      <c r="AO82" s="344"/>
      <c r="AP82" s="343"/>
      <c r="AS82" s="344"/>
      <c r="AW82" s="344"/>
      <c r="BA82" s="345"/>
    </row>
    <row r="83" spans="1:53" s="334" customFormat="1">
      <c r="A83" s="334">
        <v>1995</v>
      </c>
      <c r="C83" s="992" t="s">
        <v>552</v>
      </c>
      <c r="D83" s="992"/>
      <c r="E83" s="334">
        <f>365-E82</f>
        <v>365</v>
      </c>
      <c r="G83" s="419">
        <v>3</v>
      </c>
      <c r="H83" s="334">
        <v>15</v>
      </c>
      <c r="J83" s="435">
        <v>18</v>
      </c>
      <c r="K83" s="384">
        <f t="shared" si="10"/>
        <v>16.666666666666664</v>
      </c>
      <c r="L83" s="384">
        <f t="shared" si="11"/>
        <v>83.333333333333343</v>
      </c>
      <c r="M83" s="384">
        <f t="shared" si="12"/>
        <v>0</v>
      </c>
      <c r="N83" s="421">
        <f t="shared" si="8"/>
        <v>100</v>
      </c>
      <c r="O83" s="383">
        <v>7</v>
      </c>
      <c r="P83" s="384">
        <v>43.7</v>
      </c>
      <c r="Q83" s="384"/>
      <c r="R83" s="385">
        <f t="shared" si="9"/>
        <v>50.7</v>
      </c>
      <c r="S83" s="388">
        <v>2</v>
      </c>
      <c r="T83" s="342"/>
      <c r="U83" s="355"/>
      <c r="V83" s="343" t="s">
        <v>129</v>
      </c>
      <c r="W83" s="334" t="s">
        <v>17</v>
      </c>
      <c r="X83" s="334" t="s">
        <v>18</v>
      </c>
      <c r="Y83" s="344">
        <v>36.299999999999997</v>
      </c>
      <c r="Z83" s="334" t="s">
        <v>130</v>
      </c>
      <c r="AA83" s="334" t="s">
        <v>82</v>
      </c>
      <c r="AB83" s="334" t="s">
        <v>18</v>
      </c>
      <c r="AC83" s="334">
        <v>7.4</v>
      </c>
      <c r="AD83" s="343" t="s">
        <v>132</v>
      </c>
      <c r="AE83" s="334" t="s">
        <v>22</v>
      </c>
      <c r="AF83" s="334" t="s">
        <v>11</v>
      </c>
      <c r="AG83" s="344">
        <v>7</v>
      </c>
      <c r="AL83" s="343"/>
      <c r="AO83" s="344"/>
      <c r="AP83" s="343"/>
      <c r="AS83" s="344"/>
      <c r="AW83" s="344"/>
      <c r="BA83" s="345"/>
    </row>
    <row r="84" spans="1:53" s="334" customFormat="1">
      <c r="A84" s="334">
        <v>1996</v>
      </c>
      <c r="C84" s="992" t="s">
        <v>552</v>
      </c>
      <c r="D84" s="992"/>
      <c r="E84" s="334">
        <v>0</v>
      </c>
      <c r="G84" s="419">
        <v>3</v>
      </c>
      <c r="H84" s="334">
        <v>15</v>
      </c>
      <c r="J84" s="435">
        <v>18</v>
      </c>
      <c r="K84" s="384">
        <f t="shared" si="10"/>
        <v>16.666666666666664</v>
      </c>
      <c r="L84" s="384">
        <f t="shared" si="11"/>
        <v>83.333333333333343</v>
      </c>
      <c r="M84" s="384">
        <f t="shared" si="12"/>
        <v>0</v>
      </c>
      <c r="N84" s="421">
        <f t="shared" si="8"/>
        <v>100</v>
      </c>
      <c r="O84" s="383">
        <v>7</v>
      </c>
      <c r="P84" s="384">
        <v>43.7</v>
      </c>
      <c r="Q84" s="384"/>
      <c r="R84" s="385">
        <f t="shared" si="9"/>
        <v>50.7</v>
      </c>
      <c r="S84" s="388">
        <v>2</v>
      </c>
      <c r="T84" s="342"/>
      <c r="U84" s="355"/>
      <c r="V84" s="343" t="s">
        <v>129</v>
      </c>
      <c r="W84" s="334" t="s">
        <v>17</v>
      </c>
      <c r="X84" s="334" t="s">
        <v>18</v>
      </c>
      <c r="Y84" s="344">
        <v>36.299999999999997</v>
      </c>
      <c r="Z84" s="334" t="s">
        <v>130</v>
      </c>
      <c r="AA84" s="334" t="s">
        <v>82</v>
      </c>
      <c r="AB84" s="334" t="s">
        <v>18</v>
      </c>
      <c r="AC84" s="334">
        <v>7.4</v>
      </c>
      <c r="AD84" s="343" t="s">
        <v>132</v>
      </c>
      <c r="AE84" s="334" t="s">
        <v>22</v>
      </c>
      <c r="AF84" s="334" t="s">
        <v>11</v>
      </c>
      <c r="AG84" s="344">
        <v>7</v>
      </c>
      <c r="AL84" s="343"/>
      <c r="AO84" s="344"/>
      <c r="AP84" s="343"/>
      <c r="AS84" s="344"/>
      <c r="AW84" s="344"/>
      <c r="BA84" s="345"/>
    </row>
    <row r="85" spans="1:53" s="334" customFormat="1">
      <c r="A85" s="334">
        <v>1996</v>
      </c>
      <c r="C85" s="992" t="s">
        <v>552</v>
      </c>
      <c r="D85" s="992"/>
      <c r="E85" s="334">
        <v>366</v>
      </c>
      <c r="G85" s="419">
        <v>3</v>
      </c>
      <c r="H85" s="334">
        <v>15</v>
      </c>
      <c r="J85" s="435">
        <v>18</v>
      </c>
      <c r="K85" s="384">
        <f t="shared" si="10"/>
        <v>16.666666666666664</v>
      </c>
      <c r="L85" s="384">
        <f t="shared" si="11"/>
        <v>83.333333333333343</v>
      </c>
      <c r="M85" s="384">
        <f t="shared" si="12"/>
        <v>0</v>
      </c>
      <c r="N85" s="421">
        <f t="shared" si="8"/>
        <v>100</v>
      </c>
      <c r="O85" s="383">
        <v>7</v>
      </c>
      <c r="P85" s="384">
        <v>43.7</v>
      </c>
      <c r="Q85" s="384"/>
      <c r="R85" s="385">
        <f t="shared" si="9"/>
        <v>50.7</v>
      </c>
      <c r="S85" s="388">
        <v>2</v>
      </c>
      <c r="T85" s="342"/>
      <c r="U85" s="355"/>
      <c r="V85" s="343" t="s">
        <v>129</v>
      </c>
      <c r="W85" s="334" t="s">
        <v>17</v>
      </c>
      <c r="X85" s="334" t="s">
        <v>18</v>
      </c>
      <c r="Y85" s="344">
        <v>36.299999999999997</v>
      </c>
      <c r="Z85" s="334" t="s">
        <v>130</v>
      </c>
      <c r="AA85" s="334" t="s">
        <v>82</v>
      </c>
      <c r="AB85" s="334" t="s">
        <v>18</v>
      </c>
      <c r="AC85" s="334">
        <v>7.4</v>
      </c>
      <c r="AD85" s="343" t="s">
        <v>132</v>
      </c>
      <c r="AE85" s="334" t="s">
        <v>22</v>
      </c>
      <c r="AF85" s="334" t="s">
        <v>11</v>
      </c>
      <c r="AG85" s="344">
        <v>7</v>
      </c>
      <c r="AL85" s="343"/>
      <c r="AO85" s="344"/>
      <c r="AP85" s="343"/>
      <c r="AS85" s="344"/>
      <c r="AW85" s="344"/>
      <c r="BA85" s="345"/>
    </row>
    <row r="86" spans="1:53" s="334" customFormat="1">
      <c r="A86" s="334">
        <v>1997</v>
      </c>
      <c r="C86" s="992" t="s">
        <v>552</v>
      </c>
      <c r="D86" s="992"/>
      <c r="E86" s="334">
        <v>364</v>
      </c>
      <c r="G86" s="419">
        <v>3</v>
      </c>
      <c r="H86" s="334">
        <v>15</v>
      </c>
      <c r="J86" s="435">
        <v>18</v>
      </c>
      <c r="K86" s="384">
        <f t="shared" si="10"/>
        <v>16.666666666666664</v>
      </c>
      <c r="L86" s="384">
        <f t="shared" si="11"/>
        <v>83.333333333333343</v>
      </c>
      <c r="M86" s="384">
        <f t="shared" si="12"/>
        <v>0</v>
      </c>
      <c r="N86" s="421">
        <f t="shared" si="8"/>
        <v>100</v>
      </c>
      <c r="O86" s="383">
        <v>7</v>
      </c>
      <c r="P86" s="384">
        <v>43.7</v>
      </c>
      <c r="Q86" s="384"/>
      <c r="R86" s="385">
        <f t="shared" si="9"/>
        <v>50.7</v>
      </c>
      <c r="S86" s="388">
        <v>2</v>
      </c>
      <c r="T86" s="342"/>
      <c r="U86" s="355"/>
      <c r="V86" s="343" t="s">
        <v>129</v>
      </c>
      <c r="W86" s="334" t="s">
        <v>17</v>
      </c>
      <c r="X86" s="334" t="s">
        <v>18</v>
      </c>
      <c r="Y86" s="344">
        <v>36.299999999999997</v>
      </c>
      <c r="Z86" s="334" t="s">
        <v>130</v>
      </c>
      <c r="AA86" s="334" t="s">
        <v>82</v>
      </c>
      <c r="AB86" s="334" t="s">
        <v>18</v>
      </c>
      <c r="AC86" s="334">
        <v>7.4</v>
      </c>
      <c r="AD86" s="343" t="s">
        <v>132</v>
      </c>
      <c r="AE86" s="334" t="s">
        <v>22</v>
      </c>
      <c r="AF86" s="334" t="s">
        <v>11</v>
      </c>
      <c r="AG86" s="344">
        <v>7</v>
      </c>
      <c r="AL86" s="343"/>
      <c r="AO86" s="344"/>
      <c r="AP86" s="343"/>
      <c r="AS86" s="344"/>
      <c r="AW86" s="344"/>
      <c r="BA86" s="345"/>
    </row>
    <row r="87" spans="1:53" s="334" customFormat="1">
      <c r="A87" s="334">
        <v>1997</v>
      </c>
      <c r="B87" s="445">
        <v>35795</v>
      </c>
      <c r="C87" s="992" t="s">
        <v>552</v>
      </c>
      <c r="D87" s="992"/>
      <c r="E87" s="334">
        <f>365-E86</f>
        <v>1</v>
      </c>
      <c r="F87" s="441">
        <v>0</v>
      </c>
      <c r="G87" s="419">
        <v>3</v>
      </c>
      <c r="H87" s="334">
        <v>14</v>
      </c>
      <c r="J87" s="435">
        <v>17</v>
      </c>
      <c r="K87" s="384">
        <f t="shared" si="10"/>
        <v>17.647058823529413</v>
      </c>
      <c r="L87" s="384">
        <f t="shared" si="11"/>
        <v>82.35294117647058</v>
      </c>
      <c r="M87" s="384">
        <f t="shared" si="12"/>
        <v>0</v>
      </c>
      <c r="N87" s="421">
        <f t="shared" si="8"/>
        <v>100</v>
      </c>
      <c r="O87" s="383">
        <v>7</v>
      </c>
      <c r="P87" s="384">
        <v>43.7</v>
      </c>
      <c r="Q87" s="384"/>
      <c r="R87" s="385">
        <f t="shared" si="9"/>
        <v>50.7</v>
      </c>
      <c r="S87" s="388">
        <v>2</v>
      </c>
      <c r="T87" s="342"/>
      <c r="U87" s="355"/>
      <c r="V87" s="343" t="s">
        <v>129</v>
      </c>
      <c r="W87" s="334" t="s">
        <v>17</v>
      </c>
      <c r="X87" s="334" t="s">
        <v>18</v>
      </c>
      <c r="Y87" s="344">
        <v>36.299999999999997</v>
      </c>
      <c r="Z87" s="334" t="s">
        <v>130</v>
      </c>
      <c r="AA87" s="334" t="s">
        <v>82</v>
      </c>
      <c r="AB87" s="334" t="s">
        <v>18</v>
      </c>
      <c r="AC87" s="334">
        <v>7.4</v>
      </c>
      <c r="AD87" s="343" t="s">
        <v>132</v>
      </c>
      <c r="AE87" s="334" t="s">
        <v>22</v>
      </c>
      <c r="AF87" s="334" t="s">
        <v>11</v>
      </c>
      <c r="AG87" s="344">
        <v>7</v>
      </c>
      <c r="AL87" s="343"/>
      <c r="AO87" s="344"/>
      <c r="AP87" s="343"/>
      <c r="AS87" s="344"/>
      <c r="AW87" s="344"/>
      <c r="BA87" s="345"/>
    </row>
    <row r="88" spans="1:53" s="334" customFormat="1">
      <c r="A88" s="334">
        <v>1998</v>
      </c>
      <c r="C88" s="992" t="s">
        <v>552</v>
      </c>
      <c r="D88" s="992"/>
      <c r="E88" s="334">
        <v>299</v>
      </c>
      <c r="G88" s="419">
        <v>3</v>
      </c>
      <c r="H88" s="334">
        <v>14</v>
      </c>
      <c r="J88" s="435">
        <v>17</v>
      </c>
      <c r="K88" s="384">
        <f t="shared" si="10"/>
        <v>17.647058823529413</v>
      </c>
      <c r="L88" s="384">
        <f t="shared" si="11"/>
        <v>82.35294117647058</v>
      </c>
      <c r="M88" s="384">
        <f t="shared" si="12"/>
        <v>0</v>
      </c>
      <c r="N88" s="421">
        <f t="shared" si="8"/>
        <v>100</v>
      </c>
      <c r="O88" s="383">
        <v>7</v>
      </c>
      <c r="P88" s="384">
        <v>43.7</v>
      </c>
      <c r="Q88" s="384"/>
      <c r="R88" s="385">
        <f t="shared" si="9"/>
        <v>50.7</v>
      </c>
      <c r="S88" s="388">
        <v>2</v>
      </c>
      <c r="T88" s="342"/>
      <c r="U88" s="355"/>
      <c r="V88" s="343" t="s">
        <v>129</v>
      </c>
      <c r="W88" s="334" t="s">
        <v>17</v>
      </c>
      <c r="X88" s="334" t="s">
        <v>18</v>
      </c>
      <c r="Y88" s="344">
        <v>36.299999999999997</v>
      </c>
      <c r="Z88" s="334" t="s">
        <v>130</v>
      </c>
      <c r="AA88" s="334" t="s">
        <v>82</v>
      </c>
      <c r="AB88" s="334" t="s">
        <v>18</v>
      </c>
      <c r="AC88" s="334">
        <v>7.4</v>
      </c>
      <c r="AD88" s="343" t="s">
        <v>132</v>
      </c>
      <c r="AE88" s="334" t="s">
        <v>22</v>
      </c>
      <c r="AF88" s="334" t="s">
        <v>11</v>
      </c>
      <c r="AG88" s="344">
        <v>7</v>
      </c>
      <c r="AL88" s="343"/>
      <c r="AO88" s="344"/>
      <c r="AP88" s="343"/>
      <c r="AS88" s="344"/>
      <c r="AW88" s="344"/>
      <c r="BA88" s="345"/>
    </row>
    <row r="89" spans="1:53" s="73" customFormat="1">
      <c r="A89" s="73">
        <v>1998</v>
      </c>
      <c r="B89" s="85">
        <v>36095</v>
      </c>
      <c r="C89" s="988" t="s">
        <v>553</v>
      </c>
      <c r="D89" s="988"/>
      <c r="E89" s="73">
        <f>365-E88</f>
        <v>66</v>
      </c>
      <c r="F89" s="73">
        <v>1</v>
      </c>
      <c r="G89" s="123"/>
      <c r="I89" s="73">
        <v>16</v>
      </c>
      <c r="J89" s="134">
        <v>16</v>
      </c>
      <c r="K89" s="92">
        <f t="shared" si="10"/>
        <v>0</v>
      </c>
      <c r="L89" s="92">
        <f t="shared" si="11"/>
        <v>0</v>
      </c>
      <c r="M89" s="92">
        <f t="shared" si="12"/>
        <v>100</v>
      </c>
      <c r="N89" s="125">
        <f t="shared" si="8"/>
        <v>100</v>
      </c>
      <c r="O89" s="91"/>
      <c r="P89" s="92"/>
      <c r="Q89" s="92">
        <v>51.5</v>
      </c>
      <c r="R89" s="93">
        <f t="shared" si="9"/>
        <v>51.5</v>
      </c>
      <c r="S89" s="97">
        <v>2</v>
      </c>
      <c r="T89" s="95">
        <v>36065</v>
      </c>
      <c r="U89" s="85">
        <v>36095</v>
      </c>
      <c r="V89" s="82" t="s">
        <v>133</v>
      </c>
      <c r="W89" s="73" t="s">
        <v>20</v>
      </c>
      <c r="X89" s="73" t="s">
        <v>12</v>
      </c>
      <c r="Y89" s="83">
        <v>44.5</v>
      </c>
      <c r="Z89" s="73" t="s">
        <v>554</v>
      </c>
      <c r="AA89" s="73" t="s">
        <v>218</v>
      </c>
      <c r="AB89" s="73" t="s">
        <v>12</v>
      </c>
      <c r="AC89" s="73">
        <v>7</v>
      </c>
      <c r="AD89" s="82"/>
      <c r="AG89" s="83"/>
      <c r="AL89" s="82"/>
      <c r="AO89" s="83"/>
      <c r="AP89" s="82"/>
      <c r="AS89" s="83"/>
      <c r="AW89" s="83"/>
      <c r="BA89" s="84"/>
    </row>
    <row r="90" spans="1:53" s="73" customFormat="1">
      <c r="A90" s="73">
        <v>1999</v>
      </c>
      <c r="C90" s="988" t="s">
        <v>553</v>
      </c>
      <c r="D90" s="988"/>
      <c r="E90" s="73">
        <v>211</v>
      </c>
      <c r="G90" s="123"/>
      <c r="I90" s="73">
        <v>16</v>
      </c>
      <c r="J90" s="134">
        <v>16</v>
      </c>
      <c r="K90" s="92">
        <f t="shared" si="10"/>
        <v>0</v>
      </c>
      <c r="L90" s="92">
        <f t="shared" si="11"/>
        <v>0</v>
      </c>
      <c r="M90" s="92">
        <f t="shared" si="12"/>
        <v>100</v>
      </c>
      <c r="N90" s="125">
        <f t="shared" si="8"/>
        <v>100</v>
      </c>
      <c r="O90" s="91"/>
      <c r="P90" s="92"/>
      <c r="Q90" s="92">
        <v>51.5</v>
      </c>
      <c r="R90" s="93">
        <f t="shared" si="9"/>
        <v>51.5</v>
      </c>
      <c r="S90" s="97">
        <v>2</v>
      </c>
      <c r="T90" s="95"/>
      <c r="U90" s="85"/>
      <c r="V90" s="82" t="s">
        <v>133</v>
      </c>
      <c r="W90" s="73" t="s">
        <v>20</v>
      </c>
      <c r="X90" s="73" t="s">
        <v>12</v>
      </c>
      <c r="Y90" s="83">
        <v>44.5</v>
      </c>
      <c r="Z90" s="73" t="s">
        <v>554</v>
      </c>
      <c r="AA90" s="73" t="s">
        <v>218</v>
      </c>
      <c r="AB90" s="73" t="s">
        <v>12</v>
      </c>
      <c r="AC90" s="73">
        <v>7</v>
      </c>
      <c r="AD90" s="82"/>
      <c r="AG90" s="83"/>
      <c r="AL90" s="82"/>
      <c r="AO90" s="83"/>
      <c r="AP90" s="82"/>
      <c r="AS90" s="83"/>
      <c r="AW90" s="83"/>
      <c r="BA90" s="84"/>
    </row>
    <row r="91" spans="1:53" s="73" customFormat="1">
      <c r="A91" s="73">
        <v>1999</v>
      </c>
      <c r="B91" s="149">
        <v>36372</v>
      </c>
      <c r="C91" s="988" t="s">
        <v>553</v>
      </c>
      <c r="D91" s="988"/>
      <c r="E91" s="73">
        <f>365-E90</f>
        <v>154</v>
      </c>
      <c r="F91" s="150">
        <v>0</v>
      </c>
      <c r="G91" s="123"/>
      <c r="I91" s="73">
        <v>15</v>
      </c>
      <c r="J91" s="134">
        <v>15</v>
      </c>
      <c r="K91" s="92">
        <f t="shared" si="10"/>
        <v>0</v>
      </c>
      <c r="L91" s="92">
        <f t="shared" si="11"/>
        <v>0</v>
      </c>
      <c r="M91" s="92">
        <f t="shared" si="12"/>
        <v>100</v>
      </c>
      <c r="N91" s="125">
        <f t="shared" si="8"/>
        <v>100</v>
      </c>
      <c r="O91" s="91"/>
      <c r="P91" s="92"/>
      <c r="Q91" s="92">
        <v>51.5</v>
      </c>
      <c r="R91" s="93">
        <f t="shared" si="9"/>
        <v>51.5</v>
      </c>
      <c r="S91" s="97">
        <v>2</v>
      </c>
      <c r="T91" s="95"/>
      <c r="U91" s="85"/>
      <c r="V91" s="82" t="s">
        <v>133</v>
      </c>
      <c r="W91" s="73" t="s">
        <v>20</v>
      </c>
      <c r="X91" s="73" t="s">
        <v>12</v>
      </c>
      <c r="Y91" s="83">
        <v>44.5</v>
      </c>
      <c r="Z91" s="73" t="s">
        <v>554</v>
      </c>
      <c r="AA91" s="73" t="s">
        <v>218</v>
      </c>
      <c r="AB91" s="73" t="s">
        <v>12</v>
      </c>
      <c r="AC91" s="73">
        <v>7</v>
      </c>
      <c r="AD91" s="82"/>
      <c r="AG91" s="83"/>
      <c r="AL91" s="82"/>
      <c r="AO91" s="83"/>
      <c r="AP91" s="82"/>
      <c r="AS91" s="83"/>
      <c r="AW91" s="83"/>
      <c r="BA91" s="84"/>
    </row>
    <row r="92" spans="1:53" s="73" customFormat="1">
      <c r="A92" s="73">
        <v>2000</v>
      </c>
      <c r="C92" s="988" t="s">
        <v>553</v>
      </c>
      <c r="D92" s="988"/>
      <c r="E92" s="73">
        <v>0</v>
      </c>
      <c r="G92" s="123"/>
      <c r="I92" s="73">
        <v>15</v>
      </c>
      <c r="J92" s="134">
        <v>15</v>
      </c>
      <c r="K92" s="92">
        <f t="shared" si="10"/>
        <v>0</v>
      </c>
      <c r="L92" s="92">
        <f t="shared" si="11"/>
        <v>0</v>
      </c>
      <c r="M92" s="92">
        <f t="shared" si="12"/>
        <v>100</v>
      </c>
      <c r="N92" s="125">
        <f t="shared" si="8"/>
        <v>100</v>
      </c>
      <c r="O92" s="91"/>
      <c r="P92" s="92"/>
      <c r="Q92" s="92">
        <v>51.5</v>
      </c>
      <c r="R92" s="93">
        <f t="shared" si="9"/>
        <v>51.5</v>
      </c>
      <c r="S92" s="97">
        <v>2</v>
      </c>
      <c r="T92" s="95"/>
      <c r="U92" s="85"/>
      <c r="V92" s="82" t="s">
        <v>133</v>
      </c>
      <c r="W92" s="73" t="s">
        <v>20</v>
      </c>
      <c r="X92" s="73" t="s">
        <v>12</v>
      </c>
      <c r="Y92" s="83">
        <v>44.5</v>
      </c>
      <c r="Z92" s="73" t="s">
        <v>554</v>
      </c>
      <c r="AA92" s="73" t="s">
        <v>218</v>
      </c>
      <c r="AB92" s="73" t="s">
        <v>12</v>
      </c>
      <c r="AC92" s="73">
        <v>7</v>
      </c>
      <c r="AD92" s="82"/>
      <c r="AG92" s="83"/>
      <c r="AL92" s="82"/>
      <c r="AO92" s="83"/>
      <c r="AP92" s="82"/>
      <c r="AS92" s="83"/>
      <c r="AW92" s="83"/>
      <c r="BA92" s="84"/>
    </row>
    <row r="93" spans="1:53" s="73" customFormat="1">
      <c r="A93" s="73">
        <v>2000</v>
      </c>
      <c r="C93" s="988" t="s">
        <v>553</v>
      </c>
      <c r="D93" s="988"/>
      <c r="E93" s="73">
        <v>366</v>
      </c>
      <c r="G93" s="123"/>
      <c r="I93" s="73">
        <v>15</v>
      </c>
      <c r="J93" s="134">
        <v>15</v>
      </c>
      <c r="K93" s="92">
        <f t="shared" si="10"/>
        <v>0</v>
      </c>
      <c r="L93" s="92">
        <f t="shared" si="11"/>
        <v>0</v>
      </c>
      <c r="M93" s="92">
        <f t="shared" si="12"/>
        <v>100</v>
      </c>
      <c r="N93" s="125">
        <f t="shared" si="8"/>
        <v>100</v>
      </c>
      <c r="O93" s="91"/>
      <c r="P93" s="92"/>
      <c r="Q93" s="92">
        <v>51.5</v>
      </c>
      <c r="R93" s="93">
        <f t="shared" si="9"/>
        <v>51.5</v>
      </c>
      <c r="S93" s="97">
        <v>2</v>
      </c>
      <c r="T93" s="95"/>
      <c r="U93" s="85"/>
      <c r="V93" s="82" t="s">
        <v>133</v>
      </c>
      <c r="W93" s="73" t="s">
        <v>20</v>
      </c>
      <c r="X93" s="73" t="s">
        <v>12</v>
      </c>
      <c r="Y93" s="83">
        <v>44.5</v>
      </c>
      <c r="Z93" s="73" t="s">
        <v>554</v>
      </c>
      <c r="AA93" s="73" t="s">
        <v>218</v>
      </c>
      <c r="AB93" s="73" t="s">
        <v>12</v>
      </c>
      <c r="AC93" s="73">
        <v>7</v>
      </c>
      <c r="AD93" s="82"/>
      <c r="AG93" s="83"/>
      <c r="AL93" s="82"/>
      <c r="AO93" s="83"/>
      <c r="AP93" s="82"/>
      <c r="AS93" s="83"/>
      <c r="AW93" s="83"/>
      <c r="BA93" s="84"/>
    </row>
    <row r="94" spans="1:53" s="73" customFormat="1">
      <c r="A94" s="73">
        <v>2001</v>
      </c>
      <c r="C94" s="988" t="s">
        <v>553</v>
      </c>
      <c r="D94" s="988"/>
      <c r="E94" s="73">
        <v>0</v>
      </c>
      <c r="G94" s="123"/>
      <c r="I94" s="73">
        <v>15</v>
      </c>
      <c r="J94" s="134">
        <v>15</v>
      </c>
      <c r="K94" s="92">
        <f t="shared" si="10"/>
        <v>0</v>
      </c>
      <c r="L94" s="92">
        <f t="shared" si="11"/>
        <v>0</v>
      </c>
      <c r="M94" s="92">
        <f t="shared" si="12"/>
        <v>100</v>
      </c>
      <c r="N94" s="125">
        <f t="shared" si="8"/>
        <v>100</v>
      </c>
      <c r="O94" s="91"/>
      <c r="P94" s="92"/>
      <c r="Q94" s="92">
        <v>51.5</v>
      </c>
      <c r="R94" s="93">
        <f t="shared" si="9"/>
        <v>51.5</v>
      </c>
      <c r="S94" s="97">
        <v>2</v>
      </c>
      <c r="T94" s="95"/>
      <c r="U94" s="85"/>
      <c r="V94" s="82" t="s">
        <v>133</v>
      </c>
      <c r="W94" s="73" t="s">
        <v>20</v>
      </c>
      <c r="X94" s="73" t="s">
        <v>12</v>
      </c>
      <c r="Y94" s="83">
        <v>44.5</v>
      </c>
      <c r="Z94" s="73" t="s">
        <v>554</v>
      </c>
      <c r="AA94" s="73" t="s">
        <v>218</v>
      </c>
      <c r="AB94" s="73" t="s">
        <v>12</v>
      </c>
      <c r="AC94" s="73">
        <v>7</v>
      </c>
      <c r="AD94" s="82"/>
      <c r="AG94" s="83"/>
      <c r="AL94" s="82"/>
      <c r="AO94" s="83"/>
      <c r="AP94" s="82"/>
      <c r="AS94" s="83"/>
      <c r="AW94" s="83"/>
      <c r="BA94" s="84"/>
    </row>
    <row r="95" spans="1:53" s="73" customFormat="1">
      <c r="A95" s="73">
        <v>2001</v>
      </c>
      <c r="C95" s="988" t="s">
        <v>553</v>
      </c>
      <c r="D95" s="988"/>
      <c r="E95" s="73">
        <f>365-E94</f>
        <v>365</v>
      </c>
      <c r="G95" s="123"/>
      <c r="I95" s="73">
        <v>15</v>
      </c>
      <c r="J95" s="134">
        <v>15</v>
      </c>
      <c r="K95" s="92">
        <f t="shared" si="10"/>
        <v>0</v>
      </c>
      <c r="L95" s="92">
        <f t="shared" si="11"/>
        <v>0</v>
      </c>
      <c r="M95" s="92">
        <f t="shared" si="12"/>
        <v>100</v>
      </c>
      <c r="N95" s="125">
        <f t="shared" si="8"/>
        <v>100</v>
      </c>
      <c r="O95" s="91"/>
      <c r="P95" s="92"/>
      <c r="Q95" s="92">
        <v>51.5</v>
      </c>
      <c r="R95" s="93">
        <f t="shared" si="9"/>
        <v>51.5</v>
      </c>
      <c r="S95" s="97">
        <v>2</v>
      </c>
      <c r="T95" s="95"/>
      <c r="U95" s="85"/>
      <c r="V95" s="82" t="s">
        <v>133</v>
      </c>
      <c r="W95" s="73" t="s">
        <v>20</v>
      </c>
      <c r="X95" s="73" t="s">
        <v>12</v>
      </c>
      <c r="Y95" s="83">
        <v>44.5</v>
      </c>
      <c r="Z95" s="73" t="s">
        <v>554</v>
      </c>
      <c r="AA95" s="73" t="s">
        <v>218</v>
      </c>
      <c r="AB95" s="73" t="s">
        <v>12</v>
      </c>
      <c r="AC95" s="73">
        <v>7</v>
      </c>
      <c r="AD95" s="82"/>
      <c r="AG95" s="83"/>
      <c r="AL95" s="82"/>
      <c r="AO95" s="83"/>
      <c r="AP95" s="82"/>
      <c r="AS95" s="83"/>
      <c r="AW95" s="83"/>
      <c r="BA95" s="84"/>
    </row>
    <row r="96" spans="1:53" s="73" customFormat="1">
      <c r="A96" s="73">
        <v>2002</v>
      </c>
      <c r="C96" s="988" t="s">
        <v>553</v>
      </c>
      <c r="D96" s="988"/>
      <c r="E96" s="73">
        <v>294</v>
      </c>
      <c r="G96" s="123"/>
      <c r="I96" s="73">
        <v>15</v>
      </c>
      <c r="J96" s="134">
        <v>15</v>
      </c>
      <c r="K96" s="92">
        <f t="shared" si="10"/>
        <v>0</v>
      </c>
      <c r="L96" s="92">
        <f t="shared" si="11"/>
        <v>0</v>
      </c>
      <c r="M96" s="92">
        <f t="shared" si="12"/>
        <v>100</v>
      </c>
      <c r="N96" s="125">
        <f t="shared" si="8"/>
        <v>100</v>
      </c>
      <c r="O96" s="91"/>
      <c r="P96" s="92"/>
      <c r="Q96" s="92">
        <v>51.5</v>
      </c>
      <c r="R96" s="93">
        <f t="shared" si="9"/>
        <v>51.5</v>
      </c>
      <c r="S96" s="97">
        <v>2</v>
      </c>
      <c r="T96" s="95"/>
      <c r="U96" s="85"/>
      <c r="V96" s="82" t="s">
        <v>133</v>
      </c>
      <c r="W96" s="73" t="s">
        <v>20</v>
      </c>
      <c r="X96" s="73" t="s">
        <v>12</v>
      </c>
      <c r="Y96" s="83">
        <v>44.5</v>
      </c>
      <c r="Z96" s="73" t="s">
        <v>554</v>
      </c>
      <c r="AA96" s="73" t="s">
        <v>218</v>
      </c>
      <c r="AB96" s="73" t="s">
        <v>12</v>
      </c>
      <c r="AC96" s="73">
        <v>7</v>
      </c>
      <c r="AD96" s="82"/>
      <c r="AG96" s="83"/>
      <c r="AL96" s="82"/>
      <c r="AO96" s="83"/>
      <c r="AP96" s="82"/>
      <c r="AS96" s="83"/>
      <c r="AW96" s="83"/>
      <c r="BA96" s="84"/>
    </row>
    <row r="97" spans="1:53" s="334" customFormat="1">
      <c r="A97" s="334">
        <v>2002</v>
      </c>
      <c r="B97" s="355">
        <v>37551</v>
      </c>
      <c r="C97" s="992" t="s">
        <v>555</v>
      </c>
      <c r="D97" s="992"/>
      <c r="E97" s="334">
        <f>365-E96</f>
        <v>71</v>
      </c>
      <c r="F97" s="334">
        <v>1</v>
      </c>
      <c r="G97" s="419"/>
      <c r="I97" s="334">
        <v>14</v>
      </c>
      <c r="J97" s="435">
        <v>14</v>
      </c>
      <c r="K97" s="384">
        <f t="shared" si="10"/>
        <v>0</v>
      </c>
      <c r="L97" s="384">
        <f t="shared" si="11"/>
        <v>0</v>
      </c>
      <c r="M97" s="384">
        <f t="shared" si="12"/>
        <v>100</v>
      </c>
      <c r="N97" s="421">
        <f t="shared" si="8"/>
        <v>100</v>
      </c>
      <c r="O97" s="383"/>
      <c r="P97" s="384"/>
      <c r="Q97" s="384">
        <v>50.7</v>
      </c>
      <c r="R97" s="385">
        <f t="shared" si="9"/>
        <v>50.7</v>
      </c>
      <c r="S97" s="388">
        <v>2</v>
      </c>
      <c r="T97" s="342">
        <v>37521</v>
      </c>
      <c r="U97" s="355">
        <v>37551</v>
      </c>
      <c r="V97" s="343" t="s">
        <v>133</v>
      </c>
      <c r="W97" s="334" t="s">
        <v>20</v>
      </c>
      <c r="X97" s="334" t="s">
        <v>12</v>
      </c>
      <c r="Y97" s="344">
        <v>41.6</v>
      </c>
      <c r="Z97" s="334" t="s">
        <v>554</v>
      </c>
      <c r="AA97" s="334" t="s">
        <v>218</v>
      </c>
      <c r="AB97" s="334" t="s">
        <v>12</v>
      </c>
      <c r="AC97" s="334">
        <v>9.1</v>
      </c>
      <c r="AD97" s="343"/>
      <c r="AG97" s="344"/>
      <c r="AL97" s="343"/>
      <c r="AO97" s="344"/>
      <c r="AP97" s="343"/>
      <c r="AS97" s="344"/>
      <c r="AW97" s="344"/>
      <c r="BA97" s="345"/>
    </row>
    <row r="98" spans="1:53" s="334" customFormat="1">
      <c r="A98" s="334">
        <v>2003</v>
      </c>
      <c r="C98" s="992" t="s">
        <v>555</v>
      </c>
      <c r="D98" s="992"/>
      <c r="E98" s="334">
        <v>0</v>
      </c>
      <c r="G98" s="419"/>
      <c r="I98" s="334">
        <v>14</v>
      </c>
      <c r="J98" s="435">
        <v>14</v>
      </c>
      <c r="K98" s="384">
        <f t="shared" si="10"/>
        <v>0</v>
      </c>
      <c r="L98" s="384">
        <f t="shared" si="11"/>
        <v>0</v>
      </c>
      <c r="M98" s="384">
        <f t="shared" si="12"/>
        <v>100</v>
      </c>
      <c r="N98" s="421">
        <f t="shared" si="8"/>
        <v>100</v>
      </c>
      <c r="O98" s="383"/>
      <c r="P98" s="384"/>
      <c r="Q98" s="384">
        <v>50.7</v>
      </c>
      <c r="R98" s="385">
        <f t="shared" si="9"/>
        <v>50.7</v>
      </c>
      <c r="S98" s="388">
        <v>2</v>
      </c>
      <c r="T98" s="342"/>
      <c r="U98" s="355"/>
      <c r="V98" s="343" t="s">
        <v>133</v>
      </c>
      <c r="W98" s="334" t="s">
        <v>20</v>
      </c>
      <c r="X98" s="334" t="s">
        <v>12</v>
      </c>
      <c r="Y98" s="344">
        <v>41.6</v>
      </c>
      <c r="Z98" s="334" t="s">
        <v>554</v>
      </c>
      <c r="AA98" s="334" t="s">
        <v>218</v>
      </c>
      <c r="AB98" s="334" t="s">
        <v>12</v>
      </c>
      <c r="AC98" s="334">
        <v>9.1</v>
      </c>
      <c r="AD98" s="343"/>
      <c r="AG98" s="344"/>
      <c r="AL98" s="343"/>
      <c r="AO98" s="344"/>
      <c r="AP98" s="343"/>
      <c r="AS98" s="344"/>
      <c r="AW98" s="344"/>
      <c r="BA98" s="345"/>
    </row>
    <row r="99" spans="1:53" s="334" customFormat="1">
      <c r="A99" s="334">
        <v>2003</v>
      </c>
      <c r="C99" s="992" t="s">
        <v>555</v>
      </c>
      <c r="D99" s="992"/>
      <c r="E99" s="334">
        <f>365-E98</f>
        <v>365</v>
      </c>
      <c r="G99" s="419"/>
      <c r="I99" s="334">
        <v>14</v>
      </c>
      <c r="J99" s="435">
        <v>14</v>
      </c>
      <c r="K99" s="384">
        <f t="shared" si="10"/>
        <v>0</v>
      </c>
      <c r="L99" s="384">
        <f t="shared" si="11"/>
        <v>0</v>
      </c>
      <c r="M99" s="384">
        <f t="shared" si="12"/>
        <v>100</v>
      </c>
      <c r="N99" s="421">
        <f t="shared" si="8"/>
        <v>100</v>
      </c>
      <c r="O99" s="383"/>
      <c r="P99" s="384"/>
      <c r="Q99" s="384">
        <v>50.7</v>
      </c>
      <c r="R99" s="385">
        <f t="shared" si="9"/>
        <v>50.7</v>
      </c>
      <c r="S99" s="388">
        <v>2</v>
      </c>
      <c r="T99" s="342"/>
      <c r="U99" s="355"/>
      <c r="V99" s="343" t="s">
        <v>133</v>
      </c>
      <c r="W99" s="334" t="s">
        <v>20</v>
      </c>
      <c r="X99" s="334" t="s">
        <v>12</v>
      </c>
      <c r="Y99" s="344">
        <v>41.6</v>
      </c>
      <c r="Z99" s="334" t="s">
        <v>554</v>
      </c>
      <c r="AA99" s="334" t="s">
        <v>218</v>
      </c>
      <c r="AB99" s="334" t="s">
        <v>12</v>
      </c>
      <c r="AC99" s="334">
        <v>9.1</v>
      </c>
      <c r="AD99" s="343"/>
      <c r="AG99" s="344"/>
      <c r="AL99" s="343"/>
      <c r="AO99" s="344"/>
      <c r="AP99" s="343"/>
      <c r="AS99" s="344"/>
      <c r="AW99" s="344"/>
      <c r="BA99" s="345"/>
    </row>
    <row r="100" spans="1:53" s="334" customFormat="1">
      <c r="A100" s="334">
        <v>2004</v>
      </c>
      <c r="C100" s="992" t="s">
        <v>555</v>
      </c>
      <c r="D100" s="992"/>
      <c r="E100" s="334">
        <v>0</v>
      </c>
      <c r="G100" s="419"/>
      <c r="I100" s="334">
        <v>14</v>
      </c>
      <c r="J100" s="435">
        <v>14</v>
      </c>
      <c r="K100" s="384">
        <f t="shared" si="10"/>
        <v>0</v>
      </c>
      <c r="L100" s="384">
        <f t="shared" si="11"/>
        <v>0</v>
      </c>
      <c r="M100" s="384">
        <f t="shared" si="12"/>
        <v>100</v>
      </c>
      <c r="N100" s="421">
        <f t="shared" si="8"/>
        <v>100</v>
      </c>
      <c r="O100" s="383"/>
      <c r="P100" s="384"/>
      <c r="Q100" s="384">
        <v>50.7</v>
      </c>
      <c r="R100" s="385">
        <f t="shared" si="9"/>
        <v>50.7</v>
      </c>
      <c r="S100" s="388">
        <v>2</v>
      </c>
      <c r="T100" s="342"/>
      <c r="U100" s="355"/>
      <c r="V100" s="343" t="s">
        <v>133</v>
      </c>
      <c r="W100" s="334" t="s">
        <v>20</v>
      </c>
      <c r="X100" s="334" t="s">
        <v>12</v>
      </c>
      <c r="Y100" s="344">
        <v>41.6</v>
      </c>
      <c r="Z100" s="334" t="s">
        <v>554</v>
      </c>
      <c r="AA100" s="334" t="s">
        <v>218</v>
      </c>
      <c r="AB100" s="334" t="s">
        <v>12</v>
      </c>
      <c r="AC100" s="334">
        <v>9.1</v>
      </c>
      <c r="AD100" s="343"/>
      <c r="AG100" s="344"/>
      <c r="AL100" s="343"/>
      <c r="AO100" s="344"/>
      <c r="AP100" s="343"/>
      <c r="AS100" s="344"/>
      <c r="AW100" s="344"/>
      <c r="BA100" s="345"/>
    </row>
    <row r="101" spans="1:53" s="334" customFormat="1">
      <c r="A101" s="334">
        <v>2004</v>
      </c>
      <c r="C101" s="992" t="s">
        <v>555</v>
      </c>
      <c r="D101" s="992"/>
      <c r="E101" s="334">
        <v>366</v>
      </c>
      <c r="G101" s="419"/>
      <c r="I101" s="334">
        <v>14</v>
      </c>
      <c r="J101" s="435">
        <v>14</v>
      </c>
      <c r="K101" s="384">
        <f t="shared" si="10"/>
        <v>0</v>
      </c>
      <c r="L101" s="384">
        <f t="shared" si="11"/>
        <v>0</v>
      </c>
      <c r="M101" s="384">
        <f t="shared" si="12"/>
        <v>100</v>
      </c>
      <c r="N101" s="421">
        <f t="shared" si="8"/>
        <v>100</v>
      </c>
      <c r="O101" s="383"/>
      <c r="P101" s="384"/>
      <c r="Q101" s="384">
        <v>50.7</v>
      </c>
      <c r="R101" s="385">
        <f t="shared" si="9"/>
        <v>50.7</v>
      </c>
      <c r="S101" s="388">
        <v>2</v>
      </c>
      <c r="T101" s="342"/>
      <c r="U101" s="355"/>
      <c r="V101" s="343" t="s">
        <v>133</v>
      </c>
      <c r="W101" s="334" t="s">
        <v>20</v>
      </c>
      <c r="X101" s="334" t="s">
        <v>12</v>
      </c>
      <c r="Y101" s="344">
        <v>41.6</v>
      </c>
      <c r="Z101" s="334" t="s">
        <v>554</v>
      </c>
      <c r="AA101" s="334" t="s">
        <v>218</v>
      </c>
      <c r="AB101" s="334" t="s">
        <v>12</v>
      </c>
      <c r="AC101" s="334">
        <v>9.1</v>
      </c>
      <c r="AD101" s="343"/>
      <c r="AG101" s="344"/>
      <c r="AL101" s="343"/>
      <c r="AO101" s="344"/>
      <c r="AP101" s="343"/>
      <c r="AS101" s="344"/>
      <c r="AW101" s="344"/>
      <c r="BA101" s="345"/>
    </row>
    <row r="102" spans="1:53" s="334" customFormat="1">
      <c r="A102" s="334">
        <v>2005</v>
      </c>
      <c r="C102" s="992" t="s">
        <v>555</v>
      </c>
      <c r="D102" s="992"/>
      <c r="E102" s="334">
        <v>325</v>
      </c>
      <c r="G102" s="419"/>
      <c r="I102" s="334">
        <v>14</v>
      </c>
      <c r="J102" s="435">
        <v>14</v>
      </c>
      <c r="K102" s="384">
        <f t="shared" ref="K102:K110" si="13">G102/J102*100</f>
        <v>0</v>
      </c>
      <c r="L102" s="384">
        <f t="shared" ref="L102:L110" si="14">H102/J102*100</f>
        <v>0</v>
      </c>
      <c r="M102" s="384">
        <f t="shared" ref="M102:M110" si="15">I102/J102*100</f>
        <v>100</v>
      </c>
      <c r="N102" s="421">
        <f t="shared" si="8"/>
        <v>100</v>
      </c>
      <c r="O102" s="383"/>
      <c r="P102" s="384"/>
      <c r="Q102" s="384">
        <v>50.7</v>
      </c>
      <c r="R102" s="385">
        <f t="shared" si="9"/>
        <v>50.7</v>
      </c>
      <c r="S102" s="388">
        <v>2</v>
      </c>
      <c r="T102" s="342"/>
      <c r="U102" s="355"/>
      <c r="V102" s="343" t="s">
        <v>133</v>
      </c>
      <c r="W102" s="334" t="s">
        <v>20</v>
      </c>
      <c r="X102" s="334" t="s">
        <v>12</v>
      </c>
      <c r="Y102" s="344">
        <v>41.6</v>
      </c>
      <c r="Z102" s="334" t="s">
        <v>554</v>
      </c>
      <c r="AA102" s="334" t="s">
        <v>218</v>
      </c>
      <c r="AB102" s="334" t="s">
        <v>12</v>
      </c>
      <c r="AC102" s="334">
        <v>9.1</v>
      </c>
      <c r="AD102" s="343"/>
      <c r="AG102" s="344"/>
      <c r="AL102" s="343"/>
      <c r="AO102" s="344"/>
      <c r="AP102" s="343"/>
      <c r="AS102" s="344"/>
      <c r="AW102" s="344"/>
      <c r="BA102" s="345"/>
    </row>
    <row r="103" spans="1:53" s="73" customFormat="1">
      <c r="A103" s="73">
        <v>2005</v>
      </c>
      <c r="B103" s="85">
        <v>38678</v>
      </c>
      <c r="C103" s="988" t="s">
        <v>556</v>
      </c>
      <c r="D103" s="988"/>
      <c r="E103" s="73">
        <v>40</v>
      </c>
      <c r="F103" s="73">
        <v>1</v>
      </c>
      <c r="G103" s="123"/>
      <c r="H103" s="73">
        <v>8</v>
      </c>
      <c r="I103" s="73">
        <v>8</v>
      </c>
      <c r="J103" s="134">
        <v>16</v>
      </c>
      <c r="K103" s="92">
        <f t="shared" si="13"/>
        <v>0</v>
      </c>
      <c r="L103" s="92">
        <f t="shared" si="14"/>
        <v>50</v>
      </c>
      <c r="M103" s="92">
        <f t="shared" si="15"/>
        <v>50</v>
      </c>
      <c r="N103" s="125">
        <f t="shared" si="8"/>
        <v>100</v>
      </c>
      <c r="O103" s="91"/>
      <c r="P103" s="92">
        <v>36.799999999999997</v>
      </c>
      <c r="Q103" s="92">
        <v>36.200000000000003</v>
      </c>
      <c r="R103" s="93">
        <f t="shared" si="9"/>
        <v>73</v>
      </c>
      <c r="S103" s="97">
        <v>2</v>
      </c>
      <c r="T103" s="95">
        <v>38613</v>
      </c>
      <c r="U103" s="85">
        <v>38678</v>
      </c>
      <c r="V103" s="82" t="s">
        <v>129</v>
      </c>
      <c r="W103" s="73" t="s">
        <v>17</v>
      </c>
      <c r="X103" s="73" t="s">
        <v>18</v>
      </c>
      <c r="Y103" s="83">
        <v>29.3</v>
      </c>
      <c r="Z103" s="73" t="s">
        <v>130</v>
      </c>
      <c r="AA103" s="73" t="s">
        <v>82</v>
      </c>
      <c r="AB103" s="73" t="s">
        <v>18</v>
      </c>
      <c r="AC103" s="73">
        <v>7.5</v>
      </c>
      <c r="AD103" s="82" t="s">
        <v>133</v>
      </c>
      <c r="AE103" s="73" t="s">
        <v>20</v>
      </c>
      <c r="AF103" s="73" t="s">
        <v>12</v>
      </c>
      <c r="AG103" s="83">
        <v>36.200000000000003</v>
      </c>
      <c r="AL103" s="82"/>
      <c r="AO103" s="83"/>
      <c r="AP103" s="82"/>
      <c r="AS103" s="83"/>
      <c r="AW103" s="83"/>
      <c r="BA103" s="84"/>
    </row>
    <row r="104" spans="1:53" s="73" customFormat="1">
      <c r="A104" s="73">
        <v>2006</v>
      </c>
      <c r="C104" s="988" t="s">
        <v>556</v>
      </c>
      <c r="D104" s="988"/>
      <c r="E104" s="73">
        <v>0</v>
      </c>
      <c r="G104" s="123"/>
      <c r="H104" s="73">
        <v>8</v>
      </c>
      <c r="I104" s="73">
        <v>8</v>
      </c>
      <c r="J104" s="134">
        <v>16</v>
      </c>
      <c r="K104" s="92">
        <f t="shared" si="13"/>
        <v>0</v>
      </c>
      <c r="L104" s="92">
        <f t="shared" si="14"/>
        <v>50</v>
      </c>
      <c r="M104" s="92">
        <f t="shared" si="15"/>
        <v>50</v>
      </c>
      <c r="N104" s="125">
        <f t="shared" si="8"/>
        <v>100</v>
      </c>
      <c r="O104" s="91"/>
      <c r="P104" s="92">
        <v>36.799999999999997</v>
      </c>
      <c r="Q104" s="92">
        <v>36.200000000000003</v>
      </c>
      <c r="R104" s="93">
        <f t="shared" si="9"/>
        <v>73</v>
      </c>
      <c r="S104" s="97">
        <v>2</v>
      </c>
      <c r="T104" s="95"/>
      <c r="U104" s="85"/>
      <c r="V104" s="82" t="s">
        <v>129</v>
      </c>
      <c r="W104" s="73" t="s">
        <v>17</v>
      </c>
      <c r="X104" s="73" t="s">
        <v>18</v>
      </c>
      <c r="Y104" s="83">
        <v>29.3</v>
      </c>
      <c r="Z104" s="73" t="s">
        <v>130</v>
      </c>
      <c r="AA104" s="73" t="s">
        <v>82</v>
      </c>
      <c r="AB104" s="73" t="s">
        <v>18</v>
      </c>
      <c r="AC104" s="73">
        <v>7.5</v>
      </c>
      <c r="AD104" s="82" t="s">
        <v>133</v>
      </c>
      <c r="AE104" s="73" t="s">
        <v>20</v>
      </c>
      <c r="AF104" s="73" t="s">
        <v>12</v>
      </c>
      <c r="AG104" s="83">
        <v>36.200000000000003</v>
      </c>
      <c r="AL104" s="82"/>
      <c r="AO104" s="83"/>
      <c r="AP104" s="82"/>
      <c r="AS104" s="83"/>
      <c r="AW104" s="83"/>
      <c r="BA104" s="84"/>
    </row>
    <row r="105" spans="1:53" s="73" customFormat="1">
      <c r="A105" s="73">
        <v>2006</v>
      </c>
      <c r="C105" s="988" t="s">
        <v>556</v>
      </c>
      <c r="D105" s="988"/>
      <c r="E105" s="73">
        <v>365</v>
      </c>
      <c r="G105" s="123"/>
      <c r="H105" s="73">
        <v>8</v>
      </c>
      <c r="I105" s="73">
        <v>8</v>
      </c>
      <c r="J105" s="134">
        <v>16</v>
      </c>
      <c r="K105" s="92">
        <f t="shared" si="13"/>
        <v>0</v>
      </c>
      <c r="L105" s="92">
        <f t="shared" si="14"/>
        <v>50</v>
      </c>
      <c r="M105" s="92">
        <f t="shared" si="15"/>
        <v>50</v>
      </c>
      <c r="N105" s="125">
        <f t="shared" si="8"/>
        <v>100</v>
      </c>
      <c r="O105" s="91"/>
      <c r="P105" s="92">
        <v>36.799999999999997</v>
      </c>
      <c r="Q105" s="92">
        <v>36.200000000000003</v>
      </c>
      <c r="R105" s="93">
        <f t="shared" si="9"/>
        <v>73</v>
      </c>
      <c r="S105" s="97">
        <v>2</v>
      </c>
      <c r="T105" s="95"/>
      <c r="U105" s="85"/>
      <c r="V105" s="82" t="s">
        <v>129</v>
      </c>
      <c r="W105" s="73" t="s">
        <v>17</v>
      </c>
      <c r="X105" s="73" t="s">
        <v>18</v>
      </c>
      <c r="Y105" s="83">
        <v>29.3</v>
      </c>
      <c r="Z105" s="73" t="s">
        <v>130</v>
      </c>
      <c r="AA105" s="73" t="s">
        <v>82</v>
      </c>
      <c r="AB105" s="73" t="s">
        <v>18</v>
      </c>
      <c r="AC105" s="73">
        <v>7.5</v>
      </c>
      <c r="AD105" s="82" t="s">
        <v>133</v>
      </c>
      <c r="AE105" s="73" t="s">
        <v>20</v>
      </c>
      <c r="AF105" s="73" t="s">
        <v>12</v>
      </c>
      <c r="AG105" s="83">
        <v>36.200000000000003</v>
      </c>
      <c r="AL105" s="82"/>
      <c r="AO105" s="83"/>
      <c r="AP105" s="82"/>
      <c r="AS105" s="83"/>
      <c r="AW105" s="83"/>
      <c r="BA105" s="84"/>
    </row>
    <row r="106" spans="1:53" s="73" customFormat="1">
      <c r="A106" s="73">
        <v>2007</v>
      </c>
      <c r="C106" s="988" t="s">
        <v>556</v>
      </c>
      <c r="D106" s="988"/>
      <c r="E106" s="73">
        <v>0</v>
      </c>
      <c r="G106" s="123"/>
      <c r="H106" s="73">
        <v>8</v>
      </c>
      <c r="I106" s="73">
        <v>8</v>
      </c>
      <c r="J106" s="134">
        <v>16</v>
      </c>
      <c r="K106" s="92">
        <f t="shared" si="13"/>
        <v>0</v>
      </c>
      <c r="L106" s="92">
        <f t="shared" si="14"/>
        <v>50</v>
      </c>
      <c r="M106" s="92">
        <f t="shared" si="15"/>
        <v>50</v>
      </c>
      <c r="N106" s="125">
        <f t="shared" si="8"/>
        <v>100</v>
      </c>
      <c r="O106" s="91"/>
      <c r="P106" s="92">
        <v>36.799999999999997</v>
      </c>
      <c r="Q106" s="92">
        <v>36.200000000000003</v>
      </c>
      <c r="R106" s="93">
        <f t="shared" si="9"/>
        <v>73</v>
      </c>
      <c r="S106" s="97">
        <v>2</v>
      </c>
      <c r="T106" s="95"/>
      <c r="U106" s="85"/>
      <c r="V106" s="82" t="s">
        <v>129</v>
      </c>
      <c r="W106" s="73" t="s">
        <v>17</v>
      </c>
      <c r="X106" s="73" t="s">
        <v>18</v>
      </c>
      <c r="Y106" s="83">
        <v>29.3</v>
      </c>
      <c r="Z106" s="73" t="s">
        <v>130</v>
      </c>
      <c r="AA106" s="73" t="s">
        <v>82</v>
      </c>
      <c r="AB106" s="73" t="s">
        <v>18</v>
      </c>
      <c r="AC106" s="73">
        <v>7.5</v>
      </c>
      <c r="AD106" s="82" t="s">
        <v>133</v>
      </c>
      <c r="AE106" s="73" t="s">
        <v>20</v>
      </c>
      <c r="AF106" s="73" t="s">
        <v>12</v>
      </c>
      <c r="AG106" s="83">
        <v>36.200000000000003</v>
      </c>
      <c r="AL106" s="82"/>
      <c r="AO106" s="83"/>
      <c r="AP106" s="82"/>
      <c r="AS106" s="83"/>
      <c r="AW106" s="83"/>
      <c r="BA106" s="84"/>
    </row>
    <row r="107" spans="1:53" s="73" customFormat="1">
      <c r="A107" s="73">
        <v>2007</v>
      </c>
      <c r="C107" s="988" t="s">
        <v>556</v>
      </c>
      <c r="D107" s="988"/>
      <c r="E107" s="73">
        <v>365</v>
      </c>
      <c r="G107" s="123"/>
      <c r="H107" s="73">
        <v>8</v>
      </c>
      <c r="I107" s="73">
        <v>8</v>
      </c>
      <c r="J107" s="134">
        <v>16</v>
      </c>
      <c r="K107" s="92">
        <f t="shared" si="13"/>
        <v>0</v>
      </c>
      <c r="L107" s="92">
        <f t="shared" si="14"/>
        <v>50</v>
      </c>
      <c r="M107" s="92">
        <f t="shared" si="15"/>
        <v>50</v>
      </c>
      <c r="N107" s="125">
        <f t="shared" si="8"/>
        <v>100</v>
      </c>
      <c r="O107" s="91"/>
      <c r="P107" s="92">
        <v>36.799999999999997</v>
      </c>
      <c r="Q107" s="92">
        <v>36.200000000000003</v>
      </c>
      <c r="R107" s="93">
        <f t="shared" si="9"/>
        <v>73</v>
      </c>
      <c r="S107" s="97">
        <v>2</v>
      </c>
      <c r="T107" s="95"/>
      <c r="U107" s="85"/>
      <c r="V107" s="82" t="s">
        <v>129</v>
      </c>
      <c r="W107" s="73" t="s">
        <v>17</v>
      </c>
      <c r="X107" s="73" t="s">
        <v>18</v>
      </c>
      <c r="Y107" s="83">
        <v>29.3</v>
      </c>
      <c r="Z107" s="73" t="s">
        <v>130</v>
      </c>
      <c r="AA107" s="73" t="s">
        <v>82</v>
      </c>
      <c r="AB107" s="73" t="s">
        <v>18</v>
      </c>
      <c r="AC107" s="73">
        <v>7.5</v>
      </c>
      <c r="AD107" s="82" t="s">
        <v>133</v>
      </c>
      <c r="AE107" s="73" t="s">
        <v>20</v>
      </c>
      <c r="AF107" s="73" t="s">
        <v>12</v>
      </c>
      <c r="AG107" s="83">
        <v>36.200000000000003</v>
      </c>
      <c r="AL107" s="82"/>
      <c r="AO107" s="83"/>
      <c r="AP107" s="82"/>
      <c r="AS107" s="83"/>
      <c r="AW107" s="83"/>
      <c r="BA107" s="84"/>
    </row>
    <row r="108" spans="1:53" s="73" customFormat="1">
      <c r="A108" s="73">
        <v>2008</v>
      </c>
      <c r="C108" s="988" t="s">
        <v>556</v>
      </c>
      <c r="D108" s="988"/>
      <c r="E108" s="73">
        <v>0</v>
      </c>
      <c r="G108" s="123"/>
      <c r="H108" s="73">
        <v>8</v>
      </c>
      <c r="I108" s="73">
        <v>8</v>
      </c>
      <c r="J108" s="134">
        <v>16</v>
      </c>
      <c r="K108" s="92">
        <f t="shared" si="13"/>
        <v>0</v>
      </c>
      <c r="L108" s="92">
        <f t="shared" si="14"/>
        <v>50</v>
      </c>
      <c r="M108" s="92">
        <f t="shared" si="15"/>
        <v>50</v>
      </c>
      <c r="N108" s="125">
        <f t="shared" si="8"/>
        <v>100</v>
      </c>
      <c r="O108" s="91"/>
      <c r="P108" s="92">
        <v>36.799999999999997</v>
      </c>
      <c r="Q108" s="92">
        <v>36.200000000000003</v>
      </c>
      <c r="R108" s="93">
        <f t="shared" si="9"/>
        <v>73</v>
      </c>
      <c r="S108" s="97">
        <v>2</v>
      </c>
      <c r="T108" s="95"/>
      <c r="U108" s="85"/>
      <c r="V108" s="82" t="s">
        <v>129</v>
      </c>
      <c r="W108" s="73" t="s">
        <v>17</v>
      </c>
      <c r="X108" s="73" t="s">
        <v>18</v>
      </c>
      <c r="Y108" s="83">
        <v>29.3</v>
      </c>
      <c r="Z108" s="73" t="s">
        <v>130</v>
      </c>
      <c r="AA108" s="73" t="s">
        <v>82</v>
      </c>
      <c r="AB108" s="73" t="s">
        <v>18</v>
      </c>
      <c r="AC108" s="73">
        <v>7.5</v>
      </c>
      <c r="AD108" s="82" t="s">
        <v>133</v>
      </c>
      <c r="AE108" s="73" t="s">
        <v>20</v>
      </c>
      <c r="AF108" s="73" t="s">
        <v>12</v>
      </c>
      <c r="AG108" s="83">
        <v>36.200000000000003</v>
      </c>
      <c r="AL108" s="82"/>
      <c r="AO108" s="83"/>
      <c r="AP108" s="82"/>
      <c r="AS108" s="83"/>
      <c r="AW108" s="83"/>
      <c r="BA108" s="84"/>
    </row>
    <row r="109" spans="1:53" s="73" customFormat="1">
      <c r="A109" s="73">
        <v>2008</v>
      </c>
      <c r="C109" s="988" t="s">
        <v>556</v>
      </c>
      <c r="D109" s="988"/>
      <c r="E109" s="73">
        <v>366</v>
      </c>
      <c r="G109" s="123"/>
      <c r="H109" s="73">
        <v>8</v>
      </c>
      <c r="I109" s="73">
        <v>8</v>
      </c>
      <c r="J109" s="134">
        <v>16</v>
      </c>
      <c r="K109" s="92">
        <f t="shared" si="13"/>
        <v>0</v>
      </c>
      <c r="L109" s="92">
        <f t="shared" si="14"/>
        <v>50</v>
      </c>
      <c r="M109" s="92">
        <f t="shared" si="15"/>
        <v>50</v>
      </c>
      <c r="N109" s="125">
        <f t="shared" si="8"/>
        <v>100</v>
      </c>
      <c r="O109" s="91"/>
      <c r="P109" s="92">
        <v>36.799999999999997</v>
      </c>
      <c r="Q109" s="92">
        <v>36.200000000000003</v>
      </c>
      <c r="R109" s="93">
        <f t="shared" si="9"/>
        <v>73</v>
      </c>
      <c r="S109" s="97">
        <v>2</v>
      </c>
      <c r="T109" s="95"/>
      <c r="U109" s="85"/>
      <c r="V109" s="82" t="s">
        <v>129</v>
      </c>
      <c r="W109" s="73" t="s">
        <v>17</v>
      </c>
      <c r="X109" s="73" t="s">
        <v>18</v>
      </c>
      <c r="Y109" s="83">
        <v>29.3</v>
      </c>
      <c r="Z109" s="73" t="s">
        <v>130</v>
      </c>
      <c r="AA109" s="73" t="s">
        <v>82</v>
      </c>
      <c r="AB109" s="73" t="s">
        <v>18</v>
      </c>
      <c r="AC109" s="73">
        <v>7.5</v>
      </c>
      <c r="AD109" s="82" t="s">
        <v>133</v>
      </c>
      <c r="AE109" s="73" t="s">
        <v>20</v>
      </c>
      <c r="AF109" s="73" t="s">
        <v>12</v>
      </c>
      <c r="AG109" s="83">
        <v>36.200000000000003</v>
      </c>
      <c r="AL109" s="82"/>
      <c r="AO109" s="83"/>
      <c r="AP109" s="82"/>
      <c r="AS109" s="83"/>
      <c r="AW109" s="83"/>
      <c r="BA109" s="84"/>
    </row>
    <row r="110" spans="1:53" s="73" customFormat="1">
      <c r="A110" s="73">
        <v>2009</v>
      </c>
      <c r="C110" s="988" t="s">
        <v>556</v>
      </c>
      <c r="D110" s="988"/>
      <c r="E110" s="73">
        <v>300</v>
      </c>
      <c r="G110" s="123"/>
      <c r="H110" s="73">
        <v>8</v>
      </c>
      <c r="I110" s="73">
        <v>8</v>
      </c>
      <c r="J110" s="134">
        <v>16</v>
      </c>
      <c r="K110" s="92">
        <f t="shared" si="13"/>
        <v>0</v>
      </c>
      <c r="L110" s="92">
        <f t="shared" si="14"/>
        <v>50</v>
      </c>
      <c r="M110" s="92">
        <f t="shared" si="15"/>
        <v>50</v>
      </c>
      <c r="N110" s="125">
        <f t="shared" si="8"/>
        <v>100</v>
      </c>
      <c r="O110" s="91"/>
      <c r="P110" s="92">
        <v>36.799999999999997</v>
      </c>
      <c r="Q110" s="92">
        <v>36.200000000000003</v>
      </c>
      <c r="R110" s="93">
        <f t="shared" si="9"/>
        <v>73</v>
      </c>
      <c r="S110" s="97">
        <v>2</v>
      </c>
      <c r="T110" s="95"/>
      <c r="U110" s="85"/>
      <c r="V110" s="82" t="s">
        <v>129</v>
      </c>
      <c r="W110" s="73" t="s">
        <v>17</v>
      </c>
      <c r="X110" s="73" t="s">
        <v>18</v>
      </c>
      <c r="Y110" s="83">
        <v>29.3</v>
      </c>
      <c r="Z110" s="73" t="s">
        <v>130</v>
      </c>
      <c r="AA110" s="73" t="s">
        <v>82</v>
      </c>
      <c r="AB110" s="73" t="s">
        <v>18</v>
      </c>
      <c r="AC110" s="73">
        <v>7.5</v>
      </c>
      <c r="AD110" s="82" t="s">
        <v>133</v>
      </c>
      <c r="AE110" s="73" t="s">
        <v>20</v>
      </c>
      <c r="AF110" s="73" t="s">
        <v>12</v>
      </c>
      <c r="AG110" s="83">
        <v>36.200000000000003</v>
      </c>
      <c r="AL110" s="82"/>
      <c r="AO110" s="83"/>
      <c r="AP110" s="82"/>
      <c r="AS110" s="83"/>
      <c r="AW110" s="83"/>
      <c r="BA110" s="84"/>
    </row>
    <row r="111" spans="1:53" s="334" customFormat="1">
      <c r="A111" s="334">
        <v>2009</v>
      </c>
      <c r="B111" s="355">
        <v>40114</v>
      </c>
      <c r="C111" s="992" t="s">
        <v>557</v>
      </c>
      <c r="D111" s="992"/>
      <c r="E111" s="334">
        <v>65</v>
      </c>
      <c r="F111" s="334">
        <v>1</v>
      </c>
      <c r="G111" s="419">
        <v>5</v>
      </c>
      <c r="H111" s="334">
        <v>11</v>
      </c>
      <c r="J111" s="435">
        <v>16</v>
      </c>
      <c r="K111" s="384">
        <f t="shared" ref="K111:K118" si="16">G111/J111*100</f>
        <v>31.25</v>
      </c>
      <c r="L111" s="384">
        <f t="shared" ref="L111:L119" si="17">H111/J111*100</f>
        <v>68.75</v>
      </c>
      <c r="M111" s="384">
        <f t="shared" ref="M111:M119" si="18">I111/J111*100</f>
        <v>0</v>
      </c>
      <c r="N111" s="421">
        <f t="shared" si="8"/>
        <v>100</v>
      </c>
      <c r="O111" s="383">
        <v>15</v>
      </c>
      <c r="P111" s="384">
        <v>38.4</v>
      </c>
      <c r="Q111" s="384"/>
      <c r="R111" s="385">
        <f t="shared" si="9"/>
        <v>53.4</v>
      </c>
      <c r="S111" s="388">
        <v>2</v>
      </c>
      <c r="T111" s="342">
        <v>40083</v>
      </c>
      <c r="U111" s="355">
        <v>40114</v>
      </c>
      <c r="V111" s="343" t="s">
        <v>129</v>
      </c>
      <c r="W111" s="334" t="s">
        <v>17</v>
      </c>
      <c r="X111" s="334" t="s">
        <v>18</v>
      </c>
      <c r="Y111" s="344">
        <v>31.2</v>
      </c>
      <c r="Z111" s="334" t="s">
        <v>130</v>
      </c>
      <c r="AA111" s="334" t="s">
        <v>82</v>
      </c>
      <c r="AB111" s="334" t="s">
        <v>18</v>
      </c>
      <c r="AC111" s="334">
        <v>7.2</v>
      </c>
      <c r="AD111" s="343" t="s">
        <v>132</v>
      </c>
      <c r="AE111" s="334" t="s">
        <v>22</v>
      </c>
      <c r="AF111" s="334" t="s">
        <v>11</v>
      </c>
      <c r="AG111" s="344">
        <v>15</v>
      </c>
      <c r="AL111" s="343"/>
      <c r="AO111" s="344"/>
      <c r="AP111" s="343"/>
      <c r="AS111" s="344"/>
      <c r="AW111" s="344"/>
      <c r="BA111" s="345"/>
    </row>
    <row r="112" spans="1:53" s="334" customFormat="1">
      <c r="A112" s="334">
        <v>2010</v>
      </c>
      <c r="C112" s="992" t="s">
        <v>557</v>
      </c>
      <c r="D112" s="992"/>
      <c r="E112" s="334">
        <v>0</v>
      </c>
      <c r="G112" s="419">
        <v>5</v>
      </c>
      <c r="H112" s="334">
        <v>11</v>
      </c>
      <c r="J112" s="435">
        <v>16</v>
      </c>
      <c r="K112" s="384">
        <f t="shared" si="16"/>
        <v>31.25</v>
      </c>
      <c r="L112" s="384">
        <f t="shared" si="17"/>
        <v>68.75</v>
      </c>
      <c r="M112" s="384">
        <f t="shared" si="18"/>
        <v>0</v>
      </c>
      <c r="N112" s="421">
        <f t="shared" si="8"/>
        <v>100</v>
      </c>
      <c r="O112" s="383">
        <v>15</v>
      </c>
      <c r="P112" s="384">
        <v>38.4</v>
      </c>
      <c r="Q112" s="384"/>
      <c r="R112" s="385">
        <f t="shared" si="9"/>
        <v>53.4</v>
      </c>
      <c r="S112" s="388">
        <v>2</v>
      </c>
      <c r="T112" s="342"/>
      <c r="U112" s="355"/>
      <c r="V112" s="343" t="s">
        <v>129</v>
      </c>
      <c r="W112" s="334" t="s">
        <v>17</v>
      </c>
      <c r="X112" s="334" t="s">
        <v>18</v>
      </c>
      <c r="Y112" s="344">
        <v>31.2</v>
      </c>
      <c r="Z112" s="334" t="s">
        <v>130</v>
      </c>
      <c r="AA112" s="334" t="s">
        <v>82</v>
      </c>
      <c r="AB112" s="334" t="s">
        <v>18</v>
      </c>
      <c r="AC112" s="334">
        <v>7.2</v>
      </c>
      <c r="AD112" s="343" t="s">
        <v>132</v>
      </c>
      <c r="AE112" s="334" t="s">
        <v>22</v>
      </c>
      <c r="AF112" s="334" t="s">
        <v>11</v>
      </c>
      <c r="AG112" s="344">
        <v>15</v>
      </c>
      <c r="AL112" s="343"/>
      <c r="AO112" s="344"/>
      <c r="AP112" s="343"/>
      <c r="AS112" s="344"/>
      <c r="AW112" s="344"/>
      <c r="BA112" s="345"/>
    </row>
    <row r="113" spans="1:53" s="334" customFormat="1">
      <c r="A113" s="334">
        <v>2010</v>
      </c>
      <c r="C113" s="992" t="s">
        <v>557</v>
      </c>
      <c r="D113" s="992"/>
      <c r="E113" s="334">
        <v>365</v>
      </c>
      <c r="G113" s="419">
        <v>5</v>
      </c>
      <c r="H113" s="334">
        <v>11</v>
      </c>
      <c r="J113" s="435">
        <v>16</v>
      </c>
      <c r="K113" s="384">
        <f t="shared" si="16"/>
        <v>31.25</v>
      </c>
      <c r="L113" s="384">
        <f t="shared" si="17"/>
        <v>68.75</v>
      </c>
      <c r="M113" s="384">
        <f t="shared" si="18"/>
        <v>0</v>
      </c>
      <c r="N113" s="421">
        <f t="shared" si="8"/>
        <v>100</v>
      </c>
      <c r="O113" s="383">
        <v>15</v>
      </c>
      <c r="P113" s="384">
        <v>38.4</v>
      </c>
      <c r="Q113" s="384"/>
      <c r="R113" s="385">
        <f t="shared" si="9"/>
        <v>53.4</v>
      </c>
      <c r="S113" s="388">
        <v>2</v>
      </c>
      <c r="T113" s="342"/>
      <c r="U113" s="355"/>
      <c r="V113" s="343" t="s">
        <v>129</v>
      </c>
      <c r="W113" s="334" t="s">
        <v>17</v>
      </c>
      <c r="X113" s="334" t="s">
        <v>18</v>
      </c>
      <c r="Y113" s="344">
        <v>31.2</v>
      </c>
      <c r="Z113" s="334" t="s">
        <v>130</v>
      </c>
      <c r="AA113" s="334" t="s">
        <v>82</v>
      </c>
      <c r="AB113" s="334" t="s">
        <v>18</v>
      </c>
      <c r="AC113" s="334">
        <v>7.2</v>
      </c>
      <c r="AD113" s="343" t="s">
        <v>132</v>
      </c>
      <c r="AE113" s="334" t="s">
        <v>22</v>
      </c>
      <c r="AF113" s="334" t="s">
        <v>11</v>
      </c>
      <c r="AG113" s="344">
        <v>15</v>
      </c>
      <c r="AL113" s="343"/>
      <c r="AO113" s="344"/>
      <c r="AP113" s="343"/>
      <c r="AS113" s="344"/>
      <c r="AW113" s="344"/>
      <c r="BA113" s="345"/>
    </row>
    <row r="114" spans="1:53" s="334" customFormat="1">
      <c r="A114" s="334">
        <v>2011</v>
      </c>
      <c r="C114" s="992" t="s">
        <v>557</v>
      </c>
      <c r="D114" s="992"/>
      <c r="E114" s="334">
        <v>0</v>
      </c>
      <c r="G114" s="419">
        <v>5</v>
      </c>
      <c r="H114" s="334">
        <v>11</v>
      </c>
      <c r="J114" s="435">
        <v>16</v>
      </c>
      <c r="K114" s="384">
        <f t="shared" si="16"/>
        <v>31.25</v>
      </c>
      <c r="L114" s="384">
        <f t="shared" si="17"/>
        <v>68.75</v>
      </c>
      <c r="M114" s="384">
        <f t="shared" si="18"/>
        <v>0</v>
      </c>
      <c r="N114" s="421">
        <f t="shared" si="8"/>
        <v>100</v>
      </c>
      <c r="O114" s="383">
        <v>15</v>
      </c>
      <c r="P114" s="384">
        <v>38.4</v>
      </c>
      <c r="Q114" s="384"/>
      <c r="R114" s="385">
        <f t="shared" si="9"/>
        <v>53.4</v>
      </c>
      <c r="S114" s="388">
        <v>2</v>
      </c>
      <c r="T114" s="342"/>
      <c r="U114" s="355"/>
      <c r="V114" s="343" t="s">
        <v>129</v>
      </c>
      <c r="W114" s="334" t="s">
        <v>17</v>
      </c>
      <c r="X114" s="334" t="s">
        <v>18</v>
      </c>
      <c r="Y114" s="344">
        <v>31.2</v>
      </c>
      <c r="Z114" s="334" t="s">
        <v>130</v>
      </c>
      <c r="AA114" s="334" t="s">
        <v>82</v>
      </c>
      <c r="AB114" s="334" t="s">
        <v>18</v>
      </c>
      <c r="AC114" s="334">
        <v>7.2</v>
      </c>
      <c r="AD114" s="343" t="s">
        <v>132</v>
      </c>
      <c r="AE114" s="334" t="s">
        <v>22</v>
      </c>
      <c r="AF114" s="334" t="s">
        <v>11</v>
      </c>
      <c r="AG114" s="344">
        <v>15</v>
      </c>
      <c r="AL114" s="343"/>
      <c r="AO114" s="344"/>
      <c r="AP114" s="343"/>
      <c r="AS114" s="344"/>
      <c r="AW114" s="344"/>
      <c r="BA114" s="345"/>
    </row>
    <row r="115" spans="1:53" s="334" customFormat="1">
      <c r="A115" s="334">
        <v>2011</v>
      </c>
      <c r="C115" s="992" t="s">
        <v>557</v>
      </c>
      <c r="D115" s="992"/>
      <c r="E115" s="334">
        <v>365</v>
      </c>
      <c r="G115" s="419">
        <v>5</v>
      </c>
      <c r="H115" s="334">
        <v>11</v>
      </c>
      <c r="J115" s="435">
        <v>16</v>
      </c>
      <c r="K115" s="384">
        <f t="shared" si="16"/>
        <v>31.25</v>
      </c>
      <c r="L115" s="384">
        <f t="shared" si="17"/>
        <v>68.75</v>
      </c>
      <c r="M115" s="384">
        <f t="shared" si="18"/>
        <v>0</v>
      </c>
      <c r="N115" s="421">
        <f t="shared" si="8"/>
        <v>100</v>
      </c>
      <c r="O115" s="383">
        <v>15</v>
      </c>
      <c r="P115" s="384">
        <v>38.4</v>
      </c>
      <c r="Q115" s="384"/>
      <c r="R115" s="385">
        <f t="shared" si="9"/>
        <v>53.4</v>
      </c>
      <c r="S115" s="388">
        <v>2</v>
      </c>
      <c r="T115" s="342"/>
      <c r="U115" s="355"/>
      <c r="V115" s="343" t="s">
        <v>129</v>
      </c>
      <c r="W115" s="334" t="s">
        <v>17</v>
      </c>
      <c r="X115" s="334" t="s">
        <v>18</v>
      </c>
      <c r="Y115" s="344">
        <v>31.2</v>
      </c>
      <c r="Z115" s="334" t="s">
        <v>130</v>
      </c>
      <c r="AA115" s="334" t="s">
        <v>82</v>
      </c>
      <c r="AB115" s="334" t="s">
        <v>18</v>
      </c>
      <c r="AC115" s="334">
        <v>7.2</v>
      </c>
      <c r="AD115" s="343" t="s">
        <v>132</v>
      </c>
      <c r="AE115" s="334" t="s">
        <v>22</v>
      </c>
      <c r="AF115" s="334" t="s">
        <v>11</v>
      </c>
      <c r="AG115" s="344">
        <v>15</v>
      </c>
      <c r="AL115" s="343"/>
      <c r="AO115" s="344"/>
      <c r="AP115" s="343"/>
      <c r="AS115" s="344"/>
      <c r="AW115" s="344"/>
      <c r="BA115" s="345"/>
    </row>
    <row r="116" spans="1:53" s="334" customFormat="1">
      <c r="A116" s="334">
        <v>2012</v>
      </c>
      <c r="C116" s="992" t="s">
        <v>557</v>
      </c>
      <c r="D116" s="992"/>
      <c r="E116" s="334">
        <v>0</v>
      </c>
      <c r="G116" s="419">
        <v>5</v>
      </c>
      <c r="H116" s="334">
        <v>11</v>
      </c>
      <c r="J116" s="435">
        <v>16</v>
      </c>
      <c r="K116" s="384">
        <f t="shared" si="16"/>
        <v>31.25</v>
      </c>
      <c r="L116" s="384">
        <f t="shared" si="17"/>
        <v>68.75</v>
      </c>
      <c r="M116" s="384">
        <f t="shared" si="18"/>
        <v>0</v>
      </c>
      <c r="N116" s="421">
        <f t="shared" si="8"/>
        <v>100</v>
      </c>
      <c r="O116" s="383">
        <v>15</v>
      </c>
      <c r="P116" s="384">
        <v>38.4</v>
      </c>
      <c r="Q116" s="384"/>
      <c r="R116" s="385">
        <f t="shared" si="9"/>
        <v>53.4</v>
      </c>
      <c r="S116" s="388">
        <v>2</v>
      </c>
      <c r="T116" s="342"/>
      <c r="U116" s="355"/>
      <c r="V116" s="343" t="s">
        <v>129</v>
      </c>
      <c r="W116" s="334" t="s">
        <v>17</v>
      </c>
      <c r="X116" s="334" t="s">
        <v>18</v>
      </c>
      <c r="Y116" s="344">
        <v>31.2</v>
      </c>
      <c r="Z116" s="334" t="s">
        <v>130</v>
      </c>
      <c r="AA116" s="334" t="s">
        <v>82</v>
      </c>
      <c r="AB116" s="334" t="s">
        <v>18</v>
      </c>
      <c r="AC116" s="334">
        <v>7.2</v>
      </c>
      <c r="AD116" s="343" t="s">
        <v>132</v>
      </c>
      <c r="AE116" s="334" t="s">
        <v>22</v>
      </c>
      <c r="AF116" s="334" t="s">
        <v>11</v>
      </c>
      <c r="AG116" s="344">
        <v>15</v>
      </c>
      <c r="AL116" s="343"/>
      <c r="AO116" s="344"/>
      <c r="AP116" s="343"/>
      <c r="AS116" s="344"/>
      <c r="AW116" s="344"/>
      <c r="BA116" s="345"/>
    </row>
    <row r="117" spans="1:53" s="334" customFormat="1">
      <c r="A117" s="334">
        <v>2012</v>
      </c>
      <c r="C117" s="992" t="s">
        <v>557</v>
      </c>
      <c r="D117" s="992"/>
      <c r="E117" s="334">
        <v>366</v>
      </c>
      <c r="G117" s="419">
        <v>5</v>
      </c>
      <c r="H117" s="334">
        <v>11</v>
      </c>
      <c r="J117" s="435">
        <v>16</v>
      </c>
      <c r="K117" s="384">
        <f t="shared" si="16"/>
        <v>31.25</v>
      </c>
      <c r="L117" s="384">
        <f t="shared" si="17"/>
        <v>68.75</v>
      </c>
      <c r="M117" s="384">
        <f t="shared" si="18"/>
        <v>0</v>
      </c>
      <c r="N117" s="421">
        <f t="shared" si="8"/>
        <v>100</v>
      </c>
      <c r="O117" s="383">
        <v>15</v>
      </c>
      <c r="P117" s="384">
        <v>38.4</v>
      </c>
      <c r="Q117" s="384"/>
      <c r="R117" s="385">
        <f t="shared" si="9"/>
        <v>53.4</v>
      </c>
      <c r="S117" s="388">
        <v>2</v>
      </c>
      <c r="T117" s="342"/>
      <c r="U117" s="355"/>
      <c r="V117" s="343" t="s">
        <v>129</v>
      </c>
      <c r="W117" s="334" t="s">
        <v>17</v>
      </c>
      <c r="X117" s="334" t="s">
        <v>18</v>
      </c>
      <c r="Y117" s="344">
        <v>31.2</v>
      </c>
      <c r="Z117" s="334" t="s">
        <v>130</v>
      </c>
      <c r="AA117" s="334" t="s">
        <v>82</v>
      </c>
      <c r="AB117" s="334" t="s">
        <v>18</v>
      </c>
      <c r="AC117" s="334">
        <v>7.2</v>
      </c>
      <c r="AD117" s="343" t="s">
        <v>132</v>
      </c>
      <c r="AE117" s="334" t="s">
        <v>22</v>
      </c>
      <c r="AF117" s="334" t="s">
        <v>11</v>
      </c>
      <c r="AG117" s="344">
        <v>15</v>
      </c>
      <c r="AL117" s="343"/>
      <c r="AO117" s="344"/>
      <c r="AP117" s="343"/>
      <c r="AS117" s="344"/>
      <c r="AW117" s="344"/>
      <c r="BA117" s="345"/>
    </row>
    <row r="118" spans="1:53" s="334" customFormat="1">
      <c r="A118" s="334">
        <v>2013</v>
      </c>
      <c r="C118" s="992" t="s">
        <v>557</v>
      </c>
      <c r="D118" s="992"/>
      <c r="E118" s="334">
        <v>350</v>
      </c>
      <c r="G118" s="419">
        <v>5</v>
      </c>
      <c r="H118" s="334">
        <v>11</v>
      </c>
      <c r="J118" s="435">
        <v>16</v>
      </c>
      <c r="K118" s="384">
        <f t="shared" si="16"/>
        <v>31.25</v>
      </c>
      <c r="L118" s="384">
        <f t="shared" si="17"/>
        <v>68.75</v>
      </c>
      <c r="M118" s="384">
        <f t="shared" si="18"/>
        <v>0</v>
      </c>
      <c r="N118" s="421">
        <f t="shared" si="8"/>
        <v>100</v>
      </c>
      <c r="O118" s="383">
        <v>15</v>
      </c>
      <c r="P118" s="384">
        <v>38.4</v>
      </c>
      <c r="Q118" s="384"/>
      <c r="R118" s="385">
        <f t="shared" si="9"/>
        <v>53.4</v>
      </c>
      <c r="S118" s="388">
        <v>2</v>
      </c>
      <c r="T118" s="342"/>
      <c r="U118" s="355"/>
      <c r="V118" s="343" t="s">
        <v>129</v>
      </c>
      <c r="W118" s="334" t="s">
        <v>17</v>
      </c>
      <c r="X118" s="334" t="s">
        <v>18</v>
      </c>
      <c r="Y118" s="344">
        <v>31.2</v>
      </c>
      <c r="Z118" s="334" t="s">
        <v>130</v>
      </c>
      <c r="AA118" s="334" t="s">
        <v>82</v>
      </c>
      <c r="AB118" s="334" t="s">
        <v>18</v>
      </c>
      <c r="AC118" s="334">
        <v>7.2</v>
      </c>
      <c r="AD118" s="343" t="s">
        <v>132</v>
      </c>
      <c r="AE118" s="334" t="s">
        <v>22</v>
      </c>
      <c r="AF118" s="334" t="s">
        <v>11</v>
      </c>
      <c r="AG118" s="344">
        <v>15</v>
      </c>
      <c r="AL118" s="343"/>
      <c r="AO118" s="344"/>
      <c r="AP118" s="343"/>
      <c r="AS118" s="344"/>
      <c r="AW118" s="344"/>
      <c r="BA118" s="345"/>
    </row>
    <row r="119" spans="1:53" s="321" customFormat="1">
      <c r="A119" s="321">
        <v>2013</v>
      </c>
      <c r="B119" s="320">
        <v>41625</v>
      </c>
      <c r="C119" s="988" t="s">
        <v>1255</v>
      </c>
      <c r="D119" s="988"/>
      <c r="E119" s="321">
        <f>365-E118</f>
        <v>15</v>
      </c>
      <c r="F119" s="321">
        <v>1</v>
      </c>
      <c r="G119" s="123"/>
      <c r="H119" s="321">
        <v>10</v>
      </c>
      <c r="I119" s="321">
        <v>6</v>
      </c>
      <c r="J119" s="134">
        <v>16</v>
      </c>
      <c r="K119" s="92">
        <f>G119/J119*100</f>
        <v>0</v>
      </c>
      <c r="L119" s="92">
        <f t="shared" si="17"/>
        <v>62.5</v>
      </c>
      <c r="M119" s="92">
        <f t="shared" si="18"/>
        <v>37.5</v>
      </c>
      <c r="N119" s="125">
        <f>SUM(K119:M119)</f>
        <v>100</v>
      </c>
      <c r="O119" s="91">
        <v>0</v>
      </c>
      <c r="P119" s="92">
        <v>49.3</v>
      </c>
      <c r="Q119" s="92">
        <v>30.6</v>
      </c>
      <c r="R119" s="93">
        <f t="shared" si="9"/>
        <v>79.900000000000006</v>
      </c>
      <c r="S119" s="97">
        <v>2</v>
      </c>
      <c r="T119" s="95">
        <v>41539</v>
      </c>
      <c r="U119" s="320">
        <v>41625</v>
      </c>
      <c r="V119" s="82" t="s">
        <v>129</v>
      </c>
      <c r="W119" s="321" t="s">
        <v>17</v>
      </c>
      <c r="X119" s="321" t="s">
        <v>18</v>
      </c>
      <c r="Y119" s="83">
        <v>40.4</v>
      </c>
      <c r="Z119" s="321" t="s">
        <v>130</v>
      </c>
      <c r="AA119" s="321" t="s">
        <v>82</v>
      </c>
      <c r="AB119" s="321" t="s">
        <v>18</v>
      </c>
      <c r="AC119" s="321">
        <v>8.9</v>
      </c>
      <c r="AD119" s="82" t="s">
        <v>133</v>
      </c>
      <c r="AE119" s="321" t="s">
        <v>20</v>
      </c>
      <c r="AF119" s="321" t="s">
        <v>12</v>
      </c>
      <c r="AG119" s="83">
        <v>30.6</v>
      </c>
      <c r="AL119" s="82"/>
      <c r="AO119" s="83"/>
      <c r="AP119" s="82"/>
      <c r="AS119" s="83"/>
      <c r="AW119" s="83"/>
      <c r="BA119" s="84"/>
    </row>
    <row r="120" spans="1:53" s="531" customFormat="1">
      <c r="A120" s="531">
        <v>2014</v>
      </c>
      <c r="B120" s="528"/>
      <c r="C120" s="988" t="s">
        <v>1255</v>
      </c>
      <c r="D120" s="988"/>
      <c r="E120" s="531">
        <v>0</v>
      </c>
      <c r="G120" s="480"/>
      <c r="H120" s="531">
        <v>10</v>
      </c>
      <c r="I120" s="531">
        <v>6</v>
      </c>
      <c r="J120" s="482">
        <v>16</v>
      </c>
      <c r="K120" s="477">
        <f>G120/J120*100</f>
        <v>0</v>
      </c>
      <c r="L120" s="477">
        <f>H120/J120*100</f>
        <v>62.5</v>
      </c>
      <c r="M120" s="477">
        <f>I120/J120*100</f>
        <v>37.5</v>
      </c>
      <c r="N120" s="481">
        <f>SUM(K120:M120)</f>
        <v>100</v>
      </c>
      <c r="O120" s="476">
        <v>0</v>
      </c>
      <c r="P120" s="477">
        <v>49.3</v>
      </c>
      <c r="Q120" s="477">
        <v>30.6</v>
      </c>
      <c r="R120" s="478">
        <f>SUM(O120:Q120)</f>
        <v>79.900000000000006</v>
      </c>
      <c r="S120" s="97">
        <v>2</v>
      </c>
      <c r="T120" s="479"/>
      <c r="U120" s="528"/>
      <c r="V120" s="472" t="s">
        <v>129</v>
      </c>
      <c r="W120" s="531" t="s">
        <v>17</v>
      </c>
      <c r="X120" s="531" t="s">
        <v>18</v>
      </c>
      <c r="Y120" s="473">
        <v>40.4</v>
      </c>
      <c r="Z120" s="531" t="s">
        <v>130</v>
      </c>
      <c r="AA120" s="531" t="s">
        <v>82</v>
      </c>
      <c r="AB120" s="531" t="s">
        <v>18</v>
      </c>
      <c r="AC120" s="531">
        <v>8.9</v>
      </c>
      <c r="AD120" s="472" t="s">
        <v>133</v>
      </c>
      <c r="AE120" s="531" t="s">
        <v>20</v>
      </c>
      <c r="AF120" s="531" t="s">
        <v>12</v>
      </c>
      <c r="AG120" s="473">
        <v>30.6</v>
      </c>
      <c r="AL120" s="472"/>
      <c r="AO120" s="473"/>
      <c r="AP120" s="472"/>
      <c r="AS120" s="473"/>
      <c r="AW120" s="473"/>
      <c r="BA120" s="474"/>
    </row>
    <row r="121" spans="1:53" s="531" customFormat="1">
      <c r="A121" s="531">
        <v>2014</v>
      </c>
      <c r="B121" s="528"/>
      <c r="C121" s="988" t="s">
        <v>1255</v>
      </c>
      <c r="D121" s="988"/>
      <c r="E121" s="531">
        <v>365</v>
      </c>
      <c r="G121" s="480"/>
      <c r="H121" s="531">
        <v>10</v>
      </c>
      <c r="I121" s="531">
        <v>6</v>
      </c>
      <c r="J121" s="482">
        <v>16</v>
      </c>
      <c r="K121" s="477">
        <f>G121/J121*100</f>
        <v>0</v>
      </c>
      <c r="L121" s="477">
        <f>H121/J121*100</f>
        <v>62.5</v>
      </c>
      <c r="M121" s="477">
        <f>I121/J121*100</f>
        <v>37.5</v>
      </c>
      <c r="N121" s="481">
        <f>SUM(K121:M121)</f>
        <v>100</v>
      </c>
      <c r="O121" s="476">
        <v>0</v>
      </c>
      <c r="P121" s="477">
        <v>49.3</v>
      </c>
      <c r="Q121" s="477">
        <v>30.6</v>
      </c>
      <c r="R121" s="478">
        <f>SUM(O121:Q121)</f>
        <v>79.900000000000006</v>
      </c>
      <c r="S121" s="97">
        <v>2</v>
      </c>
      <c r="T121" s="479"/>
      <c r="U121" s="528"/>
      <c r="V121" s="472" t="s">
        <v>129</v>
      </c>
      <c r="W121" s="531" t="s">
        <v>17</v>
      </c>
      <c r="X121" s="531" t="s">
        <v>18</v>
      </c>
      <c r="Y121" s="473">
        <v>40.4</v>
      </c>
      <c r="Z121" s="531" t="s">
        <v>130</v>
      </c>
      <c r="AA121" s="531" t="s">
        <v>82</v>
      </c>
      <c r="AB121" s="531" t="s">
        <v>18</v>
      </c>
      <c r="AC121" s="531">
        <v>8.9</v>
      </c>
      <c r="AD121" s="472" t="s">
        <v>133</v>
      </c>
      <c r="AE121" s="531" t="s">
        <v>20</v>
      </c>
      <c r="AF121" s="531" t="s">
        <v>12</v>
      </c>
      <c r="AG121" s="473">
        <v>30.6</v>
      </c>
      <c r="AL121" s="472"/>
      <c r="AO121" s="473"/>
      <c r="AP121" s="472"/>
      <c r="AS121" s="473"/>
      <c r="AW121" s="473"/>
      <c r="BA121" s="474"/>
    </row>
    <row r="122" spans="1:53" s="722" customFormat="1">
      <c r="A122" s="722">
        <v>2015</v>
      </c>
      <c r="B122" s="718"/>
      <c r="C122" s="988" t="s">
        <v>1255</v>
      </c>
      <c r="D122" s="988"/>
      <c r="E122" s="722">
        <v>0</v>
      </c>
      <c r="G122" s="596"/>
      <c r="H122" s="722">
        <v>10</v>
      </c>
      <c r="I122" s="722">
        <v>6</v>
      </c>
      <c r="J122" s="598">
        <v>16</v>
      </c>
      <c r="K122" s="593">
        <f t="shared" ref="K122:K124" si="19">G122/J122*100</f>
        <v>0</v>
      </c>
      <c r="L122" s="593">
        <f t="shared" ref="L122:L124" si="20">H122/J122*100</f>
        <v>62.5</v>
      </c>
      <c r="M122" s="593">
        <f t="shared" ref="M122:M124" si="21">I122/J122*100</f>
        <v>37.5</v>
      </c>
      <c r="N122" s="597">
        <f t="shared" ref="N122:N124" si="22">SUM(K122:M122)</f>
        <v>100</v>
      </c>
      <c r="O122" s="592">
        <v>0</v>
      </c>
      <c r="P122" s="593">
        <v>49.3</v>
      </c>
      <c r="Q122" s="593">
        <v>30.6</v>
      </c>
      <c r="R122" s="594">
        <f t="shared" ref="R122:R124" si="23">SUM(O122:Q122)</f>
        <v>79.900000000000006</v>
      </c>
      <c r="S122" s="97">
        <v>2</v>
      </c>
      <c r="T122" s="595"/>
      <c r="U122" s="718"/>
      <c r="V122" s="588" t="s">
        <v>129</v>
      </c>
      <c r="W122" s="722" t="s">
        <v>17</v>
      </c>
      <c r="X122" s="722" t="s">
        <v>18</v>
      </c>
      <c r="Y122" s="589">
        <v>40.4</v>
      </c>
      <c r="Z122" s="722" t="s">
        <v>130</v>
      </c>
      <c r="AA122" s="722" t="s">
        <v>82</v>
      </c>
      <c r="AB122" s="722" t="s">
        <v>18</v>
      </c>
      <c r="AC122" s="722">
        <v>8.9</v>
      </c>
      <c r="AD122" s="588" t="s">
        <v>133</v>
      </c>
      <c r="AE122" s="722" t="s">
        <v>20</v>
      </c>
      <c r="AF122" s="722" t="s">
        <v>12</v>
      </c>
      <c r="AG122" s="589">
        <v>30.6</v>
      </c>
      <c r="AL122" s="588"/>
      <c r="AO122" s="589"/>
      <c r="AP122" s="588"/>
      <c r="AS122" s="589"/>
      <c r="AW122" s="589"/>
      <c r="BA122" s="590"/>
    </row>
    <row r="123" spans="1:53" s="722" customFormat="1">
      <c r="A123" s="722">
        <v>2015</v>
      </c>
      <c r="B123" s="718"/>
      <c r="C123" s="988" t="s">
        <v>1255</v>
      </c>
      <c r="D123" s="988"/>
      <c r="E123" s="722">
        <v>365</v>
      </c>
      <c r="G123" s="596"/>
      <c r="H123" s="722">
        <v>10</v>
      </c>
      <c r="I123" s="722">
        <v>6</v>
      </c>
      <c r="J123" s="598">
        <v>16</v>
      </c>
      <c r="K123" s="593">
        <f t="shared" si="19"/>
        <v>0</v>
      </c>
      <c r="L123" s="593">
        <f t="shared" si="20"/>
        <v>62.5</v>
      </c>
      <c r="M123" s="593">
        <f t="shared" si="21"/>
        <v>37.5</v>
      </c>
      <c r="N123" s="597">
        <f t="shared" si="22"/>
        <v>100</v>
      </c>
      <c r="O123" s="592">
        <v>0</v>
      </c>
      <c r="P123" s="593">
        <v>49.3</v>
      </c>
      <c r="Q123" s="593">
        <v>30.6</v>
      </c>
      <c r="R123" s="594">
        <f t="shared" si="23"/>
        <v>79.900000000000006</v>
      </c>
      <c r="S123" s="97">
        <v>2</v>
      </c>
      <c r="T123" s="595"/>
      <c r="U123" s="718"/>
      <c r="V123" s="588" t="s">
        <v>129</v>
      </c>
      <c r="W123" s="722" t="s">
        <v>17</v>
      </c>
      <c r="X123" s="722" t="s">
        <v>18</v>
      </c>
      <c r="Y123" s="589">
        <v>40.4</v>
      </c>
      <c r="Z123" s="722" t="s">
        <v>130</v>
      </c>
      <c r="AA123" s="722" t="s">
        <v>82</v>
      </c>
      <c r="AB123" s="722" t="s">
        <v>18</v>
      </c>
      <c r="AC123" s="722">
        <v>8.9</v>
      </c>
      <c r="AD123" s="588" t="s">
        <v>133</v>
      </c>
      <c r="AE123" s="722" t="s">
        <v>20</v>
      </c>
      <c r="AF123" s="722" t="s">
        <v>12</v>
      </c>
      <c r="AG123" s="589">
        <v>30.6</v>
      </c>
      <c r="AL123" s="588"/>
      <c r="AO123" s="589"/>
      <c r="AP123" s="588"/>
      <c r="AS123" s="589"/>
      <c r="AW123" s="589"/>
      <c r="BA123" s="590"/>
    </row>
    <row r="124" spans="1:53" s="806" customFormat="1">
      <c r="A124" s="806">
        <v>2016</v>
      </c>
      <c r="B124" s="803"/>
      <c r="C124" s="988" t="s">
        <v>1255</v>
      </c>
      <c r="D124" s="988"/>
      <c r="E124" s="806">
        <v>0</v>
      </c>
      <c r="G124" s="596"/>
      <c r="H124" s="806">
        <v>10</v>
      </c>
      <c r="I124" s="806">
        <v>6</v>
      </c>
      <c r="J124" s="598">
        <v>16</v>
      </c>
      <c r="K124" s="593">
        <f t="shared" si="19"/>
        <v>0</v>
      </c>
      <c r="L124" s="593">
        <f t="shared" si="20"/>
        <v>62.5</v>
      </c>
      <c r="M124" s="593">
        <f t="shared" si="21"/>
        <v>37.5</v>
      </c>
      <c r="N124" s="597">
        <f t="shared" si="22"/>
        <v>100</v>
      </c>
      <c r="O124" s="592">
        <v>0</v>
      </c>
      <c r="P124" s="593">
        <v>49.3</v>
      </c>
      <c r="Q124" s="593">
        <v>30.6</v>
      </c>
      <c r="R124" s="594">
        <f t="shared" si="23"/>
        <v>79.900000000000006</v>
      </c>
      <c r="S124" s="97">
        <v>2</v>
      </c>
      <c r="T124" s="595"/>
      <c r="U124" s="803"/>
      <c r="V124" s="588" t="s">
        <v>129</v>
      </c>
      <c r="W124" s="806" t="s">
        <v>17</v>
      </c>
      <c r="X124" s="806" t="s">
        <v>18</v>
      </c>
      <c r="Y124" s="589">
        <v>40.4</v>
      </c>
      <c r="Z124" s="806" t="s">
        <v>130</v>
      </c>
      <c r="AA124" s="806" t="s">
        <v>82</v>
      </c>
      <c r="AB124" s="806" t="s">
        <v>18</v>
      </c>
      <c r="AC124" s="806">
        <v>8.9</v>
      </c>
      <c r="AD124" s="588" t="s">
        <v>133</v>
      </c>
      <c r="AE124" s="806" t="s">
        <v>20</v>
      </c>
      <c r="AF124" s="806" t="s">
        <v>12</v>
      </c>
      <c r="AG124" s="589">
        <v>30.6</v>
      </c>
      <c r="AL124" s="588"/>
      <c r="AO124" s="589"/>
      <c r="AP124" s="588"/>
      <c r="AS124" s="589"/>
      <c r="AW124" s="589"/>
      <c r="BA124" s="590"/>
    </row>
    <row r="125" spans="1:53" s="806" customFormat="1">
      <c r="A125" s="806">
        <v>2016</v>
      </c>
      <c r="B125" s="803"/>
      <c r="C125" s="988" t="s">
        <v>1255</v>
      </c>
      <c r="D125" s="988"/>
      <c r="E125" s="806">
        <v>366</v>
      </c>
      <c r="G125" s="596"/>
      <c r="H125" s="806">
        <v>10</v>
      </c>
      <c r="I125" s="806">
        <v>6</v>
      </c>
      <c r="J125" s="598">
        <v>16</v>
      </c>
      <c r="K125" s="593">
        <f t="shared" ref="K125" si="24">G125/J125*100</f>
        <v>0</v>
      </c>
      <c r="L125" s="593">
        <f t="shared" ref="L125" si="25">H125/J125*100</f>
        <v>62.5</v>
      </c>
      <c r="M125" s="593">
        <f t="shared" ref="M125" si="26">I125/J125*100</f>
        <v>37.5</v>
      </c>
      <c r="N125" s="597">
        <f t="shared" ref="N125" si="27">SUM(K125:M125)</f>
        <v>100</v>
      </c>
      <c r="O125" s="592">
        <v>0</v>
      </c>
      <c r="P125" s="593">
        <v>49.3</v>
      </c>
      <c r="Q125" s="593">
        <v>30.6</v>
      </c>
      <c r="R125" s="594">
        <f t="shared" ref="R125" si="28">SUM(O125:Q125)</f>
        <v>79.900000000000006</v>
      </c>
      <c r="S125" s="97">
        <v>2</v>
      </c>
      <c r="T125" s="595"/>
      <c r="U125" s="803"/>
      <c r="V125" s="588" t="s">
        <v>129</v>
      </c>
      <c r="W125" s="806" t="s">
        <v>17</v>
      </c>
      <c r="X125" s="806" t="s">
        <v>18</v>
      </c>
      <c r="Y125" s="589">
        <v>40.4</v>
      </c>
      <c r="Z125" s="806" t="s">
        <v>130</v>
      </c>
      <c r="AA125" s="806" t="s">
        <v>82</v>
      </c>
      <c r="AB125" s="806" t="s">
        <v>18</v>
      </c>
      <c r="AC125" s="806">
        <v>8.9</v>
      </c>
      <c r="AD125" s="588" t="s">
        <v>133</v>
      </c>
      <c r="AE125" s="806" t="s">
        <v>20</v>
      </c>
      <c r="AF125" s="806" t="s">
        <v>12</v>
      </c>
      <c r="AG125" s="589">
        <v>30.6</v>
      </c>
      <c r="AL125" s="588"/>
      <c r="AO125" s="589"/>
      <c r="AP125" s="588"/>
      <c r="AS125" s="589"/>
      <c r="AW125" s="589"/>
      <c r="BA125" s="590"/>
    </row>
    <row r="126" spans="1:53" s="896" customFormat="1">
      <c r="A126" s="896">
        <v>2017</v>
      </c>
      <c r="B126" s="894"/>
      <c r="C126" s="988" t="s">
        <v>1255</v>
      </c>
      <c r="D126" s="988"/>
      <c r="E126" s="896">
        <v>147</v>
      </c>
      <c r="G126" s="596"/>
      <c r="H126" s="896">
        <v>10</v>
      </c>
      <c r="I126" s="896">
        <v>6</v>
      </c>
      <c r="J126" s="598">
        <v>16</v>
      </c>
      <c r="K126" s="593">
        <f t="shared" ref="K126:K127" si="29">G126/J126*100</f>
        <v>0</v>
      </c>
      <c r="L126" s="593">
        <f t="shared" ref="L126:L127" si="30">H126/J126*100</f>
        <v>62.5</v>
      </c>
      <c r="M126" s="593">
        <f t="shared" ref="M126:M127" si="31">I126/J126*100</f>
        <v>37.5</v>
      </c>
      <c r="N126" s="597">
        <f t="shared" ref="N126:N127" si="32">SUM(K126:M126)</f>
        <v>100</v>
      </c>
      <c r="O126" s="592">
        <v>0</v>
      </c>
      <c r="P126" s="593">
        <v>49.3</v>
      </c>
      <c r="Q126" s="593">
        <v>30.6</v>
      </c>
      <c r="R126" s="594">
        <f t="shared" ref="R126:R127" si="33">SUM(O126:Q126)</f>
        <v>79.900000000000006</v>
      </c>
      <c r="S126" s="97">
        <v>2</v>
      </c>
      <c r="T126" s="595"/>
      <c r="U126" s="894"/>
      <c r="V126" s="588" t="s">
        <v>129</v>
      </c>
      <c r="W126" s="896" t="s">
        <v>17</v>
      </c>
      <c r="X126" s="896" t="s">
        <v>18</v>
      </c>
      <c r="Y126" s="589">
        <v>40.4</v>
      </c>
      <c r="Z126" s="896" t="s">
        <v>130</v>
      </c>
      <c r="AA126" s="896" t="s">
        <v>82</v>
      </c>
      <c r="AB126" s="896" t="s">
        <v>18</v>
      </c>
      <c r="AC126" s="896">
        <v>8.9</v>
      </c>
      <c r="AD126" s="588" t="s">
        <v>133</v>
      </c>
      <c r="AE126" s="896" t="s">
        <v>20</v>
      </c>
      <c r="AF126" s="896" t="s">
        <v>12</v>
      </c>
      <c r="AG126" s="589">
        <v>30.6</v>
      </c>
      <c r="AL126" s="588"/>
      <c r="AO126" s="589"/>
      <c r="AP126" s="588"/>
      <c r="AS126" s="589"/>
      <c r="AW126" s="589"/>
      <c r="BA126" s="590"/>
    </row>
    <row r="127" spans="1:53" s="896" customFormat="1">
      <c r="A127" s="896">
        <v>2017</v>
      </c>
      <c r="B127" s="216">
        <v>42883</v>
      </c>
      <c r="C127" s="988" t="s">
        <v>1255</v>
      </c>
      <c r="D127" s="988"/>
      <c r="E127" s="896">
        <v>149</v>
      </c>
      <c r="F127" s="217">
        <v>0</v>
      </c>
      <c r="G127" s="596"/>
      <c r="H127" s="896">
        <v>10</v>
      </c>
      <c r="I127" s="896">
        <v>5</v>
      </c>
      <c r="J127" s="598">
        <v>15</v>
      </c>
      <c r="K127" s="593">
        <f t="shared" si="29"/>
        <v>0</v>
      </c>
      <c r="L127" s="593">
        <f t="shared" si="30"/>
        <v>66.666666666666657</v>
      </c>
      <c r="M127" s="593">
        <f t="shared" si="31"/>
        <v>33.333333333333329</v>
      </c>
      <c r="N127" s="597">
        <f t="shared" si="32"/>
        <v>99.999999999999986</v>
      </c>
      <c r="O127" s="592">
        <v>0</v>
      </c>
      <c r="P127" s="593">
        <v>49.3</v>
      </c>
      <c r="Q127" s="593">
        <v>30.6</v>
      </c>
      <c r="R127" s="594">
        <f t="shared" si="33"/>
        <v>79.900000000000006</v>
      </c>
      <c r="S127" s="97">
        <v>2</v>
      </c>
      <c r="T127" s="595"/>
      <c r="U127" s="894"/>
      <c r="V127" s="588" t="s">
        <v>129</v>
      </c>
      <c r="W127" s="896" t="s">
        <v>17</v>
      </c>
      <c r="X127" s="896" t="s">
        <v>18</v>
      </c>
      <c r="Y127" s="589">
        <v>40.4</v>
      </c>
      <c r="Z127" s="896" t="s">
        <v>130</v>
      </c>
      <c r="AA127" s="896" t="s">
        <v>82</v>
      </c>
      <c r="AB127" s="896" t="s">
        <v>18</v>
      </c>
      <c r="AC127" s="896">
        <v>8.9</v>
      </c>
      <c r="AD127" s="588" t="s">
        <v>133</v>
      </c>
      <c r="AE127" s="896" t="s">
        <v>20</v>
      </c>
      <c r="AF127" s="896" t="s">
        <v>12</v>
      </c>
      <c r="AG127" s="589">
        <v>30.6</v>
      </c>
      <c r="AL127" s="588"/>
      <c r="AO127" s="589"/>
      <c r="AP127" s="588"/>
      <c r="AS127" s="589"/>
      <c r="AW127" s="589"/>
      <c r="BA127" s="590"/>
    </row>
    <row r="128" spans="1:53" s="896" customFormat="1">
      <c r="A128" s="896">
        <v>2017</v>
      </c>
      <c r="B128" s="216">
        <v>43032</v>
      </c>
      <c r="C128" s="988" t="s">
        <v>1255</v>
      </c>
      <c r="D128" s="988"/>
      <c r="E128" s="896">
        <v>69</v>
      </c>
      <c r="F128" s="217">
        <v>0</v>
      </c>
      <c r="G128" s="596"/>
      <c r="H128" s="896">
        <v>8</v>
      </c>
      <c r="I128" s="896">
        <v>5</v>
      </c>
      <c r="J128" s="598">
        <v>13</v>
      </c>
      <c r="K128" s="593">
        <f t="shared" ref="K128" si="34">G128/J128*100</f>
        <v>0</v>
      </c>
      <c r="L128" s="593">
        <f t="shared" ref="L128" si="35">H128/J128*100</f>
        <v>61.53846153846154</v>
      </c>
      <c r="M128" s="593">
        <f t="shared" ref="M128" si="36">I128/J128*100</f>
        <v>38.461538461538467</v>
      </c>
      <c r="N128" s="597">
        <f t="shared" ref="N128" si="37">SUM(K128:M128)</f>
        <v>100</v>
      </c>
      <c r="O128" s="592">
        <v>0</v>
      </c>
      <c r="P128" s="593">
        <v>49.3</v>
      </c>
      <c r="Q128" s="593">
        <v>30.6</v>
      </c>
      <c r="R128" s="594">
        <f t="shared" ref="R128" si="38">SUM(O128:Q128)</f>
        <v>79.900000000000006</v>
      </c>
      <c r="S128" s="97">
        <v>2</v>
      </c>
      <c r="T128" s="595"/>
      <c r="U128" s="894"/>
      <c r="V128" s="588" t="s">
        <v>129</v>
      </c>
      <c r="W128" s="896" t="s">
        <v>17</v>
      </c>
      <c r="X128" s="896" t="s">
        <v>18</v>
      </c>
      <c r="Y128" s="589">
        <v>40.4</v>
      </c>
      <c r="Z128" s="896" t="s">
        <v>130</v>
      </c>
      <c r="AA128" s="896" t="s">
        <v>82</v>
      </c>
      <c r="AB128" s="896" t="s">
        <v>18</v>
      </c>
      <c r="AC128" s="896">
        <v>8.9</v>
      </c>
      <c r="AD128" s="588" t="s">
        <v>133</v>
      </c>
      <c r="AE128" s="896" t="s">
        <v>20</v>
      </c>
      <c r="AF128" s="896" t="s">
        <v>12</v>
      </c>
      <c r="AG128" s="589">
        <v>30.6</v>
      </c>
      <c r="AL128" s="588"/>
      <c r="AO128" s="589"/>
      <c r="AP128" s="588"/>
      <c r="AS128" s="589"/>
      <c r="AW128" s="589"/>
      <c r="BA128" s="590"/>
    </row>
    <row r="129" spans="1:53" s="933" customFormat="1">
      <c r="A129" s="933">
        <v>2018</v>
      </c>
      <c r="B129" s="216"/>
      <c r="C129" s="988" t="s">
        <v>1255</v>
      </c>
      <c r="D129" s="988"/>
      <c r="E129" s="933">
        <v>72</v>
      </c>
      <c r="F129" s="217"/>
      <c r="G129" s="596"/>
      <c r="H129" s="933">
        <v>8</v>
      </c>
      <c r="I129" s="933">
        <v>5</v>
      </c>
      <c r="J129" s="598">
        <v>13</v>
      </c>
      <c r="K129" s="593">
        <f t="shared" ref="K129:K130" si="39">G129/J129*100</f>
        <v>0</v>
      </c>
      <c r="L129" s="593">
        <f t="shared" ref="L129:L130" si="40">H129/J129*100</f>
        <v>61.53846153846154</v>
      </c>
      <c r="M129" s="593">
        <f t="shared" ref="M129:M130" si="41">I129/J129*100</f>
        <v>38.461538461538467</v>
      </c>
      <c r="N129" s="597">
        <f t="shared" ref="N129:N130" si="42">SUM(K129:M129)</f>
        <v>100</v>
      </c>
      <c r="O129" s="592">
        <v>0</v>
      </c>
      <c r="P129" s="593">
        <v>49.3</v>
      </c>
      <c r="Q129" s="593">
        <v>30.6</v>
      </c>
      <c r="R129" s="594">
        <f t="shared" ref="R129:R130" si="43">SUM(O129:Q129)</f>
        <v>79.900000000000006</v>
      </c>
      <c r="S129" s="97">
        <v>2</v>
      </c>
      <c r="T129" s="595"/>
      <c r="U129" s="929"/>
      <c r="V129" s="588" t="s">
        <v>129</v>
      </c>
      <c r="W129" s="933" t="s">
        <v>17</v>
      </c>
      <c r="X129" s="933" t="s">
        <v>18</v>
      </c>
      <c r="Y129" s="589">
        <v>40.4</v>
      </c>
      <c r="Z129" s="933" t="s">
        <v>130</v>
      </c>
      <c r="AA129" s="933" t="s">
        <v>82</v>
      </c>
      <c r="AB129" s="933" t="s">
        <v>18</v>
      </c>
      <c r="AC129" s="933">
        <v>8.9</v>
      </c>
      <c r="AD129" s="588" t="s">
        <v>133</v>
      </c>
      <c r="AE129" s="933" t="s">
        <v>20</v>
      </c>
      <c r="AF129" s="933" t="s">
        <v>12</v>
      </c>
      <c r="AG129" s="589">
        <v>30.6</v>
      </c>
      <c r="AL129" s="588"/>
      <c r="AO129" s="589"/>
      <c r="AP129" s="588"/>
      <c r="AS129" s="589"/>
      <c r="AW129" s="589"/>
      <c r="BA129" s="590"/>
    </row>
    <row r="130" spans="1:53" s="932" customFormat="1">
      <c r="A130" s="932">
        <v>2018</v>
      </c>
      <c r="B130" s="928">
        <v>43173</v>
      </c>
      <c r="C130" s="992" t="s">
        <v>1410</v>
      </c>
      <c r="D130" s="992"/>
      <c r="E130" s="932">
        <v>293</v>
      </c>
      <c r="F130" s="932">
        <v>1</v>
      </c>
      <c r="G130" s="642"/>
      <c r="H130" s="932">
        <v>10</v>
      </c>
      <c r="I130" s="932">
        <v>6</v>
      </c>
      <c r="J130" s="644">
        <v>16</v>
      </c>
      <c r="K130" s="640">
        <f t="shared" si="39"/>
        <v>0</v>
      </c>
      <c r="L130" s="640">
        <f t="shared" si="40"/>
        <v>62.5</v>
      </c>
      <c r="M130" s="640">
        <f t="shared" si="41"/>
        <v>37.5</v>
      </c>
      <c r="N130" s="643">
        <f t="shared" si="42"/>
        <v>100</v>
      </c>
      <c r="O130" s="639"/>
      <c r="P130" s="640">
        <v>34.700000000000003</v>
      </c>
      <c r="Q130" s="640">
        <v>21.4</v>
      </c>
      <c r="R130" s="641">
        <f t="shared" si="43"/>
        <v>56.1</v>
      </c>
      <c r="S130" s="388">
        <v>2</v>
      </c>
      <c r="T130" s="487">
        <v>43002</v>
      </c>
      <c r="U130" s="928">
        <v>43173</v>
      </c>
      <c r="V130" s="634" t="s">
        <v>129</v>
      </c>
      <c r="W130" s="932" t="s">
        <v>17</v>
      </c>
      <c r="X130" s="932" t="s">
        <v>18</v>
      </c>
      <c r="Y130" s="635">
        <v>28.2</v>
      </c>
      <c r="Z130" s="932" t="s">
        <v>130</v>
      </c>
      <c r="AA130" s="932" t="s">
        <v>82</v>
      </c>
      <c r="AB130" s="932" t="s">
        <v>18</v>
      </c>
      <c r="AC130" s="932">
        <v>6.5</v>
      </c>
      <c r="AD130" s="634" t="s">
        <v>133</v>
      </c>
      <c r="AE130" s="932" t="s">
        <v>20</v>
      </c>
      <c r="AF130" s="932" t="s">
        <v>12</v>
      </c>
      <c r="AG130" s="635">
        <v>21.4</v>
      </c>
      <c r="AL130" s="634"/>
      <c r="AO130" s="635"/>
      <c r="AP130" s="634"/>
      <c r="AS130" s="635"/>
      <c r="AW130" s="635"/>
      <c r="BA130" s="636"/>
    </row>
    <row r="132" spans="1:53" s="2" customFormat="1" ht="18" customHeight="1">
      <c r="B132" s="22" t="s">
        <v>1278</v>
      </c>
    </row>
    <row r="133" spans="1:53" s="2" customFormat="1" ht="9" customHeight="1"/>
    <row r="134" spans="1:53" s="364" customFormat="1" ht="9" customHeight="1">
      <c r="A134" s="362"/>
      <c r="B134" s="363" t="s">
        <v>1229</v>
      </c>
      <c r="C134" s="363"/>
      <c r="D134" s="363"/>
      <c r="E134" s="363"/>
      <c r="F134" s="363"/>
      <c r="G134" s="363" t="s">
        <v>1230</v>
      </c>
      <c r="H134" s="363"/>
      <c r="I134" s="363"/>
      <c r="J134" s="363"/>
      <c r="K134" s="363"/>
      <c r="L134" s="363"/>
      <c r="M134" s="363"/>
      <c r="N134" s="363"/>
      <c r="R134" s="982" t="s">
        <v>1231</v>
      </c>
      <c r="S134" s="982"/>
      <c r="T134" s="982"/>
      <c r="U134" s="982"/>
      <c r="V134" s="982"/>
      <c r="W134" s="982"/>
      <c r="X134" s="365"/>
      <c r="Y134" s="365"/>
      <c r="AA134" s="365"/>
      <c r="AB134" s="365"/>
      <c r="AC134" s="365"/>
      <c r="AD134" s="365"/>
    </row>
    <row r="135" spans="1:53" s="369" customFormat="1" ht="9" customHeight="1">
      <c r="A135" s="366"/>
      <c r="B135" s="367" t="s">
        <v>1233</v>
      </c>
      <c r="C135" s="368"/>
      <c r="D135" s="368"/>
      <c r="E135" s="368"/>
      <c r="F135" s="368"/>
      <c r="G135" s="367" t="s">
        <v>1232</v>
      </c>
      <c r="H135" s="368"/>
      <c r="I135" s="368"/>
      <c r="J135" s="368"/>
      <c r="K135" s="368"/>
      <c r="L135" s="368"/>
      <c r="M135" s="368"/>
      <c r="N135" s="368"/>
      <c r="R135" s="370" t="s">
        <v>1234</v>
      </c>
      <c r="S135" s="371"/>
      <c r="T135" s="372"/>
      <c r="U135" s="372"/>
      <c r="V135" s="372"/>
      <c r="W135" s="370" t="s">
        <v>1235</v>
      </c>
      <c r="X135" s="372"/>
      <c r="Y135" s="372"/>
      <c r="AA135" s="372"/>
      <c r="AB135" s="372"/>
      <c r="AC135" s="372"/>
      <c r="AD135" s="372"/>
    </row>
    <row r="136" spans="1:53" s="351" customFormat="1" ht="12" customHeight="1">
      <c r="A136" s="373" t="s">
        <v>3</v>
      </c>
      <c r="B136" s="374" t="s">
        <v>8</v>
      </c>
      <c r="C136" s="374" t="s">
        <v>9</v>
      </c>
      <c r="D136" s="374" t="s">
        <v>10</v>
      </c>
      <c r="E136" s="375" t="s">
        <v>1209</v>
      </c>
      <c r="F136" s="374"/>
      <c r="G136" s="351" t="s">
        <v>3</v>
      </c>
      <c r="H136" s="983" t="s">
        <v>0</v>
      </c>
      <c r="I136" s="983"/>
      <c r="J136" s="983" t="s">
        <v>1</v>
      </c>
      <c r="K136" s="983"/>
      <c r="L136" s="983" t="s">
        <v>2</v>
      </c>
      <c r="M136" s="983"/>
      <c r="N136" s="984" t="s">
        <v>1209</v>
      </c>
      <c r="O136" s="984"/>
      <c r="P136" s="376"/>
      <c r="Q136" s="376"/>
      <c r="R136" s="377" t="s">
        <v>3</v>
      </c>
      <c r="S136" s="378" t="s">
        <v>136</v>
      </c>
      <c r="T136" s="376" t="s">
        <v>134</v>
      </c>
      <c r="U136" s="374" t="s">
        <v>135</v>
      </c>
      <c r="V136" s="376"/>
      <c r="W136" s="379" t="s">
        <v>26</v>
      </c>
    </row>
    <row r="137" spans="1:53" s="273" customFormat="1">
      <c r="A137" s="273">
        <v>1959</v>
      </c>
      <c r="B137" s="274">
        <f xml:space="preserve"> (K6*($E6/365))+(K7*($E7/365))</f>
        <v>11.76470588235294</v>
      </c>
      <c r="C137" s="274">
        <f xml:space="preserve"> (L6*($E6/365))+(L7*($E7/365))</f>
        <v>88.235294117647058</v>
      </c>
      <c r="D137" s="274">
        <f xml:space="preserve"> (M6*($E6/365))+(M7*($E7/365))</f>
        <v>0</v>
      </c>
      <c r="E137" s="276">
        <f>B137+C137+D137</f>
        <v>100</v>
      </c>
      <c r="G137" s="273">
        <v>1959</v>
      </c>
      <c r="H137" s="985">
        <f>(O6/$R6*100*($E6/365))+(O7/$R7*100*($E7/365))</f>
        <v>5.8823529411764701</v>
      </c>
      <c r="I137" s="985"/>
      <c r="J137" s="985">
        <f>(P6/$R6*100*($E6/365))+(P7/$R7*100*($E7/365))</f>
        <v>94.117647058823522</v>
      </c>
      <c r="K137" s="985"/>
      <c r="L137" s="985">
        <f>(Q6/$R6*100*($E6/365))+(Q7/$R7*100*($E7/365))</f>
        <v>0</v>
      </c>
      <c r="M137" s="985"/>
      <c r="N137" s="993">
        <f>H137+J137+K137</f>
        <v>99.999999999999986</v>
      </c>
      <c r="O137" s="1021"/>
      <c r="R137" s="273">
        <v>1959</v>
      </c>
      <c r="S137" s="274">
        <f>(O6*($E6/365))+(O7*($E7/365))</f>
        <v>3.4</v>
      </c>
      <c r="T137" s="274">
        <f>(P6*($E6/365))+(P7*($E7/365))</f>
        <v>54.4</v>
      </c>
      <c r="U137" s="274">
        <f>(Q6*($E6/365))+(Q7*($E7/365))</f>
        <v>0</v>
      </c>
      <c r="V137" s="275"/>
      <c r="W137" s="277">
        <f>S137+T137+U137</f>
        <v>57.8</v>
      </c>
      <c r="Y137" s="274"/>
    </row>
    <row r="138" spans="1:53">
      <c r="A138" s="1">
        <v>1960</v>
      </c>
      <c r="B138" s="7">
        <f>(K8*($E8/366))+(K9*($E9/366))</f>
        <v>5.8502089360334288</v>
      </c>
      <c r="C138" s="7">
        <f>(L8*($E8/366))+(L9*($E9/366))</f>
        <v>94.149791063966575</v>
      </c>
      <c r="D138" s="7">
        <f>(M8*($E8/366))+(M9*($E9/366))</f>
        <v>0</v>
      </c>
      <c r="E138" s="40">
        <f>SUM(B138:D138)</f>
        <v>100</v>
      </c>
      <c r="G138" s="1">
        <v>1960</v>
      </c>
      <c r="H138" s="958">
        <f>(O8/$R8*100*($E8/366))+(O9/$R9*100*($E9/366))</f>
        <v>2.9251044680167144</v>
      </c>
      <c r="I138" s="958"/>
      <c r="J138" s="958">
        <f>(P8/$R8*100*($E8/366))+(P9/$R9*100*($E9/366))</f>
        <v>97.074895531983287</v>
      </c>
      <c r="K138" s="958"/>
      <c r="L138" s="958">
        <f>(Q8/$R8*100*($E8/366))+(Q9/$R9*100*($E9/366))</f>
        <v>0</v>
      </c>
      <c r="M138" s="958"/>
      <c r="N138" s="990">
        <f>SUM(H138:M138)</f>
        <v>100</v>
      </c>
      <c r="O138" s="1020"/>
      <c r="R138" s="1">
        <v>1960</v>
      </c>
      <c r="S138" s="7">
        <f>(O8*($E8/366))+(O9*($E9/366))</f>
        <v>1.6907103825136611</v>
      </c>
      <c r="T138" s="7">
        <f>(P8*($E8/366))+(P9*($E9/366))</f>
        <v>54.4</v>
      </c>
      <c r="U138" s="7">
        <f>(Q8*($E8/366))+(Q9*($E9/366))</f>
        <v>0</v>
      </c>
      <c r="V138" s="12"/>
      <c r="W138" s="14">
        <f>SUM(S138:U138)</f>
        <v>56.090710382513663</v>
      </c>
      <c r="Y138" s="7"/>
    </row>
    <row r="139" spans="1:53">
      <c r="A139" s="1">
        <v>1961</v>
      </c>
      <c r="B139" s="7">
        <f>(K10*($E10/365))+(K11*($E11/365))</f>
        <v>3.1311154598825826</v>
      </c>
      <c r="C139" s="7">
        <f>(L10*($E10/365))+(L11*($E11/365))</f>
        <v>96.868884540117421</v>
      </c>
      <c r="D139" s="7">
        <f>(M10*($E10/365))+(M11*($E11/365))</f>
        <v>0</v>
      </c>
      <c r="E139" s="40">
        <f t="shared" ref="E139:E191" si="44">SUM(B139:D139)</f>
        <v>100</v>
      </c>
      <c r="G139" s="1">
        <v>1961</v>
      </c>
      <c r="H139" s="958">
        <f>(O10/$R10*100*($E10/365))+(O11/$R11*100*($E11/365))</f>
        <v>2.8468364795184451</v>
      </c>
      <c r="I139" s="958"/>
      <c r="J139" s="958">
        <f>(P10/$R10*100*($E10/365))+(P11/$R11*100*($E11/365))</f>
        <v>97.153163520481556</v>
      </c>
      <c r="K139" s="958"/>
      <c r="L139" s="958">
        <f>(Q10/$R10*100*($E10/365))+(Q11/$R11*100*($E11/365))</f>
        <v>0</v>
      </c>
      <c r="M139" s="958"/>
      <c r="N139" s="990">
        <f>SUM(H139:M139)</f>
        <v>100</v>
      </c>
      <c r="O139" s="1020"/>
      <c r="R139" s="1">
        <v>1961</v>
      </c>
      <c r="S139" s="7">
        <f>(O10*($E10/365))+(O11*($E11/365))</f>
        <v>1.7621917808219176</v>
      </c>
      <c r="T139" s="7">
        <f>(P10*($E10/365))+(P11*($E11/365))</f>
        <v>53.62410958904109</v>
      </c>
      <c r="U139" s="7">
        <f>(Q10*($E10/365))+(Q11*($E11/365))</f>
        <v>0</v>
      </c>
      <c r="V139" s="12"/>
      <c r="W139" s="14">
        <f t="shared" ref="W139:W191" si="45">SUM(S139:U139)</f>
        <v>55.386301369863006</v>
      </c>
      <c r="Y139" s="7"/>
    </row>
    <row r="140" spans="1:53">
      <c r="A140" s="1">
        <v>1962</v>
      </c>
      <c r="B140" s="7">
        <f>(K12*($E12/365))+(K13*($E13/365))+(K14*($E14/365))</f>
        <v>22.178734507501627</v>
      </c>
      <c r="C140" s="7">
        <f>(L12*($E12/365))+(L13*($E13/365))+(L14*($E14/365))</f>
        <v>77.821265492498384</v>
      </c>
      <c r="D140" s="7">
        <f>(M12*($E12/365))+(M13*($E13/365))+(M14*($E14/365))</f>
        <v>0</v>
      </c>
      <c r="E140" s="40">
        <f t="shared" si="44"/>
        <v>100.00000000000001</v>
      </c>
      <c r="G140" s="1">
        <v>1962</v>
      </c>
      <c r="H140" s="958">
        <f>(O12/$R12*100*($E12/365))+(O13/$R13*100*($E13/365))+(O14/$R14*100*($E14/365))</f>
        <v>20.165091729922324</v>
      </c>
      <c r="I140" s="958"/>
      <c r="J140" s="958">
        <f>(P12/$R12*100*($E12/365))+(P13/$R13*100*($E13/365))+(P14/$R14*100*($E14/365))</f>
        <v>79.83490827007769</v>
      </c>
      <c r="K140" s="958"/>
      <c r="L140" s="958">
        <f>(Q12/$R12*100*($E12/365))+(Q13/$R13*100*($E13/365))+(Q14/$R14*100*($E14/365))</f>
        <v>0</v>
      </c>
      <c r="M140" s="958"/>
      <c r="N140" s="990">
        <f t="shared" ref="N140:N190" si="46">SUM(H140:M140)</f>
        <v>100.00000000000001</v>
      </c>
      <c r="O140" s="1020"/>
      <c r="R140" s="1">
        <v>1962</v>
      </c>
      <c r="S140" s="7">
        <f>(O12*($E12/365))+(O13*($E13/365))+(O14*($E14/365))</f>
        <v>12.482191780821919</v>
      </c>
      <c r="T140" s="7">
        <f>(P12*($E12/365))+(P13*($E13/365))+(P14*($E14/365))</f>
        <v>48.5</v>
      </c>
      <c r="U140" s="7">
        <f>(Q12*($E12/365))+(Q13*($E13/365))+(Q14*($E14/365))</f>
        <v>0</v>
      </c>
      <c r="V140" s="12"/>
      <c r="W140" s="14">
        <f t="shared" si="45"/>
        <v>60.982191780821921</v>
      </c>
      <c r="Y140" s="7"/>
    </row>
    <row r="141" spans="1:53">
      <c r="A141" s="1">
        <v>1963</v>
      </c>
      <c r="B141" s="7">
        <f>(K15*($E15/365))+(K16*($E16/365))</f>
        <v>24.060665362035223</v>
      </c>
      <c r="C141" s="7">
        <f>(L15*($E15/365))+(L16*($E16/365))</f>
        <v>75.939334637964777</v>
      </c>
      <c r="D141" s="7">
        <f>(M15*($E15/365))+(M16*($E16/365))</f>
        <v>0</v>
      </c>
      <c r="E141" s="40">
        <f t="shared" si="44"/>
        <v>100</v>
      </c>
      <c r="G141" s="1">
        <v>1963</v>
      </c>
      <c r="H141" s="958">
        <f>(O15/$R15*100*($E15/365))+(O16/$R16*100*($E16/365))</f>
        <v>21.647819063004846</v>
      </c>
      <c r="I141" s="958"/>
      <c r="J141" s="958">
        <f>(P15/$R15*100*($E15/365))+(P16/$R16*100*($E16/365))</f>
        <v>78.352180936995154</v>
      </c>
      <c r="K141" s="958"/>
      <c r="L141" s="958">
        <f>(Q15/$R15*100*($E15/365))+(Q16/$R16*100*($E16/365))</f>
        <v>0</v>
      </c>
      <c r="M141" s="958"/>
      <c r="N141" s="990">
        <f t="shared" si="46"/>
        <v>100</v>
      </c>
      <c r="O141" s="1020"/>
      <c r="R141" s="1">
        <v>1963</v>
      </c>
      <c r="S141" s="7">
        <f>(O15*($E15/365))+(O16*($E16/365))</f>
        <v>13.4</v>
      </c>
      <c r="T141" s="7">
        <f>(P15*($E15/365))+(P16*($E16/365))</f>
        <v>48.5</v>
      </c>
      <c r="U141" s="7">
        <f>(Q15*($E15/365))+(Q16*($E16/365))</f>
        <v>0</v>
      </c>
      <c r="V141" s="12"/>
      <c r="W141" s="14">
        <f t="shared" si="45"/>
        <v>61.9</v>
      </c>
      <c r="Y141" s="7"/>
    </row>
    <row r="142" spans="1:53">
      <c r="A142" s="1">
        <v>1964</v>
      </c>
      <c r="B142" s="7">
        <f>(K17*($E17/366))+(K18*($E18/366))</f>
        <v>25</v>
      </c>
      <c r="C142" s="7">
        <f>(L17*($E17/366))+(L18*($E18/366))</f>
        <v>75</v>
      </c>
      <c r="D142" s="7">
        <f>(M17*($E17/366))+(M18*($E18/366))</f>
        <v>0</v>
      </c>
      <c r="E142" s="40">
        <f t="shared" si="44"/>
        <v>100</v>
      </c>
      <c r="G142" s="1">
        <v>1964</v>
      </c>
      <c r="H142" s="958">
        <f>(O17/$R17*100*($E17/366))+(O18/$R18*100*($E18/366))</f>
        <v>21.647819063004846</v>
      </c>
      <c r="I142" s="958"/>
      <c r="J142" s="958">
        <f>(P17/$R17*100*($E17/366))+(P18/$R18*100*($E18/366))</f>
        <v>78.352180936995154</v>
      </c>
      <c r="K142" s="958"/>
      <c r="L142" s="958">
        <f>(Q17/$R17*100*($E17/366))+(Q18/$R18*100*($E18/366))</f>
        <v>0</v>
      </c>
      <c r="M142" s="958"/>
      <c r="N142" s="990">
        <f t="shared" si="46"/>
        <v>100</v>
      </c>
      <c r="O142" s="1020"/>
      <c r="R142" s="1">
        <v>1964</v>
      </c>
      <c r="S142" s="7">
        <f>(O17*($E17/366))+(O18*($E18/366))</f>
        <v>13.4</v>
      </c>
      <c r="T142" s="7">
        <f>(P17*($E17/366))+(P18*($E18/366))</f>
        <v>48.5</v>
      </c>
      <c r="U142" s="7">
        <f>(Q17*($E17/366))+(Q18*($E18/366))</f>
        <v>0</v>
      </c>
      <c r="V142" s="12"/>
      <c r="W142" s="14">
        <f t="shared" si="45"/>
        <v>61.9</v>
      </c>
      <c r="Y142" s="7"/>
    </row>
    <row r="143" spans="1:53">
      <c r="A143" s="1">
        <v>1965</v>
      </c>
      <c r="B143" s="7">
        <f>(K19*($E19/365))+(K20*($E20/365))</f>
        <v>23.907371167645138</v>
      </c>
      <c r="C143" s="7">
        <f>(L19*($E19/365))+(L20*($E20/365))</f>
        <v>76.092628832354862</v>
      </c>
      <c r="D143" s="7">
        <f>(M19*($E19/365))+(M20*($E20/365))</f>
        <v>0</v>
      </c>
      <c r="E143" s="40">
        <f t="shared" si="44"/>
        <v>100</v>
      </c>
      <c r="G143" s="1">
        <v>1965</v>
      </c>
      <c r="H143" s="958">
        <f>(O19/$R19*100*($E19/365))+(O20/$R20*100*($E20/365))</f>
        <v>20.738629665272189</v>
      </c>
      <c r="I143" s="958"/>
      <c r="J143" s="958">
        <f>(P19/$R19*100*($E19/365))+(P20/$R20*100*($E20/365))</f>
        <v>79.261370334727815</v>
      </c>
      <c r="K143" s="958"/>
      <c r="L143" s="958">
        <f>(Q19/$R19*100*($E19/365))+(Q20/$R20*100*($E20/365))</f>
        <v>0</v>
      </c>
      <c r="M143" s="958"/>
      <c r="N143" s="990">
        <f t="shared" si="46"/>
        <v>100</v>
      </c>
      <c r="O143" s="1020"/>
      <c r="R143" s="1">
        <v>1965</v>
      </c>
      <c r="S143" s="7">
        <f>(O19*($E19/365))+(O20*($E20/365))</f>
        <v>12.757534246575341</v>
      </c>
      <c r="T143" s="7">
        <f>(P19*($E19/365))+(P20*($E20/365))</f>
        <v>48.665205479452055</v>
      </c>
      <c r="U143" s="7">
        <f>(Q19*($E19/365))+(Q20*($E20/365))</f>
        <v>0</v>
      </c>
      <c r="V143" s="12"/>
      <c r="W143" s="14">
        <f t="shared" si="45"/>
        <v>61.422739726027395</v>
      </c>
      <c r="Y143" s="7"/>
    </row>
    <row r="144" spans="1:53">
      <c r="A144" s="1">
        <v>1966</v>
      </c>
      <c r="B144" s="7">
        <f>(K21*($E21/365))+(K22*($E22/365))+(K23*($E23/365))</f>
        <v>15.655577299412915</v>
      </c>
      <c r="C144" s="7">
        <f>(L21*($E21/365))+(L22*($E22/365))+(L23*($E23/365))</f>
        <v>80.522504892367905</v>
      </c>
      <c r="D144" s="7">
        <f>(M21*($E21/365))+(M22*($E22/365))+(M23*($E23/365))</f>
        <v>3.8219178082191778</v>
      </c>
      <c r="E144" s="40">
        <f t="shared" si="44"/>
        <v>100</v>
      </c>
      <c r="G144" s="1">
        <v>1966</v>
      </c>
      <c r="H144" s="958">
        <f>(O21/$R21*100*($E21/365))+(O22/$R22*100*($E22/365))+(O23/$R23*100*($E23/365))</f>
        <v>13.72173069370972</v>
      </c>
      <c r="I144" s="958"/>
      <c r="J144" s="958">
        <f>(P21/$R21*100*($E21/365))+(P22/$R22*100*($E22/365))+(P23/$R23*100*($E23/365))</f>
        <v>82.441740639512119</v>
      </c>
      <c r="K144" s="958"/>
      <c r="L144" s="958">
        <f>(Q21/$R21*100*($E21/365))+(Q22/$R22*100*($E22/365))+(Q23/$R23*100*($E23/365))</f>
        <v>3.8365286667781615</v>
      </c>
      <c r="M144" s="958"/>
      <c r="N144" s="990">
        <f t="shared" si="46"/>
        <v>100</v>
      </c>
      <c r="O144" s="1020"/>
      <c r="R144" s="1">
        <v>1966</v>
      </c>
      <c r="S144" s="7">
        <f>(O21*($E21/365))+(O22*($E22/365))+(O23*($E23/365))</f>
        <v>8.1369863013698627</v>
      </c>
      <c r="T144" s="7">
        <f>(P21*($E21/365))+(P22*($E22/365))+(P23*($E23/365))</f>
        <v>49.399999999999991</v>
      </c>
      <c r="U144" s="7">
        <f>(Q21*($E21/365))+(Q22*($E22/365))+(Q23*($E23/365))</f>
        <v>3.4567123287671233</v>
      </c>
      <c r="V144" s="12"/>
      <c r="W144" s="14">
        <f t="shared" si="45"/>
        <v>60.993698630136976</v>
      </c>
      <c r="Y144" s="7"/>
    </row>
    <row r="145" spans="1:25">
      <c r="A145" s="1">
        <v>1967</v>
      </c>
      <c r="B145" s="7">
        <f>(K24*($E24/365))+(K25*($E25/365))</f>
        <v>0</v>
      </c>
      <c r="C145" s="7">
        <f>(L24*($E24/365))+(L25*($E25/365))</f>
        <v>55.000000000000007</v>
      </c>
      <c r="D145" s="7">
        <f>(M24*($E24/365))+(M25*($E25/365))</f>
        <v>45</v>
      </c>
      <c r="E145" s="40">
        <f t="shared" si="44"/>
        <v>100</v>
      </c>
      <c r="G145" s="1">
        <v>1967</v>
      </c>
      <c r="H145" s="958">
        <f>(O24/$R24*100*($E24/365))+(O25/$R25*100*($E25/365))</f>
        <v>0</v>
      </c>
      <c r="I145" s="958"/>
      <c r="J145" s="958">
        <f>(P24/$R24*100*($E24/365))+(P25/$R25*100*($E25/365))</f>
        <v>54.827968923418425</v>
      </c>
      <c r="K145" s="958"/>
      <c r="L145" s="958">
        <f>(Q24/$R24*100*($E24/365))+(Q25/$R25*100*($E25/365))</f>
        <v>45.172031076581582</v>
      </c>
      <c r="M145" s="958"/>
      <c r="N145" s="990">
        <f t="shared" si="46"/>
        <v>100</v>
      </c>
      <c r="O145" s="1020"/>
      <c r="R145" s="1">
        <v>1967</v>
      </c>
      <c r="S145" s="7">
        <f>(O24*($E24/365))+(O25*($E25/365))</f>
        <v>0</v>
      </c>
      <c r="T145" s="7">
        <f>(P24*($E24/365))+(P25*($E25/365))</f>
        <v>49.4</v>
      </c>
      <c r="U145" s="7">
        <f>(Q24*($E24/365))+(Q25*($E25/365))</f>
        <v>40.700000000000003</v>
      </c>
      <c r="V145" s="12"/>
      <c r="W145" s="14">
        <f t="shared" si="45"/>
        <v>90.1</v>
      </c>
      <c r="Y145" s="7"/>
    </row>
    <row r="146" spans="1:25">
      <c r="A146" s="1">
        <v>1968</v>
      </c>
      <c r="B146" s="7">
        <f>(K26*($E26/366))+(K27*($E27/366))</f>
        <v>0</v>
      </c>
      <c r="C146" s="7">
        <f>(L26*($E26/366))+(L27*($E27/366))</f>
        <v>55.000000000000007</v>
      </c>
      <c r="D146" s="7">
        <f>(M26*($E26/366))+(M27*($E27/366))</f>
        <v>45</v>
      </c>
      <c r="E146" s="40">
        <f t="shared" si="44"/>
        <v>100</v>
      </c>
      <c r="G146" s="1">
        <v>1968</v>
      </c>
      <c r="H146" s="958">
        <f>(O26/$R26*100*($E26/366))+(O27/$R27*100*($E27/366))</f>
        <v>0</v>
      </c>
      <c r="I146" s="958"/>
      <c r="J146" s="958">
        <f>(P26/$R26*100*($E26/366))+(P27/$R27*100*($E27/366))</f>
        <v>54.827968923418425</v>
      </c>
      <c r="K146" s="958"/>
      <c r="L146" s="958">
        <f>(Q26/$R26*100*($E26/366))+(Q27/$R27*100*($E27/366))</f>
        <v>45.172031076581582</v>
      </c>
      <c r="M146" s="958"/>
      <c r="N146" s="990">
        <f t="shared" si="46"/>
        <v>100</v>
      </c>
      <c r="O146" s="1020"/>
      <c r="R146" s="1">
        <v>1968</v>
      </c>
      <c r="S146" s="7">
        <f>(O26*($E26/366))+(O27*($E27/366))</f>
        <v>0</v>
      </c>
      <c r="T146" s="7">
        <f>(P26*($E26/366))+(P27*($E27/366))</f>
        <v>49.4</v>
      </c>
      <c r="U146" s="7">
        <f>(Q26*($E26/366))+(Q27*($E27/366))</f>
        <v>40.700000000000003</v>
      </c>
      <c r="V146" s="12"/>
      <c r="W146" s="14">
        <f t="shared" si="45"/>
        <v>90.1</v>
      </c>
      <c r="Y146" s="7"/>
    </row>
    <row r="147" spans="1:25">
      <c r="A147" s="1">
        <v>1969</v>
      </c>
      <c r="B147" s="7">
        <f>(K28*($E28/365))+(K29*($E29/365))</f>
        <v>3.647260273972603</v>
      </c>
      <c r="C147" s="7">
        <f>(L28*($E28/365))+(L29*($E29/365))</f>
        <v>44.301369863013704</v>
      </c>
      <c r="D147" s="7">
        <f>(M28*($E28/365))+(M29*($E29/365))</f>
        <v>50.835616438356169</v>
      </c>
      <c r="E147" s="40">
        <f t="shared" si="44"/>
        <v>98.784246575342479</v>
      </c>
      <c r="G147" s="1">
        <v>1969</v>
      </c>
      <c r="H147" s="958">
        <f>(O28/$R28*100*($E28/365))+(O29/$R29*100*($E29/365))</f>
        <v>2.2795376712328768</v>
      </c>
      <c r="I147" s="958"/>
      <c r="J147" s="958">
        <f>(P28/$R28*100*($E28/365))+(P29/$R29*100*($E29/365))</f>
        <v>44.162802365712373</v>
      </c>
      <c r="K147" s="958"/>
      <c r="L147" s="958">
        <f>(Q28/$R28*100*($E28/365))+(Q29/$R29*100*($E29/365))</f>
        <v>53.557659963054761</v>
      </c>
      <c r="M147" s="958"/>
      <c r="N147" s="990">
        <f t="shared" si="46"/>
        <v>100.00000000000001</v>
      </c>
      <c r="O147" s="1020"/>
      <c r="R147" s="1">
        <v>1969</v>
      </c>
      <c r="S147" s="7">
        <f>(O28*($E28/365))+(O29*($E29/365))</f>
        <v>1.167123287671233</v>
      </c>
      <c r="T147" s="7">
        <f>(P28*($E28/365))+(P29*($E29/365))</f>
        <v>39.790684931506853</v>
      </c>
      <c r="U147" s="7">
        <f>(Q28*($E28/365))+(Q29*($E29/365))</f>
        <v>41.57534246575343</v>
      </c>
      <c r="V147" s="12"/>
      <c r="W147" s="14">
        <f t="shared" si="45"/>
        <v>82.533150684931513</v>
      </c>
      <c r="Y147" s="7"/>
    </row>
    <row r="148" spans="1:25">
      <c r="A148" s="1">
        <v>1970</v>
      </c>
      <c r="B148" s="7">
        <f>(K30*($E30/365))+(K31*($E31/365))</f>
        <v>18.75</v>
      </c>
      <c r="C148" s="7">
        <f>(L30*($E30/365))+(L31*($E31/365))</f>
        <v>0</v>
      </c>
      <c r="D148" s="7">
        <f>(M30*($E30/365))+(M31*($E31/365))</f>
        <v>75</v>
      </c>
      <c r="E148" s="40">
        <f t="shared" si="44"/>
        <v>93.75</v>
      </c>
      <c r="G148" s="1">
        <v>1970</v>
      </c>
      <c r="H148" s="958">
        <f>(O30/$R30*100*($E30/365))+(O31/$R31*100*($E31/365))</f>
        <v>11.71875</v>
      </c>
      <c r="I148" s="958"/>
      <c r="J148" s="958">
        <f>(P30/$R30*100*($E30/365))+(P31/$R31*100*($E31/365))</f>
        <v>0</v>
      </c>
      <c r="K148" s="958"/>
      <c r="L148" s="958">
        <f>(Q30/$R30*100*($E30/365))+(Q31/$R31*100*($E31/365))</f>
        <v>88.28125</v>
      </c>
      <c r="M148" s="958"/>
      <c r="N148" s="990">
        <f t="shared" si="46"/>
        <v>100</v>
      </c>
      <c r="O148" s="1020"/>
      <c r="R148" s="1">
        <v>1970</v>
      </c>
      <c r="S148" s="7">
        <f>(O30*($E30/365))+(O31*($E31/365))</f>
        <v>6</v>
      </c>
      <c r="T148" s="7">
        <f>(P30*($E30/365))+(P31*($E31/365))</f>
        <v>0</v>
      </c>
      <c r="U148" s="7">
        <f>(Q30*($E30/365))+(Q31*($E31/365))</f>
        <v>45.2</v>
      </c>
      <c r="V148" s="12"/>
      <c r="W148" s="14">
        <f t="shared" si="45"/>
        <v>51.2</v>
      </c>
      <c r="Y148" s="7"/>
    </row>
    <row r="149" spans="1:25">
      <c r="A149" s="1">
        <v>1971</v>
      </c>
      <c r="B149" s="7">
        <f>(K32*($E32/365))+(K33*($E33/365))</f>
        <v>18.75</v>
      </c>
      <c r="C149" s="7">
        <f>(L32*($E32/365))+(L33*($E33/365))</f>
        <v>0</v>
      </c>
      <c r="D149" s="7">
        <f>(M32*($E32/365))+(M33*($E33/365))</f>
        <v>75</v>
      </c>
      <c r="E149" s="40">
        <f t="shared" si="44"/>
        <v>93.75</v>
      </c>
      <c r="G149" s="1">
        <v>1971</v>
      </c>
      <c r="H149" s="958">
        <f>(O32/$R32*100*($E32/365))+(O33/$R33*100*($E33/365))</f>
        <v>11.71875</v>
      </c>
      <c r="I149" s="958"/>
      <c r="J149" s="958">
        <f>(P32/$R32*100*($E32/365))+(P33/$R33*100*($E33/365))</f>
        <v>0</v>
      </c>
      <c r="K149" s="958"/>
      <c r="L149" s="958">
        <f>(Q32/$R32*100*($E32/365))+(Q33/$R33*100*($E33/365))</f>
        <v>88.28125</v>
      </c>
      <c r="M149" s="958"/>
      <c r="N149" s="990">
        <f t="shared" si="46"/>
        <v>100</v>
      </c>
      <c r="O149" s="1020"/>
      <c r="R149" s="1">
        <v>1971</v>
      </c>
      <c r="S149" s="7">
        <f>(O32*($E32/365))+(O33*($E33/365))</f>
        <v>6</v>
      </c>
      <c r="T149" s="7">
        <f>(P32*($E32/365))+(P33*($E33/365))</f>
        <v>0</v>
      </c>
      <c r="U149" s="7">
        <f>(Q32*($E32/365))+(Q33*($E33/365))</f>
        <v>45.2</v>
      </c>
      <c r="V149" s="12"/>
      <c r="W149" s="14">
        <f t="shared" si="45"/>
        <v>51.2</v>
      </c>
      <c r="Y149" s="7"/>
    </row>
    <row r="150" spans="1:25">
      <c r="A150" s="1">
        <v>1972</v>
      </c>
      <c r="B150" s="7">
        <f>(K34*($E34/366))+(K35*($E35/366))+(K36*($E36/366))</f>
        <v>19.169323011536129</v>
      </c>
      <c r="C150" s="7">
        <f>(L34*($E34/366))+(L35*($E35/366))+(L36*($E36/366))</f>
        <v>0</v>
      </c>
      <c r="D150" s="7">
        <f>(M34*($E34/366))+(M35*($E35/366))+(M36*($E36/366))</f>
        <v>78.491196114146945</v>
      </c>
      <c r="E150" s="40">
        <f t="shared" si="44"/>
        <v>97.660519125683066</v>
      </c>
      <c r="G150" s="1">
        <v>1972</v>
      </c>
      <c r="H150" s="958">
        <f>(O34/$R34*100*($E34/366))+(O35/$R35*100*($E35/366))+(O36/$R36*100*($E36/366))</f>
        <v>11.879224639364242</v>
      </c>
      <c r="I150" s="958"/>
      <c r="J150" s="958">
        <f>(P34/$R34*100*($E34/366))+(P35/$R35*100*($E35/366))+(P36/$R36*100*($E36/366))</f>
        <v>0</v>
      </c>
      <c r="K150" s="958"/>
      <c r="L150" s="958">
        <f>(Q34/$R34*100*($E34/366))+(Q35/$R35*100*($E35/366))+(Q36/$R36*100*($E36/366))</f>
        <v>88.120775360635747</v>
      </c>
      <c r="M150" s="958"/>
      <c r="N150" s="990">
        <f t="shared" si="46"/>
        <v>99.999999999999986</v>
      </c>
      <c r="O150" s="1020"/>
      <c r="R150" s="1">
        <v>1972</v>
      </c>
      <c r="S150" s="7">
        <f>(O34*($E34/366))+(O35*($E35/366))+(O36*($E36/366))</f>
        <v>6.1068306010928959</v>
      </c>
      <c r="T150" s="7">
        <f>(P34*($E34/366))+(P35*($E35/366))+(P36*($E36/366))</f>
        <v>0</v>
      </c>
      <c r="U150" s="7">
        <f>(Q34*($E34/366))+(Q35*($E35/366))+(Q36*($E36/366))</f>
        <v>45.255737704918033</v>
      </c>
      <c r="V150" s="12"/>
      <c r="W150" s="14">
        <f t="shared" si="45"/>
        <v>51.362568306010928</v>
      </c>
      <c r="Y150" s="7"/>
    </row>
    <row r="151" spans="1:25">
      <c r="A151" s="1">
        <v>1973</v>
      </c>
      <c r="B151" s="7">
        <f>(K37*($E37/365))+(K38*($E38/365))</f>
        <v>27.777777777777779</v>
      </c>
      <c r="C151" s="7">
        <f>(L37*($E37/365))+(L38*($E38/365))</f>
        <v>0</v>
      </c>
      <c r="D151" s="7">
        <f>(M37*($E37/365))+(M38*($E38/365))</f>
        <v>72.222222222222214</v>
      </c>
      <c r="E151" s="40">
        <f t="shared" si="44"/>
        <v>100</v>
      </c>
      <c r="G151" s="1">
        <v>1973</v>
      </c>
      <c r="H151" s="958">
        <f>(O37/$R37*100*($E37/365))+(O38/$R38*100*($E38/365))</f>
        <v>15.173674588665447</v>
      </c>
      <c r="I151" s="958"/>
      <c r="J151" s="958">
        <f>(P37/$R37*100*($E37/365))+(P38/$R38*100*($E38/365))</f>
        <v>0</v>
      </c>
      <c r="K151" s="958"/>
      <c r="L151" s="958">
        <f>(Q37/$R37*100*($E37/365))+(Q38/$R38*100*($E38/365))</f>
        <v>84.826325411334551</v>
      </c>
      <c r="M151" s="958"/>
      <c r="N151" s="990">
        <f t="shared" si="46"/>
        <v>100</v>
      </c>
      <c r="O151" s="1020"/>
      <c r="R151" s="1">
        <v>1973</v>
      </c>
      <c r="S151" s="7">
        <f>(O37*($E37/365))+(O38*($E38/365))</f>
        <v>8.3000000000000007</v>
      </c>
      <c r="T151" s="7">
        <f>(P37*($E37/365))+(P38*($E38/365))</f>
        <v>0</v>
      </c>
      <c r="U151" s="7">
        <f>(Q37*($E37/365))+(Q38*($E38/365))</f>
        <v>46.4</v>
      </c>
      <c r="V151" s="12"/>
      <c r="W151" s="14">
        <f t="shared" si="45"/>
        <v>54.7</v>
      </c>
      <c r="Y151" s="7"/>
    </row>
    <row r="152" spans="1:25">
      <c r="A152" s="1">
        <v>1974</v>
      </c>
      <c r="B152" s="7">
        <f>(K39*($E39/365))+(K40*($E40/365))</f>
        <v>26.027397260273972</v>
      </c>
      <c r="C152" s="7">
        <f>(L39*($E39/365))+(L40*($E40/365))</f>
        <v>0</v>
      </c>
      <c r="D152" s="7">
        <f>(M39*($E39/365))+(M40*($E40/365))</f>
        <v>73.972602739726028</v>
      </c>
      <c r="E152" s="40">
        <f t="shared" si="44"/>
        <v>100</v>
      </c>
      <c r="G152" s="1">
        <v>1974</v>
      </c>
      <c r="H152" s="958">
        <f>(O39/$R39*100*($E39/365))+(O40/$R40*100*($E40/365))</f>
        <v>15.173674588665445</v>
      </c>
      <c r="I152" s="958"/>
      <c r="J152" s="958">
        <f>(P39/$R39*100*($E39/365))+(P40/$R40*100*($E40/365))</f>
        <v>0</v>
      </c>
      <c r="K152" s="958"/>
      <c r="L152" s="958">
        <f>(Q39/$R39*100*($E39/365))+(Q40/$R40*100*($E40/365))</f>
        <v>84.826325411334551</v>
      </c>
      <c r="M152" s="958"/>
      <c r="N152" s="990">
        <f t="shared" si="46"/>
        <v>100</v>
      </c>
      <c r="O152" s="1020"/>
      <c r="R152" s="1">
        <v>1974</v>
      </c>
      <c r="S152" s="7">
        <f>(O39*($E39/365))+(O40*($E40/365))</f>
        <v>8.3000000000000007</v>
      </c>
      <c r="T152" s="7">
        <f>(P39*($E39/365))+(P40*($E40/365))</f>
        <v>0</v>
      </c>
      <c r="U152" s="7">
        <f>(Q39*($E39/365))+(Q40*($E40/365))</f>
        <v>46.4</v>
      </c>
      <c r="V152" s="12"/>
      <c r="W152" s="14">
        <f t="shared" si="45"/>
        <v>54.7</v>
      </c>
      <c r="Y152" s="7"/>
    </row>
    <row r="153" spans="1:25">
      <c r="A153" s="1">
        <v>1975</v>
      </c>
      <c r="B153" s="7">
        <f>(K41*($E41/365))+(K42*($E42/365))</f>
        <v>25</v>
      </c>
      <c r="C153" s="7">
        <f>(L41*($E41/365))+(L42*($E42/365))</f>
        <v>0</v>
      </c>
      <c r="D153" s="7">
        <f>(M41*($E41/365))+(M42*($E42/365))</f>
        <v>75</v>
      </c>
      <c r="E153" s="40">
        <f t="shared" si="44"/>
        <v>100</v>
      </c>
      <c r="G153" s="1">
        <v>1975</v>
      </c>
      <c r="H153" s="958">
        <f>(O41/$R41*100*($E41/365))+(O42/$R42*100*($E42/365))</f>
        <v>15.173674588665447</v>
      </c>
      <c r="I153" s="958"/>
      <c r="J153" s="958">
        <f>(P41/$R41*100*($E41/365))+(P42/$R42*100*($E42/365))</f>
        <v>0</v>
      </c>
      <c r="K153" s="958"/>
      <c r="L153" s="958">
        <f>(Q41/$R41*100*($E41/365))+(Q42/$R42*100*($E42/365))</f>
        <v>84.826325411334551</v>
      </c>
      <c r="M153" s="958"/>
      <c r="N153" s="990">
        <f t="shared" si="46"/>
        <v>100</v>
      </c>
      <c r="O153" s="1020"/>
      <c r="R153" s="1">
        <v>1975</v>
      </c>
      <c r="S153" s="7">
        <f>(O41*($E41/365))+(O42*($E42/365))</f>
        <v>8.3000000000000007</v>
      </c>
      <c r="T153" s="7">
        <f>(P41*($E41/365))+(P42*($E42/365))</f>
        <v>0</v>
      </c>
      <c r="U153" s="7">
        <f>(Q41*($E41/365))+(Q42*($E42/365))</f>
        <v>46.4</v>
      </c>
      <c r="V153" s="12"/>
      <c r="W153" s="14">
        <f t="shared" si="45"/>
        <v>54.7</v>
      </c>
      <c r="Y153" s="7"/>
    </row>
    <row r="154" spans="1:25">
      <c r="A154" s="1">
        <v>1976</v>
      </c>
      <c r="B154" s="7">
        <f>(K43*($E43/366))+(K44*($E44/366))</f>
        <v>25</v>
      </c>
      <c r="C154" s="7">
        <f>(L43*($E43/366))+(L44*($E44/366))</f>
        <v>0</v>
      </c>
      <c r="D154" s="7">
        <f>(M43*($E43/366))+(M44*($E44/366))</f>
        <v>74.999999999999986</v>
      </c>
      <c r="E154" s="40">
        <f t="shared" si="44"/>
        <v>99.999999999999986</v>
      </c>
      <c r="G154" s="1">
        <v>1976</v>
      </c>
      <c r="H154" s="958">
        <f>(O43/$R43*100*($E43/366))+(O44/$R44*100*($E44/366))</f>
        <v>15.188376406496104</v>
      </c>
      <c r="I154" s="958"/>
      <c r="J154" s="958">
        <f>(P43/$R43*100*($E43/366))+(P44/$R44*100*($E44/366))</f>
        <v>0</v>
      </c>
      <c r="K154" s="958"/>
      <c r="L154" s="958">
        <f>(Q43/$R43*100*($E43/366))+(Q44/$R44*100*($E44/366))</f>
        <v>84.811623593503882</v>
      </c>
      <c r="M154" s="958"/>
      <c r="N154" s="990">
        <f t="shared" si="46"/>
        <v>99.999999999999986</v>
      </c>
      <c r="O154" s="1020"/>
      <c r="R154" s="1">
        <v>1976</v>
      </c>
      <c r="S154" s="7">
        <f>(O43*($E43/366))+(O44*($E44/366))</f>
        <v>8.2814207650273222</v>
      </c>
      <c r="T154" s="7">
        <f>(P43*($E43/366))+(P44*($E44/366))</f>
        <v>0</v>
      </c>
      <c r="U154" s="7">
        <f>(Q43*($E43/366))+(Q44*($E44/366))</f>
        <v>46.246721311475405</v>
      </c>
      <c r="V154" s="12"/>
      <c r="W154" s="14">
        <f t="shared" si="45"/>
        <v>54.528142076502725</v>
      </c>
      <c r="Y154" s="7"/>
    </row>
    <row r="155" spans="1:25">
      <c r="A155" s="1">
        <v>1977</v>
      </c>
      <c r="B155" s="7">
        <f>(K45*($E45/365))+(K46*($E46/365))</f>
        <v>25</v>
      </c>
      <c r="C155" s="7">
        <f>(L45*($E45/365))+(L46*($E46/365))</f>
        <v>0</v>
      </c>
      <c r="D155" s="7">
        <f>(M45*($E45/365))+(M46*($E46/365))</f>
        <v>75</v>
      </c>
      <c r="E155" s="40">
        <f t="shared" si="44"/>
        <v>100</v>
      </c>
      <c r="G155" s="1">
        <v>1977</v>
      </c>
      <c r="H155" s="958">
        <f>(O45/$R45*100*($E45/365))+(O46/$R46*100*($E46/365))</f>
        <v>15.490196078431373</v>
      </c>
      <c r="I155" s="958"/>
      <c r="J155" s="958">
        <f>(P45/$R45*100*($E45/365))+(P46/$R46*100*($E46/365))</f>
        <v>0</v>
      </c>
      <c r="K155" s="958"/>
      <c r="L155" s="958">
        <f>(Q45/$R45*100*($E45/365))+(Q46/$R46*100*($E46/365))</f>
        <v>84.509803921568633</v>
      </c>
      <c r="M155" s="958"/>
      <c r="N155" s="990">
        <f t="shared" si="46"/>
        <v>100</v>
      </c>
      <c r="O155" s="1020"/>
      <c r="R155" s="1">
        <v>1977</v>
      </c>
      <c r="S155" s="7">
        <f>(O45*($E45/365))+(O46*($E46/365))</f>
        <v>7.9</v>
      </c>
      <c r="T155" s="7">
        <f>(P45*($E45/365))+(P46*($E46/365))</f>
        <v>0</v>
      </c>
      <c r="U155" s="7">
        <f>(Q45*($E45/365))+(Q46*($E46/365))</f>
        <v>43.1</v>
      </c>
      <c r="V155" s="12"/>
      <c r="W155" s="14">
        <f t="shared" si="45"/>
        <v>51</v>
      </c>
      <c r="Y155" s="7"/>
    </row>
    <row r="156" spans="1:25">
      <c r="A156" s="1">
        <v>1978</v>
      </c>
      <c r="B156" s="7">
        <f>(K47*($E47/365))+(K48*($E48/365))</f>
        <v>25</v>
      </c>
      <c r="C156" s="7">
        <f>(L47*($E47/365))+(L48*($E48/365))</f>
        <v>0</v>
      </c>
      <c r="D156" s="7">
        <f>(M47*($E47/365))+(M48*($E48/365))</f>
        <v>75</v>
      </c>
      <c r="E156" s="40">
        <f t="shared" si="44"/>
        <v>100</v>
      </c>
      <c r="G156" s="1">
        <v>1978</v>
      </c>
      <c r="H156" s="958">
        <f>(O47/$R47*100*($E47/365))+(O48/$R48*100*($E48/365))</f>
        <v>15.490196078431373</v>
      </c>
      <c r="I156" s="958"/>
      <c r="J156" s="958">
        <f>(P47/$R47*100*($E47/365))+(P48/$R48*100*($E48/365))</f>
        <v>0</v>
      </c>
      <c r="K156" s="958"/>
      <c r="L156" s="958">
        <f>(Q47/$R47*100*($E47/365))+(Q48/$R48*100*($E48/365))</f>
        <v>84.509803921568633</v>
      </c>
      <c r="M156" s="958"/>
      <c r="N156" s="990">
        <f t="shared" si="46"/>
        <v>100</v>
      </c>
      <c r="O156" s="1020"/>
      <c r="R156" s="1">
        <v>1978</v>
      </c>
      <c r="S156" s="7">
        <f>(O47*($E47/365))+(O48*($E48/365))</f>
        <v>7.9</v>
      </c>
      <c r="T156" s="7">
        <f>(P47*($E47/365))+(P48*($E48/365))</f>
        <v>0</v>
      </c>
      <c r="U156" s="7">
        <f>(Q47*($E47/365))+(Q48*($E48/365))</f>
        <v>43.1</v>
      </c>
      <c r="V156" s="12"/>
      <c r="W156" s="14">
        <f t="shared" si="45"/>
        <v>51</v>
      </c>
      <c r="Y156" s="7"/>
    </row>
    <row r="157" spans="1:25">
      <c r="A157" s="1">
        <v>1979</v>
      </c>
      <c r="B157" s="7">
        <f>(K49*($E49/365))+(K50*($E50/365))</f>
        <v>25</v>
      </c>
      <c r="C157" s="7">
        <f>(L49*($E49/365))+(L50*($E50/365))</f>
        <v>0</v>
      </c>
      <c r="D157" s="7">
        <f>(M49*($E49/365))+(M50*($E50/365))</f>
        <v>75</v>
      </c>
      <c r="E157" s="40">
        <f t="shared" si="44"/>
        <v>100</v>
      </c>
      <c r="G157" s="1">
        <v>1979</v>
      </c>
      <c r="H157" s="958">
        <f>(O49/$R49*100*($E49/365))+(O50/$R50*100*($E50/365))</f>
        <v>15.490196078431373</v>
      </c>
      <c r="I157" s="958"/>
      <c r="J157" s="958">
        <f>(P49/$R49*100*($E49/365))+(P50/$R50*100*($E50/365))</f>
        <v>0</v>
      </c>
      <c r="K157" s="958"/>
      <c r="L157" s="958">
        <f>(Q49/$R49*100*($E49/365))+(Q50/$R50*100*($E50/365))</f>
        <v>84.509803921568633</v>
      </c>
      <c r="M157" s="958"/>
      <c r="N157" s="990">
        <f t="shared" si="46"/>
        <v>100</v>
      </c>
      <c r="O157" s="1020"/>
      <c r="R157" s="1">
        <v>1979</v>
      </c>
      <c r="S157" s="7">
        <f>(O49*($E49/365))+(O50*($E50/365))</f>
        <v>7.9</v>
      </c>
      <c r="T157" s="7">
        <f>(P49*($E49/365))+(P50*($E50/365))</f>
        <v>0</v>
      </c>
      <c r="U157" s="7">
        <f>(Q49*($E49/365))+(Q50*($E50/365))</f>
        <v>43.1</v>
      </c>
      <c r="V157" s="12"/>
      <c r="W157" s="14">
        <f t="shared" si="45"/>
        <v>51</v>
      </c>
      <c r="Y157" s="7"/>
    </row>
    <row r="158" spans="1:25">
      <c r="A158" s="1">
        <v>1980</v>
      </c>
      <c r="B158" s="7">
        <f>(K51*($E51/366))+(K52*($E52/366))</f>
        <v>24.766955962712956</v>
      </c>
      <c r="C158" s="7">
        <f>(L51*($E51/366))+(L52*($E52/366))</f>
        <v>0</v>
      </c>
      <c r="D158" s="7">
        <f>(M51*($E51/366))+(M52*($E52/366))</f>
        <v>75.233044037287044</v>
      </c>
      <c r="E158" s="40">
        <f t="shared" si="44"/>
        <v>100</v>
      </c>
      <c r="G158" s="1">
        <v>1980</v>
      </c>
      <c r="H158" s="958">
        <f>(O51/$R51*100*($E51/366))+(O52/$R52*100*($E52/366))</f>
        <v>16.141012100510657</v>
      </c>
      <c r="I158" s="958"/>
      <c r="J158" s="958">
        <f>(P51/$R51*100*($E51/366))+(P52/$R52*100*($E52/366))</f>
        <v>0</v>
      </c>
      <c r="K158" s="958"/>
      <c r="L158" s="958">
        <f>(Q51/$R51*100*($E51/366))+(Q52/$R52*100*($E52/366))</f>
        <v>83.858987899489364</v>
      </c>
      <c r="M158" s="958"/>
      <c r="N158" s="990">
        <f t="shared" si="46"/>
        <v>100.00000000000003</v>
      </c>
      <c r="O158" s="1020"/>
      <c r="R158" s="1">
        <v>1980</v>
      </c>
      <c r="S158" s="7">
        <f>(O51*($E51/366))+(O52*($E52/366))</f>
        <v>8.3437158469945363</v>
      </c>
      <c r="T158" s="7">
        <f>(P51*($E51/366))+(P52*($E52/366))</f>
        <v>0</v>
      </c>
      <c r="U158" s="7">
        <f>(Q51*($E51/366))+(Q52*($E52/366))</f>
        <v>43.226775956284158</v>
      </c>
      <c r="V158" s="12"/>
      <c r="W158" s="14">
        <f t="shared" si="45"/>
        <v>51.570491803278692</v>
      </c>
      <c r="Y158" s="7"/>
    </row>
    <row r="159" spans="1:25">
      <c r="A159" s="1">
        <v>1981</v>
      </c>
      <c r="B159" s="7">
        <f>(K53*($E53/365))+(K54*($E54/365))</f>
        <v>23.52941176470588</v>
      </c>
      <c r="C159" s="7">
        <f>(L53*($E53/365))+(L54*($E54/365))</f>
        <v>0</v>
      </c>
      <c r="D159" s="7">
        <f>(M53*($E53/365))+(M54*($E54/365))</f>
        <v>76.470588235294116</v>
      </c>
      <c r="E159" s="40">
        <f t="shared" si="44"/>
        <v>100</v>
      </c>
      <c r="G159" s="1">
        <v>1981</v>
      </c>
      <c r="H159" s="958">
        <f>(O53/$R53*100*($E53/365))+(O54/$R54*100*($E54/365))</f>
        <v>19.597069597069599</v>
      </c>
      <c r="I159" s="958"/>
      <c r="J159" s="958">
        <f>(P53/$R53*100*($E53/365))+(P54/$R54*100*($E54/365))</f>
        <v>0</v>
      </c>
      <c r="K159" s="958"/>
      <c r="L159" s="958">
        <f>(Q53/$R53*100*($E53/365))+(Q54/$R54*100*($E54/365))</f>
        <v>80.402930402930409</v>
      </c>
      <c r="M159" s="958"/>
      <c r="N159" s="990">
        <f t="shared" si="46"/>
        <v>100</v>
      </c>
      <c r="O159" s="1020"/>
      <c r="R159" s="1">
        <v>1981</v>
      </c>
      <c r="S159" s="7">
        <f>(O53*($E53/365))+(O54*($E54/365))</f>
        <v>10.7</v>
      </c>
      <c r="T159" s="7">
        <f>(P53*($E53/365))+(P54*($E54/365))</f>
        <v>0</v>
      </c>
      <c r="U159" s="7">
        <f>(Q53*($E53/365))+(Q54*($E54/365))</f>
        <v>43.9</v>
      </c>
      <c r="V159" s="12"/>
      <c r="W159" s="14">
        <f t="shared" si="45"/>
        <v>54.599999999999994</v>
      </c>
      <c r="Y159" s="7"/>
    </row>
    <row r="160" spans="1:25">
      <c r="A160" s="1">
        <v>1982</v>
      </c>
      <c r="B160" s="7">
        <f>(K55*($E55/365))+(K56*($E56/365))+(K57*($E57/365))</f>
        <v>22.433521353746976</v>
      </c>
      <c r="C160" s="7">
        <f>(L55*($E55/365))+(L56*($E56/365))+(L57*($E57/365))</f>
        <v>18.646253021756646</v>
      </c>
      <c r="D160" s="7">
        <f>(M55*($E55/365))+(M56*($E56/365))+(M57*($E57/365))</f>
        <v>58.920225624496375</v>
      </c>
      <c r="E160" s="40">
        <f t="shared" si="44"/>
        <v>100</v>
      </c>
      <c r="G160" s="1">
        <v>1982</v>
      </c>
      <c r="H160" s="958">
        <f>(O55/$R55*100*($E55/365))+(O56/$R56*100*($E56/365))+(O57/$R57*100*($E57/365))</f>
        <v>18.548287702482604</v>
      </c>
      <c r="I160" s="958"/>
      <c r="J160" s="958">
        <f>(P55/$R55*100*($E55/365))+(P56/$R56*100*($E56/365))+(P57/$R57*100*($E57/365))</f>
        <v>19.741139765027054</v>
      </c>
      <c r="K160" s="958"/>
      <c r="L160" s="958">
        <f>(Q55/$R55*100*($E55/365))+(Q56/$R56*100*($E56/365))+(Q57/$R57*100*($E57/365))</f>
        <v>61.710572532490346</v>
      </c>
      <c r="M160" s="958"/>
      <c r="N160" s="990">
        <f t="shared" si="46"/>
        <v>100</v>
      </c>
      <c r="O160" s="1020"/>
      <c r="R160" s="1">
        <v>1982</v>
      </c>
      <c r="S160" s="7">
        <f>(O55*($E55/365))+(O56*($E56/365))+(O57*($E57/365))</f>
        <v>10.201643835616437</v>
      </c>
      <c r="T160" s="7">
        <f>(P55*($E55/365))+(P56*($E56/365))+(P57*($E57/365))</f>
        <v>11.094520547945205</v>
      </c>
      <c r="U160" s="7">
        <f>(Q55*($E55/365))+(Q56*($E56/365))+(Q57*($E57/365))</f>
        <v>33.195616438356161</v>
      </c>
      <c r="V160" s="12"/>
      <c r="W160" s="14">
        <f t="shared" si="45"/>
        <v>54.4917808219178</v>
      </c>
      <c r="Y160" s="7"/>
    </row>
    <row r="161" spans="1:25">
      <c r="A161" s="1">
        <v>1983</v>
      </c>
      <c r="B161" s="7">
        <f>(K58*($E58/365))+(K59*($E59/365))</f>
        <v>19.065269943593876</v>
      </c>
      <c r="C161" s="7">
        <f>(L58*($E58/365))+(L59*($E59/365))</f>
        <v>80.93473005640611</v>
      </c>
      <c r="D161" s="7">
        <f>(M58*($E58/365))+(M59*($E59/365))</f>
        <v>0</v>
      </c>
      <c r="E161" s="40">
        <f t="shared" si="44"/>
        <v>99.999999999999986</v>
      </c>
      <c r="G161" s="1">
        <v>1983</v>
      </c>
      <c r="H161" s="958">
        <f>(O58/$R58*100*($E58/365))+(O59/$R59*100*($E59/365))</f>
        <v>13.838553643838411</v>
      </c>
      <c r="I161" s="958"/>
      <c r="J161" s="958">
        <f>(P58/$R58*100*($E58/365))+(P59/$R59*100*($E59/365))</f>
        <v>86.161446356161605</v>
      </c>
      <c r="K161" s="958"/>
      <c r="L161" s="958">
        <f>(Q58/$R58*100*($E58/365))+(Q59/$R59*100*($E59/365))</f>
        <v>0</v>
      </c>
      <c r="M161" s="958"/>
      <c r="N161" s="990">
        <f t="shared" si="46"/>
        <v>100.00000000000001</v>
      </c>
      <c r="O161" s="1020"/>
      <c r="R161" s="1">
        <v>1983</v>
      </c>
      <c r="S161" s="7">
        <f>(O58*($E58/365))+(O59*($E59/365))</f>
        <v>7.7402739726027399</v>
      </c>
      <c r="T161" s="7">
        <f>(P58*($E58/365))+(P59*($E59/365))</f>
        <v>48.156164383561638</v>
      </c>
      <c r="U161" s="7">
        <f>(Q58*($E58/365))+(Q59*($E59/365))</f>
        <v>0</v>
      </c>
      <c r="V161" s="12"/>
      <c r="W161" s="14">
        <f t="shared" si="45"/>
        <v>55.896438356164381</v>
      </c>
      <c r="Y161" s="7"/>
    </row>
    <row r="162" spans="1:25">
      <c r="A162" s="1">
        <v>1984</v>
      </c>
      <c r="B162" s="7">
        <f>(K60*($E60/366))+(K61*($E61/366))</f>
        <v>17.647058823529413</v>
      </c>
      <c r="C162" s="7">
        <f>(L60*($E60/366))+(L61*($E61/366))</f>
        <v>82.35294117647058</v>
      </c>
      <c r="D162" s="7">
        <f>(M60*($E60/366))+(M61*($E61/366))</f>
        <v>0</v>
      </c>
      <c r="E162" s="40">
        <f t="shared" si="44"/>
        <v>100</v>
      </c>
      <c r="G162" s="1">
        <v>1984</v>
      </c>
      <c r="H162" s="958">
        <f>(O60/$R60*100*($E60/366))+(O61/$R61*100*($E61/366))</f>
        <v>12.186379928315413</v>
      </c>
      <c r="I162" s="958"/>
      <c r="J162" s="958">
        <f>(P60/$R60*100*($E60/366))+(P61/$R61*100*($E61/366))</f>
        <v>87.813620071684596</v>
      </c>
      <c r="K162" s="958"/>
      <c r="L162" s="958">
        <f>(Q60/$R60*100*($E60/366))+(Q61/$R61*100*($E61/366))</f>
        <v>0</v>
      </c>
      <c r="M162" s="958"/>
      <c r="N162" s="990">
        <f t="shared" si="46"/>
        <v>100.00000000000001</v>
      </c>
      <c r="O162" s="1020"/>
      <c r="R162" s="1">
        <v>1984</v>
      </c>
      <c r="S162" s="7">
        <f>(O60*($E60/366))+(O61*($E61/366))</f>
        <v>6.8</v>
      </c>
      <c r="T162" s="7">
        <f>(P60*($E60/366))+(P61*($E61/366))</f>
        <v>49</v>
      </c>
      <c r="U162" s="7">
        <f>(Q60*($E60/366))+(Q61*($E61/366))</f>
        <v>0</v>
      </c>
      <c r="V162" s="12"/>
      <c r="W162" s="14">
        <f t="shared" si="45"/>
        <v>55.8</v>
      </c>
      <c r="Y162" s="7"/>
    </row>
    <row r="163" spans="1:25">
      <c r="A163" s="1">
        <v>1985</v>
      </c>
      <c r="B163" s="7">
        <f>(K62*($E62/365))+(K63*($E63/365))</f>
        <v>17.647058823529413</v>
      </c>
      <c r="C163" s="7">
        <f>(L62*($E62/365))+(L63*($E63/365))</f>
        <v>82.35294117647058</v>
      </c>
      <c r="D163" s="7">
        <f>(M62*($E62/365))+(M63*($E63/365))</f>
        <v>0</v>
      </c>
      <c r="E163" s="40">
        <f t="shared" si="44"/>
        <v>100</v>
      </c>
      <c r="G163" s="1">
        <v>1985</v>
      </c>
      <c r="H163" s="958">
        <f>(O62/$R62*100*($E62/365))+(O63/$R63*100*($E63/365))</f>
        <v>12.186379928315413</v>
      </c>
      <c r="I163" s="958"/>
      <c r="J163" s="958">
        <f>(P62/$R62*100*($E62/365))+(P63/$R63*100*($E63/365))</f>
        <v>87.813620071684596</v>
      </c>
      <c r="K163" s="958"/>
      <c r="L163" s="958">
        <f>(Q62/$R62*100*($E62/365))+(Q63/$R63*100*($E63/365))</f>
        <v>0</v>
      </c>
      <c r="M163" s="958"/>
      <c r="N163" s="990">
        <f t="shared" si="46"/>
        <v>100.00000000000001</v>
      </c>
      <c r="O163" s="1020"/>
      <c r="R163" s="1">
        <v>1985</v>
      </c>
      <c r="S163" s="7">
        <f>(O62*($E62/365))+(O63*($E63/365))</f>
        <v>6.8</v>
      </c>
      <c r="T163" s="7">
        <f>(P62*($E62/365))+(P63*($E63/365))</f>
        <v>49</v>
      </c>
      <c r="U163" s="7">
        <f>(Q62*($E62/365))+(Q63*($E63/365))</f>
        <v>0</v>
      </c>
      <c r="V163" s="12"/>
      <c r="W163" s="14">
        <f t="shared" si="45"/>
        <v>55.8</v>
      </c>
      <c r="Y163" s="7"/>
    </row>
    <row r="164" spans="1:25" ht="9" customHeight="1">
      <c r="A164" s="1">
        <v>1986</v>
      </c>
      <c r="B164" s="7">
        <f>(K64*($E64/365))+(K65*($E65/365))</f>
        <v>17.647058823529413</v>
      </c>
      <c r="C164" s="7">
        <f>(L64*($E64/365))+(L65*($E65/365))</f>
        <v>82.35294117647058</v>
      </c>
      <c r="D164" s="7">
        <f>(M64*($E64/365))+(M65*($E65/365))</f>
        <v>0</v>
      </c>
      <c r="E164" s="40">
        <f t="shared" si="44"/>
        <v>100</v>
      </c>
      <c r="G164" s="1">
        <v>1986</v>
      </c>
      <c r="H164" s="958">
        <f>(O64/$R64*100*($E64/365))+(O65/$R65*100*($E65/365))</f>
        <v>12.186379928315413</v>
      </c>
      <c r="I164" s="958"/>
      <c r="J164" s="958">
        <f>(P64/$R64*100*($E64/365))+(P65/$R65*100*($E65/365))</f>
        <v>87.813620071684596</v>
      </c>
      <c r="K164" s="958"/>
      <c r="L164" s="958">
        <f>(Q64/$R64*100*($E64/365))+(Q65/$R65*100*($E65/365))</f>
        <v>0</v>
      </c>
      <c r="M164" s="958"/>
      <c r="N164" s="990">
        <f t="shared" si="46"/>
        <v>100.00000000000001</v>
      </c>
      <c r="O164" s="1020"/>
      <c r="R164" s="1">
        <v>1986</v>
      </c>
      <c r="S164" s="7">
        <f>(O64*($E64/365))+(O65*($E65/365))</f>
        <v>6.8</v>
      </c>
      <c r="T164" s="7">
        <f>(P64*($E64/365))+(P65*($E65/365))</f>
        <v>49</v>
      </c>
      <c r="U164" s="7">
        <f>(Q64*($E64/365))+(Q65*($E65/365))</f>
        <v>0</v>
      </c>
      <c r="V164" s="12"/>
      <c r="W164" s="14">
        <f t="shared" si="45"/>
        <v>55.8</v>
      </c>
      <c r="Y164" s="7"/>
    </row>
    <row r="165" spans="1:25" ht="9" customHeight="1">
      <c r="A165" s="1">
        <v>1987</v>
      </c>
      <c r="B165" s="7">
        <f>(K66*($E66/365))+(K67*($E67/365))</f>
        <v>20.408838373128631</v>
      </c>
      <c r="C165" s="7">
        <f>(L66*($E66/365))+(L67*($E67/365))</f>
        <v>79.591161626871369</v>
      </c>
      <c r="D165" s="7">
        <f>(M66*($E66/365))+(M67*($E67/365))</f>
        <v>0</v>
      </c>
      <c r="E165" s="40">
        <f t="shared" si="44"/>
        <v>100</v>
      </c>
      <c r="G165" s="1">
        <v>1987</v>
      </c>
      <c r="H165" s="958">
        <f>(O66/$R66*100*($E66/365))+(O67/$R67*100*($E67/365))</f>
        <v>16.218704122525097</v>
      </c>
      <c r="I165" s="958"/>
      <c r="J165" s="958">
        <f>(P66/$R66*100*($E66/365))+(P67/$R67*100*($E67/365))</f>
        <v>83.781295877474903</v>
      </c>
      <c r="K165" s="958"/>
      <c r="L165" s="958">
        <f>(Q66/$R66*100*($E66/365))+(Q67/$R67*100*($E67/365))</f>
        <v>0</v>
      </c>
      <c r="M165" s="958"/>
      <c r="N165" s="990">
        <f t="shared" si="46"/>
        <v>100</v>
      </c>
      <c r="O165" s="1020"/>
      <c r="R165" s="1">
        <v>1987</v>
      </c>
      <c r="S165" s="7">
        <f>(O66*($E66/365))+(O67*($E67/365))</f>
        <v>8.8273972602739725</v>
      </c>
      <c r="T165" s="7">
        <f>(P66*($E66/365))+(P67*($E67/365))</f>
        <v>45.67506849315069</v>
      </c>
      <c r="U165" s="7">
        <f>(Q66*($E66/365))+(Q67*($E67/365))</f>
        <v>0</v>
      </c>
      <c r="V165" s="12"/>
      <c r="W165" s="14">
        <f t="shared" si="45"/>
        <v>54.502465753424659</v>
      </c>
      <c r="Y165" s="7"/>
    </row>
    <row r="166" spans="1:25" ht="9" customHeight="1">
      <c r="A166" s="1">
        <v>1988</v>
      </c>
      <c r="B166" s="7">
        <f>(K68*($E68/366))+(K69*($E69/366))</f>
        <v>21.052631578947366</v>
      </c>
      <c r="C166" s="7">
        <f>(L68*($E68/366))+(L69*($E69/366))</f>
        <v>78.94736842105263</v>
      </c>
      <c r="D166" s="7">
        <f>(M68*($E68/366))+(M69*($E69/366))</f>
        <v>0</v>
      </c>
      <c r="E166" s="40">
        <f t="shared" si="44"/>
        <v>100</v>
      </c>
      <c r="G166" s="1">
        <v>1988</v>
      </c>
      <c r="H166" s="958">
        <f>(O68/$R68*100*($E68/366))+(O69/$R69*100*($E69/366))</f>
        <v>17.158671586715869</v>
      </c>
      <c r="I166" s="958"/>
      <c r="J166" s="958">
        <f>(P68/$R68*100*($E68/366))+(P69/$R69*100*($E69/366))</f>
        <v>82.841328413284117</v>
      </c>
      <c r="K166" s="958"/>
      <c r="L166" s="958">
        <f>(Q68/$R68*100*($E68/366))+(Q69/$R69*100*($E69/366))</f>
        <v>0</v>
      </c>
      <c r="M166" s="958"/>
      <c r="N166" s="990">
        <f t="shared" si="46"/>
        <v>99.999999999999986</v>
      </c>
      <c r="O166" s="1020"/>
      <c r="R166" s="1">
        <v>1988</v>
      </c>
      <c r="S166" s="7">
        <f>(O68*($E68/366))+(O69*($E69/366))</f>
        <v>9.3000000000000007</v>
      </c>
      <c r="T166" s="7">
        <f>(P68*($E68/366))+(P69*($E69/366))</f>
        <v>44.9</v>
      </c>
      <c r="U166" s="7">
        <f>(Q68*($E68/366))+(Q69*($E69/366))</f>
        <v>0</v>
      </c>
      <c r="V166" s="12"/>
      <c r="W166" s="14">
        <f t="shared" si="45"/>
        <v>54.2</v>
      </c>
      <c r="Y166" s="7"/>
    </row>
    <row r="167" spans="1:25" s="4" customFormat="1" ht="9" customHeight="1">
      <c r="A167" s="4">
        <v>1989</v>
      </c>
      <c r="B167" s="11">
        <f>(K70*($E70/365))+(K71*($E71/365))</f>
        <v>20.52198990627253</v>
      </c>
      <c r="C167" s="11">
        <f>(L70*($E70/365))+(L71*($E71/365))</f>
        <v>79.478010093727477</v>
      </c>
      <c r="D167" s="11">
        <f>(M70*($E70/365))+(M71*($E71/365))</f>
        <v>0</v>
      </c>
      <c r="E167" s="41">
        <f t="shared" si="44"/>
        <v>100</v>
      </c>
      <c r="G167" s="4">
        <v>1989</v>
      </c>
      <c r="H167" s="960">
        <f>(O70/$R70*100*($E70/365))+(O71/$R71*100*($E71/365))</f>
        <v>17.158671586715869</v>
      </c>
      <c r="I167" s="960"/>
      <c r="J167" s="960">
        <f>(P70/$R70*100*($E70/365))+(P71/$R71*100*($E71/365))</f>
        <v>82.841328413284117</v>
      </c>
      <c r="K167" s="960"/>
      <c r="L167" s="960">
        <f>(Q70/$R70*100*($E70/365))+(Q71/$R71*100*($E71/365))</f>
        <v>0</v>
      </c>
      <c r="M167" s="960"/>
      <c r="N167" s="987">
        <f t="shared" si="46"/>
        <v>99.999999999999986</v>
      </c>
      <c r="O167" s="1022"/>
      <c r="R167" s="4">
        <v>1989</v>
      </c>
      <c r="S167" s="11">
        <f>(O70*($E70/365))+(O71*($E71/365))</f>
        <v>9.3000000000000007</v>
      </c>
      <c r="T167" s="11">
        <f>(P70*($E70/365))+(P71*($E71/365))</f>
        <v>44.900000000000006</v>
      </c>
      <c r="U167" s="11">
        <f>(Q70*($E70/365))+(Q71*($E71/365))</f>
        <v>0</v>
      </c>
      <c r="V167" s="27"/>
      <c r="W167" s="28">
        <f t="shared" si="45"/>
        <v>54.2</v>
      </c>
      <c r="Y167" s="11"/>
    </row>
    <row r="168" spans="1:25" ht="9" customHeight="1">
      <c r="A168" s="1">
        <v>1990</v>
      </c>
      <c r="B168" s="7">
        <f>(K72*($E72/365))+(K73*($E73/365))</f>
        <v>20</v>
      </c>
      <c r="C168" s="7">
        <f>(L72*($E72/365))+(L73*($E73/365))</f>
        <v>80</v>
      </c>
      <c r="D168" s="7">
        <f>(M72*($E72/365))+(M73*($E73/365))</f>
        <v>0</v>
      </c>
      <c r="E168" s="40">
        <f t="shared" si="44"/>
        <v>100</v>
      </c>
      <c r="G168" s="1">
        <v>1990</v>
      </c>
      <c r="H168" s="958">
        <f>(O72/$R72*100*($E72/365))+(O73/$R73*100*($E73/365))</f>
        <v>17.158671586715869</v>
      </c>
      <c r="I168" s="958"/>
      <c r="J168" s="958">
        <f>(P72/$R72*100*($E72/365))+(P73/$R73*100*($E73/365))</f>
        <v>82.841328413284117</v>
      </c>
      <c r="K168" s="958"/>
      <c r="L168" s="958">
        <f>(Q72/$R72*100*($E72/365))+(Q73/$R73*100*($E73/365))</f>
        <v>0</v>
      </c>
      <c r="M168" s="958"/>
      <c r="N168" s="990">
        <f t="shared" si="46"/>
        <v>99.999999999999986</v>
      </c>
      <c r="O168" s="1020"/>
      <c r="R168" s="1">
        <v>1990</v>
      </c>
      <c r="S168" s="7">
        <f>(O72*($E72/365))+(O73*($E73/365))</f>
        <v>9.3000000000000007</v>
      </c>
      <c r="T168" s="7">
        <f>(P72*($E72/365))+(P73*($E73/365))</f>
        <v>44.9</v>
      </c>
      <c r="U168" s="7">
        <f>(Q72*($E72/365))+(Q73*($E73/365))</f>
        <v>0</v>
      </c>
      <c r="V168" s="12"/>
      <c r="W168" s="14">
        <f t="shared" si="45"/>
        <v>54.2</v>
      </c>
      <c r="Y168" s="7"/>
    </row>
    <row r="169" spans="1:25" ht="9" customHeight="1">
      <c r="A169" s="1">
        <v>1991</v>
      </c>
      <c r="B169" s="7">
        <f>(K74*($E74/365))+(K75*($E75/365))</f>
        <v>24.767123287671229</v>
      </c>
      <c r="C169" s="7">
        <f>(L74*($E74/365))+(L75*($E75/365))</f>
        <v>75.232876712328761</v>
      </c>
      <c r="D169" s="7">
        <f>(M74*($E74/365))+(M75*($E75/365))</f>
        <v>0</v>
      </c>
      <c r="E169" s="40">
        <f t="shared" si="44"/>
        <v>99.999999999999986</v>
      </c>
      <c r="G169" s="1">
        <v>1991</v>
      </c>
      <c r="H169" s="958">
        <f>(O74/$R74*100*($E74/365))+(O75/$R75*100*($E75/365))</f>
        <v>19.677296504006911</v>
      </c>
      <c r="I169" s="958"/>
      <c r="J169" s="958">
        <f>(P74/$R74*100*($E74/365))+(P75/$R75*100*($E75/365))</f>
        <v>80.322703495993096</v>
      </c>
      <c r="K169" s="958"/>
      <c r="L169" s="958">
        <f>(Q74/$R74*100*($E74/365))+(Q75/$R75*100*($E75/365))</f>
        <v>0</v>
      </c>
      <c r="M169" s="958"/>
      <c r="N169" s="990">
        <f t="shared" si="46"/>
        <v>100</v>
      </c>
      <c r="O169" s="1020"/>
      <c r="R169" s="1">
        <v>1991</v>
      </c>
      <c r="S169" s="7">
        <f>(O74*($E74/365))+(O75*($E75/365))</f>
        <v>11.778904109589041</v>
      </c>
      <c r="T169" s="7">
        <f>(P74*($E74/365))+(P75*($E75/365))</f>
        <v>48.046301369863009</v>
      </c>
      <c r="U169" s="7">
        <f>(Q74*($E74/365))+(Q75*($E75/365))</f>
        <v>0</v>
      </c>
      <c r="V169" s="12"/>
      <c r="W169" s="14">
        <f t="shared" si="45"/>
        <v>59.825205479452052</v>
      </c>
      <c r="Y169" s="7"/>
    </row>
    <row r="170" spans="1:25" ht="9" customHeight="1">
      <c r="A170" s="1">
        <v>1992</v>
      </c>
      <c r="B170" s="7">
        <f>(K76*($E76/366))+(K77*($E77/366))</f>
        <v>25</v>
      </c>
      <c r="C170" s="7">
        <f>(L76*($E76/366))+(L77*($E77/366))</f>
        <v>75</v>
      </c>
      <c r="D170" s="7">
        <f>(M76*($E76/366))+(M77*($E77/366))</f>
        <v>0</v>
      </c>
      <c r="E170" s="40">
        <f t="shared" si="44"/>
        <v>100</v>
      </c>
      <c r="G170" s="1">
        <v>1992</v>
      </c>
      <c r="H170" s="958">
        <f>(O76/$R76*100*($E76/366))+(O77/$R77*100*($E77/366))</f>
        <v>19.800332778702163</v>
      </c>
      <c r="I170" s="958"/>
      <c r="J170" s="958">
        <f>(P76/$R76*100*($E76/366))+(P77/$R77*100*($E77/366))</f>
        <v>80.199667221297844</v>
      </c>
      <c r="K170" s="958"/>
      <c r="L170" s="958">
        <f>(Q76/$R76*100*($E76/366))+(Q77/$R77*100*($E77/366))</f>
        <v>0</v>
      </c>
      <c r="M170" s="958"/>
      <c r="N170" s="990">
        <f t="shared" si="46"/>
        <v>100</v>
      </c>
      <c r="O170" s="1020"/>
      <c r="R170" s="1">
        <v>1992</v>
      </c>
      <c r="S170" s="7">
        <f>(O76*($E76/366))+(O77*($E77/366))</f>
        <v>11.9</v>
      </c>
      <c r="T170" s="7">
        <f>(P76*($E76/366))+(P77*($E77/366))</f>
        <v>48.2</v>
      </c>
      <c r="U170" s="7">
        <f>(Q76*($E76/366))+(Q77*($E77/366))</f>
        <v>0</v>
      </c>
      <c r="V170" s="12"/>
      <c r="W170" s="14">
        <f t="shared" si="45"/>
        <v>60.1</v>
      </c>
      <c r="Y170" s="7"/>
    </row>
    <row r="171" spans="1:25" ht="9" customHeight="1">
      <c r="A171" s="1">
        <v>1993</v>
      </c>
      <c r="B171" s="7">
        <f>(K78*($E78/365))+(K79*($E79/365))</f>
        <v>25</v>
      </c>
      <c r="C171" s="7">
        <f>(L78*($E78/365))+(L79*($E79/365))</f>
        <v>75</v>
      </c>
      <c r="D171" s="7">
        <f>(M78*($E78/365))+(M79*($E79/365))</f>
        <v>0</v>
      </c>
      <c r="E171" s="40">
        <f t="shared" si="44"/>
        <v>100</v>
      </c>
      <c r="G171" s="1">
        <v>1993</v>
      </c>
      <c r="H171" s="958">
        <f>(O78/$R78*100*($E78/365))+(O79/$R79*100*($E79/365))</f>
        <v>19.800332778702163</v>
      </c>
      <c r="I171" s="958"/>
      <c r="J171" s="958">
        <f>(P78/$R78*100*($E78/365))+(P79/$R79*100*($E79/365))</f>
        <v>80.199667221297844</v>
      </c>
      <c r="K171" s="958"/>
      <c r="L171" s="958">
        <f>(Q78/$R78*100*($E78/365))+(Q79/$R79*100*($E79/365))</f>
        <v>0</v>
      </c>
      <c r="M171" s="958"/>
      <c r="N171" s="990">
        <f t="shared" si="46"/>
        <v>100</v>
      </c>
      <c r="O171" s="1020"/>
      <c r="R171" s="1">
        <v>1993</v>
      </c>
      <c r="S171" s="7">
        <f>(O78*($E78/365))+(O79*($E79/365))</f>
        <v>11.9</v>
      </c>
      <c r="T171" s="7">
        <f>(P78*($E78/365))+(P79*($E79/365))</f>
        <v>48.2</v>
      </c>
      <c r="U171" s="7">
        <f>(Q78*($E78/365))+(Q79*($E79/365))</f>
        <v>0</v>
      </c>
      <c r="V171" s="12"/>
      <c r="W171" s="14">
        <f t="shared" si="45"/>
        <v>60.1</v>
      </c>
      <c r="Y171" s="7"/>
    </row>
    <row r="172" spans="1:25" ht="9" customHeight="1">
      <c r="A172" s="1">
        <v>1994</v>
      </c>
      <c r="B172" s="7">
        <f>(K80*($E80/365))+(K81*($E81/365))</f>
        <v>23.972602739726025</v>
      </c>
      <c r="C172" s="7">
        <f>(L80*($E80/365))+(L81*($E81/365))</f>
        <v>76.027397260273972</v>
      </c>
      <c r="D172" s="7">
        <f>(M80*($E80/365))+(M81*($E81/365))</f>
        <v>0</v>
      </c>
      <c r="E172" s="40">
        <f t="shared" si="44"/>
        <v>100</v>
      </c>
      <c r="G172" s="1">
        <v>1994</v>
      </c>
      <c r="H172" s="958">
        <f>(O80/$R80*100*($E80/365))+(O81/$R81*100*($E81/365))</f>
        <v>19.061392505020876</v>
      </c>
      <c r="I172" s="958"/>
      <c r="J172" s="958">
        <f>(P80/$R80*100*($E80/365))+(P81/$R81*100*($E81/365))</f>
        <v>80.938607494979124</v>
      </c>
      <c r="K172" s="958"/>
      <c r="L172" s="958">
        <f>(Q80/$R80*100*($E80/365))+(Q81/$R81*100*($E81/365))</f>
        <v>0</v>
      </c>
      <c r="M172" s="958"/>
      <c r="N172" s="990">
        <f t="shared" si="46"/>
        <v>100</v>
      </c>
      <c r="O172" s="1020"/>
      <c r="R172" s="1">
        <v>1994</v>
      </c>
      <c r="S172" s="7">
        <f>(O80*($E80/365))+(O81*($E81/365))</f>
        <v>11.295890410958904</v>
      </c>
      <c r="T172" s="7">
        <f>(P80*($E80/365))+(P81*($E81/365))</f>
        <v>47.645205479452052</v>
      </c>
      <c r="U172" s="7">
        <f>(Q80*($E80/365))+(Q81*($E81/365))</f>
        <v>0</v>
      </c>
      <c r="V172" s="12"/>
      <c r="W172" s="14">
        <f t="shared" si="45"/>
        <v>58.941095890410956</v>
      </c>
      <c r="Y172" s="7"/>
    </row>
    <row r="173" spans="1:25" ht="9" customHeight="1">
      <c r="A173" s="1">
        <v>1995</v>
      </c>
      <c r="B173" s="7">
        <f>(K82*($E82/365))+(K83*($E83/365))</f>
        <v>16.666666666666664</v>
      </c>
      <c r="C173" s="7">
        <f>(L82*($E82/365))+(L83*($E83/365))</f>
        <v>83.333333333333343</v>
      </c>
      <c r="D173" s="7">
        <f>(M82*($E82/365))+(M83*($E83/365))</f>
        <v>0</v>
      </c>
      <c r="E173" s="40">
        <f t="shared" si="44"/>
        <v>100</v>
      </c>
      <c r="G173" s="1">
        <v>1995</v>
      </c>
      <c r="H173" s="958">
        <f>(O82/$R82*100*($E82/365))+(O83/$R83*100*($E83/365))</f>
        <v>13.80670611439842</v>
      </c>
      <c r="I173" s="958"/>
      <c r="J173" s="958">
        <f>(P82/$R82*100*($E82/365))+(P83/$R83*100*($E83/365))</f>
        <v>86.193293885601577</v>
      </c>
      <c r="K173" s="958"/>
      <c r="L173" s="958">
        <f>(Q82/$R82*100*($E82/365))+(Q83/$R83*100*($E83/365))</f>
        <v>0</v>
      </c>
      <c r="M173" s="958"/>
      <c r="N173" s="990">
        <f t="shared" si="46"/>
        <v>100</v>
      </c>
      <c r="O173" s="1020"/>
      <c r="R173" s="1">
        <v>1995</v>
      </c>
      <c r="S173" s="7">
        <f>(O82*($E82/365))+(O83*($E83/365))</f>
        <v>7</v>
      </c>
      <c r="T173" s="7">
        <f>(P82*($E82/365))+(P83*($E83/365))</f>
        <v>43.7</v>
      </c>
      <c r="U173" s="7">
        <f>(Q82*($E82/365))+(Q83*($E83/365))</f>
        <v>0</v>
      </c>
      <c r="V173" s="12"/>
      <c r="W173" s="14">
        <f t="shared" si="45"/>
        <v>50.7</v>
      </c>
      <c r="Y173" s="7"/>
    </row>
    <row r="174" spans="1:25" ht="9" customHeight="1">
      <c r="A174" s="1">
        <v>1996</v>
      </c>
      <c r="B174" s="7">
        <f>(K84*($E84/366))+(K85*($E85/366))</f>
        <v>16.666666666666664</v>
      </c>
      <c r="C174" s="7">
        <f>(L84*($E84/366))+(L85*($E85/366))</f>
        <v>83.333333333333343</v>
      </c>
      <c r="D174" s="7">
        <f>(M84*($E84/366))+(M85*($E85/366))</f>
        <v>0</v>
      </c>
      <c r="E174" s="40">
        <f t="shared" si="44"/>
        <v>100</v>
      </c>
      <c r="G174" s="1">
        <v>1996</v>
      </c>
      <c r="H174" s="958">
        <f>(O84/$R84*100*($E84/366))+(O85/$R85*100*($E85/366))</f>
        <v>13.80670611439842</v>
      </c>
      <c r="I174" s="958"/>
      <c r="J174" s="958">
        <f>(P84/$R84*100*($E84/366))+(P85/$R85*100*($E85/366))</f>
        <v>86.193293885601577</v>
      </c>
      <c r="K174" s="958"/>
      <c r="L174" s="958">
        <f>(Q84/$R84*100*($E84/366))+(Q85/$R85*100*($E85/366))</f>
        <v>0</v>
      </c>
      <c r="M174" s="958"/>
      <c r="N174" s="990">
        <f t="shared" si="46"/>
        <v>100</v>
      </c>
      <c r="O174" s="1020"/>
      <c r="R174" s="1">
        <v>1996</v>
      </c>
      <c r="S174" s="7">
        <f>(O84*($E84/366))+(O85*($E85/366))</f>
        <v>7</v>
      </c>
      <c r="T174" s="7">
        <f>(P84*($E84/366))+(P85*($E85/366))</f>
        <v>43.7</v>
      </c>
      <c r="U174" s="7">
        <f>(Q84*($E84/366))+(Q85*($E85/366))</f>
        <v>0</v>
      </c>
      <c r="V174" s="12"/>
      <c r="W174" s="14">
        <f t="shared" si="45"/>
        <v>50.7</v>
      </c>
      <c r="Y174" s="7"/>
    </row>
    <row r="175" spans="1:25" ht="9" customHeight="1">
      <c r="A175" s="1">
        <v>1997</v>
      </c>
      <c r="B175" s="7">
        <f>(K86*($E86/365))+(K87*($E87/365))</f>
        <v>16.669352672575876</v>
      </c>
      <c r="C175" s="7">
        <f>(L86*($E86/365))+(L87*($E87/365))</f>
        <v>83.330647327424131</v>
      </c>
      <c r="D175" s="7">
        <f>(M86*($E86/365))+(M87*($E87/365))</f>
        <v>0</v>
      </c>
      <c r="E175" s="40">
        <f t="shared" si="44"/>
        <v>100</v>
      </c>
      <c r="G175" s="1">
        <v>1997</v>
      </c>
      <c r="H175" s="958">
        <f>(O86/$R86*100*($E86/365))+(O87/$R87*100*($E87/365))</f>
        <v>13.80670611439842</v>
      </c>
      <c r="I175" s="958"/>
      <c r="J175" s="958">
        <f>(P86/$R86*100*($E86/365))+(P87/$R87*100*($E87/365))</f>
        <v>86.193293885601577</v>
      </c>
      <c r="K175" s="958"/>
      <c r="L175" s="958">
        <f>(Q86/$R86*100*($E86/365))+(Q87/$R87*100*($E87/365))</f>
        <v>0</v>
      </c>
      <c r="M175" s="958"/>
      <c r="N175" s="990">
        <f t="shared" si="46"/>
        <v>100</v>
      </c>
      <c r="O175" s="1020"/>
      <c r="R175" s="1">
        <v>1997</v>
      </c>
      <c r="S175" s="7">
        <f>(O86*($E86/365))+(O87*($E87/365))</f>
        <v>7</v>
      </c>
      <c r="T175" s="7">
        <f>(P86*($E86/365))+(P87*($E87/365))</f>
        <v>43.7</v>
      </c>
      <c r="U175" s="7">
        <f>(Q86*($E86/365))+(Q87*($E87/365))</f>
        <v>0</v>
      </c>
      <c r="V175" s="12"/>
      <c r="W175" s="14">
        <f t="shared" si="45"/>
        <v>50.7</v>
      </c>
      <c r="Y175" s="7"/>
    </row>
    <row r="176" spans="1:25" ht="9" customHeight="1">
      <c r="A176" s="1">
        <v>1998</v>
      </c>
      <c r="B176" s="7">
        <f>(K88*($E88/365))+(K89*($E89/365))</f>
        <v>14.456083803384368</v>
      </c>
      <c r="C176" s="7">
        <f>(L88*($E88/365))+(L89*($E89/365))</f>
        <v>67.461724415793711</v>
      </c>
      <c r="D176" s="7">
        <f>(M88*($E88/365))+(M89*($E89/365))</f>
        <v>18.082191780821919</v>
      </c>
      <c r="E176" s="40">
        <f t="shared" si="44"/>
        <v>100</v>
      </c>
      <c r="G176" s="1">
        <v>1998</v>
      </c>
      <c r="H176" s="958">
        <f>(O88/$R88*100*($E88/365))+(O89/$R89*100*($E89/365))</f>
        <v>11.31015103617843</v>
      </c>
      <c r="I176" s="958"/>
      <c r="J176" s="958">
        <f>(P88/$R88*100*($E88/365))+(P89/$R89*100*($E89/365))</f>
        <v>70.607657182999645</v>
      </c>
      <c r="K176" s="958"/>
      <c r="L176" s="958">
        <f>(Q88/$R88*100*($E88/365))+(Q89/$R89*100*($E89/365))</f>
        <v>18.082191780821919</v>
      </c>
      <c r="M176" s="958"/>
      <c r="N176" s="990">
        <f t="shared" si="46"/>
        <v>99.999999999999986</v>
      </c>
      <c r="O176" s="1020"/>
      <c r="R176" s="1">
        <v>1998</v>
      </c>
      <c r="S176" s="7">
        <f>(O88*($E88/365))+(O89*($E89/365))</f>
        <v>5.7342465753424658</v>
      </c>
      <c r="T176" s="7">
        <f>(P88*($E88/365))+(P89*($E89/365))</f>
        <v>35.798082191780821</v>
      </c>
      <c r="U176" s="7">
        <f>(Q88*($E88/365))+(Q89*($E89/365))</f>
        <v>9.3123287671232884</v>
      </c>
      <c r="V176" s="12"/>
      <c r="W176" s="14">
        <f t="shared" si="45"/>
        <v>50.844657534246579</v>
      </c>
      <c r="Y176" s="7"/>
    </row>
    <row r="177" spans="1:25" ht="9" customHeight="1">
      <c r="A177" s="1">
        <v>1999</v>
      </c>
      <c r="B177" s="7">
        <f>(K90*($E90/365))+(K91*($E91/365))</f>
        <v>0</v>
      </c>
      <c r="C177" s="7">
        <f>(L90*($E90/365))+(L91*($E91/365))</f>
        <v>0</v>
      </c>
      <c r="D177" s="7">
        <f>(M90*($E90/365))+(M91*($E91/365))</f>
        <v>100</v>
      </c>
      <c r="E177" s="40">
        <f t="shared" si="44"/>
        <v>100</v>
      </c>
      <c r="G177" s="1">
        <v>1999</v>
      </c>
      <c r="H177" s="958">
        <f>(O90/$R90*100*($E90/365))+(O91/$R91*100*($E91/365))</f>
        <v>0</v>
      </c>
      <c r="I177" s="958"/>
      <c r="J177" s="958">
        <f>(P90/$R90*100*($E90/365))+(P91/$R91*100*($E91/365))</f>
        <v>0</v>
      </c>
      <c r="K177" s="958"/>
      <c r="L177" s="958">
        <f>(Q90/$R90*100*($E90/365))+(Q91/$R91*100*($E91/365))</f>
        <v>100</v>
      </c>
      <c r="M177" s="958"/>
      <c r="N177" s="990">
        <f t="shared" si="46"/>
        <v>100</v>
      </c>
      <c r="O177" s="1020"/>
      <c r="R177" s="1">
        <v>1999</v>
      </c>
      <c r="S177" s="7">
        <f>(O90*($E90/365))+(O91*($E91/365))</f>
        <v>0</v>
      </c>
      <c r="T177" s="7">
        <f>(P90*($E90/365))+(P91*($E91/365))</f>
        <v>0</v>
      </c>
      <c r="U177" s="7">
        <f>(Q90*($E90/365))+(Q91*($E91/365))</f>
        <v>51.5</v>
      </c>
      <c r="V177" s="12"/>
      <c r="W177" s="14">
        <f t="shared" si="45"/>
        <v>51.5</v>
      </c>
      <c r="Y177" s="7"/>
    </row>
    <row r="178" spans="1:25" ht="9" customHeight="1">
      <c r="A178" s="1">
        <v>2000</v>
      </c>
      <c r="B178" s="7">
        <f>(K92*($E92/366))+(K93*($E93/366))</f>
        <v>0</v>
      </c>
      <c r="C178" s="7">
        <f>(L92*($E92/366))+(L93*($E93/366))</f>
        <v>0</v>
      </c>
      <c r="D178" s="7">
        <f>(M92*($E92/366))+(M93*($E93/366))</f>
        <v>100</v>
      </c>
      <c r="E178" s="40">
        <f t="shared" si="44"/>
        <v>100</v>
      </c>
      <c r="G178" s="1">
        <v>2000</v>
      </c>
      <c r="H178" s="958">
        <f>(O92/$R92*100*($E92/366))+(O93/$R93*100*($E93/366))</f>
        <v>0</v>
      </c>
      <c r="I178" s="958"/>
      <c r="J178" s="958">
        <f>(P92/$R92*100*($E92/366))+(P93/$R93*100*($E93/366))</f>
        <v>0</v>
      </c>
      <c r="K178" s="958"/>
      <c r="L178" s="958">
        <f>(Q92/$R92*100*($E92/366))+(Q93/$R93*100*($E93/366))</f>
        <v>100</v>
      </c>
      <c r="M178" s="958"/>
      <c r="N178" s="990">
        <f t="shared" si="46"/>
        <v>100</v>
      </c>
      <c r="O178" s="1020"/>
      <c r="R178" s="1">
        <v>2000</v>
      </c>
      <c r="S178" s="7">
        <f>(O92*($E92/366))+(O93*($E93/366))</f>
        <v>0</v>
      </c>
      <c r="T178" s="7">
        <f>(P92*($E92/366))+(P93*($E93/366))</f>
        <v>0</v>
      </c>
      <c r="U178" s="7">
        <f>(Q92*($E92/366))+(Q93*($E93/366))</f>
        <v>51.5</v>
      </c>
      <c r="V178" s="12"/>
      <c r="W178" s="14">
        <f t="shared" si="45"/>
        <v>51.5</v>
      </c>
      <c r="Y178" s="7"/>
    </row>
    <row r="179" spans="1:25" ht="9" customHeight="1">
      <c r="A179" s="1">
        <v>2001</v>
      </c>
      <c r="B179" s="7">
        <f>(K94*($E94/365))+(K95*($E95/365))</f>
        <v>0</v>
      </c>
      <c r="C179" s="7">
        <f>(L94*($E94/365))+(L95*($E95/365))</f>
        <v>0</v>
      </c>
      <c r="D179" s="7">
        <f>(M94*($E94/365))+(M95*($E95/365))</f>
        <v>100</v>
      </c>
      <c r="E179" s="40">
        <f t="shared" si="44"/>
        <v>100</v>
      </c>
      <c r="G179" s="1">
        <v>2001</v>
      </c>
      <c r="H179" s="958">
        <f>(O94/$R94*100*($E94/365))+(O95/$R95*100*($E95/365))</f>
        <v>0</v>
      </c>
      <c r="I179" s="958"/>
      <c r="J179" s="958">
        <f>(P94/$R94*100*($E94/365))+(P95/$R95*100*($E95/365))</f>
        <v>0</v>
      </c>
      <c r="K179" s="958"/>
      <c r="L179" s="958">
        <f>(Q94/$R94*100*($E94/365))+(Q95/$R95*100*($E95/365))</f>
        <v>100</v>
      </c>
      <c r="M179" s="958"/>
      <c r="N179" s="990">
        <f t="shared" si="46"/>
        <v>100</v>
      </c>
      <c r="O179" s="1020"/>
      <c r="R179" s="1">
        <v>2001</v>
      </c>
      <c r="S179" s="7">
        <f>(O94*($E94/365))+(O95*($E95/365))</f>
        <v>0</v>
      </c>
      <c r="T179" s="7">
        <f>(P94*($E94/365))+(P95*($E95/365))</f>
        <v>0</v>
      </c>
      <c r="U179" s="7">
        <f>(Q94*($E94/365))+(Q95*($E95/365))</f>
        <v>51.5</v>
      </c>
      <c r="V179" s="12"/>
      <c r="W179" s="14">
        <f t="shared" si="45"/>
        <v>51.5</v>
      </c>
      <c r="Y179" s="7"/>
    </row>
    <row r="180" spans="1:25" ht="9" customHeight="1">
      <c r="A180" s="1">
        <v>2002</v>
      </c>
      <c r="B180" s="7">
        <f>(K96*($E96/365))+(K97*($E97/365))</f>
        <v>0</v>
      </c>
      <c r="C180" s="7">
        <f>(L96*($E96/365))+(L97*($E97/365))</f>
        <v>0</v>
      </c>
      <c r="D180" s="7">
        <f>(M96*($E96/365))+(M97*($E97/365))</f>
        <v>100</v>
      </c>
      <c r="E180" s="40">
        <f t="shared" si="44"/>
        <v>100</v>
      </c>
      <c r="G180" s="1">
        <v>2002</v>
      </c>
      <c r="H180" s="958">
        <f>(O96/$R96*100*($E96/365))+(O97/$R97*100*($E97/365))</f>
        <v>0</v>
      </c>
      <c r="I180" s="958"/>
      <c r="J180" s="958">
        <f>(P96/$R96*100*($E96/365))+(P97/$R97*100*($E97/365))</f>
        <v>0</v>
      </c>
      <c r="K180" s="958"/>
      <c r="L180" s="958">
        <f>(Q96/$R96*100*($E96/365))+(Q97/$R97*100*($E97/365))</f>
        <v>100</v>
      </c>
      <c r="M180" s="958"/>
      <c r="N180" s="990">
        <f t="shared" si="46"/>
        <v>100</v>
      </c>
      <c r="O180" s="1020"/>
      <c r="R180" s="1">
        <v>2002</v>
      </c>
      <c r="S180" s="7">
        <f>(O96*($E96/365))+(O97*($E97/365))</f>
        <v>0</v>
      </c>
      <c r="T180" s="7">
        <f>(P96*($E96/365))+(P97*($E97/365))</f>
        <v>0</v>
      </c>
      <c r="U180" s="7">
        <f>(Q96*($E96/365))+(Q97*($E97/365))</f>
        <v>51.344383561643838</v>
      </c>
      <c r="V180" s="12"/>
      <c r="W180" s="14">
        <f t="shared" si="45"/>
        <v>51.344383561643838</v>
      </c>
      <c r="Y180" s="7"/>
    </row>
    <row r="181" spans="1:25" ht="9" customHeight="1">
      <c r="A181" s="1">
        <v>2003</v>
      </c>
      <c r="B181" s="7">
        <f>(K98*($E98/365))+(K99*($E99/365))</f>
        <v>0</v>
      </c>
      <c r="C181" s="7">
        <f>(L98*($E98/365))+(L99*($E99/365))</f>
        <v>0</v>
      </c>
      <c r="D181" s="7">
        <f>(M98*($E98/365))+(M99*($E99/365))</f>
        <v>100</v>
      </c>
      <c r="E181" s="40">
        <f t="shared" si="44"/>
        <v>100</v>
      </c>
      <c r="G181" s="1">
        <v>2003</v>
      </c>
      <c r="H181" s="958">
        <f>(O98/$R98*100*($E98/365))+(O99/$R99*100*($E99/365))</f>
        <v>0</v>
      </c>
      <c r="I181" s="958"/>
      <c r="J181" s="958">
        <f>(P98/$R98*100*($E98/365))+(P99/$R99*100*($E99/365))</f>
        <v>0</v>
      </c>
      <c r="K181" s="958"/>
      <c r="L181" s="958">
        <f>(Q98/$R98*100*($E98/365))+(Q99/$R99*100*($E99/365))</f>
        <v>100</v>
      </c>
      <c r="M181" s="958"/>
      <c r="N181" s="990">
        <f t="shared" si="46"/>
        <v>100</v>
      </c>
      <c r="O181" s="1020"/>
      <c r="R181" s="1">
        <v>2003</v>
      </c>
      <c r="S181" s="7">
        <f>(O98*($E98/365))+(O99*($E99/365))</f>
        <v>0</v>
      </c>
      <c r="T181" s="7">
        <f>(P98*($E98/365))+(P99*($E99/365))</f>
        <v>0</v>
      </c>
      <c r="U181" s="7">
        <f>(Q98*($E98/365))+(Q99*($E99/365))</f>
        <v>50.7</v>
      </c>
      <c r="V181" s="12"/>
      <c r="W181" s="14">
        <f t="shared" si="45"/>
        <v>50.7</v>
      </c>
      <c r="Y181" s="7"/>
    </row>
    <row r="182" spans="1:25" ht="9" customHeight="1">
      <c r="A182" s="1">
        <v>2004</v>
      </c>
      <c r="B182" s="7">
        <f>(K100*($E100/366))+(K101*($E101/366))</f>
        <v>0</v>
      </c>
      <c r="C182" s="7">
        <f>(L100*($E100/366))+(L101*($E101/366))</f>
        <v>0</v>
      </c>
      <c r="D182" s="7">
        <f>(M100*($E100/366))+(M101*($E101/366))</f>
        <v>100</v>
      </c>
      <c r="E182" s="40">
        <f t="shared" si="44"/>
        <v>100</v>
      </c>
      <c r="G182" s="1">
        <v>2004</v>
      </c>
      <c r="H182" s="958">
        <f>(O100/$R100*100*($E100/366))+(O101/$R101*100*($E101/366))</f>
        <v>0</v>
      </c>
      <c r="I182" s="958"/>
      <c r="J182" s="958">
        <f>(P100/$R100*100*($E100/366))+(P101/$R101*100*($E101/366))</f>
        <v>0</v>
      </c>
      <c r="K182" s="958"/>
      <c r="L182" s="958">
        <f>(Q100/$R100*100*($E100/366))+(Q101/$R101*100*($E101/366))</f>
        <v>100</v>
      </c>
      <c r="M182" s="958"/>
      <c r="N182" s="990">
        <f t="shared" si="46"/>
        <v>100</v>
      </c>
      <c r="O182" s="1020"/>
      <c r="R182" s="1">
        <v>2004</v>
      </c>
      <c r="S182" s="7">
        <f>(O100*($E100/366))+(O101*($E101/366))</f>
        <v>0</v>
      </c>
      <c r="T182" s="7">
        <f>(P100*($E100/366))+(P101*($E101/366))</f>
        <v>0</v>
      </c>
      <c r="U182" s="7">
        <f>(Q100*($E100/366))+(Q101*($E101/366))</f>
        <v>50.7</v>
      </c>
      <c r="V182" s="12"/>
      <c r="W182" s="14">
        <f t="shared" si="45"/>
        <v>50.7</v>
      </c>
      <c r="Y182" s="7"/>
    </row>
    <row r="183" spans="1:25" ht="9" customHeight="1">
      <c r="A183" s="1">
        <v>2005</v>
      </c>
      <c r="B183" s="7">
        <f>(K102*($E102/365))+(K103*($E103/365))</f>
        <v>0</v>
      </c>
      <c r="C183" s="7">
        <f>(L102*($E102/365))+(L103*($E103/365))</f>
        <v>5.4794520547945202</v>
      </c>
      <c r="D183" s="7">
        <f>(M102*($E102/365))+(M103*($E103/365))</f>
        <v>94.520547945205479</v>
      </c>
      <c r="E183" s="40">
        <f t="shared" si="44"/>
        <v>100</v>
      </c>
      <c r="G183" s="1">
        <v>2005</v>
      </c>
      <c r="H183" s="958">
        <f>(O102/$R102*100*($E102/365))+(O103/$R103*100*($E103/365))</f>
        <v>0</v>
      </c>
      <c r="I183" s="958"/>
      <c r="J183" s="958">
        <f>(P102/$R102*100*($E102/365))+(P103/$R103*100*($E103/365))</f>
        <v>5.5244886470257075</v>
      </c>
      <c r="K183" s="958"/>
      <c r="L183" s="958">
        <f>(Q102/$R102*100*($E102/365))+(Q103/$R103*100*($E103/365))</f>
        <v>94.475511352974294</v>
      </c>
      <c r="M183" s="958"/>
      <c r="N183" s="990">
        <f t="shared" si="46"/>
        <v>100</v>
      </c>
      <c r="O183" s="1020"/>
      <c r="R183" s="1">
        <v>2005</v>
      </c>
      <c r="S183" s="7">
        <f>(O102*($E102/365))+(O103*($E103/365))</f>
        <v>0</v>
      </c>
      <c r="T183" s="7">
        <f>(P102*($E102/365))+(P103*($E103/365))</f>
        <v>4.0328767123287665</v>
      </c>
      <c r="U183" s="7">
        <f>(Q102*($E102/365))+(Q103*($E103/365))</f>
        <v>49.110958904109594</v>
      </c>
      <c r="V183" s="12"/>
      <c r="W183" s="14">
        <f t="shared" si="45"/>
        <v>53.143835616438359</v>
      </c>
      <c r="Y183" s="7"/>
    </row>
    <row r="184" spans="1:25" ht="9" customHeight="1">
      <c r="A184" s="1">
        <v>2006</v>
      </c>
      <c r="B184" s="7">
        <f>(K104*($E104/365))+(K105*($E105/365))</f>
        <v>0</v>
      </c>
      <c r="C184" s="7">
        <f>(L104*($E104/365))+(L105*($E105/365))</f>
        <v>50</v>
      </c>
      <c r="D184" s="7">
        <f>(M104*($E104/365))+(M105*($E105/365))</f>
        <v>50</v>
      </c>
      <c r="E184" s="40">
        <f t="shared" si="44"/>
        <v>100</v>
      </c>
      <c r="G184" s="1">
        <v>2006</v>
      </c>
      <c r="H184" s="958">
        <f>(O104/$R104*100*($E104/365))+(O105/$R105*100*($E105/365))</f>
        <v>0</v>
      </c>
      <c r="I184" s="958"/>
      <c r="J184" s="958">
        <f>(P104/$R104*100*($E104/365))+(P105/$R105*100*($E105/365))</f>
        <v>50.410958904109584</v>
      </c>
      <c r="K184" s="958"/>
      <c r="L184" s="958">
        <f>(Q104/$R104*100*($E104/365))+(Q105/$R105*100*($E105/365))</f>
        <v>49.589041095890416</v>
      </c>
      <c r="M184" s="958"/>
      <c r="N184" s="990">
        <f t="shared" si="46"/>
        <v>100</v>
      </c>
      <c r="O184" s="1020"/>
      <c r="R184" s="1">
        <v>2006</v>
      </c>
      <c r="S184" s="7">
        <f>(O104*($E104/365))+(O105*($E105/365))</f>
        <v>0</v>
      </c>
      <c r="T184" s="7">
        <f>(P104*($E104/365))+(P105*($E105/365))</f>
        <v>36.799999999999997</v>
      </c>
      <c r="U184" s="7">
        <f>(Q104*($E104/365))+(Q105*($E105/365))</f>
        <v>36.200000000000003</v>
      </c>
      <c r="V184" s="12"/>
      <c r="W184" s="14">
        <f t="shared" si="45"/>
        <v>73</v>
      </c>
      <c r="Y184" s="7"/>
    </row>
    <row r="185" spans="1:25" ht="9" customHeight="1">
      <c r="A185" s="1">
        <v>2007</v>
      </c>
      <c r="B185" s="7">
        <f>(K106*($E106/365))+(K107*($E107/365))</f>
        <v>0</v>
      </c>
      <c r="C185" s="7">
        <f>(L106*($E106/365))+(L107*($E107/365))</f>
        <v>50</v>
      </c>
      <c r="D185" s="7">
        <f>(M106*($E106/365))+(M107*($E107/365))</f>
        <v>50</v>
      </c>
      <c r="E185" s="40">
        <f t="shared" si="44"/>
        <v>100</v>
      </c>
      <c r="G185" s="1">
        <v>2007</v>
      </c>
      <c r="H185" s="958">
        <f>(O106/$R106*100*($E106/365))+(O107/$R107*100*($E107/365))</f>
        <v>0</v>
      </c>
      <c r="I185" s="958"/>
      <c r="J185" s="958">
        <f>(P106/$R106*100*($E106/365))+(P107/$R107*100*($E107/365))</f>
        <v>50.410958904109584</v>
      </c>
      <c r="K185" s="958"/>
      <c r="L185" s="958">
        <f>(Q106/$R106*100*($E106/365))+(Q107/$R107*100*($E107/365))</f>
        <v>49.589041095890416</v>
      </c>
      <c r="M185" s="958"/>
      <c r="N185" s="990">
        <f t="shared" si="46"/>
        <v>100</v>
      </c>
      <c r="O185" s="1020"/>
      <c r="R185" s="1">
        <v>2007</v>
      </c>
      <c r="S185" s="7">
        <f>(O106*($E106/365))+(O107*($E107/365))</f>
        <v>0</v>
      </c>
      <c r="T185" s="7">
        <f>(P106*($E106/365))+(P107*($E107/365))</f>
        <v>36.799999999999997</v>
      </c>
      <c r="U185" s="7">
        <f>(Q106*($E106/365))+(Q107*($E107/365))</f>
        <v>36.200000000000003</v>
      </c>
      <c r="V185" s="12"/>
      <c r="W185" s="14">
        <f t="shared" si="45"/>
        <v>73</v>
      </c>
      <c r="Y185" s="7"/>
    </row>
    <row r="186" spans="1:25" ht="9" customHeight="1">
      <c r="A186" s="1">
        <v>2008</v>
      </c>
      <c r="B186" s="7">
        <f>(K108*($E108/366))+(K109*($E109/366))</f>
        <v>0</v>
      </c>
      <c r="C186" s="7">
        <f>(L108*($E108/366))+(L109*($E109/366))</f>
        <v>50</v>
      </c>
      <c r="D186" s="7">
        <f>(M108*($E108/366))+(M109*($E109/366))</f>
        <v>50</v>
      </c>
      <c r="E186" s="40">
        <f t="shared" si="44"/>
        <v>100</v>
      </c>
      <c r="G186" s="1">
        <v>2008</v>
      </c>
      <c r="H186" s="958">
        <f>(O108/$R108*100*($E108/366))+(O109/$R109*100*($E109/366))</f>
        <v>0</v>
      </c>
      <c r="I186" s="958"/>
      <c r="J186" s="958">
        <f>(P108/$R108*100*($E108/366))+(P109/$R109*100*($E109/366))</f>
        <v>50.410958904109584</v>
      </c>
      <c r="K186" s="958"/>
      <c r="L186" s="958">
        <f>(Q108/$R108*100*($E108/366))+(Q109/$R109*100*($E109/366))</f>
        <v>49.589041095890416</v>
      </c>
      <c r="M186" s="958"/>
      <c r="N186" s="990">
        <f t="shared" si="46"/>
        <v>100</v>
      </c>
      <c r="O186" s="1020"/>
      <c r="R186" s="1">
        <v>2008</v>
      </c>
      <c r="S186" s="7">
        <f>(O108*($E108/366))+(O109*($E109/366))</f>
        <v>0</v>
      </c>
      <c r="T186" s="7">
        <f>(P108*($E108/366))+(P109*($E109/366))</f>
        <v>36.799999999999997</v>
      </c>
      <c r="U186" s="7">
        <f>(Q108*($E108/366))+(Q109*($E109/366))</f>
        <v>36.200000000000003</v>
      </c>
      <c r="V186" s="12"/>
      <c r="W186" s="14">
        <f t="shared" si="45"/>
        <v>73</v>
      </c>
      <c r="Y186" s="7"/>
    </row>
    <row r="187" spans="1:25" ht="9" customHeight="1">
      <c r="A187" s="1">
        <v>2009</v>
      </c>
      <c r="B187" s="7">
        <f>(K110*($E110/365))+(K111*($E111/365))</f>
        <v>5.5650684931506849</v>
      </c>
      <c r="C187" s="7">
        <f>(L110*($E110/365))+(L111*($E111/365))</f>
        <v>53.339041095890408</v>
      </c>
      <c r="D187" s="7">
        <f>(M110*($E110/365))+(M111*($E111/365))</f>
        <v>41.095890410958901</v>
      </c>
      <c r="E187" s="40">
        <f t="shared" si="44"/>
        <v>100</v>
      </c>
      <c r="G187" s="1">
        <v>2009</v>
      </c>
      <c r="H187" s="958">
        <f>(O110/$R110*100*($E110/365))+(O111/$R111*100*($E111/365))</f>
        <v>5.0023087578882564</v>
      </c>
      <c r="I187" s="958"/>
      <c r="J187" s="958">
        <f>(P110/$R110*100*($E110/365))+(P111/$R111*100*($E111/365))</f>
        <v>54.239575272886739</v>
      </c>
      <c r="K187" s="958"/>
      <c r="L187" s="958">
        <f>(Q110/$R110*100*($E110/365))+(Q111/$R111*100*($E111/365))</f>
        <v>40.758115969224995</v>
      </c>
      <c r="M187" s="958"/>
      <c r="N187" s="990">
        <f t="shared" si="46"/>
        <v>100</v>
      </c>
      <c r="O187" s="1020"/>
      <c r="R187" s="1">
        <v>2009</v>
      </c>
      <c r="S187" s="7">
        <f>(O110*($E110/365))+(O111*($E111/365))</f>
        <v>2.6712328767123288</v>
      </c>
      <c r="T187" s="7">
        <f>(P110*($E110/365))+(P111*($E111/365))</f>
        <v>37.084931506849308</v>
      </c>
      <c r="U187" s="7">
        <f>(Q110*($E110/365))+(Q111*($E111/365))</f>
        <v>29.753424657534246</v>
      </c>
      <c r="V187" s="12"/>
      <c r="W187" s="14">
        <f t="shared" si="45"/>
        <v>69.509589041095893</v>
      </c>
      <c r="Y187" s="7"/>
    </row>
    <row r="188" spans="1:25" ht="9" customHeight="1">
      <c r="A188" s="1">
        <v>2010</v>
      </c>
      <c r="B188" s="7">
        <f>(K112*($E112/365))+(K113*($E113/365))</f>
        <v>31.25</v>
      </c>
      <c r="C188" s="7">
        <f>(L112*($E112/365))+(L113*($E113/365))</f>
        <v>68.75</v>
      </c>
      <c r="D188" s="7">
        <f>(M112*($E112/365))+(M113*($E113/365))</f>
        <v>0</v>
      </c>
      <c r="E188" s="40">
        <f t="shared" si="44"/>
        <v>100</v>
      </c>
      <c r="G188" s="1">
        <v>2010</v>
      </c>
      <c r="H188" s="958">
        <f>(O112/$R112*100*($E112/365))+(O113/$R113*100*($E113/365))</f>
        <v>28.08988764044944</v>
      </c>
      <c r="I188" s="958"/>
      <c r="J188" s="958">
        <f>(P112/$R112*100*($E112/365))+(P113/$R113*100*($E113/365))</f>
        <v>71.910112359550567</v>
      </c>
      <c r="K188" s="958"/>
      <c r="L188" s="958">
        <f>(Q112/$R112*100*($E112/365))+(Q113/$R113*100*($E113/365))</f>
        <v>0</v>
      </c>
      <c r="M188" s="958"/>
      <c r="N188" s="990">
        <f t="shared" si="46"/>
        <v>100</v>
      </c>
      <c r="O188" s="1020"/>
      <c r="R188" s="1">
        <v>2010</v>
      </c>
      <c r="S188" s="7">
        <f>(O112*($E112/365))+(O113*($E113/365))</f>
        <v>15</v>
      </c>
      <c r="T188" s="7">
        <f>(P112*($E112/365))+(P113*($E113/365))</f>
        <v>38.4</v>
      </c>
      <c r="U188" s="7">
        <f>(Q112*($E112/365))+(Q113*($E113/365))</f>
        <v>0</v>
      </c>
      <c r="V188" s="12"/>
      <c r="W188" s="14">
        <f t="shared" si="45"/>
        <v>53.4</v>
      </c>
      <c r="Y188" s="7"/>
    </row>
    <row r="189" spans="1:25" ht="9" customHeight="1">
      <c r="A189" s="1">
        <v>2011</v>
      </c>
      <c r="B189" s="7">
        <f>(K114*($E114/365))+(K115*($E115/365))</f>
        <v>31.25</v>
      </c>
      <c r="C189" s="7">
        <f>(L114*($E114/365))+(L115*($E115/365))</f>
        <v>68.75</v>
      </c>
      <c r="D189" s="7">
        <f>(M114*($E114/365))+(M115*($E115/365))</f>
        <v>0</v>
      </c>
      <c r="E189" s="40">
        <f t="shared" si="44"/>
        <v>100</v>
      </c>
      <c r="G189" s="1">
        <v>2011</v>
      </c>
      <c r="H189" s="958">
        <f>(O114/$R114*100*($E114/365))+(O115/$R115*100*($E115/365))</f>
        <v>28.08988764044944</v>
      </c>
      <c r="I189" s="958"/>
      <c r="J189" s="958">
        <f>(P114/$R114*100*($E114/365))+(P115/$R115*100*($E115/365))</f>
        <v>71.910112359550567</v>
      </c>
      <c r="K189" s="958"/>
      <c r="L189" s="958">
        <f>(Q114/$R114*100*($E114/365))+(Q115/$R115*100*($E115/365))</f>
        <v>0</v>
      </c>
      <c r="M189" s="958"/>
      <c r="N189" s="990">
        <f t="shared" si="46"/>
        <v>100</v>
      </c>
      <c r="O189" s="1020"/>
      <c r="R189" s="1">
        <v>2011</v>
      </c>
      <c r="S189" s="7">
        <f>(O114*($E114/365))+(O115*($E115/365))</f>
        <v>15</v>
      </c>
      <c r="T189" s="7">
        <f>(P114*($E114/365))+(P115*($E115/365))</f>
        <v>38.4</v>
      </c>
      <c r="U189" s="7">
        <f>(Q114*($E114/365))+(Q115*($E115/365))</f>
        <v>0</v>
      </c>
      <c r="V189" s="12"/>
      <c r="W189" s="14">
        <f t="shared" si="45"/>
        <v>53.4</v>
      </c>
      <c r="Y189" s="7"/>
    </row>
    <row r="190" spans="1:25" ht="9" customHeight="1">
      <c r="A190" s="1">
        <v>2012</v>
      </c>
      <c r="B190" s="7">
        <f>(K116*($E116/366))+(K117*($E117/366))</f>
        <v>31.25</v>
      </c>
      <c r="C190" s="7">
        <f>(L116*($E116/366))+(L117*($E117/366))</f>
        <v>68.75</v>
      </c>
      <c r="D190" s="7">
        <f>(M116*($E116/366))+(M117*($E117/366))</f>
        <v>0</v>
      </c>
      <c r="E190" s="40">
        <f t="shared" si="44"/>
        <v>100</v>
      </c>
      <c r="G190" s="1">
        <v>2012</v>
      </c>
      <c r="H190" s="958">
        <f>(O116/$R116*100*($E116/366))+(O117/$R117*100*($E117/366))</f>
        <v>28.08988764044944</v>
      </c>
      <c r="I190" s="958"/>
      <c r="J190" s="958">
        <f>(P116/$R116*100*($E116/366))+(P117/$R117*100*($E117/366))</f>
        <v>71.910112359550567</v>
      </c>
      <c r="K190" s="958"/>
      <c r="L190" s="958">
        <f>(Q116/$R116*100*($E116/366))+(Q117/$R117*100*($E117/366))</f>
        <v>0</v>
      </c>
      <c r="M190" s="958"/>
      <c r="N190" s="990">
        <f t="shared" si="46"/>
        <v>100</v>
      </c>
      <c r="O190" s="1020"/>
      <c r="R190" s="1">
        <v>2012</v>
      </c>
      <c r="S190" s="7">
        <f>(O116*($E116/366))+(O117*($E117/366))</f>
        <v>15</v>
      </c>
      <c r="T190" s="7">
        <f>(P116*($E116/366))+(P117*($E117/366))</f>
        <v>38.4</v>
      </c>
      <c r="U190" s="7">
        <f>(Q116*($E116/366))+(Q117*($E117/366))</f>
        <v>0</v>
      </c>
      <c r="V190" s="12"/>
      <c r="W190" s="14">
        <f t="shared" si="45"/>
        <v>53.4</v>
      </c>
      <c r="Y190" s="7"/>
    </row>
    <row r="191" spans="1:25">
      <c r="A191" s="1">
        <v>2013</v>
      </c>
      <c r="B191" s="7">
        <f>(K118*($E118/365))+(K119*($E119/365))</f>
        <v>29.965753424657532</v>
      </c>
      <c r="C191" s="7">
        <f>(L118*($E118/365))+(L119*($E119/365))</f>
        <v>68.493150684931507</v>
      </c>
      <c r="D191" s="7">
        <f>(M118*($E118/365))+(M119*($E119/365))</f>
        <v>1.5410958904109588</v>
      </c>
      <c r="E191" s="298">
        <f t="shared" si="44"/>
        <v>100</v>
      </c>
      <c r="G191" s="1">
        <v>2013</v>
      </c>
      <c r="H191" s="958">
        <f>(O118/$R118*100*($E118/365))+(O119/$R119*100*($E119/365))</f>
        <v>26.935508696321378</v>
      </c>
      <c r="I191" s="958"/>
      <c r="J191" s="958">
        <f>(P118/$R118*100*($E118/365))+(P119/$R119*100*($E119/365))</f>
        <v>71.490606139003603</v>
      </c>
      <c r="K191" s="958"/>
      <c r="L191" s="958">
        <f>(Q118/$R118*100*($E118/365))+(Q119/$R119*100*($E119/365))</f>
        <v>1.5738851646750218</v>
      </c>
      <c r="M191" s="958"/>
      <c r="N191" s="990">
        <f>SUM(H191:M191)</f>
        <v>100</v>
      </c>
      <c r="O191" s="1020"/>
      <c r="R191" s="1">
        <v>2013</v>
      </c>
      <c r="S191" s="7">
        <f>(O118*($E118/365))+(O119*($E119/365))</f>
        <v>14.383561643835616</v>
      </c>
      <c r="T191" s="7">
        <f>(P118*($E118/365))+(P119*($E119/365))</f>
        <v>38.847945205479448</v>
      </c>
      <c r="U191" s="7">
        <f>(Q118*($E118/365))+(Q119*($E119/365))</f>
        <v>1.2575342465753425</v>
      </c>
      <c r="W191" s="14">
        <f t="shared" si="45"/>
        <v>54.489041095890407</v>
      </c>
    </row>
    <row r="192" spans="1:25">
      <c r="A192" s="1">
        <v>2014</v>
      </c>
      <c r="B192" s="7">
        <f>(K120*($E120/365))+(K121*($E121/365))</f>
        <v>0</v>
      </c>
      <c r="C192" s="7">
        <f>(L120*($E120/365))+(L121*($E121/365))</f>
        <v>62.5</v>
      </c>
      <c r="D192" s="7">
        <f>(M120*($E120/365))+(M121*($E121/365))</f>
        <v>37.5</v>
      </c>
      <c r="E192" s="527">
        <f>SUM(B192:D192)</f>
        <v>100</v>
      </c>
      <c r="G192" s="1">
        <v>2014</v>
      </c>
      <c r="H192" s="958">
        <f>(O120/$R120*100*($E120/365))+(O121/$R121*100*($E121/365))</f>
        <v>0</v>
      </c>
      <c r="I192" s="958"/>
      <c r="J192" s="958">
        <f>(P120/$R120*100*($E120/365))+(P121/$R121*100*($E121/365))</f>
        <v>61.702127659574458</v>
      </c>
      <c r="K192" s="958"/>
      <c r="L192" s="958">
        <f>(Q120/$R120*100*($E120/365))+(Q121/$R121*100*($E121/365))</f>
        <v>38.297872340425535</v>
      </c>
      <c r="M192" s="958"/>
      <c r="N192" s="990">
        <f>SUM(H192:M192)</f>
        <v>100</v>
      </c>
      <c r="O192" s="1020"/>
      <c r="R192" s="1">
        <v>2014</v>
      </c>
      <c r="S192" s="7">
        <f>(O120*($E120/365))+(O121*($E121/365))</f>
        <v>0</v>
      </c>
      <c r="T192" s="7">
        <f>(P120*($E120/365))+(P121*($E121/365))</f>
        <v>49.3</v>
      </c>
      <c r="U192" s="7">
        <f>(Q120*($E120/365))+(Q121*($E121/365))</f>
        <v>30.6</v>
      </c>
      <c r="W192" s="14">
        <f>SUM(S192:U192)</f>
        <v>79.900000000000006</v>
      </c>
    </row>
    <row r="193" spans="1:23" s="728" customFormat="1">
      <c r="A193" s="728">
        <v>2015</v>
      </c>
      <c r="B193" s="724">
        <f>(K122*($E122/365))+(K123*($E123/365))</f>
        <v>0</v>
      </c>
      <c r="C193" s="724">
        <f>(L122*($E122/365))+(L123*($E123/365))</f>
        <v>62.5</v>
      </c>
      <c r="D193" s="724">
        <f>(M122*($E122/365))+(M123*($E123/365))</f>
        <v>37.5</v>
      </c>
      <c r="E193" s="717">
        <f>SUM(B193:D193)</f>
        <v>100</v>
      </c>
      <c r="G193" s="728">
        <v>2015</v>
      </c>
      <c r="H193" s="958">
        <f>(O122/$R122*100*($E122/365))+(O123/$R123*100*($E123/365))</f>
        <v>0</v>
      </c>
      <c r="I193" s="958"/>
      <c r="J193" s="958">
        <f>(P122/$R122*100*($E122/365))+(P123/$R123*100*($E123/365))</f>
        <v>61.702127659574458</v>
      </c>
      <c r="K193" s="958"/>
      <c r="L193" s="958">
        <f>(Q122/$R122*100*($E122/365))+(Q123/$R123*100*($E123/365))</f>
        <v>38.297872340425535</v>
      </c>
      <c r="M193" s="958"/>
      <c r="N193" s="990">
        <f>SUM(H193:M193)</f>
        <v>100</v>
      </c>
      <c r="O193" s="1020"/>
      <c r="R193" s="728">
        <v>2015</v>
      </c>
      <c r="S193" s="724">
        <f>(O122*($E122/365))+(O123*($E123/365))</f>
        <v>0</v>
      </c>
      <c r="T193" s="724">
        <f>(P122*($E122/365))+(P123*($E123/365))</f>
        <v>49.3</v>
      </c>
      <c r="U193" s="724">
        <f>(Q122*($E122/365))+(Q123*($E123/365))</f>
        <v>30.6</v>
      </c>
      <c r="W193" s="725">
        <f>SUM(S193:U193)</f>
        <v>79.900000000000006</v>
      </c>
    </row>
    <row r="194" spans="1:23" s="810" customFormat="1">
      <c r="A194" s="810">
        <v>2016</v>
      </c>
      <c r="B194" s="808">
        <f>(K124*($E124/366))+(K125*($E125/366))</f>
        <v>0</v>
      </c>
      <c r="C194" s="808">
        <f>(L124*($E124/366))+(L125*($E125/366))</f>
        <v>62.5</v>
      </c>
      <c r="D194" s="808">
        <f>(M124*($E124/366))+(M125*($E125/366))</f>
        <v>37.5</v>
      </c>
      <c r="E194" s="801">
        <f>SUM(B194:D194)</f>
        <v>100</v>
      </c>
      <c r="G194" s="810">
        <v>2016</v>
      </c>
      <c r="H194" s="958">
        <f>(O124/$R124*100*($E124/366))+(O125/$R125*100*($E125/366))</f>
        <v>0</v>
      </c>
      <c r="I194" s="958"/>
      <c r="J194" s="958">
        <f>(P124/$R124*100*($E124/366))+(P125/$R125*100*($E125/366))</f>
        <v>61.702127659574458</v>
      </c>
      <c r="K194" s="958"/>
      <c r="L194" s="958">
        <f>(Q124/$R124*100*($E124/366))+(Q125/$R125*100*($E125/366))</f>
        <v>38.297872340425535</v>
      </c>
      <c r="M194" s="958"/>
      <c r="N194" s="990">
        <f>SUM(H194:M194)</f>
        <v>100</v>
      </c>
      <c r="O194" s="1020"/>
      <c r="R194" s="810">
        <v>2016</v>
      </c>
      <c r="S194" s="808">
        <f>(O124*($E124/366))+(O125*($E125/366))</f>
        <v>0</v>
      </c>
      <c r="T194" s="808">
        <f>(P124*($E124/366))+(P125*($E125/366))</f>
        <v>49.3</v>
      </c>
      <c r="U194" s="808">
        <f>(Q124*($E124/366))+(Q125*($E125/366))</f>
        <v>30.6</v>
      </c>
      <c r="W194" s="809">
        <f>SUM(S194:U194)</f>
        <v>79.900000000000006</v>
      </c>
    </row>
    <row r="195" spans="1:23">
      <c r="A195" s="920">
        <v>2017</v>
      </c>
      <c r="B195" s="917">
        <f>(K126*($E126/365))+(K127*($E127/365))+(K128*($E128/365))</f>
        <v>0</v>
      </c>
      <c r="C195" s="917">
        <f>(L126*($E126/365))+(L127*($E127/365))+(L128*($E128/365))</f>
        <v>64.019142957499128</v>
      </c>
      <c r="D195" s="917">
        <f>(M126*($E126/365))+(M127*($E127/365))+(M128*($E128/365))</f>
        <v>35.98085704250088</v>
      </c>
      <c r="E195" s="914">
        <f>SUM(B195:D195)</f>
        <v>100</v>
      </c>
      <c r="F195" s="920"/>
      <c r="G195" s="920">
        <v>2017</v>
      </c>
      <c r="H195" s="958">
        <f>(O126/$R126*100*($E126/365))+(O127/$R127*100*($E127/365))+(O128/$R128*100*($E128/365))</f>
        <v>0</v>
      </c>
      <c r="I195" s="958"/>
      <c r="J195" s="958">
        <f>(P126/$R126*100*($E126/365))+(P127/$R127*100*($E127/365))+(P128/$R128*100*($E128/365))</f>
        <v>61.702127659574451</v>
      </c>
      <c r="K195" s="958"/>
      <c r="L195" s="958">
        <f>(Q126/$R126*100*($E126/365))+(Q127/$R127*100*($E127/365))+(Q128/$R128*100*($E128/365))</f>
        <v>38.297872340425535</v>
      </c>
      <c r="M195" s="958"/>
      <c r="N195" s="990">
        <f>SUM(H195:M195)</f>
        <v>99.999999999999986</v>
      </c>
      <c r="O195" s="1020"/>
      <c r="P195" s="920"/>
      <c r="Q195" s="920"/>
      <c r="R195" s="920">
        <v>2017</v>
      </c>
      <c r="S195" s="917">
        <f>(O126*($E126/365))+(O127*($E127/365))+(O128*($E128/365))</f>
        <v>0</v>
      </c>
      <c r="T195" s="917">
        <f t="shared" ref="T195:U195" si="47">(P126*($E126/365))+(P127*($E127/365))+(P128*($E128/365))</f>
        <v>49.3</v>
      </c>
      <c r="U195" s="917">
        <f t="shared" si="47"/>
        <v>30.6</v>
      </c>
      <c r="V195" s="920"/>
      <c r="W195" s="918">
        <f>SUM(S195:U195)</f>
        <v>79.900000000000006</v>
      </c>
    </row>
    <row r="196" spans="1:23">
      <c r="A196" s="939">
        <v>2018</v>
      </c>
      <c r="B196" s="935">
        <f>(K129*($E129/365))+(K130*($E130/365))</f>
        <v>0</v>
      </c>
      <c r="C196" s="935">
        <f t="shared" ref="C196:D196" si="48">(L129*($E129/365))+(L130*($E130/365))</f>
        <v>62.310326659641731</v>
      </c>
      <c r="D196" s="935">
        <f t="shared" si="48"/>
        <v>37.689673340358276</v>
      </c>
      <c r="E196" s="926">
        <f t="shared" ref="E196" si="49">SUM(B196:D196)</f>
        <v>100</v>
      </c>
      <c r="F196" s="939"/>
      <c r="G196" s="939">
        <v>2018</v>
      </c>
      <c r="H196" s="958">
        <f>(O129/$R129*100*($E129/365))+(O130/$R130*100*($E130/365))</f>
        <v>0</v>
      </c>
      <c r="I196" s="958"/>
      <c r="J196" s="958">
        <f>(P129/$R129*100*($E129/365))+(P130/$R130*100*($E130/365))</f>
        <v>61.82390711511016</v>
      </c>
      <c r="K196" s="958"/>
      <c r="L196" s="958">
        <f>(Q129/$R129*100*($E129/365))+(Q130/$R130*100*($E130/365))</f>
        <v>38.17609288488984</v>
      </c>
      <c r="M196" s="958"/>
      <c r="N196" s="990">
        <f t="shared" ref="N196" si="50">SUM(H196:M196)</f>
        <v>100</v>
      </c>
      <c r="O196" s="1020"/>
      <c r="P196" s="939"/>
      <c r="Q196" s="939"/>
      <c r="R196" s="939">
        <v>2018</v>
      </c>
      <c r="S196" s="935">
        <f>(O129*($E129/365))+(O130*($E130/365))</f>
        <v>0</v>
      </c>
      <c r="T196" s="935">
        <f t="shared" ref="T196:U196" si="51">(P129*($E129/365))+(P130*($E130/365))</f>
        <v>37.580000000000005</v>
      </c>
      <c r="U196" s="935">
        <f t="shared" si="51"/>
        <v>23.214794520547944</v>
      </c>
      <c r="V196" s="939"/>
      <c r="W196" s="936">
        <f t="shared" ref="W196" si="52">SUM(S196:U196)</f>
        <v>60.794794520547953</v>
      </c>
    </row>
  </sheetData>
  <mergeCells count="391">
    <mergeCell ref="C118:D118"/>
    <mergeCell ref="C119:D119"/>
    <mergeCell ref="N191:O191"/>
    <mergeCell ref="N187:O187"/>
    <mergeCell ref="N188:O188"/>
    <mergeCell ref="N190:O190"/>
    <mergeCell ref="N181:O181"/>
    <mergeCell ref="N182:O182"/>
    <mergeCell ref="N183:O183"/>
    <mergeCell ref="N184:O184"/>
    <mergeCell ref="N185:O185"/>
    <mergeCell ref="N186:O186"/>
    <mergeCell ref="N176:O176"/>
    <mergeCell ref="N164:O164"/>
    <mergeCell ref="N165:O165"/>
    <mergeCell ref="N166:O166"/>
    <mergeCell ref="N167:O167"/>
    <mergeCell ref="N168:O168"/>
    <mergeCell ref="N158:O158"/>
    <mergeCell ref="N159:O159"/>
    <mergeCell ref="N160:O160"/>
    <mergeCell ref="N161:O161"/>
    <mergeCell ref="N162:O162"/>
    <mergeCell ref="N163:O163"/>
    <mergeCell ref="AT4:AW4"/>
    <mergeCell ref="AX4:BA4"/>
    <mergeCell ref="H191:I191"/>
    <mergeCell ref="J191:K191"/>
    <mergeCell ref="L191:M191"/>
    <mergeCell ref="N177:O177"/>
    <mergeCell ref="N178:O178"/>
    <mergeCell ref="N179:O179"/>
    <mergeCell ref="N180:O180"/>
    <mergeCell ref="N189:O189"/>
    <mergeCell ref="N170:O170"/>
    <mergeCell ref="N171:O171"/>
    <mergeCell ref="N172:O172"/>
    <mergeCell ref="N173:O173"/>
    <mergeCell ref="N174:O174"/>
    <mergeCell ref="N175:O175"/>
    <mergeCell ref="N148:O148"/>
    <mergeCell ref="N149:O149"/>
    <mergeCell ref="N150:O150"/>
    <mergeCell ref="N151:O151"/>
    <mergeCell ref="L173:M173"/>
    <mergeCell ref="L174:M174"/>
    <mergeCell ref="L175:M175"/>
    <mergeCell ref="N152:O152"/>
    <mergeCell ref="N153:O153"/>
    <mergeCell ref="N154:O154"/>
    <mergeCell ref="N155:O155"/>
    <mergeCell ref="N156:O156"/>
    <mergeCell ref="N157:O157"/>
    <mergeCell ref="N169:O169"/>
    <mergeCell ref="L155:M155"/>
    <mergeCell ref="L156:M156"/>
    <mergeCell ref="L157:M157"/>
    <mergeCell ref="L164:M164"/>
    <mergeCell ref="L165:M165"/>
    <mergeCell ref="L166:M166"/>
    <mergeCell ref="L158:M158"/>
    <mergeCell ref="L159:M159"/>
    <mergeCell ref="L160:M160"/>
    <mergeCell ref="L161:M161"/>
    <mergeCell ref="L162:M162"/>
    <mergeCell ref="L163:M163"/>
    <mergeCell ref="N145:O145"/>
    <mergeCell ref="N146:O146"/>
    <mergeCell ref="N147:O147"/>
    <mergeCell ref="L188:M188"/>
    <mergeCell ref="L189:M189"/>
    <mergeCell ref="L190:M190"/>
    <mergeCell ref="L184:M184"/>
    <mergeCell ref="L185:M185"/>
    <mergeCell ref="L186:M186"/>
    <mergeCell ref="L187:M187"/>
    <mergeCell ref="L167:M167"/>
    <mergeCell ref="L168:M168"/>
    <mergeCell ref="L169:M169"/>
    <mergeCell ref="L183:M183"/>
    <mergeCell ref="L176:M176"/>
    <mergeCell ref="L177:M177"/>
    <mergeCell ref="L178:M178"/>
    <mergeCell ref="L179:M179"/>
    <mergeCell ref="L180:M180"/>
    <mergeCell ref="L181:M181"/>
    <mergeCell ref="L170:M170"/>
    <mergeCell ref="L171:M171"/>
    <mergeCell ref="L172:M172"/>
    <mergeCell ref="L182:M182"/>
    <mergeCell ref="L146:M146"/>
    <mergeCell ref="L147:M147"/>
    <mergeCell ref="L148:M148"/>
    <mergeCell ref="L149:M149"/>
    <mergeCell ref="L150:M150"/>
    <mergeCell ref="L151:M151"/>
    <mergeCell ref="L152:M152"/>
    <mergeCell ref="L153:M153"/>
    <mergeCell ref="L154:M154"/>
    <mergeCell ref="J189:K189"/>
    <mergeCell ref="J190:K190"/>
    <mergeCell ref="L138:M138"/>
    <mergeCell ref="L139:M139"/>
    <mergeCell ref="L140:M140"/>
    <mergeCell ref="L141:M141"/>
    <mergeCell ref="L142:M142"/>
    <mergeCell ref="L143:M143"/>
    <mergeCell ref="L144:M144"/>
    <mergeCell ref="L145:M145"/>
    <mergeCell ref="J183:K183"/>
    <mergeCell ref="J184:K184"/>
    <mergeCell ref="J185:K185"/>
    <mergeCell ref="J186:K186"/>
    <mergeCell ref="J187:K187"/>
    <mergeCell ref="J188:K188"/>
    <mergeCell ref="J177:K177"/>
    <mergeCell ref="J178:K178"/>
    <mergeCell ref="J179:K179"/>
    <mergeCell ref="J180:K180"/>
    <mergeCell ref="J181:K181"/>
    <mergeCell ref="J182:K182"/>
    <mergeCell ref="J171:K171"/>
    <mergeCell ref="J172:K172"/>
    <mergeCell ref="H190:I190"/>
    <mergeCell ref="J138:K138"/>
    <mergeCell ref="J139:K139"/>
    <mergeCell ref="J140:K140"/>
    <mergeCell ref="J141:K141"/>
    <mergeCell ref="J142:K142"/>
    <mergeCell ref="J143:K143"/>
    <mergeCell ref="J144:K144"/>
    <mergeCell ref="J145:K145"/>
    <mergeCell ref="J146:K146"/>
    <mergeCell ref="H184:I184"/>
    <mergeCell ref="H185:I185"/>
    <mergeCell ref="H186:I186"/>
    <mergeCell ref="H187:I187"/>
    <mergeCell ref="H188:I188"/>
    <mergeCell ref="H189:I189"/>
    <mergeCell ref="H178:I178"/>
    <mergeCell ref="H179:I179"/>
    <mergeCell ref="H182:I182"/>
    <mergeCell ref="H183:I183"/>
    <mergeCell ref="H172:I172"/>
    <mergeCell ref="H173:I173"/>
    <mergeCell ref="H174:I174"/>
    <mergeCell ref="H175:I175"/>
    <mergeCell ref="J147:K147"/>
    <mergeCell ref="J148:K148"/>
    <mergeCell ref="J149:K149"/>
    <mergeCell ref="J150:K150"/>
    <mergeCell ref="J151:K151"/>
    <mergeCell ref="J152:K152"/>
    <mergeCell ref="J153:K153"/>
    <mergeCell ref="J154:K154"/>
    <mergeCell ref="J155:K155"/>
    <mergeCell ref="H181:I181"/>
    <mergeCell ref="H153:I153"/>
    <mergeCell ref="H166:I166"/>
    <mergeCell ref="H167:I167"/>
    <mergeCell ref="H168:I168"/>
    <mergeCell ref="H163:I163"/>
    <mergeCell ref="H164:I164"/>
    <mergeCell ref="H165:I165"/>
    <mergeCell ref="H177:I177"/>
    <mergeCell ref="H171:I171"/>
    <mergeCell ref="H160:I160"/>
    <mergeCell ref="H161:I161"/>
    <mergeCell ref="H162:I162"/>
    <mergeCell ref="H176:I176"/>
    <mergeCell ref="H169:I169"/>
    <mergeCell ref="H170:I170"/>
    <mergeCell ref="J161:K161"/>
    <mergeCell ref="J162:K162"/>
    <mergeCell ref="J163:K163"/>
    <mergeCell ref="J164:K164"/>
    <mergeCell ref="J165:K165"/>
    <mergeCell ref="J156:K156"/>
    <mergeCell ref="J157:K157"/>
    <mergeCell ref="J158:K158"/>
    <mergeCell ref="H180:I180"/>
    <mergeCell ref="J174:K174"/>
    <mergeCell ref="J175:K175"/>
    <mergeCell ref="J176:K176"/>
    <mergeCell ref="J169:K169"/>
    <mergeCell ref="J170:K170"/>
    <mergeCell ref="J167:K167"/>
    <mergeCell ref="J168:K168"/>
    <mergeCell ref="J173:K173"/>
    <mergeCell ref="J166:K166"/>
    <mergeCell ref="R134:W134"/>
    <mergeCell ref="H136:I136"/>
    <mergeCell ref="J136:K136"/>
    <mergeCell ref="L136:M136"/>
    <mergeCell ref="N136:O136"/>
    <mergeCell ref="H138:I138"/>
    <mergeCell ref="N138:O138"/>
    <mergeCell ref="H137:I137"/>
    <mergeCell ref="J137:K137"/>
    <mergeCell ref="L137:M137"/>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C115:D115"/>
    <mergeCell ref="C116:D116"/>
    <mergeCell ref="C120:D120"/>
    <mergeCell ref="C121:D121"/>
    <mergeCell ref="N137:O137"/>
    <mergeCell ref="H139:I139"/>
    <mergeCell ref="H140:I140"/>
    <mergeCell ref="H141:I141"/>
    <mergeCell ref="H142:I142"/>
    <mergeCell ref="H143:I143"/>
    <mergeCell ref="H144:I144"/>
    <mergeCell ref="N139:O139"/>
    <mergeCell ref="N140:O140"/>
    <mergeCell ref="N141:O141"/>
    <mergeCell ref="N142:O142"/>
    <mergeCell ref="N143:O143"/>
    <mergeCell ref="N144:O144"/>
    <mergeCell ref="C122:D122"/>
    <mergeCell ref="C123:D123"/>
    <mergeCell ref="C125:D125"/>
    <mergeCell ref="C124:D124"/>
    <mergeCell ref="C126:D126"/>
    <mergeCell ref="C127:D127"/>
    <mergeCell ref="C128:D128"/>
    <mergeCell ref="C129:D129"/>
    <mergeCell ref="C130:D130"/>
    <mergeCell ref="H192:I192"/>
    <mergeCell ref="J192:K192"/>
    <mergeCell ref="L192:M192"/>
    <mergeCell ref="N192:O192"/>
    <mergeCell ref="H193:I193"/>
    <mergeCell ref="J193:K193"/>
    <mergeCell ref="L193:M193"/>
    <mergeCell ref="N193:O193"/>
    <mergeCell ref="H145:I145"/>
    <mergeCell ref="H146:I146"/>
    <mergeCell ref="H147:I147"/>
    <mergeCell ref="H154:I154"/>
    <mergeCell ref="H155:I155"/>
    <mergeCell ref="H156:I156"/>
    <mergeCell ref="H157:I157"/>
    <mergeCell ref="H158:I158"/>
    <mergeCell ref="H159:I159"/>
    <mergeCell ref="H148:I148"/>
    <mergeCell ref="H149:I149"/>
    <mergeCell ref="H150:I150"/>
    <mergeCell ref="H151:I151"/>
    <mergeCell ref="H152:I152"/>
    <mergeCell ref="J159:K159"/>
    <mergeCell ref="J160:K160"/>
    <mergeCell ref="J196:K196"/>
    <mergeCell ref="L196:M196"/>
    <mergeCell ref="H196:I196"/>
    <mergeCell ref="N196:O196"/>
    <mergeCell ref="J195:K195"/>
    <mergeCell ref="L195:M195"/>
    <mergeCell ref="H195:I195"/>
    <mergeCell ref="N195:O195"/>
    <mergeCell ref="H194:I194"/>
    <mergeCell ref="J194:K194"/>
    <mergeCell ref="L194:M194"/>
    <mergeCell ref="N194:O19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A208"/>
  <sheetViews>
    <sheetView zoomScale="183" zoomScaleNormal="100" workbookViewId="0">
      <pane xSplit="1" ySplit="5" topLeftCell="E130" activePane="bottomRight" state="frozen"/>
      <selection pane="topRight" activeCell="B1" sqref="B1"/>
      <selection pane="bottomLeft" activeCell="A6" sqref="A6"/>
      <selection pane="bottomRight" activeCell="H208" sqref="H208:I208"/>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5" style="1" customWidth="1"/>
    <col min="46" max="53" width="5.6640625" style="1" customWidth="1"/>
    <col min="54" max="16384" width="10.6640625" style="1"/>
  </cols>
  <sheetData>
    <row r="1" spans="1:53" s="2" customFormat="1" ht="15" customHeight="1">
      <c r="B1" s="22" t="s">
        <v>14</v>
      </c>
    </row>
    <row r="2" spans="1:53" s="2" customFormat="1" ht="15" customHeight="1">
      <c r="B2" s="22" t="s">
        <v>56</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772</v>
      </c>
      <c r="D6" s="995"/>
      <c r="E6" s="257">
        <v>0</v>
      </c>
      <c r="G6" s="265">
        <v>16</v>
      </c>
      <c r="J6" s="272">
        <v>16</v>
      </c>
      <c r="K6" s="248">
        <f>G6/J6*100</f>
        <v>100</v>
      </c>
      <c r="L6" s="248">
        <f>H6/J6*100</f>
        <v>0</v>
      </c>
      <c r="M6" s="248">
        <f>I6/J6*100</f>
        <v>0</v>
      </c>
      <c r="N6" s="267">
        <f>SUM(K6:M6)</f>
        <v>100</v>
      </c>
      <c r="O6" s="247">
        <v>57</v>
      </c>
      <c r="P6" s="248"/>
      <c r="Q6" s="248"/>
      <c r="R6" s="249">
        <f>SUM(O6:Q6)</f>
        <v>57</v>
      </c>
      <c r="S6" s="257">
        <v>1</v>
      </c>
      <c r="T6" s="278"/>
      <c r="U6" s="252"/>
      <c r="V6" s="256" t="s">
        <v>784</v>
      </c>
      <c r="W6" s="257" t="s">
        <v>74</v>
      </c>
      <c r="X6" s="257" t="s">
        <v>11</v>
      </c>
      <c r="Y6" s="258">
        <v>57</v>
      </c>
      <c r="AD6" s="279"/>
      <c r="AG6" s="258"/>
      <c r="AL6" s="256"/>
      <c r="AO6" s="258"/>
      <c r="AP6" s="256"/>
      <c r="AS6" s="258"/>
      <c r="AW6" s="258"/>
      <c r="BA6" s="259"/>
    </row>
    <row r="7" spans="1:53" s="257" customFormat="1">
      <c r="A7" s="263">
        <v>1959</v>
      </c>
      <c r="B7" s="252"/>
      <c r="C7" s="995" t="s">
        <v>772</v>
      </c>
      <c r="D7" s="995"/>
      <c r="E7" s="257">
        <v>365</v>
      </c>
      <c r="G7" s="265">
        <v>16</v>
      </c>
      <c r="J7" s="272">
        <v>16</v>
      </c>
      <c r="K7" s="248">
        <f>G7/J7*100</f>
        <v>100</v>
      </c>
      <c r="L7" s="248">
        <f>H7/J7*100</f>
        <v>0</v>
      </c>
      <c r="M7" s="248">
        <f>I7/J7*100</f>
        <v>0</v>
      </c>
      <c r="N7" s="267">
        <f>SUM(K7:M7)</f>
        <v>100</v>
      </c>
      <c r="O7" s="247">
        <v>57</v>
      </c>
      <c r="P7" s="248"/>
      <c r="Q7" s="248"/>
      <c r="R7" s="249">
        <f>SUM(O7:Q7)</f>
        <v>57</v>
      </c>
      <c r="S7" s="257">
        <v>1</v>
      </c>
      <c r="T7" s="278"/>
      <c r="U7" s="252"/>
      <c r="V7" s="256" t="s">
        <v>784</v>
      </c>
      <c r="W7" s="257" t="s">
        <v>74</v>
      </c>
      <c r="X7" s="257" t="s">
        <v>11</v>
      </c>
      <c r="Y7" s="258">
        <v>57</v>
      </c>
      <c r="AD7" s="279"/>
      <c r="AG7" s="258"/>
      <c r="AL7" s="256"/>
      <c r="AO7" s="258"/>
      <c r="AP7" s="256"/>
      <c r="AS7" s="258"/>
      <c r="AW7" s="258"/>
      <c r="BA7" s="259"/>
    </row>
    <row r="8" spans="1:53" s="73" customFormat="1">
      <c r="A8" s="102">
        <v>1960</v>
      </c>
      <c r="B8" s="85"/>
      <c r="C8" s="988" t="s">
        <v>772</v>
      </c>
      <c r="D8" s="988"/>
      <c r="E8" s="73">
        <v>0</v>
      </c>
      <c r="G8" s="123">
        <v>16</v>
      </c>
      <c r="J8" s="134">
        <v>16</v>
      </c>
      <c r="K8" s="92">
        <f>G8/J8*100</f>
        <v>100</v>
      </c>
      <c r="L8" s="92">
        <f>H8/J8*100</f>
        <v>0</v>
      </c>
      <c r="M8" s="92">
        <f>I8/J8*100</f>
        <v>0</v>
      </c>
      <c r="N8" s="125">
        <f>SUM(K8:M8)</f>
        <v>100</v>
      </c>
      <c r="O8" s="91">
        <v>57</v>
      </c>
      <c r="P8" s="92"/>
      <c r="Q8" s="92"/>
      <c r="R8" s="93">
        <f>SUM(O8:Q8)</f>
        <v>57</v>
      </c>
      <c r="S8" s="73">
        <v>1</v>
      </c>
      <c r="T8" s="81"/>
      <c r="U8" s="85"/>
      <c r="V8" s="82" t="s">
        <v>784</v>
      </c>
      <c r="W8" s="73" t="s">
        <v>74</v>
      </c>
      <c r="X8" s="73" t="s">
        <v>11</v>
      </c>
      <c r="Y8" s="83">
        <v>57</v>
      </c>
      <c r="AD8" s="161"/>
      <c r="AG8" s="83"/>
      <c r="AL8" s="82"/>
      <c r="AO8" s="83"/>
      <c r="AP8" s="82"/>
      <c r="AS8" s="83"/>
      <c r="AW8" s="83"/>
      <c r="BA8" s="84"/>
    </row>
    <row r="9" spans="1:53" s="73" customFormat="1">
      <c r="A9" s="102">
        <v>1960</v>
      </c>
      <c r="B9" s="85"/>
      <c r="C9" s="988" t="s">
        <v>772</v>
      </c>
      <c r="D9" s="988"/>
      <c r="E9" s="73">
        <v>366</v>
      </c>
      <c r="G9" s="123">
        <v>16</v>
      </c>
      <c r="J9" s="134">
        <v>16</v>
      </c>
      <c r="K9" s="92">
        <f>G9/J9*100</f>
        <v>100</v>
      </c>
      <c r="L9" s="92">
        <f>H9/J9*100</f>
        <v>0</v>
      </c>
      <c r="M9" s="92">
        <f>I9/J9*100</f>
        <v>0</v>
      </c>
      <c r="N9" s="125">
        <f>SUM(K9:M9)</f>
        <v>100</v>
      </c>
      <c r="O9" s="91">
        <v>57</v>
      </c>
      <c r="P9" s="92"/>
      <c r="Q9" s="92"/>
      <c r="R9" s="93">
        <f t="shared" ref="R9:R28" si="0">SUM(O9:Q9)</f>
        <v>57</v>
      </c>
      <c r="S9" s="73">
        <v>1</v>
      </c>
      <c r="T9" s="81"/>
      <c r="U9" s="85"/>
      <c r="V9" s="82" t="s">
        <v>784</v>
      </c>
      <c r="W9" s="73" t="s">
        <v>74</v>
      </c>
      <c r="X9" s="73" t="s">
        <v>11</v>
      </c>
      <c r="Y9" s="83">
        <v>57</v>
      </c>
      <c r="AD9" s="161"/>
      <c r="AG9" s="83"/>
      <c r="AL9" s="82"/>
      <c r="AO9" s="83"/>
      <c r="AP9" s="82"/>
      <c r="AS9" s="83"/>
      <c r="AW9" s="83"/>
      <c r="BA9" s="84"/>
    </row>
    <row r="10" spans="1:53" s="73" customFormat="1">
      <c r="A10" s="102">
        <v>1961</v>
      </c>
      <c r="B10" s="85"/>
      <c r="C10" s="988" t="s">
        <v>772</v>
      </c>
      <c r="D10" s="988"/>
      <c r="E10" s="73">
        <v>263</v>
      </c>
      <c r="G10" s="123">
        <v>16</v>
      </c>
      <c r="J10" s="134">
        <v>16</v>
      </c>
      <c r="K10" s="92">
        <f>G10/J10*100</f>
        <v>100</v>
      </c>
      <c r="L10" s="92">
        <f>H10/J10*100</f>
        <v>0</v>
      </c>
      <c r="M10" s="92">
        <f>I10/J10*100</f>
        <v>0</v>
      </c>
      <c r="N10" s="125">
        <f>SUM(K10:M10)</f>
        <v>100</v>
      </c>
      <c r="O10" s="91">
        <v>57</v>
      </c>
      <c r="P10" s="92"/>
      <c r="Q10" s="92"/>
      <c r="R10" s="93">
        <f t="shared" si="0"/>
        <v>57</v>
      </c>
      <c r="S10" s="73">
        <v>1</v>
      </c>
      <c r="T10" s="81"/>
      <c r="U10" s="85"/>
      <c r="V10" s="82" t="s">
        <v>784</v>
      </c>
      <c r="W10" s="73" t="s">
        <v>74</v>
      </c>
      <c r="X10" s="73" t="s">
        <v>11</v>
      </c>
      <c r="Y10" s="83">
        <v>57</v>
      </c>
      <c r="AD10" s="161"/>
      <c r="AG10" s="83"/>
      <c r="AL10" s="82"/>
      <c r="AO10" s="83"/>
      <c r="AP10" s="82"/>
      <c r="AS10" s="83"/>
      <c r="AW10" s="83"/>
      <c r="BA10" s="84"/>
    </row>
    <row r="11" spans="1:53" s="334" customFormat="1">
      <c r="A11" s="386">
        <v>1961</v>
      </c>
      <c r="B11" s="355">
        <v>22545</v>
      </c>
      <c r="C11" s="992" t="s">
        <v>773</v>
      </c>
      <c r="D11" s="992"/>
      <c r="E11" s="334">
        <v>44</v>
      </c>
      <c r="F11" s="334">
        <v>1</v>
      </c>
      <c r="G11" s="419">
        <v>0</v>
      </c>
      <c r="H11" s="334">
        <v>0</v>
      </c>
      <c r="I11" s="334">
        <v>0</v>
      </c>
      <c r="J11" s="435">
        <v>18</v>
      </c>
      <c r="K11" s="384">
        <f t="shared" ref="K11:K27" si="1">G11/J11*100</f>
        <v>0</v>
      </c>
      <c r="L11" s="384">
        <f t="shared" ref="L11:L27" si="2">H11/J11*100</f>
        <v>0</v>
      </c>
      <c r="M11" s="384">
        <f t="shared" ref="M11:M27" si="3">I11/J11*100</f>
        <v>0</v>
      </c>
      <c r="N11" s="421">
        <f t="shared" ref="N11:N27" si="4">SUM(K11:M11)</f>
        <v>0</v>
      </c>
      <c r="O11" s="383">
        <v>0</v>
      </c>
      <c r="P11" s="384">
        <v>0</v>
      </c>
      <c r="Q11" s="384">
        <v>0</v>
      </c>
      <c r="R11" s="385">
        <f t="shared" si="0"/>
        <v>0</v>
      </c>
      <c r="S11" s="334">
        <v>6</v>
      </c>
      <c r="T11" s="357"/>
      <c r="U11" s="355">
        <v>22545</v>
      </c>
      <c r="V11" s="438" t="s">
        <v>808</v>
      </c>
      <c r="Y11" s="344"/>
      <c r="AD11" s="449"/>
      <c r="AG11" s="344"/>
      <c r="AL11" s="343"/>
      <c r="AO11" s="344"/>
      <c r="AP11" s="343"/>
      <c r="AS11" s="344"/>
      <c r="AW11" s="344"/>
      <c r="BA11" s="345"/>
    </row>
    <row r="12" spans="1:53" s="73" customFormat="1">
      <c r="A12" s="102">
        <v>1961</v>
      </c>
      <c r="B12" s="85">
        <v>22589</v>
      </c>
      <c r="C12" s="988" t="s">
        <v>775</v>
      </c>
      <c r="D12" s="988"/>
      <c r="E12" s="73">
        <v>58</v>
      </c>
      <c r="F12" s="73">
        <v>1</v>
      </c>
      <c r="G12" s="123">
        <v>18</v>
      </c>
      <c r="J12" s="134">
        <v>18</v>
      </c>
      <c r="K12" s="92">
        <f t="shared" si="1"/>
        <v>100</v>
      </c>
      <c r="L12" s="92">
        <f t="shared" si="2"/>
        <v>0</v>
      </c>
      <c r="M12" s="92">
        <f t="shared" si="3"/>
        <v>0</v>
      </c>
      <c r="N12" s="125">
        <f t="shared" si="4"/>
        <v>100</v>
      </c>
      <c r="O12" s="91">
        <v>58.7</v>
      </c>
      <c r="P12" s="92"/>
      <c r="Q12" s="92"/>
      <c r="R12" s="93">
        <f t="shared" si="0"/>
        <v>58.7</v>
      </c>
      <c r="S12" s="73">
        <v>1</v>
      </c>
      <c r="T12" s="95">
        <v>22583</v>
      </c>
      <c r="U12" s="85">
        <v>22589</v>
      </c>
      <c r="V12" s="82" t="s">
        <v>784</v>
      </c>
      <c r="W12" s="73" t="s">
        <v>74</v>
      </c>
      <c r="X12" s="73" t="s">
        <v>11</v>
      </c>
      <c r="Y12" s="83">
        <v>58.7</v>
      </c>
      <c r="AD12" s="161"/>
      <c r="AG12" s="83"/>
      <c r="AL12" s="82"/>
      <c r="AO12" s="83"/>
      <c r="AP12" s="82"/>
      <c r="AS12" s="83"/>
      <c r="AW12" s="83"/>
      <c r="BA12" s="84"/>
    </row>
    <row r="13" spans="1:53" s="73" customFormat="1">
      <c r="A13" s="102">
        <v>1962</v>
      </c>
      <c r="B13" s="85"/>
      <c r="C13" s="988" t="s">
        <v>775</v>
      </c>
      <c r="D13" s="988"/>
      <c r="E13" s="73">
        <v>0</v>
      </c>
      <c r="G13" s="123">
        <v>18</v>
      </c>
      <c r="J13" s="134">
        <v>18</v>
      </c>
      <c r="K13" s="92">
        <f t="shared" si="1"/>
        <v>100</v>
      </c>
      <c r="L13" s="92">
        <f t="shared" si="2"/>
        <v>0</v>
      </c>
      <c r="M13" s="92">
        <f t="shared" si="3"/>
        <v>0</v>
      </c>
      <c r="N13" s="125">
        <f t="shared" si="4"/>
        <v>100</v>
      </c>
      <c r="O13" s="91">
        <v>58.7</v>
      </c>
      <c r="P13" s="92"/>
      <c r="Q13" s="92"/>
      <c r="R13" s="93">
        <f t="shared" si="0"/>
        <v>58.7</v>
      </c>
      <c r="S13" s="73">
        <v>1</v>
      </c>
      <c r="T13" s="81"/>
      <c r="U13" s="85"/>
      <c r="V13" s="82" t="s">
        <v>784</v>
      </c>
      <c r="W13" s="73" t="s">
        <v>74</v>
      </c>
      <c r="X13" s="73" t="s">
        <v>11</v>
      </c>
      <c r="Y13" s="83">
        <v>58.7</v>
      </c>
      <c r="AD13" s="161"/>
      <c r="AG13" s="83"/>
      <c r="AL13" s="82"/>
      <c r="AO13" s="83"/>
      <c r="AP13" s="82"/>
      <c r="AS13" s="83"/>
      <c r="AW13" s="83"/>
      <c r="BA13" s="84"/>
    </row>
    <row r="14" spans="1:53" s="73" customFormat="1">
      <c r="A14" s="102">
        <v>1962</v>
      </c>
      <c r="B14" s="85"/>
      <c r="C14" s="988" t="s">
        <v>775</v>
      </c>
      <c r="D14" s="988"/>
      <c r="E14" s="73">
        <v>365</v>
      </c>
      <c r="G14" s="123">
        <v>18</v>
      </c>
      <c r="J14" s="134">
        <v>18</v>
      </c>
      <c r="K14" s="92">
        <f t="shared" si="1"/>
        <v>100</v>
      </c>
      <c r="L14" s="92">
        <f t="shared" si="2"/>
        <v>0</v>
      </c>
      <c r="M14" s="92">
        <f t="shared" si="3"/>
        <v>0</v>
      </c>
      <c r="N14" s="125">
        <f t="shared" si="4"/>
        <v>100</v>
      </c>
      <c r="O14" s="91">
        <v>58.7</v>
      </c>
      <c r="P14" s="92"/>
      <c r="Q14" s="92"/>
      <c r="R14" s="93">
        <f t="shared" si="0"/>
        <v>58.7</v>
      </c>
      <c r="S14" s="73">
        <v>1</v>
      </c>
      <c r="T14" s="81"/>
      <c r="U14" s="85"/>
      <c r="V14" s="82" t="s">
        <v>784</v>
      </c>
      <c r="W14" s="73" t="s">
        <v>74</v>
      </c>
      <c r="X14" s="73" t="s">
        <v>11</v>
      </c>
      <c r="Y14" s="83">
        <v>58.7</v>
      </c>
      <c r="AD14" s="161"/>
      <c r="AG14" s="83"/>
      <c r="AL14" s="82"/>
      <c r="AO14" s="83"/>
      <c r="AP14" s="82"/>
      <c r="AS14" s="83"/>
      <c r="AW14" s="83"/>
      <c r="BA14" s="84"/>
    </row>
    <row r="15" spans="1:53" s="73" customFormat="1">
      <c r="A15" s="102">
        <v>1962.6</v>
      </c>
      <c r="B15" s="85"/>
      <c r="C15" s="988" t="s">
        <v>775</v>
      </c>
      <c r="D15" s="988"/>
      <c r="E15" s="73">
        <v>169</v>
      </c>
      <c r="G15" s="123">
        <v>18</v>
      </c>
      <c r="J15" s="134">
        <v>18</v>
      </c>
      <c r="K15" s="92">
        <f t="shared" si="1"/>
        <v>100</v>
      </c>
      <c r="L15" s="92">
        <f t="shared" si="2"/>
        <v>0</v>
      </c>
      <c r="M15" s="92">
        <f t="shared" si="3"/>
        <v>0</v>
      </c>
      <c r="N15" s="125">
        <f t="shared" si="4"/>
        <v>100</v>
      </c>
      <c r="O15" s="91">
        <v>58.7</v>
      </c>
      <c r="P15" s="92"/>
      <c r="Q15" s="92"/>
      <c r="R15" s="93">
        <f t="shared" si="0"/>
        <v>58.7</v>
      </c>
      <c r="S15" s="73">
        <v>1</v>
      </c>
      <c r="T15" s="81"/>
      <c r="U15" s="85"/>
      <c r="V15" s="82" t="s">
        <v>784</v>
      </c>
      <c r="W15" s="73" t="s">
        <v>74</v>
      </c>
      <c r="X15" s="73" t="s">
        <v>11</v>
      </c>
      <c r="Y15" s="83">
        <v>58.7</v>
      </c>
      <c r="AD15" s="161"/>
      <c r="AG15" s="83"/>
      <c r="AL15" s="82"/>
      <c r="AO15" s="83"/>
      <c r="AP15" s="82"/>
      <c r="AS15" s="83"/>
      <c r="AW15" s="83"/>
      <c r="BA15" s="84"/>
    </row>
    <row r="16" spans="1:53" s="334" customFormat="1">
      <c r="A16" s="386">
        <v>1963.05714285714</v>
      </c>
      <c r="B16" s="355">
        <v>23181</v>
      </c>
      <c r="C16" s="992" t="s">
        <v>776</v>
      </c>
      <c r="D16" s="992"/>
      <c r="E16" s="334">
        <v>101</v>
      </c>
      <c r="F16" s="334">
        <v>2</v>
      </c>
      <c r="G16" s="419">
        <v>0</v>
      </c>
      <c r="H16" s="334">
        <v>0</v>
      </c>
      <c r="I16" s="334">
        <v>0</v>
      </c>
      <c r="J16" s="435">
        <v>17</v>
      </c>
      <c r="K16" s="384">
        <f t="shared" si="1"/>
        <v>0</v>
      </c>
      <c r="L16" s="384">
        <f t="shared" si="2"/>
        <v>0</v>
      </c>
      <c r="M16" s="384">
        <f t="shared" si="3"/>
        <v>0</v>
      </c>
      <c r="N16" s="421">
        <f t="shared" si="4"/>
        <v>0</v>
      </c>
      <c r="O16" s="383">
        <v>0</v>
      </c>
      <c r="P16" s="384">
        <v>0</v>
      </c>
      <c r="Q16" s="384">
        <v>0</v>
      </c>
      <c r="R16" s="385">
        <f t="shared" si="0"/>
        <v>0</v>
      </c>
      <c r="S16" s="334">
        <v>6</v>
      </c>
      <c r="T16" s="357"/>
      <c r="U16" s="355">
        <v>23181</v>
      </c>
      <c r="V16" s="438" t="s">
        <v>808</v>
      </c>
      <c r="Y16" s="344"/>
      <c r="AD16" s="449"/>
      <c r="AG16" s="344"/>
      <c r="AL16" s="343"/>
      <c r="AO16" s="344"/>
      <c r="AP16" s="343"/>
      <c r="AS16" s="344"/>
      <c r="AW16" s="344"/>
      <c r="BA16" s="345"/>
    </row>
    <row r="17" spans="1:53" s="73" customFormat="1">
      <c r="A17" s="102">
        <v>1963.05714285714</v>
      </c>
      <c r="B17" s="85">
        <v>23282</v>
      </c>
      <c r="C17" s="988" t="s">
        <v>777</v>
      </c>
      <c r="D17" s="988"/>
      <c r="E17" s="73">
        <v>41</v>
      </c>
      <c r="F17" s="73">
        <v>2</v>
      </c>
      <c r="G17" s="123">
        <v>0</v>
      </c>
      <c r="H17" s="73">
        <v>0</v>
      </c>
      <c r="I17" s="73">
        <v>0</v>
      </c>
      <c r="J17" s="134">
        <v>16</v>
      </c>
      <c r="K17" s="92">
        <f t="shared" si="1"/>
        <v>0</v>
      </c>
      <c r="L17" s="92">
        <f t="shared" si="2"/>
        <v>0</v>
      </c>
      <c r="M17" s="92">
        <f t="shared" si="3"/>
        <v>0</v>
      </c>
      <c r="N17" s="125">
        <f t="shared" si="4"/>
        <v>0</v>
      </c>
      <c r="O17" s="91">
        <v>0</v>
      </c>
      <c r="P17" s="92">
        <v>0</v>
      </c>
      <c r="Q17" s="92">
        <v>0</v>
      </c>
      <c r="R17" s="93">
        <f t="shared" si="0"/>
        <v>0</v>
      </c>
      <c r="S17" s="73">
        <v>6</v>
      </c>
      <c r="T17" s="81"/>
      <c r="U17" s="85">
        <v>23282</v>
      </c>
      <c r="V17" s="158" t="s">
        <v>808</v>
      </c>
      <c r="Y17" s="83"/>
      <c r="AD17" s="161"/>
      <c r="AG17" s="83"/>
      <c r="AL17" s="82"/>
      <c r="AO17" s="83"/>
      <c r="AP17" s="82"/>
      <c r="AS17" s="83"/>
      <c r="AW17" s="83"/>
      <c r="BA17" s="84"/>
    </row>
    <row r="18" spans="1:53" s="334" customFormat="1">
      <c r="A18" s="386">
        <v>1963.05714285714</v>
      </c>
      <c r="B18" s="355">
        <v>23323</v>
      </c>
      <c r="C18" s="992" t="s">
        <v>1371</v>
      </c>
      <c r="D18" s="992"/>
      <c r="E18" s="334">
        <v>53</v>
      </c>
      <c r="F18" s="334">
        <v>1</v>
      </c>
      <c r="G18" s="419">
        <v>21</v>
      </c>
      <c r="J18" s="435">
        <v>21</v>
      </c>
      <c r="K18" s="384">
        <f t="shared" si="1"/>
        <v>100</v>
      </c>
      <c r="L18" s="384">
        <f t="shared" si="2"/>
        <v>0</v>
      </c>
      <c r="M18" s="384">
        <f t="shared" si="3"/>
        <v>0</v>
      </c>
      <c r="N18" s="421">
        <f t="shared" si="4"/>
        <v>100</v>
      </c>
      <c r="O18" s="383">
        <v>46</v>
      </c>
      <c r="P18" s="384"/>
      <c r="Q18" s="384"/>
      <c r="R18" s="385">
        <f t="shared" si="0"/>
        <v>46</v>
      </c>
      <c r="S18" s="334">
        <v>4</v>
      </c>
      <c r="T18" s="342">
        <v>23318</v>
      </c>
      <c r="U18" s="355">
        <v>23323</v>
      </c>
      <c r="V18" s="343" t="s">
        <v>575</v>
      </c>
      <c r="W18" s="334" t="s">
        <v>22</v>
      </c>
      <c r="X18" s="334" t="s">
        <v>11</v>
      </c>
      <c r="Y18" s="344">
        <v>46</v>
      </c>
      <c r="AD18" s="449"/>
      <c r="AG18" s="344"/>
      <c r="AL18" s="343"/>
      <c r="AO18" s="344"/>
      <c r="AP18" s="343"/>
      <c r="AS18" s="344"/>
      <c r="AW18" s="344"/>
      <c r="BA18" s="345"/>
    </row>
    <row r="19" spans="1:53" s="73" customFormat="1">
      <c r="A19" s="102">
        <v>1963.05714285714</v>
      </c>
      <c r="B19" s="85">
        <v>23376</v>
      </c>
      <c r="C19" s="988" t="s">
        <v>778</v>
      </c>
      <c r="D19" s="988"/>
      <c r="E19" s="73">
        <v>1</v>
      </c>
      <c r="F19" s="73">
        <v>5</v>
      </c>
      <c r="G19" s="123">
        <v>0</v>
      </c>
      <c r="H19" s="73">
        <v>0</v>
      </c>
      <c r="I19" s="73">
        <v>0</v>
      </c>
      <c r="J19" s="134">
        <v>17</v>
      </c>
      <c r="K19" s="92">
        <f t="shared" si="1"/>
        <v>0</v>
      </c>
      <c r="L19" s="92">
        <f t="shared" si="2"/>
        <v>0</v>
      </c>
      <c r="M19" s="92">
        <f t="shared" si="3"/>
        <v>0</v>
      </c>
      <c r="N19" s="125">
        <f t="shared" si="4"/>
        <v>0</v>
      </c>
      <c r="O19" s="91">
        <v>0</v>
      </c>
      <c r="P19" s="92">
        <v>0</v>
      </c>
      <c r="Q19" s="92">
        <v>0</v>
      </c>
      <c r="R19" s="93">
        <f t="shared" si="0"/>
        <v>0</v>
      </c>
      <c r="S19" s="73">
        <v>6</v>
      </c>
      <c r="T19" s="81"/>
      <c r="U19" s="85">
        <v>23376</v>
      </c>
      <c r="V19" s="158" t="s">
        <v>808</v>
      </c>
      <c r="Y19" s="83"/>
      <c r="AD19" s="161"/>
      <c r="AG19" s="83"/>
      <c r="AL19" s="82"/>
      <c r="AO19" s="83"/>
      <c r="AP19" s="82"/>
      <c r="AS19" s="83"/>
      <c r="AW19" s="83"/>
      <c r="BA19" s="84"/>
    </row>
    <row r="20" spans="1:53" s="73" customFormat="1">
      <c r="A20" s="102">
        <v>1963.5142857142901</v>
      </c>
      <c r="B20" s="85"/>
      <c r="C20" s="988" t="s">
        <v>778</v>
      </c>
      <c r="D20" s="988"/>
      <c r="E20" s="73">
        <v>49</v>
      </c>
      <c r="G20" s="123">
        <v>0</v>
      </c>
      <c r="H20" s="73">
        <v>0</v>
      </c>
      <c r="I20" s="73">
        <v>0</v>
      </c>
      <c r="J20" s="134">
        <v>17</v>
      </c>
      <c r="K20" s="92">
        <f t="shared" si="1"/>
        <v>0</v>
      </c>
      <c r="L20" s="92">
        <f t="shared" si="2"/>
        <v>0</v>
      </c>
      <c r="M20" s="92">
        <f t="shared" si="3"/>
        <v>0</v>
      </c>
      <c r="N20" s="125">
        <f t="shared" si="4"/>
        <v>0</v>
      </c>
      <c r="O20" s="91">
        <v>0</v>
      </c>
      <c r="P20" s="92">
        <v>0</v>
      </c>
      <c r="Q20" s="92">
        <v>0</v>
      </c>
      <c r="R20" s="93">
        <f t="shared" si="0"/>
        <v>0</v>
      </c>
      <c r="S20" s="73">
        <v>6</v>
      </c>
      <c r="T20" s="81"/>
      <c r="U20" s="85"/>
      <c r="V20" s="158" t="s">
        <v>808</v>
      </c>
      <c r="Y20" s="83"/>
      <c r="AD20" s="161"/>
      <c r="AG20" s="83"/>
      <c r="AL20" s="82"/>
      <c r="AO20" s="83"/>
      <c r="AP20" s="82"/>
      <c r="AS20" s="83"/>
      <c r="AW20" s="83"/>
      <c r="BA20" s="84"/>
    </row>
    <row r="21" spans="1:53" s="334" customFormat="1">
      <c r="A21" s="386">
        <v>1963.9714285714299</v>
      </c>
      <c r="B21" s="355">
        <v>23426</v>
      </c>
      <c r="C21" s="992" t="s">
        <v>1372</v>
      </c>
      <c r="D21" s="992"/>
      <c r="E21" s="334">
        <v>317</v>
      </c>
      <c r="F21" s="334">
        <v>1</v>
      </c>
      <c r="G21" s="419">
        <v>21</v>
      </c>
      <c r="J21" s="435">
        <v>21</v>
      </c>
      <c r="K21" s="384">
        <f t="shared" si="1"/>
        <v>100</v>
      </c>
      <c r="L21" s="384">
        <f t="shared" si="2"/>
        <v>0</v>
      </c>
      <c r="M21" s="384">
        <f t="shared" si="3"/>
        <v>0</v>
      </c>
      <c r="N21" s="421">
        <f t="shared" si="4"/>
        <v>100</v>
      </c>
      <c r="O21" s="383">
        <v>57</v>
      </c>
      <c r="P21" s="384"/>
      <c r="Q21" s="384"/>
      <c r="R21" s="385">
        <f t="shared" si="0"/>
        <v>57</v>
      </c>
      <c r="S21" s="334">
        <v>1</v>
      </c>
      <c r="T21" s="342">
        <v>23423</v>
      </c>
      <c r="U21" s="355">
        <v>23426</v>
      </c>
      <c r="V21" s="343" t="s">
        <v>575</v>
      </c>
      <c r="W21" s="334" t="s">
        <v>22</v>
      </c>
      <c r="X21" s="334" t="s">
        <v>11</v>
      </c>
      <c r="Y21" s="344">
        <v>57</v>
      </c>
      <c r="AD21" s="449"/>
      <c r="AG21" s="344"/>
      <c r="AL21" s="343"/>
      <c r="AO21" s="344"/>
      <c r="AP21" s="343"/>
      <c r="AS21" s="344"/>
      <c r="AW21" s="344"/>
      <c r="BA21" s="345"/>
    </row>
    <row r="22" spans="1:53" s="334" customFormat="1">
      <c r="A22" s="386">
        <v>1965</v>
      </c>
      <c r="B22" s="355"/>
      <c r="C22" s="992" t="s">
        <v>1372</v>
      </c>
      <c r="D22" s="992"/>
      <c r="E22" s="334">
        <v>196</v>
      </c>
      <c r="G22" s="419">
        <v>21</v>
      </c>
      <c r="J22" s="435">
        <v>21</v>
      </c>
      <c r="K22" s="384">
        <f t="shared" si="1"/>
        <v>100</v>
      </c>
      <c r="L22" s="384">
        <f t="shared" si="2"/>
        <v>0</v>
      </c>
      <c r="M22" s="384">
        <f t="shared" si="3"/>
        <v>0</v>
      </c>
      <c r="N22" s="421">
        <f t="shared" si="4"/>
        <v>100</v>
      </c>
      <c r="O22" s="383">
        <v>57</v>
      </c>
      <c r="P22" s="384"/>
      <c r="Q22" s="384"/>
      <c r="R22" s="385">
        <f t="shared" si="0"/>
        <v>57</v>
      </c>
      <c r="S22" s="334">
        <v>1</v>
      </c>
      <c r="T22" s="357"/>
      <c r="U22" s="355"/>
      <c r="V22" s="343" t="s">
        <v>575</v>
      </c>
      <c r="W22" s="334" t="s">
        <v>22</v>
      </c>
      <c r="X22" s="334" t="s">
        <v>11</v>
      </c>
      <c r="Y22" s="344">
        <v>57</v>
      </c>
      <c r="AD22" s="449"/>
      <c r="AG22" s="344"/>
      <c r="AL22" s="343"/>
      <c r="AO22" s="344"/>
      <c r="AP22" s="343"/>
      <c r="AS22" s="344"/>
      <c r="AW22" s="344"/>
      <c r="BA22" s="345"/>
    </row>
    <row r="23" spans="1:53" s="73" customFormat="1">
      <c r="A23" s="102">
        <v>1965</v>
      </c>
      <c r="B23" s="85">
        <v>23939</v>
      </c>
      <c r="C23" s="988" t="s">
        <v>779</v>
      </c>
      <c r="D23" s="988"/>
      <c r="E23" s="73">
        <v>35</v>
      </c>
      <c r="F23" s="73">
        <v>6</v>
      </c>
      <c r="G23" s="123">
        <v>16</v>
      </c>
      <c r="J23" s="134">
        <v>16</v>
      </c>
      <c r="K23" s="92">
        <f t="shared" si="1"/>
        <v>100</v>
      </c>
      <c r="L23" s="92">
        <f t="shared" si="2"/>
        <v>0</v>
      </c>
      <c r="M23" s="92">
        <f t="shared" si="3"/>
        <v>0</v>
      </c>
      <c r="N23" s="125">
        <f t="shared" si="4"/>
        <v>100</v>
      </c>
      <c r="O23" s="91">
        <v>57</v>
      </c>
      <c r="P23" s="92"/>
      <c r="Q23" s="92"/>
      <c r="R23" s="93">
        <f t="shared" si="0"/>
        <v>57</v>
      </c>
      <c r="S23" s="73">
        <v>1</v>
      </c>
      <c r="T23" s="81"/>
      <c r="U23" s="85">
        <v>23939</v>
      </c>
      <c r="V23" s="82" t="s">
        <v>575</v>
      </c>
      <c r="W23" s="73" t="s">
        <v>22</v>
      </c>
      <c r="X23" s="73" t="s">
        <v>11</v>
      </c>
      <c r="Y23" s="83">
        <v>57</v>
      </c>
      <c r="AD23" s="161"/>
      <c r="AG23" s="83"/>
      <c r="AL23" s="82"/>
      <c r="AO23" s="83"/>
      <c r="AP23" s="82"/>
      <c r="AS23" s="83"/>
      <c r="AW23" s="83"/>
      <c r="BA23" s="84"/>
    </row>
    <row r="24" spans="1:53" s="334" customFormat="1">
      <c r="A24" s="386">
        <v>1965</v>
      </c>
      <c r="B24" s="355">
        <v>23974</v>
      </c>
      <c r="C24" s="992" t="s">
        <v>780</v>
      </c>
      <c r="D24" s="992"/>
      <c r="E24" s="334">
        <v>28</v>
      </c>
      <c r="F24" s="334">
        <v>5</v>
      </c>
      <c r="G24" s="419">
        <v>12</v>
      </c>
      <c r="J24" s="435">
        <v>12</v>
      </c>
      <c r="K24" s="384">
        <f t="shared" si="1"/>
        <v>100</v>
      </c>
      <c r="L24" s="384">
        <f t="shared" si="2"/>
        <v>0</v>
      </c>
      <c r="M24" s="384">
        <f t="shared" si="3"/>
        <v>0</v>
      </c>
      <c r="N24" s="421">
        <f t="shared" si="4"/>
        <v>100</v>
      </c>
      <c r="O24" s="383">
        <v>12</v>
      </c>
      <c r="P24" s="384"/>
      <c r="Q24" s="384"/>
      <c r="R24" s="385">
        <f t="shared" si="0"/>
        <v>12</v>
      </c>
      <c r="S24" s="334">
        <v>4</v>
      </c>
      <c r="T24" s="357"/>
      <c r="U24" s="355">
        <v>23974</v>
      </c>
      <c r="V24" s="343" t="s">
        <v>785</v>
      </c>
      <c r="W24" s="334" t="s">
        <v>22</v>
      </c>
      <c r="X24" s="334" t="s">
        <v>11</v>
      </c>
      <c r="Y24" s="344">
        <v>12</v>
      </c>
      <c r="AD24" s="343"/>
      <c r="AG24" s="344"/>
      <c r="AL24" s="343"/>
      <c r="AO24" s="344"/>
      <c r="AP24" s="343"/>
      <c r="AS24" s="344"/>
      <c r="AW24" s="344"/>
      <c r="BA24" s="345"/>
    </row>
    <row r="25" spans="1:53" s="73" customFormat="1">
      <c r="A25" s="102">
        <v>1964.88571428572</v>
      </c>
      <c r="B25" s="85">
        <v>24002</v>
      </c>
      <c r="C25" s="988" t="s">
        <v>781</v>
      </c>
      <c r="D25" s="988"/>
      <c r="E25" s="73">
        <v>106</v>
      </c>
      <c r="F25" s="73">
        <v>5</v>
      </c>
      <c r="G25" s="123">
        <v>25</v>
      </c>
      <c r="J25" s="134">
        <v>25</v>
      </c>
      <c r="K25" s="92">
        <f t="shared" si="1"/>
        <v>100</v>
      </c>
      <c r="L25" s="92">
        <f t="shared" si="2"/>
        <v>0</v>
      </c>
      <c r="M25" s="92">
        <f t="shared" si="3"/>
        <v>0</v>
      </c>
      <c r="N25" s="125">
        <f t="shared" si="4"/>
        <v>100</v>
      </c>
      <c r="O25" s="91">
        <v>50.7</v>
      </c>
      <c r="P25" s="92"/>
      <c r="Q25" s="92"/>
      <c r="R25" s="93">
        <f t="shared" si="0"/>
        <v>50.7</v>
      </c>
      <c r="S25" s="73">
        <v>2</v>
      </c>
      <c r="T25" s="81"/>
      <c r="U25" s="85">
        <v>24002</v>
      </c>
      <c r="V25" s="82" t="s">
        <v>785</v>
      </c>
      <c r="W25" s="73" t="s">
        <v>22</v>
      </c>
      <c r="X25" s="73" t="s">
        <v>11</v>
      </c>
      <c r="Y25" s="83">
        <v>15</v>
      </c>
      <c r="Z25" s="73" t="s">
        <v>784</v>
      </c>
      <c r="AA25" s="73" t="s">
        <v>74</v>
      </c>
      <c r="AB25" s="73" t="s">
        <v>11</v>
      </c>
      <c r="AC25" s="73">
        <v>33</v>
      </c>
      <c r="AD25" s="82" t="s">
        <v>1291</v>
      </c>
      <c r="AE25" s="73" t="s">
        <v>76</v>
      </c>
      <c r="AF25" s="73" t="s">
        <v>11</v>
      </c>
      <c r="AG25" s="83">
        <v>2.7</v>
      </c>
      <c r="AL25" s="82"/>
      <c r="AO25" s="83"/>
      <c r="AP25" s="82"/>
      <c r="AS25" s="83"/>
      <c r="AW25" s="83"/>
      <c r="BA25" s="84"/>
    </row>
    <row r="26" spans="1:53" s="73" customFormat="1">
      <c r="A26" s="102">
        <v>1966</v>
      </c>
      <c r="B26" s="85"/>
      <c r="C26" s="988" t="s">
        <v>781</v>
      </c>
      <c r="D26" s="988"/>
      <c r="E26" s="73">
        <v>355</v>
      </c>
      <c r="G26" s="123">
        <v>25</v>
      </c>
      <c r="J26" s="134">
        <v>25</v>
      </c>
      <c r="K26" s="92">
        <f t="shared" si="1"/>
        <v>100</v>
      </c>
      <c r="L26" s="92">
        <f t="shared" si="2"/>
        <v>0</v>
      </c>
      <c r="M26" s="92">
        <f t="shared" si="3"/>
        <v>0</v>
      </c>
      <c r="N26" s="125">
        <f t="shared" si="4"/>
        <v>100</v>
      </c>
      <c r="O26" s="91">
        <v>50.7</v>
      </c>
      <c r="P26" s="92"/>
      <c r="Q26" s="92"/>
      <c r="R26" s="93">
        <f t="shared" si="0"/>
        <v>50.7</v>
      </c>
      <c r="S26" s="73">
        <v>2</v>
      </c>
      <c r="T26" s="81"/>
      <c r="U26" s="85"/>
      <c r="V26" s="82" t="s">
        <v>785</v>
      </c>
      <c r="W26" s="73" t="s">
        <v>22</v>
      </c>
      <c r="X26" s="73" t="s">
        <v>11</v>
      </c>
      <c r="Y26" s="83">
        <v>15</v>
      </c>
      <c r="Z26" s="73" t="s">
        <v>784</v>
      </c>
      <c r="AA26" s="73" t="s">
        <v>74</v>
      </c>
      <c r="AB26" s="73" t="s">
        <v>11</v>
      </c>
      <c r="AC26" s="73">
        <v>33</v>
      </c>
      <c r="AD26" s="82" t="s">
        <v>1291</v>
      </c>
      <c r="AE26" s="73" t="s">
        <v>76</v>
      </c>
      <c r="AF26" s="73" t="s">
        <v>11</v>
      </c>
      <c r="AG26" s="83">
        <v>2.7</v>
      </c>
      <c r="AL26" s="82"/>
      <c r="AO26" s="83"/>
      <c r="AP26" s="82"/>
      <c r="AS26" s="83"/>
      <c r="AW26" s="83"/>
      <c r="BA26" s="84"/>
    </row>
    <row r="27" spans="1:53" s="334" customFormat="1">
      <c r="A27" s="386">
        <v>1965.8</v>
      </c>
      <c r="B27" s="355">
        <v>24463</v>
      </c>
      <c r="C27" s="992" t="s">
        <v>782</v>
      </c>
      <c r="D27" s="992"/>
      <c r="E27" s="334">
        <v>10</v>
      </c>
      <c r="F27" s="334">
        <v>4</v>
      </c>
      <c r="G27" s="419">
        <v>0</v>
      </c>
      <c r="H27" s="334">
        <v>0</v>
      </c>
      <c r="I27" s="334">
        <v>0</v>
      </c>
      <c r="J27" s="435">
        <v>17</v>
      </c>
      <c r="K27" s="384">
        <f t="shared" si="1"/>
        <v>0</v>
      </c>
      <c r="L27" s="384">
        <f t="shared" si="2"/>
        <v>0</v>
      </c>
      <c r="M27" s="384">
        <f t="shared" si="3"/>
        <v>0</v>
      </c>
      <c r="N27" s="421">
        <f t="shared" si="4"/>
        <v>0</v>
      </c>
      <c r="O27" s="383">
        <v>0</v>
      </c>
      <c r="P27" s="384">
        <v>0</v>
      </c>
      <c r="Q27" s="384">
        <v>0</v>
      </c>
      <c r="R27" s="385">
        <f t="shared" si="0"/>
        <v>0</v>
      </c>
      <c r="S27" s="334">
        <v>6</v>
      </c>
      <c r="T27" s="357"/>
      <c r="U27" s="355">
        <v>24463</v>
      </c>
      <c r="V27" s="438" t="s">
        <v>808</v>
      </c>
      <c r="Y27" s="344"/>
      <c r="AD27" s="343"/>
      <c r="AG27" s="344"/>
      <c r="AL27" s="343"/>
      <c r="AO27" s="344"/>
      <c r="AP27" s="343"/>
      <c r="AS27" s="344"/>
      <c r="AW27" s="344"/>
      <c r="BA27" s="345"/>
    </row>
    <row r="28" spans="1:53" s="334" customFormat="1">
      <c r="A28" s="386">
        <v>1967</v>
      </c>
      <c r="B28" s="355"/>
      <c r="C28" s="992" t="s">
        <v>782</v>
      </c>
      <c r="D28" s="992"/>
      <c r="E28" s="334">
        <v>92</v>
      </c>
      <c r="G28" s="419">
        <v>0</v>
      </c>
      <c r="H28" s="334">
        <v>0</v>
      </c>
      <c r="I28" s="334">
        <v>0</v>
      </c>
      <c r="J28" s="435">
        <v>17</v>
      </c>
      <c r="K28" s="384">
        <f>G28/J28*100</f>
        <v>0</v>
      </c>
      <c r="L28" s="384">
        <f>H28/J28*100</f>
        <v>0</v>
      </c>
      <c r="M28" s="384">
        <f>I28/J28*100</f>
        <v>0</v>
      </c>
      <c r="N28" s="421">
        <f>SUM(K28:M28)</f>
        <v>0</v>
      </c>
      <c r="O28" s="383">
        <v>0</v>
      </c>
      <c r="P28" s="384">
        <v>0</v>
      </c>
      <c r="Q28" s="384">
        <v>0</v>
      </c>
      <c r="R28" s="385">
        <f t="shared" si="0"/>
        <v>0</v>
      </c>
      <c r="S28" s="334">
        <v>6</v>
      </c>
      <c r="T28" s="357"/>
      <c r="U28" s="355"/>
      <c r="V28" s="438" t="s">
        <v>808</v>
      </c>
      <c r="Y28" s="344"/>
      <c r="AD28" s="343"/>
      <c r="AG28" s="344"/>
      <c r="AL28" s="343"/>
      <c r="AO28" s="344"/>
      <c r="AP28" s="343"/>
      <c r="AS28" s="344"/>
      <c r="AW28" s="344"/>
      <c r="BA28" s="345"/>
    </row>
    <row r="29" spans="1:53" s="73" customFormat="1">
      <c r="A29" s="102">
        <v>1966.7142857142901</v>
      </c>
      <c r="B29" s="85">
        <v>24565</v>
      </c>
      <c r="C29" s="988" t="s">
        <v>786</v>
      </c>
      <c r="D29" s="988"/>
      <c r="E29" s="73">
        <v>18</v>
      </c>
      <c r="F29" s="73">
        <v>2</v>
      </c>
      <c r="G29" s="123">
        <v>16</v>
      </c>
      <c r="J29" s="134">
        <v>16</v>
      </c>
      <c r="K29" s="92">
        <f>G29/J29*100</f>
        <v>100</v>
      </c>
      <c r="L29" s="92">
        <f>H29/J29*100</f>
        <v>0</v>
      </c>
      <c r="M29" s="92">
        <f>I29/J29*100</f>
        <v>0</v>
      </c>
      <c r="N29" s="125">
        <f>SUM(K29:M29)</f>
        <v>100</v>
      </c>
      <c r="O29" s="91">
        <v>33.299999999999997</v>
      </c>
      <c r="P29" s="92"/>
      <c r="Q29" s="92"/>
      <c r="R29" s="93">
        <f>SUM(O29:Q29)</f>
        <v>33.299999999999997</v>
      </c>
      <c r="S29" s="73">
        <v>6</v>
      </c>
      <c r="T29" s="81"/>
      <c r="U29" s="85">
        <v>24565</v>
      </c>
      <c r="V29" s="82" t="s">
        <v>784</v>
      </c>
      <c r="W29" s="73" t="s">
        <v>74</v>
      </c>
      <c r="X29" s="73" t="s">
        <v>11</v>
      </c>
      <c r="Y29" s="83">
        <v>33.299999999999997</v>
      </c>
      <c r="AD29" s="82"/>
      <c r="AG29" s="83"/>
      <c r="AL29" s="82"/>
      <c r="AO29" s="83"/>
      <c r="AP29" s="82"/>
      <c r="AS29" s="83"/>
      <c r="AW29" s="83"/>
      <c r="BA29" s="84"/>
    </row>
    <row r="30" spans="1:53" s="334" customFormat="1">
      <c r="A30" s="386">
        <v>1967</v>
      </c>
      <c r="B30" s="355">
        <v>24583</v>
      </c>
      <c r="C30" s="1028" t="s">
        <v>787</v>
      </c>
      <c r="D30" s="1028"/>
      <c r="E30" s="334">
        <v>255</v>
      </c>
      <c r="F30" s="334" t="s">
        <v>345</v>
      </c>
      <c r="G30" s="419"/>
      <c r="J30" s="435"/>
      <c r="K30" s="384"/>
      <c r="L30" s="384"/>
      <c r="M30" s="384"/>
      <c r="N30" s="421"/>
      <c r="O30" s="383"/>
      <c r="P30" s="384"/>
      <c r="Q30" s="384"/>
      <c r="R30" s="385"/>
      <c r="T30" s="357"/>
      <c r="U30" s="355"/>
      <c r="V30" s="343"/>
      <c r="Y30" s="344"/>
      <c r="AD30" s="343"/>
      <c r="AG30" s="344"/>
      <c r="AL30" s="343"/>
      <c r="AO30" s="344"/>
      <c r="AP30" s="343"/>
      <c r="AS30" s="344"/>
      <c r="AW30" s="344"/>
      <c r="BA30" s="345"/>
    </row>
    <row r="31" spans="1:53" s="334" customFormat="1">
      <c r="A31" s="386">
        <v>1968</v>
      </c>
      <c r="B31" s="355"/>
      <c r="C31" s="1028" t="s">
        <v>787</v>
      </c>
      <c r="D31" s="1028"/>
      <c r="E31" s="334">
        <v>0</v>
      </c>
      <c r="G31" s="419"/>
      <c r="J31" s="435"/>
      <c r="K31" s="384"/>
      <c r="L31" s="384"/>
      <c r="M31" s="384"/>
      <c r="N31" s="421"/>
      <c r="O31" s="383"/>
      <c r="P31" s="384"/>
      <c r="Q31" s="384"/>
      <c r="R31" s="385"/>
      <c r="T31" s="357"/>
      <c r="U31" s="355"/>
      <c r="V31" s="343"/>
      <c r="Y31" s="344"/>
      <c r="AD31" s="343"/>
      <c r="AG31" s="344"/>
      <c r="AL31" s="343"/>
      <c r="AO31" s="344"/>
      <c r="AP31" s="343"/>
      <c r="AS31" s="344"/>
      <c r="AW31" s="344"/>
      <c r="BA31" s="345"/>
    </row>
    <row r="32" spans="1:53" s="334" customFormat="1">
      <c r="A32" s="386">
        <v>1967.62857142857</v>
      </c>
      <c r="B32" s="355"/>
      <c r="C32" s="1028" t="s">
        <v>787</v>
      </c>
      <c r="D32" s="1028"/>
      <c r="E32" s="334">
        <v>366</v>
      </c>
      <c r="G32" s="419"/>
      <c r="J32" s="435"/>
      <c r="K32" s="384"/>
      <c r="L32" s="384"/>
      <c r="M32" s="384"/>
      <c r="N32" s="421"/>
      <c r="O32" s="383"/>
      <c r="P32" s="384"/>
      <c r="Q32" s="384"/>
      <c r="R32" s="385"/>
      <c r="T32" s="357"/>
      <c r="U32" s="355"/>
      <c r="V32" s="343"/>
      <c r="Y32" s="344"/>
      <c r="AD32" s="449"/>
      <c r="AG32" s="344"/>
      <c r="AL32" s="343"/>
      <c r="AO32" s="344"/>
      <c r="AP32" s="343"/>
      <c r="AS32" s="344"/>
      <c r="AW32" s="344"/>
      <c r="BA32" s="345"/>
    </row>
    <row r="33" spans="1:53" s="334" customFormat="1">
      <c r="A33" s="386">
        <v>1969</v>
      </c>
      <c r="B33" s="355"/>
      <c r="C33" s="1028" t="s">
        <v>787</v>
      </c>
      <c r="D33" s="1028"/>
      <c r="E33" s="334">
        <v>0</v>
      </c>
      <c r="G33" s="419"/>
      <c r="J33" s="435"/>
      <c r="K33" s="384"/>
      <c r="L33" s="384"/>
      <c r="M33" s="384"/>
      <c r="N33" s="421"/>
      <c r="O33" s="383"/>
      <c r="P33" s="384"/>
      <c r="Q33" s="384"/>
      <c r="R33" s="385"/>
      <c r="T33" s="357"/>
      <c r="U33" s="355"/>
      <c r="V33" s="343"/>
      <c r="Y33" s="344"/>
      <c r="AD33" s="449"/>
      <c r="AG33" s="344"/>
      <c r="AL33" s="343"/>
      <c r="AO33" s="344"/>
      <c r="AP33" s="343"/>
      <c r="AS33" s="344"/>
      <c r="AW33" s="344"/>
      <c r="BA33" s="345"/>
    </row>
    <row r="34" spans="1:53" s="334" customFormat="1">
      <c r="A34" s="386">
        <v>1968.5428571428599</v>
      </c>
      <c r="B34" s="355"/>
      <c r="C34" s="1028" t="s">
        <v>787</v>
      </c>
      <c r="D34" s="1028"/>
      <c r="E34" s="334">
        <v>365</v>
      </c>
      <c r="G34" s="419"/>
      <c r="J34" s="435"/>
      <c r="K34" s="384"/>
      <c r="L34" s="384"/>
      <c r="M34" s="384"/>
      <c r="N34" s="421"/>
      <c r="O34" s="383"/>
      <c r="P34" s="384"/>
      <c r="Q34" s="384"/>
      <c r="R34" s="385"/>
      <c r="T34" s="357"/>
      <c r="U34" s="355"/>
      <c r="V34" s="343"/>
      <c r="Y34" s="344"/>
      <c r="AD34" s="449"/>
      <c r="AG34" s="344"/>
      <c r="AL34" s="343"/>
      <c r="AO34" s="344"/>
      <c r="AP34" s="343"/>
      <c r="AS34" s="344"/>
      <c r="AW34" s="344"/>
      <c r="BA34" s="345"/>
    </row>
    <row r="35" spans="1:53" s="334" customFormat="1">
      <c r="A35" s="386">
        <v>1970</v>
      </c>
      <c r="B35" s="355"/>
      <c r="C35" s="1028" t="s">
        <v>787</v>
      </c>
      <c r="D35" s="1028"/>
      <c r="E35" s="334">
        <v>0</v>
      </c>
      <c r="G35" s="419"/>
      <c r="J35" s="435"/>
      <c r="K35" s="384"/>
      <c r="L35" s="384"/>
      <c r="M35" s="384"/>
      <c r="N35" s="421"/>
      <c r="O35" s="383"/>
      <c r="P35" s="384"/>
      <c r="Q35" s="384"/>
      <c r="R35" s="385"/>
      <c r="T35" s="357"/>
      <c r="U35" s="355"/>
      <c r="V35" s="343"/>
      <c r="Y35" s="344"/>
      <c r="AD35" s="449"/>
      <c r="AG35" s="344"/>
      <c r="AL35" s="343"/>
      <c r="AO35" s="344"/>
      <c r="AP35" s="343"/>
      <c r="AS35" s="344"/>
      <c r="AW35" s="344"/>
      <c r="BA35" s="345"/>
    </row>
    <row r="36" spans="1:53" s="334" customFormat="1">
      <c r="A36" s="386">
        <v>1970</v>
      </c>
      <c r="B36" s="355"/>
      <c r="C36" s="1028" t="s">
        <v>787</v>
      </c>
      <c r="D36" s="1028"/>
      <c r="E36" s="334">
        <v>365</v>
      </c>
      <c r="G36" s="419"/>
      <c r="J36" s="435"/>
      <c r="K36" s="384"/>
      <c r="L36" s="384"/>
      <c r="M36" s="384"/>
      <c r="N36" s="421"/>
      <c r="O36" s="383"/>
      <c r="P36" s="384"/>
      <c r="Q36" s="384"/>
      <c r="R36" s="385"/>
      <c r="T36" s="357"/>
      <c r="U36" s="355"/>
      <c r="V36" s="343"/>
      <c r="Y36" s="344"/>
      <c r="AD36" s="449"/>
      <c r="AG36" s="344"/>
      <c r="AL36" s="343"/>
      <c r="AO36" s="344"/>
      <c r="AP36" s="343"/>
      <c r="AS36" s="344"/>
      <c r="AW36" s="344"/>
      <c r="BA36" s="345"/>
    </row>
    <row r="37" spans="1:53" s="334" customFormat="1">
      <c r="A37" s="386">
        <v>1971</v>
      </c>
      <c r="B37" s="355"/>
      <c r="C37" s="1028" t="s">
        <v>787</v>
      </c>
      <c r="D37" s="1028"/>
      <c r="E37" s="334">
        <v>0</v>
      </c>
      <c r="G37" s="419"/>
      <c r="J37" s="435"/>
      <c r="K37" s="384"/>
      <c r="L37" s="384"/>
      <c r="M37" s="384"/>
      <c r="N37" s="421"/>
      <c r="O37" s="383"/>
      <c r="P37" s="384"/>
      <c r="Q37" s="384"/>
      <c r="R37" s="385"/>
      <c r="T37" s="357"/>
      <c r="U37" s="355"/>
      <c r="V37" s="343"/>
      <c r="Y37" s="344"/>
      <c r="AD37" s="449"/>
      <c r="AG37" s="344"/>
      <c r="AL37" s="343"/>
      <c r="AO37" s="344"/>
      <c r="AP37" s="343"/>
      <c r="AS37" s="344"/>
      <c r="AW37" s="344"/>
      <c r="BA37" s="345"/>
    </row>
    <row r="38" spans="1:53" s="334" customFormat="1">
      <c r="A38" s="386">
        <v>1971</v>
      </c>
      <c r="B38" s="355"/>
      <c r="C38" s="1028" t="s">
        <v>787</v>
      </c>
      <c r="D38" s="1028"/>
      <c r="E38" s="334">
        <v>365</v>
      </c>
      <c r="G38" s="419"/>
      <c r="J38" s="435"/>
      <c r="K38" s="384"/>
      <c r="L38" s="384"/>
      <c r="M38" s="384"/>
      <c r="N38" s="421"/>
      <c r="O38" s="383"/>
      <c r="P38" s="384"/>
      <c r="Q38" s="384"/>
      <c r="R38" s="385"/>
      <c r="T38" s="357"/>
      <c r="U38" s="355"/>
      <c r="V38" s="343"/>
      <c r="Y38" s="344"/>
      <c r="AD38" s="449"/>
      <c r="AG38" s="344"/>
      <c r="AL38" s="343"/>
      <c r="AO38" s="344"/>
      <c r="AP38" s="343"/>
      <c r="AS38" s="344"/>
      <c r="AW38" s="344"/>
      <c r="BA38" s="345"/>
    </row>
    <row r="39" spans="1:53" s="334" customFormat="1">
      <c r="A39" s="386">
        <v>1972</v>
      </c>
      <c r="B39" s="355"/>
      <c r="C39" s="1028" t="s">
        <v>787</v>
      </c>
      <c r="D39" s="1028"/>
      <c r="E39" s="334">
        <v>0</v>
      </c>
      <c r="G39" s="419"/>
      <c r="J39" s="435"/>
      <c r="K39" s="384"/>
      <c r="L39" s="384"/>
      <c r="M39" s="384"/>
      <c r="N39" s="421"/>
      <c r="O39" s="383"/>
      <c r="P39" s="384"/>
      <c r="Q39" s="384"/>
      <c r="R39" s="385"/>
      <c r="T39" s="357"/>
      <c r="U39" s="355"/>
      <c r="V39" s="343"/>
      <c r="Y39" s="344"/>
      <c r="AD39" s="449"/>
      <c r="AG39" s="344"/>
      <c r="AL39" s="343"/>
      <c r="AO39" s="344"/>
      <c r="AP39" s="343"/>
      <c r="AS39" s="344"/>
      <c r="AW39" s="344"/>
      <c r="BA39" s="345"/>
    </row>
    <row r="40" spans="1:53" s="334" customFormat="1">
      <c r="A40" s="386">
        <v>1972</v>
      </c>
      <c r="B40" s="355"/>
      <c r="C40" s="1028" t="s">
        <v>787</v>
      </c>
      <c r="D40" s="1028"/>
      <c r="E40" s="334">
        <v>366</v>
      </c>
      <c r="G40" s="419"/>
      <c r="J40" s="435"/>
      <c r="K40" s="384"/>
      <c r="L40" s="384"/>
      <c r="M40" s="384"/>
      <c r="N40" s="421"/>
      <c r="O40" s="383"/>
      <c r="P40" s="384"/>
      <c r="Q40" s="384"/>
      <c r="R40" s="385"/>
      <c r="T40" s="357"/>
      <c r="U40" s="355"/>
      <c r="V40" s="343"/>
      <c r="Y40" s="344"/>
      <c r="AD40" s="449"/>
      <c r="AG40" s="344"/>
      <c r="AL40" s="343"/>
      <c r="AO40" s="344"/>
      <c r="AP40" s="343"/>
      <c r="AS40" s="344"/>
      <c r="AW40" s="344"/>
      <c r="BA40" s="345"/>
    </row>
    <row r="41" spans="1:53" s="334" customFormat="1">
      <c r="A41" s="386">
        <v>1973</v>
      </c>
      <c r="B41" s="355"/>
      <c r="C41" s="1028" t="s">
        <v>787</v>
      </c>
      <c r="D41" s="1028"/>
      <c r="E41" s="334">
        <v>0</v>
      </c>
      <c r="G41" s="419"/>
      <c r="J41" s="435"/>
      <c r="K41" s="384"/>
      <c r="L41" s="384"/>
      <c r="M41" s="384"/>
      <c r="N41" s="421"/>
      <c r="O41" s="383"/>
      <c r="P41" s="384"/>
      <c r="Q41" s="384"/>
      <c r="R41" s="385"/>
      <c r="T41" s="357"/>
      <c r="U41" s="355"/>
      <c r="V41" s="343"/>
      <c r="Y41" s="344"/>
      <c r="AD41" s="449"/>
      <c r="AG41" s="344"/>
      <c r="AL41" s="343"/>
      <c r="AO41" s="344"/>
      <c r="AP41" s="343"/>
      <c r="AS41" s="344"/>
      <c r="AW41" s="344"/>
      <c r="BA41" s="345"/>
    </row>
    <row r="42" spans="1:53" s="334" customFormat="1">
      <c r="A42" s="386">
        <v>1973</v>
      </c>
      <c r="B42" s="355"/>
      <c r="C42" s="1028" t="s">
        <v>787</v>
      </c>
      <c r="D42" s="1028"/>
      <c r="E42" s="334">
        <v>365</v>
      </c>
      <c r="G42" s="419"/>
      <c r="J42" s="435"/>
      <c r="K42" s="384"/>
      <c r="L42" s="384"/>
      <c r="M42" s="384"/>
      <c r="N42" s="421"/>
      <c r="O42" s="383"/>
      <c r="P42" s="384"/>
      <c r="Q42" s="384"/>
      <c r="R42" s="385"/>
      <c r="T42" s="357"/>
      <c r="U42" s="355"/>
      <c r="V42" s="343"/>
      <c r="Y42" s="344"/>
      <c r="AD42" s="449"/>
      <c r="AG42" s="344"/>
      <c r="AL42" s="343"/>
      <c r="AO42" s="344"/>
      <c r="AP42" s="343"/>
      <c r="AS42" s="344"/>
      <c r="AW42" s="344"/>
      <c r="BA42" s="345"/>
    </row>
    <row r="43" spans="1:53" s="334" customFormat="1">
      <c r="A43" s="386">
        <v>1974</v>
      </c>
      <c r="B43" s="355"/>
      <c r="C43" s="1028" t="s">
        <v>787</v>
      </c>
      <c r="D43" s="1028"/>
      <c r="E43" s="334">
        <v>206</v>
      </c>
      <c r="G43" s="419"/>
      <c r="J43" s="435"/>
      <c r="K43" s="384"/>
      <c r="L43" s="384"/>
      <c r="M43" s="384"/>
      <c r="N43" s="421"/>
      <c r="O43" s="383"/>
      <c r="P43" s="384"/>
      <c r="Q43" s="384"/>
      <c r="R43" s="385"/>
      <c r="T43" s="357"/>
      <c r="U43" s="355"/>
      <c r="V43" s="343"/>
      <c r="Y43" s="344"/>
      <c r="AD43" s="343"/>
      <c r="AG43" s="344"/>
      <c r="AL43" s="343"/>
      <c r="AO43" s="344"/>
      <c r="AP43" s="343"/>
      <c r="AS43" s="344"/>
      <c r="AW43" s="344"/>
      <c r="BA43" s="345"/>
    </row>
    <row r="44" spans="1:53" s="73" customFormat="1">
      <c r="A44" s="102">
        <v>1974</v>
      </c>
      <c r="B44" s="85">
        <v>27236</v>
      </c>
      <c r="C44" s="988" t="s">
        <v>783</v>
      </c>
      <c r="D44" s="988"/>
      <c r="E44" s="73">
        <v>119</v>
      </c>
      <c r="F44" s="73" t="s">
        <v>345</v>
      </c>
      <c r="G44" s="123">
        <v>12</v>
      </c>
      <c r="J44" s="134">
        <v>19</v>
      </c>
      <c r="K44" s="92">
        <f>G44/J44*100</f>
        <v>63.157894736842103</v>
      </c>
      <c r="L44" s="92">
        <f>H44/J44*100</f>
        <v>0</v>
      </c>
      <c r="M44" s="92">
        <f>I44/J44*100</f>
        <v>0</v>
      </c>
      <c r="N44" s="125">
        <f>SUM(K44:M44)</f>
        <v>63.157894736842103</v>
      </c>
      <c r="O44" s="91">
        <v>0</v>
      </c>
      <c r="P44" s="92">
        <v>0</v>
      </c>
      <c r="Q44" s="92">
        <v>0</v>
      </c>
      <c r="R44" s="93">
        <f>SUM(O44:Q44)</f>
        <v>0</v>
      </c>
      <c r="S44" s="73">
        <v>6</v>
      </c>
      <c r="T44" s="81"/>
      <c r="U44" s="85">
        <v>27236</v>
      </c>
      <c r="V44" s="158" t="s">
        <v>808</v>
      </c>
      <c r="Y44" s="83"/>
      <c r="AD44" s="82"/>
      <c r="AG44" s="83"/>
      <c r="AL44" s="82"/>
      <c r="AO44" s="83"/>
      <c r="AP44" s="82"/>
      <c r="AS44" s="83"/>
      <c r="AW44" s="83"/>
      <c r="BA44" s="84"/>
    </row>
    <row r="45" spans="1:53" s="334" customFormat="1">
      <c r="A45" s="386">
        <v>1974</v>
      </c>
      <c r="B45" s="355">
        <v>27355</v>
      </c>
      <c r="C45" s="992" t="s">
        <v>559</v>
      </c>
      <c r="D45" s="992"/>
      <c r="E45" s="334">
        <v>40</v>
      </c>
      <c r="F45" s="334">
        <v>1</v>
      </c>
      <c r="G45" s="419">
        <v>20</v>
      </c>
      <c r="J45" s="435">
        <v>20</v>
      </c>
      <c r="K45" s="384">
        <f t="shared" ref="K45:K62" si="5">G45/J45*100</f>
        <v>100</v>
      </c>
      <c r="L45" s="384">
        <f t="shared" ref="L45:L62" si="6">H45/J45*100</f>
        <v>0</v>
      </c>
      <c r="M45" s="384">
        <f t="shared" ref="M45:M62" si="7">I45/J45*100</f>
        <v>0</v>
      </c>
      <c r="N45" s="421">
        <f t="shared" ref="N45:N62" si="8">SUM(K45:M45)</f>
        <v>100</v>
      </c>
      <c r="O45" s="383">
        <v>73.3</v>
      </c>
      <c r="P45" s="384"/>
      <c r="Q45" s="384"/>
      <c r="R45" s="385">
        <f>SUM(O45:Q45)</f>
        <v>73.3</v>
      </c>
      <c r="S45" s="334">
        <v>1</v>
      </c>
      <c r="T45" s="342">
        <v>27350</v>
      </c>
      <c r="U45" s="355">
        <v>27355</v>
      </c>
      <c r="V45" s="343" t="s">
        <v>190</v>
      </c>
      <c r="W45" s="334" t="s">
        <v>77</v>
      </c>
      <c r="X45" s="334" t="s">
        <v>11</v>
      </c>
      <c r="Y45" s="344">
        <v>73.3</v>
      </c>
      <c r="AD45" s="343"/>
      <c r="AG45" s="344"/>
      <c r="AL45" s="343"/>
      <c r="AO45" s="344"/>
      <c r="AP45" s="343"/>
      <c r="AS45" s="344"/>
      <c r="AW45" s="344"/>
      <c r="BA45" s="345"/>
    </row>
    <row r="46" spans="1:53" s="334" customFormat="1">
      <c r="A46" s="386">
        <v>1975</v>
      </c>
      <c r="B46" s="355"/>
      <c r="C46" s="992" t="s">
        <v>559</v>
      </c>
      <c r="D46" s="992"/>
      <c r="E46" s="334">
        <v>0</v>
      </c>
      <c r="G46" s="419">
        <v>20</v>
      </c>
      <c r="J46" s="435">
        <v>20</v>
      </c>
      <c r="K46" s="384">
        <f t="shared" si="5"/>
        <v>100</v>
      </c>
      <c r="L46" s="384">
        <f t="shared" si="6"/>
        <v>0</v>
      </c>
      <c r="M46" s="384">
        <f t="shared" si="7"/>
        <v>0</v>
      </c>
      <c r="N46" s="421">
        <f t="shared" si="8"/>
        <v>100</v>
      </c>
      <c r="O46" s="383">
        <v>73.3</v>
      </c>
      <c r="P46" s="384"/>
      <c r="Q46" s="384"/>
      <c r="R46" s="385">
        <f t="shared" ref="R46:R109" si="9">SUM(O46:Q46)</f>
        <v>73.3</v>
      </c>
      <c r="S46" s="334">
        <v>1</v>
      </c>
      <c r="T46" s="357"/>
      <c r="U46" s="355"/>
      <c r="V46" s="343" t="s">
        <v>190</v>
      </c>
      <c r="W46" s="334" t="s">
        <v>77</v>
      </c>
      <c r="X46" s="334" t="s">
        <v>11</v>
      </c>
      <c r="Y46" s="344">
        <v>73.3</v>
      </c>
      <c r="AD46" s="343"/>
      <c r="AG46" s="344"/>
      <c r="AL46" s="343"/>
      <c r="AO46" s="344"/>
      <c r="AP46" s="343"/>
      <c r="AS46" s="344"/>
      <c r="AW46" s="344"/>
      <c r="BA46" s="345"/>
    </row>
    <row r="47" spans="1:53" s="334" customFormat="1">
      <c r="A47" s="386">
        <v>1975</v>
      </c>
      <c r="B47" s="355"/>
      <c r="C47" s="992" t="s">
        <v>559</v>
      </c>
      <c r="D47" s="992"/>
      <c r="E47" s="334">
        <v>365</v>
      </c>
      <c r="G47" s="419">
        <v>20</v>
      </c>
      <c r="J47" s="435">
        <v>20</v>
      </c>
      <c r="K47" s="384">
        <f t="shared" si="5"/>
        <v>100</v>
      </c>
      <c r="L47" s="384">
        <f t="shared" si="6"/>
        <v>0</v>
      </c>
      <c r="M47" s="384">
        <f t="shared" si="7"/>
        <v>0</v>
      </c>
      <c r="N47" s="421">
        <f t="shared" si="8"/>
        <v>100</v>
      </c>
      <c r="O47" s="383">
        <v>73.3</v>
      </c>
      <c r="P47" s="384"/>
      <c r="Q47" s="384"/>
      <c r="R47" s="385">
        <f t="shared" si="9"/>
        <v>73.3</v>
      </c>
      <c r="S47" s="334">
        <v>1</v>
      </c>
      <c r="T47" s="357"/>
      <c r="U47" s="355"/>
      <c r="V47" s="343" t="s">
        <v>190</v>
      </c>
      <c r="W47" s="334" t="s">
        <v>77</v>
      </c>
      <c r="X47" s="334" t="s">
        <v>11</v>
      </c>
      <c r="Y47" s="344">
        <v>73.3</v>
      </c>
      <c r="AD47" s="343"/>
      <c r="AG47" s="344"/>
      <c r="AL47" s="343"/>
      <c r="AO47" s="344"/>
      <c r="AP47" s="343"/>
      <c r="AS47" s="344"/>
      <c r="AW47" s="344"/>
      <c r="BA47" s="345"/>
    </row>
    <row r="48" spans="1:53" s="334" customFormat="1">
      <c r="A48" s="386">
        <v>1976</v>
      </c>
      <c r="B48" s="355"/>
      <c r="C48" s="992" t="s">
        <v>559</v>
      </c>
      <c r="D48" s="992"/>
      <c r="E48" s="334">
        <v>0</v>
      </c>
      <c r="G48" s="419">
        <v>20</v>
      </c>
      <c r="J48" s="435">
        <v>20</v>
      </c>
      <c r="K48" s="384">
        <f t="shared" si="5"/>
        <v>100</v>
      </c>
      <c r="L48" s="384">
        <f t="shared" si="6"/>
        <v>0</v>
      </c>
      <c r="M48" s="384">
        <f t="shared" si="7"/>
        <v>0</v>
      </c>
      <c r="N48" s="421">
        <f t="shared" si="8"/>
        <v>100</v>
      </c>
      <c r="O48" s="383">
        <v>73.3</v>
      </c>
      <c r="P48" s="384"/>
      <c r="Q48" s="384"/>
      <c r="R48" s="385">
        <f t="shared" si="9"/>
        <v>73.3</v>
      </c>
      <c r="S48" s="334">
        <v>1</v>
      </c>
      <c r="T48" s="357"/>
      <c r="U48" s="355"/>
      <c r="V48" s="343" t="s">
        <v>190</v>
      </c>
      <c r="W48" s="334" t="s">
        <v>77</v>
      </c>
      <c r="X48" s="334" t="s">
        <v>11</v>
      </c>
      <c r="Y48" s="344">
        <v>73.3</v>
      </c>
      <c r="AD48" s="343"/>
      <c r="AG48" s="344"/>
      <c r="AL48" s="343"/>
      <c r="AO48" s="344"/>
      <c r="AP48" s="343"/>
      <c r="AS48" s="344"/>
      <c r="AW48" s="344"/>
      <c r="BA48" s="345"/>
    </row>
    <row r="49" spans="1:53" s="334" customFormat="1">
      <c r="A49" s="386">
        <v>1976</v>
      </c>
      <c r="B49" s="355"/>
      <c r="C49" s="992" t="s">
        <v>559</v>
      </c>
      <c r="D49" s="992"/>
      <c r="E49" s="334">
        <v>366</v>
      </c>
      <c r="G49" s="419">
        <v>20</v>
      </c>
      <c r="J49" s="435">
        <v>20</v>
      </c>
      <c r="K49" s="384">
        <f t="shared" si="5"/>
        <v>100</v>
      </c>
      <c r="L49" s="384">
        <f t="shared" si="6"/>
        <v>0</v>
      </c>
      <c r="M49" s="384">
        <f t="shared" si="7"/>
        <v>0</v>
      </c>
      <c r="N49" s="421">
        <f t="shared" si="8"/>
        <v>100</v>
      </c>
      <c r="O49" s="383">
        <v>73.3</v>
      </c>
      <c r="P49" s="384"/>
      <c r="Q49" s="384"/>
      <c r="R49" s="385">
        <f t="shared" si="9"/>
        <v>73.3</v>
      </c>
      <c r="S49" s="334">
        <v>1</v>
      </c>
      <c r="T49" s="357"/>
      <c r="U49" s="355"/>
      <c r="V49" s="343" t="s">
        <v>190</v>
      </c>
      <c r="W49" s="334" t="s">
        <v>77</v>
      </c>
      <c r="X49" s="334" t="s">
        <v>11</v>
      </c>
      <c r="Y49" s="344">
        <v>73.3</v>
      </c>
      <c r="AD49" s="343"/>
      <c r="AG49" s="344"/>
      <c r="AL49" s="343"/>
      <c r="AO49" s="344"/>
      <c r="AP49" s="343"/>
      <c r="AS49" s="344"/>
      <c r="AW49" s="344"/>
      <c r="BA49" s="345"/>
    </row>
    <row r="50" spans="1:53" s="334" customFormat="1">
      <c r="A50" s="386">
        <v>1977</v>
      </c>
      <c r="B50" s="355"/>
      <c r="C50" s="992" t="s">
        <v>559</v>
      </c>
      <c r="D50" s="992"/>
      <c r="E50" s="334">
        <v>331</v>
      </c>
      <c r="G50" s="419">
        <v>20</v>
      </c>
      <c r="J50" s="435">
        <v>20</v>
      </c>
      <c r="K50" s="384">
        <f t="shared" si="5"/>
        <v>100</v>
      </c>
      <c r="L50" s="384">
        <f t="shared" si="6"/>
        <v>0</v>
      </c>
      <c r="M50" s="384">
        <f t="shared" si="7"/>
        <v>0</v>
      </c>
      <c r="N50" s="421">
        <f t="shared" si="8"/>
        <v>100</v>
      </c>
      <c r="O50" s="383">
        <v>73.3</v>
      </c>
      <c r="P50" s="384"/>
      <c r="Q50" s="384"/>
      <c r="R50" s="385">
        <f t="shared" si="9"/>
        <v>73.3</v>
      </c>
      <c r="S50" s="334">
        <v>1</v>
      </c>
      <c r="T50" s="357"/>
      <c r="U50" s="355"/>
      <c r="V50" s="343" t="s">
        <v>190</v>
      </c>
      <c r="W50" s="334" t="s">
        <v>77</v>
      </c>
      <c r="X50" s="334" t="s">
        <v>11</v>
      </c>
      <c r="Y50" s="344">
        <v>73.3</v>
      </c>
      <c r="AD50" s="343"/>
      <c r="AG50" s="344"/>
      <c r="AL50" s="343"/>
      <c r="AO50" s="344"/>
      <c r="AP50" s="343"/>
      <c r="AS50" s="344"/>
      <c r="AW50" s="344"/>
      <c r="BA50" s="345"/>
    </row>
    <row r="51" spans="1:53" s="73" customFormat="1">
      <c r="A51" s="102">
        <v>1977</v>
      </c>
      <c r="B51" s="85">
        <v>28457</v>
      </c>
      <c r="C51" s="988" t="s">
        <v>774</v>
      </c>
      <c r="D51" s="988"/>
      <c r="E51" s="73">
        <v>34</v>
      </c>
      <c r="F51" s="73">
        <v>1</v>
      </c>
      <c r="G51" s="123">
        <v>21</v>
      </c>
      <c r="J51" s="134">
        <v>22</v>
      </c>
      <c r="K51" s="92">
        <f t="shared" si="5"/>
        <v>95.454545454545453</v>
      </c>
      <c r="L51" s="92">
        <f t="shared" si="6"/>
        <v>0</v>
      </c>
      <c r="M51" s="92">
        <f t="shared" si="7"/>
        <v>0</v>
      </c>
      <c r="N51" s="125">
        <f t="shared" si="8"/>
        <v>95.454545454545453</v>
      </c>
      <c r="O51" s="91">
        <v>57</v>
      </c>
      <c r="P51" s="92"/>
      <c r="Q51" s="92"/>
      <c r="R51" s="93">
        <f t="shared" si="9"/>
        <v>57</v>
      </c>
      <c r="S51" s="73">
        <v>1</v>
      </c>
      <c r="T51" s="95">
        <v>28449</v>
      </c>
      <c r="U51" s="85">
        <v>28457</v>
      </c>
      <c r="V51" s="82" t="s">
        <v>190</v>
      </c>
      <c r="W51" s="73" t="s">
        <v>77</v>
      </c>
      <c r="X51" s="73" t="s">
        <v>11</v>
      </c>
      <c r="Y51" s="83">
        <v>57</v>
      </c>
      <c r="AD51" s="82"/>
      <c r="AG51" s="83"/>
      <c r="AL51" s="82"/>
      <c r="AO51" s="83"/>
      <c r="AP51" s="82"/>
      <c r="AS51" s="83"/>
      <c r="AW51" s="83"/>
      <c r="BA51" s="84"/>
    </row>
    <row r="52" spans="1:53" s="73" customFormat="1">
      <c r="A52" s="102">
        <v>1978</v>
      </c>
      <c r="B52" s="85"/>
      <c r="C52" s="988" t="s">
        <v>774</v>
      </c>
      <c r="D52" s="988"/>
      <c r="E52" s="73">
        <v>0</v>
      </c>
      <c r="G52" s="123">
        <v>21</v>
      </c>
      <c r="J52" s="134">
        <v>22</v>
      </c>
      <c r="K52" s="92">
        <f t="shared" si="5"/>
        <v>95.454545454545453</v>
      </c>
      <c r="L52" s="92">
        <f t="shared" si="6"/>
        <v>0</v>
      </c>
      <c r="M52" s="92">
        <f t="shared" si="7"/>
        <v>0</v>
      </c>
      <c r="N52" s="125">
        <f t="shared" si="8"/>
        <v>95.454545454545453</v>
      </c>
      <c r="O52" s="91">
        <v>57</v>
      </c>
      <c r="P52" s="92"/>
      <c r="Q52" s="92"/>
      <c r="R52" s="93">
        <f t="shared" si="9"/>
        <v>57</v>
      </c>
      <c r="S52" s="73">
        <v>1</v>
      </c>
      <c r="T52" s="81"/>
      <c r="U52" s="85"/>
      <c r="V52" s="82" t="s">
        <v>190</v>
      </c>
      <c r="W52" s="73" t="s">
        <v>77</v>
      </c>
      <c r="X52" s="73" t="s">
        <v>11</v>
      </c>
      <c r="Y52" s="83">
        <v>57</v>
      </c>
      <c r="AD52" s="82"/>
      <c r="AG52" s="83"/>
      <c r="AL52" s="82"/>
      <c r="AO52" s="83"/>
      <c r="AP52" s="82"/>
      <c r="AS52" s="83"/>
      <c r="AW52" s="83"/>
      <c r="BA52" s="84"/>
    </row>
    <row r="53" spans="1:53" s="73" customFormat="1">
      <c r="A53" s="102">
        <v>1978</v>
      </c>
      <c r="B53" s="85"/>
      <c r="C53" s="988" t="s">
        <v>774</v>
      </c>
      <c r="D53" s="988"/>
      <c r="E53" s="73">
        <v>365</v>
      </c>
      <c r="G53" s="123">
        <v>21</v>
      </c>
      <c r="J53" s="134">
        <v>22</v>
      </c>
      <c r="K53" s="92">
        <f t="shared" si="5"/>
        <v>95.454545454545453</v>
      </c>
      <c r="L53" s="92">
        <f t="shared" si="6"/>
        <v>0</v>
      </c>
      <c r="M53" s="92">
        <f t="shared" si="7"/>
        <v>0</v>
      </c>
      <c r="N53" s="125">
        <f t="shared" si="8"/>
        <v>95.454545454545453</v>
      </c>
      <c r="O53" s="91">
        <v>57</v>
      </c>
      <c r="P53" s="92"/>
      <c r="Q53" s="92"/>
      <c r="R53" s="93">
        <f t="shared" si="9"/>
        <v>57</v>
      </c>
      <c r="S53" s="73">
        <v>1</v>
      </c>
      <c r="T53" s="81"/>
      <c r="U53" s="85"/>
      <c r="V53" s="82" t="s">
        <v>190</v>
      </c>
      <c r="W53" s="73" t="s">
        <v>77</v>
      </c>
      <c r="X53" s="73" t="s">
        <v>11</v>
      </c>
      <c r="Y53" s="83">
        <v>57</v>
      </c>
      <c r="AD53" s="82"/>
      <c r="AG53" s="83"/>
      <c r="AL53" s="82"/>
      <c r="AO53" s="83"/>
      <c r="AP53" s="82"/>
      <c r="AS53" s="83"/>
      <c r="AW53" s="83"/>
      <c r="BA53" s="84"/>
    </row>
    <row r="54" spans="1:53" s="73" customFormat="1">
      <c r="A54" s="102">
        <v>1979</v>
      </c>
      <c r="B54" s="85"/>
      <c r="C54" s="988" t="s">
        <v>774</v>
      </c>
      <c r="D54" s="988"/>
      <c r="E54" s="73">
        <v>0</v>
      </c>
      <c r="G54" s="123">
        <v>21</v>
      </c>
      <c r="J54" s="134">
        <v>22</v>
      </c>
      <c r="K54" s="92">
        <f t="shared" si="5"/>
        <v>95.454545454545453</v>
      </c>
      <c r="L54" s="92">
        <f t="shared" si="6"/>
        <v>0</v>
      </c>
      <c r="M54" s="92">
        <f t="shared" si="7"/>
        <v>0</v>
      </c>
      <c r="N54" s="125">
        <f t="shared" si="8"/>
        <v>95.454545454545453</v>
      </c>
      <c r="O54" s="91">
        <v>57</v>
      </c>
      <c r="P54" s="92"/>
      <c r="Q54" s="92"/>
      <c r="R54" s="93">
        <f t="shared" si="9"/>
        <v>57</v>
      </c>
      <c r="S54" s="73">
        <v>1</v>
      </c>
      <c r="T54" s="81"/>
      <c r="U54" s="85"/>
      <c r="V54" s="82" t="s">
        <v>190</v>
      </c>
      <c r="W54" s="73" t="s">
        <v>77</v>
      </c>
      <c r="X54" s="73" t="s">
        <v>11</v>
      </c>
      <c r="Y54" s="83">
        <v>57</v>
      </c>
      <c r="AD54" s="82"/>
      <c r="AG54" s="83"/>
      <c r="AL54" s="82"/>
      <c r="AO54" s="83"/>
      <c r="AP54" s="82"/>
      <c r="AS54" s="83"/>
      <c r="AW54" s="83"/>
      <c r="BA54" s="84"/>
    </row>
    <row r="55" spans="1:53" s="73" customFormat="1">
      <c r="A55" s="102">
        <v>1979</v>
      </c>
      <c r="B55" s="85"/>
      <c r="C55" s="988" t="s">
        <v>774</v>
      </c>
      <c r="D55" s="988"/>
      <c r="E55" s="73">
        <v>365</v>
      </c>
      <c r="G55" s="123">
        <v>21</v>
      </c>
      <c r="J55" s="134">
        <v>22</v>
      </c>
      <c r="K55" s="92">
        <f t="shared" si="5"/>
        <v>95.454545454545453</v>
      </c>
      <c r="L55" s="92">
        <f t="shared" si="6"/>
        <v>0</v>
      </c>
      <c r="M55" s="92">
        <f t="shared" si="7"/>
        <v>0</v>
      </c>
      <c r="N55" s="125">
        <f t="shared" si="8"/>
        <v>95.454545454545453</v>
      </c>
      <c r="O55" s="91">
        <v>57</v>
      </c>
      <c r="P55" s="92"/>
      <c r="Q55" s="92"/>
      <c r="R55" s="93">
        <f t="shared" si="9"/>
        <v>57</v>
      </c>
      <c r="S55" s="73">
        <v>1</v>
      </c>
      <c r="T55" s="81"/>
      <c r="U55" s="85"/>
      <c r="V55" s="82" t="s">
        <v>190</v>
      </c>
      <c r="W55" s="73" t="s">
        <v>77</v>
      </c>
      <c r="X55" s="73" t="s">
        <v>11</v>
      </c>
      <c r="Y55" s="83">
        <v>57</v>
      </c>
      <c r="AD55" s="82"/>
      <c r="AG55" s="83"/>
      <c r="AL55" s="82"/>
      <c r="AO55" s="83"/>
      <c r="AP55" s="82"/>
      <c r="AS55" s="83"/>
      <c r="AW55" s="83"/>
      <c r="BA55" s="84"/>
    </row>
    <row r="56" spans="1:53" s="73" customFormat="1">
      <c r="A56" s="102">
        <v>1980</v>
      </c>
      <c r="B56" s="85"/>
      <c r="C56" s="988" t="s">
        <v>774</v>
      </c>
      <c r="D56" s="988"/>
      <c r="E56" s="73">
        <v>129</v>
      </c>
      <c r="G56" s="123">
        <v>21</v>
      </c>
      <c r="J56" s="134">
        <v>22</v>
      </c>
      <c r="K56" s="92">
        <f t="shared" si="5"/>
        <v>95.454545454545453</v>
      </c>
      <c r="L56" s="92">
        <f t="shared" si="6"/>
        <v>0</v>
      </c>
      <c r="M56" s="92">
        <f t="shared" si="7"/>
        <v>0</v>
      </c>
      <c r="N56" s="125">
        <f t="shared" si="8"/>
        <v>95.454545454545453</v>
      </c>
      <c r="O56" s="91">
        <v>57</v>
      </c>
      <c r="P56" s="92"/>
      <c r="Q56" s="92"/>
      <c r="R56" s="93">
        <f t="shared" si="9"/>
        <v>57</v>
      </c>
      <c r="S56" s="73">
        <v>1</v>
      </c>
      <c r="T56" s="81"/>
      <c r="U56" s="85"/>
      <c r="V56" s="82" t="s">
        <v>190</v>
      </c>
      <c r="W56" s="73" t="s">
        <v>77</v>
      </c>
      <c r="X56" s="73" t="s">
        <v>11</v>
      </c>
      <c r="Y56" s="83">
        <v>57</v>
      </c>
      <c r="AD56" s="82"/>
      <c r="AG56" s="83"/>
      <c r="AL56" s="82"/>
      <c r="AO56" s="83"/>
      <c r="AP56" s="82"/>
      <c r="AS56" s="83"/>
      <c r="AW56" s="83"/>
      <c r="BA56" s="84"/>
    </row>
    <row r="57" spans="1:53" s="334" customFormat="1">
      <c r="A57" s="386">
        <v>1980</v>
      </c>
      <c r="B57" s="355">
        <v>29350</v>
      </c>
      <c r="C57" s="992" t="s">
        <v>178</v>
      </c>
      <c r="D57" s="992"/>
      <c r="E57" s="334">
        <v>237</v>
      </c>
      <c r="F57" s="334">
        <v>2</v>
      </c>
      <c r="G57" s="419">
        <v>22</v>
      </c>
      <c r="J57" s="435">
        <v>24</v>
      </c>
      <c r="K57" s="384">
        <f t="shared" si="5"/>
        <v>91.666666666666657</v>
      </c>
      <c r="L57" s="384">
        <f t="shared" si="6"/>
        <v>0</v>
      </c>
      <c r="M57" s="384">
        <f t="shared" si="7"/>
        <v>0</v>
      </c>
      <c r="N57" s="421">
        <f t="shared" si="8"/>
        <v>91.666666666666657</v>
      </c>
      <c r="O57" s="383">
        <v>57</v>
      </c>
      <c r="P57" s="384"/>
      <c r="Q57" s="384"/>
      <c r="R57" s="385">
        <f t="shared" si="9"/>
        <v>57</v>
      </c>
      <c r="S57" s="334">
        <v>1</v>
      </c>
      <c r="T57" s="357"/>
      <c r="U57" s="355">
        <v>29350</v>
      </c>
      <c r="V57" s="343" t="s">
        <v>190</v>
      </c>
      <c r="W57" s="334" t="s">
        <v>77</v>
      </c>
      <c r="X57" s="334" t="s">
        <v>11</v>
      </c>
      <c r="Y57" s="344">
        <v>57</v>
      </c>
      <c r="AD57" s="343"/>
      <c r="AG57" s="344"/>
      <c r="AL57" s="343"/>
      <c r="AO57" s="344"/>
      <c r="AP57" s="343"/>
      <c r="AS57" s="344"/>
      <c r="AW57" s="344"/>
      <c r="BA57" s="345"/>
    </row>
    <row r="58" spans="1:53" s="334" customFormat="1">
      <c r="A58" s="386">
        <v>1981</v>
      </c>
      <c r="B58" s="355"/>
      <c r="C58" s="992" t="s">
        <v>178</v>
      </c>
      <c r="D58" s="992"/>
      <c r="E58" s="334">
        <v>293</v>
      </c>
      <c r="G58" s="419">
        <v>22</v>
      </c>
      <c r="J58" s="435">
        <v>24</v>
      </c>
      <c r="K58" s="384">
        <f t="shared" si="5"/>
        <v>91.666666666666657</v>
      </c>
      <c r="L58" s="384">
        <f t="shared" si="6"/>
        <v>0</v>
      </c>
      <c r="M58" s="384">
        <f t="shared" si="7"/>
        <v>0</v>
      </c>
      <c r="N58" s="421">
        <f t="shared" si="8"/>
        <v>91.666666666666657</v>
      </c>
      <c r="O58" s="383">
        <v>57</v>
      </c>
      <c r="P58" s="384"/>
      <c r="Q58" s="384"/>
      <c r="R58" s="385">
        <f t="shared" si="9"/>
        <v>57</v>
      </c>
      <c r="S58" s="334">
        <v>1</v>
      </c>
      <c r="T58" s="342"/>
      <c r="U58" s="355"/>
      <c r="V58" s="343" t="s">
        <v>190</v>
      </c>
      <c r="W58" s="334" t="s">
        <v>77</v>
      </c>
      <c r="X58" s="334" t="s">
        <v>11</v>
      </c>
      <c r="Y58" s="344">
        <v>57</v>
      </c>
      <c r="AD58" s="343"/>
      <c r="AG58" s="344"/>
      <c r="AL58" s="343"/>
      <c r="AO58" s="344"/>
      <c r="AP58" s="343"/>
      <c r="AS58" s="344"/>
      <c r="AW58" s="344"/>
      <c r="BA58" s="345"/>
    </row>
    <row r="59" spans="1:53" s="73" customFormat="1">
      <c r="A59" s="102">
        <v>1981</v>
      </c>
      <c r="B59" s="85">
        <v>29880</v>
      </c>
      <c r="C59" s="988" t="s">
        <v>1373</v>
      </c>
      <c r="D59" s="988"/>
      <c r="E59" s="73">
        <v>72</v>
      </c>
      <c r="F59" s="73">
        <v>1</v>
      </c>
      <c r="G59" s="123"/>
      <c r="I59" s="73">
        <v>21</v>
      </c>
      <c r="J59" s="134">
        <v>21</v>
      </c>
      <c r="K59" s="92">
        <f t="shared" si="5"/>
        <v>0</v>
      </c>
      <c r="L59" s="92">
        <f t="shared" si="6"/>
        <v>0</v>
      </c>
      <c r="M59" s="92">
        <f t="shared" si="7"/>
        <v>100</v>
      </c>
      <c r="N59" s="125">
        <f t="shared" si="8"/>
        <v>100</v>
      </c>
      <c r="O59" s="91"/>
      <c r="P59" s="92"/>
      <c r="Q59" s="92">
        <v>57.3</v>
      </c>
      <c r="R59" s="93">
        <f t="shared" si="9"/>
        <v>57.3</v>
      </c>
      <c r="S59" s="73">
        <v>1</v>
      </c>
      <c r="T59" s="95">
        <v>29877</v>
      </c>
      <c r="U59" s="85">
        <v>29880</v>
      </c>
      <c r="V59" s="82" t="s">
        <v>191</v>
      </c>
      <c r="W59" s="73" t="s">
        <v>20</v>
      </c>
      <c r="X59" s="73" t="s">
        <v>12</v>
      </c>
      <c r="Y59" s="83">
        <v>57.3</v>
      </c>
      <c r="AD59" s="82"/>
      <c r="AG59" s="83"/>
      <c r="AL59" s="82"/>
      <c r="AO59" s="83"/>
      <c r="AP59" s="82"/>
      <c r="AS59" s="83"/>
      <c r="AW59" s="83"/>
      <c r="BA59" s="84"/>
    </row>
    <row r="60" spans="1:53" s="73" customFormat="1">
      <c r="A60" s="102">
        <v>1982</v>
      </c>
      <c r="B60" s="85"/>
      <c r="C60" s="988" t="s">
        <v>1373</v>
      </c>
      <c r="D60" s="988"/>
      <c r="E60" s="73">
        <v>0</v>
      </c>
      <c r="G60" s="123"/>
      <c r="I60" s="73">
        <v>21</v>
      </c>
      <c r="J60" s="134">
        <v>21</v>
      </c>
      <c r="K60" s="92">
        <f t="shared" si="5"/>
        <v>0</v>
      </c>
      <c r="L60" s="92">
        <f t="shared" si="6"/>
        <v>0</v>
      </c>
      <c r="M60" s="92">
        <f t="shared" si="7"/>
        <v>100</v>
      </c>
      <c r="N60" s="125">
        <f t="shared" si="8"/>
        <v>100</v>
      </c>
      <c r="O60" s="91"/>
      <c r="P60" s="92"/>
      <c r="Q60" s="92">
        <v>57.3</v>
      </c>
      <c r="R60" s="93">
        <f t="shared" si="9"/>
        <v>57.3</v>
      </c>
      <c r="S60" s="73">
        <v>1</v>
      </c>
      <c r="T60" s="81"/>
      <c r="U60" s="85"/>
      <c r="V60" s="82" t="s">
        <v>191</v>
      </c>
      <c r="W60" s="73" t="s">
        <v>20</v>
      </c>
      <c r="X60" s="73" t="s">
        <v>12</v>
      </c>
      <c r="Y60" s="83">
        <v>57.3</v>
      </c>
      <c r="AD60" s="82"/>
      <c r="AG60" s="83"/>
      <c r="AL60" s="82"/>
      <c r="AO60" s="83"/>
      <c r="AP60" s="82"/>
      <c r="AS60" s="83"/>
      <c r="AW60" s="83"/>
      <c r="BA60" s="84"/>
    </row>
    <row r="61" spans="1:53" s="73" customFormat="1">
      <c r="A61" s="102">
        <v>1982</v>
      </c>
      <c r="B61" s="85"/>
      <c r="C61" s="988" t="s">
        <v>1373</v>
      </c>
      <c r="D61" s="988"/>
      <c r="E61" s="73">
        <v>365</v>
      </c>
      <c r="G61" s="123"/>
      <c r="I61" s="73">
        <v>21</v>
      </c>
      <c r="J61" s="134">
        <v>21</v>
      </c>
      <c r="K61" s="92">
        <f t="shared" si="5"/>
        <v>0</v>
      </c>
      <c r="L61" s="92">
        <f t="shared" si="6"/>
        <v>0</v>
      </c>
      <c r="M61" s="92">
        <f t="shared" si="7"/>
        <v>100</v>
      </c>
      <c r="N61" s="125">
        <f t="shared" si="8"/>
        <v>100</v>
      </c>
      <c r="O61" s="91"/>
      <c r="P61" s="92"/>
      <c r="Q61" s="92">
        <v>57.3</v>
      </c>
      <c r="R61" s="93">
        <f t="shared" si="9"/>
        <v>57.3</v>
      </c>
      <c r="S61" s="73">
        <v>1</v>
      </c>
      <c r="T61" s="81"/>
      <c r="U61" s="85"/>
      <c r="V61" s="82" t="s">
        <v>191</v>
      </c>
      <c r="W61" s="73" t="s">
        <v>20</v>
      </c>
      <c r="X61" s="73" t="s">
        <v>12</v>
      </c>
      <c r="Y61" s="83">
        <v>57.3</v>
      </c>
      <c r="AD61" s="82"/>
      <c r="AG61" s="83"/>
      <c r="AL61" s="82"/>
      <c r="AO61" s="83"/>
      <c r="AP61" s="82"/>
      <c r="AS61" s="83"/>
      <c r="AW61" s="83"/>
      <c r="BA61" s="84"/>
    </row>
    <row r="62" spans="1:53" s="73" customFormat="1">
      <c r="A62" s="102">
        <v>1983</v>
      </c>
      <c r="B62" s="85"/>
      <c r="C62" s="988" t="s">
        <v>1373</v>
      </c>
      <c r="D62" s="988"/>
      <c r="E62" s="73">
        <v>0</v>
      </c>
      <c r="G62" s="123"/>
      <c r="I62" s="73">
        <v>21</v>
      </c>
      <c r="J62" s="134">
        <v>21</v>
      </c>
      <c r="K62" s="92">
        <f t="shared" si="5"/>
        <v>0</v>
      </c>
      <c r="L62" s="92">
        <f t="shared" si="6"/>
        <v>0</v>
      </c>
      <c r="M62" s="92">
        <f t="shared" si="7"/>
        <v>100</v>
      </c>
      <c r="N62" s="125">
        <f t="shared" si="8"/>
        <v>100</v>
      </c>
      <c r="O62" s="91"/>
      <c r="P62" s="92"/>
      <c r="Q62" s="92">
        <v>57.3</v>
      </c>
      <c r="R62" s="93">
        <f t="shared" si="9"/>
        <v>57.3</v>
      </c>
      <c r="S62" s="73">
        <v>1</v>
      </c>
      <c r="T62" s="81"/>
      <c r="U62" s="85"/>
      <c r="V62" s="82" t="s">
        <v>191</v>
      </c>
      <c r="W62" s="73" t="s">
        <v>20</v>
      </c>
      <c r="X62" s="73" t="s">
        <v>12</v>
      </c>
      <c r="Y62" s="83">
        <v>57.3</v>
      </c>
      <c r="AD62" s="82"/>
      <c r="AG62" s="83"/>
      <c r="AL62" s="82"/>
      <c r="AO62" s="83"/>
      <c r="AP62" s="82"/>
      <c r="AS62" s="83"/>
      <c r="AW62" s="83"/>
      <c r="BA62" s="84"/>
    </row>
    <row r="63" spans="1:53" s="73" customFormat="1">
      <c r="A63" s="102">
        <v>1983</v>
      </c>
      <c r="B63" s="85"/>
      <c r="C63" s="988" t="s">
        <v>1373</v>
      </c>
      <c r="D63" s="988"/>
      <c r="E63" s="73">
        <v>365</v>
      </c>
      <c r="G63" s="123"/>
      <c r="I63" s="73">
        <v>21</v>
      </c>
      <c r="J63" s="134">
        <v>21</v>
      </c>
      <c r="K63" s="92">
        <f>G63/J63*100</f>
        <v>0</v>
      </c>
      <c r="L63" s="92">
        <f>H63/J63*100</f>
        <v>0</v>
      </c>
      <c r="M63" s="92">
        <f>I63/J63*100</f>
        <v>100</v>
      </c>
      <c r="N63" s="125">
        <f t="shared" ref="N63:N126" si="10">SUM(K63:M63)</f>
        <v>100</v>
      </c>
      <c r="O63" s="91"/>
      <c r="P63" s="92"/>
      <c r="Q63" s="92">
        <v>57.3</v>
      </c>
      <c r="R63" s="93">
        <f t="shared" si="9"/>
        <v>57.3</v>
      </c>
      <c r="S63" s="73">
        <v>1</v>
      </c>
      <c r="T63" s="81"/>
      <c r="U63" s="85"/>
      <c r="V63" s="82" t="s">
        <v>191</v>
      </c>
      <c r="W63" s="73" t="s">
        <v>20</v>
      </c>
      <c r="X63" s="73" t="s">
        <v>12</v>
      </c>
      <c r="Y63" s="83">
        <v>57.3</v>
      </c>
      <c r="AD63" s="82"/>
      <c r="AG63" s="83"/>
      <c r="AL63" s="82"/>
      <c r="AO63" s="83"/>
      <c r="AP63" s="82"/>
      <c r="AS63" s="83"/>
      <c r="AW63" s="83"/>
      <c r="BA63" s="84"/>
    </row>
    <row r="64" spans="1:53" s="73" customFormat="1">
      <c r="A64" s="102">
        <v>1984</v>
      </c>
      <c r="B64" s="85"/>
      <c r="C64" s="988" t="s">
        <v>1373</v>
      </c>
      <c r="D64" s="988"/>
      <c r="E64" s="73">
        <v>0</v>
      </c>
      <c r="G64" s="123"/>
      <c r="I64" s="73">
        <v>21</v>
      </c>
      <c r="J64" s="134">
        <v>21</v>
      </c>
      <c r="K64" s="92">
        <f t="shared" ref="K64:K79" si="11">G64/J64*100</f>
        <v>0</v>
      </c>
      <c r="L64" s="92">
        <f t="shared" ref="L64:L79" si="12">H64/J64*100</f>
        <v>0</v>
      </c>
      <c r="M64" s="92">
        <f t="shared" ref="M64:M79" si="13">I64/J64*100</f>
        <v>100</v>
      </c>
      <c r="N64" s="125">
        <f t="shared" si="10"/>
        <v>100</v>
      </c>
      <c r="O64" s="91"/>
      <c r="P64" s="92"/>
      <c r="Q64" s="92">
        <v>57.3</v>
      </c>
      <c r="R64" s="93">
        <f t="shared" si="9"/>
        <v>57.3</v>
      </c>
      <c r="S64" s="73">
        <v>1</v>
      </c>
      <c r="T64" s="81"/>
      <c r="U64" s="85"/>
      <c r="V64" s="82" t="s">
        <v>191</v>
      </c>
      <c r="W64" s="73" t="s">
        <v>20</v>
      </c>
      <c r="X64" s="73" t="s">
        <v>12</v>
      </c>
      <c r="Y64" s="83">
        <v>57.3</v>
      </c>
      <c r="AD64" s="82"/>
      <c r="AG64" s="83"/>
      <c r="AL64" s="82"/>
      <c r="AO64" s="83"/>
      <c r="AP64" s="82"/>
      <c r="AS64" s="83"/>
      <c r="AW64" s="83"/>
      <c r="BA64" s="84"/>
    </row>
    <row r="65" spans="1:53" s="73" customFormat="1">
      <c r="A65" s="102">
        <v>1984</v>
      </c>
      <c r="B65" s="85"/>
      <c r="C65" s="988" t="s">
        <v>1373</v>
      </c>
      <c r="D65" s="988"/>
      <c r="E65" s="73">
        <v>366</v>
      </c>
      <c r="G65" s="123"/>
      <c r="I65" s="73">
        <v>21</v>
      </c>
      <c r="J65" s="134">
        <v>21</v>
      </c>
      <c r="K65" s="92">
        <f t="shared" ref="K65:K70" si="14">G65/J65*100</f>
        <v>0</v>
      </c>
      <c r="L65" s="92">
        <f t="shared" ref="L65:L70" si="15">H65/J65*100</f>
        <v>0</v>
      </c>
      <c r="M65" s="92">
        <f t="shared" ref="M65:M70" si="16">I65/J65*100</f>
        <v>100</v>
      </c>
      <c r="N65" s="125">
        <f t="shared" si="10"/>
        <v>100</v>
      </c>
      <c r="O65" s="91"/>
      <c r="P65" s="92"/>
      <c r="Q65" s="92">
        <v>57.3</v>
      </c>
      <c r="R65" s="93">
        <f t="shared" si="9"/>
        <v>57.3</v>
      </c>
      <c r="S65" s="73">
        <v>1</v>
      </c>
      <c r="T65" s="81"/>
      <c r="U65" s="85"/>
      <c r="V65" s="82" t="s">
        <v>191</v>
      </c>
      <c r="W65" s="73" t="s">
        <v>20</v>
      </c>
      <c r="X65" s="73" t="s">
        <v>12</v>
      </c>
      <c r="Y65" s="83">
        <v>57.3</v>
      </c>
      <c r="AD65" s="82"/>
      <c r="AG65" s="83"/>
      <c r="AL65" s="82"/>
      <c r="AO65" s="83"/>
      <c r="AP65" s="82"/>
      <c r="AS65" s="83"/>
      <c r="AW65" s="83"/>
      <c r="BA65" s="84"/>
    </row>
    <row r="66" spans="1:53" s="73" customFormat="1">
      <c r="A66" s="102">
        <v>1985</v>
      </c>
      <c r="B66" s="85"/>
      <c r="C66" s="988" t="s">
        <v>1373</v>
      </c>
      <c r="D66" s="988"/>
      <c r="E66" s="73">
        <v>155</v>
      </c>
      <c r="G66" s="123"/>
      <c r="I66" s="73">
        <v>21</v>
      </c>
      <c r="J66" s="134">
        <v>21</v>
      </c>
      <c r="K66" s="92">
        <f t="shared" si="14"/>
        <v>0</v>
      </c>
      <c r="L66" s="92">
        <f t="shared" si="15"/>
        <v>0</v>
      </c>
      <c r="M66" s="92">
        <f t="shared" si="16"/>
        <v>100</v>
      </c>
      <c r="N66" s="125">
        <f t="shared" si="10"/>
        <v>100</v>
      </c>
      <c r="O66" s="91"/>
      <c r="P66" s="92"/>
      <c r="Q66" s="92">
        <v>57.3</v>
      </c>
      <c r="R66" s="93">
        <f t="shared" si="9"/>
        <v>57.3</v>
      </c>
      <c r="S66" s="73">
        <v>1</v>
      </c>
      <c r="T66" s="81"/>
      <c r="U66" s="85"/>
      <c r="V66" s="82" t="s">
        <v>191</v>
      </c>
      <c r="W66" s="73" t="s">
        <v>20</v>
      </c>
      <c r="X66" s="73" t="s">
        <v>12</v>
      </c>
      <c r="Y66" s="83">
        <v>57.3</v>
      </c>
      <c r="AD66" s="82"/>
      <c r="AG66" s="83"/>
      <c r="AL66" s="82"/>
      <c r="AO66" s="83"/>
      <c r="AP66" s="82"/>
      <c r="AS66" s="83"/>
      <c r="AW66" s="83"/>
      <c r="BA66" s="84"/>
    </row>
    <row r="67" spans="1:53" s="334" customFormat="1">
      <c r="A67" s="386">
        <v>1985</v>
      </c>
      <c r="B67" s="355">
        <v>31203</v>
      </c>
      <c r="C67" s="992" t="s">
        <v>1374</v>
      </c>
      <c r="D67" s="992"/>
      <c r="E67" s="334">
        <v>51</v>
      </c>
      <c r="F67" s="334">
        <v>1</v>
      </c>
      <c r="G67" s="419"/>
      <c r="I67" s="334">
        <v>15</v>
      </c>
      <c r="J67" s="435">
        <v>15</v>
      </c>
      <c r="K67" s="384">
        <f t="shared" si="14"/>
        <v>0</v>
      </c>
      <c r="L67" s="384">
        <f t="shared" si="15"/>
        <v>0</v>
      </c>
      <c r="M67" s="384">
        <f t="shared" si="16"/>
        <v>100</v>
      </c>
      <c r="N67" s="421">
        <f t="shared" si="10"/>
        <v>100</v>
      </c>
      <c r="O67" s="383"/>
      <c r="P67" s="384"/>
      <c r="Q67" s="384">
        <v>53.7</v>
      </c>
      <c r="R67" s="385">
        <f t="shared" si="9"/>
        <v>53.7</v>
      </c>
      <c r="S67" s="334">
        <v>1</v>
      </c>
      <c r="T67" s="342">
        <v>31200</v>
      </c>
      <c r="U67" s="355">
        <v>31203</v>
      </c>
      <c r="V67" s="343" t="s">
        <v>191</v>
      </c>
      <c r="W67" s="334" t="s">
        <v>20</v>
      </c>
      <c r="X67" s="334" t="s">
        <v>12</v>
      </c>
      <c r="Y67" s="344">
        <v>53.7</v>
      </c>
      <c r="AD67" s="343"/>
      <c r="AG67" s="344"/>
      <c r="AL67" s="343"/>
      <c r="AO67" s="344"/>
      <c r="AP67" s="343"/>
      <c r="AS67" s="344"/>
      <c r="AW67" s="344"/>
      <c r="BA67" s="345"/>
    </row>
    <row r="68" spans="1:53" s="334" customFormat="1">
      <c r="A68" s="386">
        <v>1985</v>
      </c>
      <c r="B68" s="445">
        <v>31254</v>
      </c>
      <c r="C68" s="992" t="s">
        <v>1374</v>
      </c>
      <c r="D68" s="992"/>
      <c r="E68" s="334">
        <v>159</v>
      </c>
      <c r="F68" s="441">
        <v>0</v>
      </c>
      <c r="G68" s="419"/>
      <c r="I68" s="334">
        <v>25</v>
      </c>
      <c r="J68" s="435">
        <v>25</v>
      </c>
      <c r="K68" s="384">
        <f t="shared" si="14"/>
        <v>0</v>
      </c>
      <c r="L68" s="384">
        <f t="shared" si="15"/>
        <v>0</v>
      </c>
      <c r="M68" s="384">
        <f t="shared" si="16"/>
        <v>100</v>
      </c>
      <c r="N68" s="421">
        <f t="shared" si="10"/>
        <v>100</v>
      </c>
      <c r="O68" s="383"/>
      <c r="P68" s="384"/>
      <c r="Q68" s="384">
        <v>53.7</v>
      </c>
      <c r="R68" s="385">
        <f t="shared" si="9"/>
        <v>53.7</v>
      </c>
      <c r="S68" s="334">
        <v>1</v>
      </c>
      <c r="T68" s="357"/>
      <c r="U68" s="355"/>
      <c r="V68" s="343" t="s">
        <v>191</v>
      </c>
      <c r="W68" s="334" t="s">
        <v>20</v>
      </c>
      <c r="X68" s="334" t="s">
        <v>12</v>
      </c>
      <c r="Y68" s="344">
        <v>53.7</v>
      </c>
      <c r="AD68" s="343"/>
      <c r="AG68" s="344"/>
      <c r="AL68" s="343"/>
      <c r="AO68" s="344"/>
      <c r="AP68" s="343"/>
      <c r="AS68" s="344"/>
      <c r="AW68" s="344"/>
      <c r="BA68" s="345"/>
    </row>
    <row r="69" spans="1:53" s="334" customFormat="1">
      <c r="A69" s="386">
        <v>1986</v>
      </c>
      <c r="B69" s="355"/>
      <c r="C69" s="992" t="s">
        <v>1374</v>
      </c>
      <c r="D69" s="992"/>
      <c r="E69" s="334">
        <v>0</v>
      </c>
      <c r="G69" s="419"/>
      <c r="I69" s="334">
        <v>25</v>
      </c>
      <c r="J69" s="435">
        <v>25</v>
      </c>
      <c r="K69" s="384">
        <f t="shared" si="14"/>
        <v>0</v>
      </c>
      <c r="L69" s="384">
        <f t="shared" si="15"/>
        <v>0</v>
      </c>
      <c r="M69" s="384">
        <f t="shared" si="16"/>
        <v>100</v>
      </c>
      <c r="N69" s="421">
        <f t="shared" si="10"/>
        <v>100</v>
      </c>
      <c r="O69" s="383"/>
      <c r="P69" s="384"/>
      <c r="Q69" s="384">
        <v>53.7</v>
      </c>
      <c r="R69" s="385">
        <f t="shared" si="9"/>
        <v>53.7</v>
      </c>
      <c r="S69" s="334">
        <v>1</v>
      </c>
      <c r="T69" s="357"/>
      <c r="U69" s="355"/>
      <c r="V69" s="343" t="s">
        <v>191</v>
      </c>
      <c r="W69" s="334" t="s">
        <v>20</v>
      </c>
      <c r="X69" s="334" t="s">
        <v>12</v>
      </c>
      <c r="Y69" s="344">
        <v>53.7</v>
      </c>
      <c r="AD69" s="343"/>
      <c r="AG69" s="344"/>
      <c r="AL69" s="343"/>
      <c r="AO69" s="344"/>
      <c r="AP69" s="343"/>
      <c r="AS69" s="344"/>
      <c r="AW69" s="344"/>
      <c r="BA69" s="345"/>
    </row>
    <row r="70" spans="1:53" s="334" customFormat="1">
      <c r="A70" s="386">
        <v>1986</v>
      </c>
      <c r="B70" s="355"/>
      <c r="C70" s="992" t="s">
        <v>1374</v>
      </c>
      <c r="D70" s="992"/>
      <c r="E70" s="334">
        <v>365</v>
      </c>
      <c r="G70" s="419"/>
      <c r="I70" s="334">
        <v>25</v>
      </c>
      <c r="J70" s="435">
        <v>25</v>
      </c>
      <c r="K70" s="384">
        <f t="shared" si="14"/>
        <v>0</v>
      </c>
      <c r="L70" s="384">
        <f t="shared" si="15"/>
        <v>0</v>
      </c>
      <c r="M70" s="384">
        <f t="shared" si="16"/>
        <v>100</v>
      </c>
      <c r="N70" s="421">
        <f t="shared" si="10"/>
        <v>100</v>
      </c>
      <c r="O70" s="383"/>
      <c r="P70" s="384"/>
      <c r="Q70" s="384">
        <v>53.7</v>
      </c>
      <c r="R70" s="385">
        <f t="shared" si="9"/>
        <v>53.7</v>
      </c>
      <c r="S70" s="334">
        <v>1</v>
      </c>
      <c r="T70" s="357"/>
      <c r="U70" s="355"/>
      <c r="V70" s="343" t="s">
        <v>191</v>
      </c>
      <c r="W70" s="334" t="s">
        <v>20</v>
      </c>
      <c r="X70" s="334" t="s">
        <v>12</v>
      </c>
      <c r="Y70" s="344">
        <v>53.7</v>
      </c>
      <c r="AD70" s="343"/>
      <c r="AG70" s="344"/>
      <c r="AL70" s="343"/>
      <c r="AO70" s="344"/>
      <c r="AP70" s="343"/>
      <c r="AS70" s="344"/>
      <c r="AW70" s="344"/>
      <c r="BA70" s="345"/>
    </row>
    <row r="71" spans="1:53" s="334" customFormat="1">
      <c r="A71" s="386">
        <v>1987</v>
      </c>
      <c r="B71" s="355"/>
      <c r="C71" s="992" t="s">
        <v>1374</v>
      </c>
      <c r="D71" s="992"/>
      <c r="E71" s="334">
        <v>0</v>
      </c>
      <c r="G71" s="419"/>
      <c r="I71" s="334">
        <v>25</v>
      </c>
      <c r="J71" s="435">
        <v>25</v>
      </c>
      <c r="K71" s="384">
        <f t="shared" si="11"/>
        <v>0</v>
      </c>
      <c r="L71" s="384">
        <f t="shared" si="12"/>
        <v>0</v>
      </c>
      <c r="M71" s="384">
        <f t="shared" si="13"/>
        <v>100</v>
      </c>
      <c r="N71" s="421">
        <f t="shared" si="10"/>
        <v>100</v>
      </c>
      <c r="O71" s="383"/>
      <c r="P71" s="384"/>
      <c r="Q71" s="384">
        <v>53.7</v>
      </c>
      <c r="R71" s="385">
        <f t="shared" si="9"/>
        <v>53.7</v>
      </c>
      <c r="S71" s="334">
        <v>1</v>
      </c>
      <c r="T71" s="357"/>
      <c r="U71" s="355"/>
      <c r="V71" s="343" t="s">
        <v>191</v>
      </c>
      <c r="W71" s="334" t="s">
        <v>20</v>
      </c>
      <c r="X71" s="334" t="s">
        <v>12</v>
      </c>
      <c r="Y71" s="344">
        <v>53.7</v>
      </c>
      <c r="AD71" s="343"/>
      <c r="AG71" s="344"/>
      <c r="AL71" s="343"/>
      <c r="AO71" s="344"/>
      <c r="AP71" s="343"/>
      <c r="AS71" s="344"/>
      <c r="AW71" s="344"/>
      <c r="BA71" s="345"/>
    </row>
    <row r="72" spans="1:53" s="334" customFormat="1">
      <c r="A72" s="386">
        <v>1987</v>
      </c>
      <c r="B72" s="355"/>
      <c r="C72" s="992" t="s">
        <v>1374</v>
      </c>
      <c r="D72" s="992"/>
      <c r="E72" s="334">
        <v>365</v>
      </c>
      <c r="G72" s="419"/>
      <c r="I72" s="334">
        <v>25</v>
      </c>
      <c r="J72" s="435">
        <v>25</v>
      </c>
      <c r="K72" s="384">
        <f t="shared" si="11"/>
        <v>0</v>
      </c>
      <c r="L72" s="384">
        <f t="shared" si="12"/>
        <v>0</v>
      </c>
      <c r="M72" s="384">
        <f t="shared" si="13"/>
        <v>100</v>
      </c>
      <c r="N72" s="421">
        <f t="shared" si="10"/>
        <v>100</v>
      </c>
      <c r="O72" s="383"/>
      <c r="P72" s="384"/>
      <c r="Q72" s="384">
        <v>53.7</v>
      </c>
      <c r="R72" s="385">
        <f t="shared" si="9"/>
        <v>53.7</v>
      </c>
      <c r="S72" s="334">
        <v>1</v>
      </c>
      <c r="T72" s="357"/>
      <c r="U72" s="355"/>
      <c r="V72" s="343" t="s">
        <v>191</v>
      </c>
      <c r="W72" s="334" t="s">
        <v>20</v>
      </c>
      <c r="X72" s="334" t="s">
        <v>12</v>
      </c>
      <c r="Y72" s="344">
        <v>53.7</v>
      </c>
      <c r="AD72" s="343"/>
      <c r="AG72" s="344"/>
      <c r="AL72" s="343"/>
      <c r="AO72" s="344"/>
      <c r="AP72" s="343"/>
      <c r="AS72" s="344"/>
      <c r="AW72" s="344"/>
      <c r="BA72" s="345"/>
    </row>
    <row r="73" spans="1:53" s="334" customFormat="1">
      <c r="A73" s="386">
        <v>1988</v>
      </c>
      <c r="B73" s="355"/>
      <c r="C73" s="992" t="s">
        <v>1374</v>
      </c>
      <c r="D73" s="992"/>
      <c r="E73" s="334">
        <v>0</v>
      </c>
      <c r="G73" s="419"/>
      <c r="I73" s="334">
        <v>25</v>
      </c>
      <c r="J73" s="435">
        <v>25</v>
      </c>
      <c r="K73" s="384">
        <f t="shared" si="11"/>
        <v>0</v>
      </c>
      <c r="L73" s="384">
        <f t="shared" si="12"/>
        <v>0</v>
      </c>
      <c r="M73" s="384">
        <f t="shared" si="13"/>
        <v>100</v>
      </c>
      <c r="N73" s="421">
        <f t="shared" si="10"/>
        <v>100</v>
      </c>
      <c r="O73" s="383"/>
      <c r="P73" s="384"/>
      <c r="Q73" s="384">
        <v>53.7</v>
      </c>
      <c r="R73" s="385">
        <f t="shared" si="9"/>
        <v>53.7</v>
      </c>
      <c r="S73" s="334">
        <v>1</v>
      </c>
      <c r="T73" s="357"/>
      <c r="U73" s="355"/>
      <c r="V73" s="343" t="s">
        <v>191</v>
      </c>
      <c r="W73" s="334" t="s">
        <v>20</v>
      </c>
      <c r="X73" s="334" t="s">
        <v>12</v>
      </c>
      <c r="Y73" s="344">
        <v>53.7</v>
      </c>
      <c r="AD73" s="343"/>
      <c r="AG73" s="344"/>
      <c r="AL73" s="343"/>
      <c r="AO73" s="344"/>
      <c r="AP73" s="343"/>
      <c r="AS73" s="344"/>
      <c r="AW73" s="344"/>
      <c r="BA73" s="345"/>
    </row>
    <row r="74" spans="1:53" s="334" customFormat="1">
      <c r="A74" s="386">
        <v>1988</v>
      </c>
      <c r="B74" s="355"/>
      <c r="C74" s="992" t="s">
        <v>1374</v>
      </c>
      <c r="D74" s="992"/>
      <c r="E74" s="334">
        <v>366</v>
      </c>
      <c r="G74" s="419"/>
      <c r="I74" s="334">
        <v>25</v>
      </c>
      <c r="J74" s="435">
        <v>25</v>
      </c>
      <c r="K74" s="384">
        <f t="shared" si="11"/>
        <v>0</v>
      </c>
      <c r="L74" s="384">
        <f t="shared" si="12"/>
        <v>0</v>
      </c>
      <c r="M74" s="384">
        <f t="shared" si="13"/>
        <v>100</v>
      </c>
      <c r="N74" s="421">
        <f t="shared" si="10"/>
        <v>100</v>
      </c>
      <c r="O74" s="383"/>
      <c r="P74" s="384"/>
      <c r="Q74" s="384">
        <v>53.7</v>
      </c>
      <c r="R74" s="385">
        <f t="shared" si="9"/>
        <v>53.7</v>
      </c>
      <c r="S74" s="334">
        <v>1</v>
      </c>
      <c r="T74" s="357"/>
      <c r="U74" s="355"/>
      <c r="V74" s="343" t="s">
        <v>191</v>
      </c>
      <c r="W74" s="334" t="s">
        <v>20</v>
      </c>
      <c r="X74" s="334" t="s">
        <v>12</v>
      </c>
      <c r="Y74" s="344">
        <v>53.7</v>
      </c>
      <c r="AD74" s="343"/>
      <c r="AG74" s="344"/>
      <c r="AL74" s="343"/>
      <c r="AO74" s="344"/>
      <c r="AP74" s="343"/>
      <c r="AS74" s="344"/>
      <c r="AW74" s="344"/>
      <c r="BA74" s="345"/>
    </row>
    <row r="75" spans="1:53" s="334" customFormat="1">
      <c r="A75" s="386">
        <v>1989</v>
      </c>
      <c r="B75" s="355"/>
      <c r="C75" s="992" t="s">
        <v>1374</v>
      </c>
      <c r="D75" s="992"/>
      <c r="E75" s="334">
        <v>182</v>
      </c>
      <c r="G75" s="419"/>
      <c r="I75" s="334">
        <v>25</v>
      </c>
      <c r="J75" s="435">
        <v>25</v>
      </c>
      <c r="K75" s="384">
        <f t="shared" si="11"/>
        <v>0</v>
      </c>
      <c r="L75" s="384">
        <f t="shared" si="12"/>
        <v>0</v>
      </c>
      <c r="M75" s="384">
        <f t="shared" si="13"/>
        <v>100</v>
      </c>
      <c r="N75" s="421">
        <f t="shared" si="10"/>
        <v>100</v>
      </c>
      <c r="O75" s="383"/>
      <c r="P75" s="384"/>
      <c r="Q75" s="384">
        <v>53.7</v>
      </c>
      <c r="R75" s="385">
        <f t="shared" si="9"/>
        <v>53.7</v>
      </c>
      <c r="S75" s="334">
        <v>1</v>
      </c>
      <c r="T75" s="357"/>
      <c r="U75" s="355"/>
      <c r="V75" s="343" t="s">
        <v>191</v>
      </c>
      <c r="W75" s="334" t="s">
        <v>20</v>
      </c>
      <c r="X75" s="334" t="s">
        <v>12</v>
      </c>
      <c r="Y75" s="344">
        <v>53.7</v>
      </c>
      <c r="AD75" s="343"/>
      <c r="AG75" s="344"/>
      <c r="AL75" s="343"/>
      <c r="AO75" s="344"/>
      <c r="AP75" s="343"/>
      <c r="AS75" s="344"/>
      <c r="AW75" s="344"/>
      <c r="BA75" s="345"/>
    </row>
    <row r="76" spans="1:53" s="73" customFormat="1">
      <c r="A76" s="102">
        <v>1989</v>
      </c>
      <c r="B76" s="85">
        <v>32691</v>
      </c>
      <c r="C76" s="988" t="s">
        <v>179</v>
      </c>
      <c r="D76" s="988"/>
      <c r="E76" s="73">
        <v>102</v>
      </c>
      <c r="F76" s="73">
        <v>1</v>
      </c>
      <c r="G76" s="123">
        <v>21</v>
      </c>
      <c r="I76" s="73">
        <v>2</v>
      </c>
      <c r="J76" s="134">
        <v>23</v>
      </c>
      <c r="K76" s="92">
        <f>G76/J76*100</f>
        <v>91.304347826086953</v>
      </c>
      <c r="L76" s="92">
        <f>H76/J76*100</f>
        <v>0</v>
      </c>
      <c r="M76" s="92">
        <f>I76/J76*100</f>
        <v>8.695652173913043</v>
      </c>
      <c r="N76" s="125">
        <f t="shared" si="10"/>
        <v>100</v>
      </c>
      <c r="O76" s="91">
        <v>48.3</v>
      </c>
      <c r="P76" s="92"/>
      <c r="Q76" s="92">
        <v>9.3000000000000007</v>
      </c>
      <c r="R76" s="93">
        <f t="shared" si="9"/>
        <v>57.599999999999994</v>
      </c>
      <c r="S76" s="73">
        <v>2</v>
      </c>
      <c r="T76" s="95">
        <v>32677</v>
      </c>
      <c r="U76" s="85">
        <v>32691</v>
      </c>
      <c r="V76" s="82" t="s">
        <v>190</v>
      </c>
      <c r="W76" s="73" t="s">
        <v>77</v>
      </c>
      <c r="X76" s="73" t="s">
        <v>11</v>
      </c>
      <c r="Y76" s="83">
        <v>48.3</v>
      </c>
      <c r="Z76" s="73" t="s">
        <v>192</v>
      </c>
      <c r="AA76" s="73" t="s">
        <v>193</v>
      </c>
      <c r="AB76" s="73" t="s">
        <v>12</v>
      </c>
      <c r="AC76" s="73">
        <v>9.3000000000000007</v>
      </c>
      <c r="AD76" s="82"/>
      <c r="AG76" s="83"/>
      <c r="AL76" s="82"/>
      <c r="AO76" s="83"/>
      <c r="AP76" s="82"/>
      <c r="AS76" s="83"/>
      <c r="AW76" s="83"/>
      <c r="BA76" s="84"/>
    </row>
    <row r="77" spans="1:53" s="334" customFormat="1">
      <c r="A77" s="386">
        <v>1989</v>
      </c>
      <c r="B77" s="355">
        <v>32793</v>
      </c>
      <c r="C77" s="992" t="s">
        <v>187</v>
      </c>
      <c r="D77" s="992"/>
      <c r="E77" s="334">
        <v>41</v>
      </c>
      <c r="F77" s="334">
        <v>2</v>
      </c>
      <c r="G77" s="419">
        <v>0</v>
      </c>
      <c r="H77" s="334">
        <v>0</v>
      </c>
      <c r="I77" s="334">
        <v>0</v>
      </c>
      <c r="J77" s="435">
        <v>21</v>
      </c>
      <c r="K77" s="384">
        <f t="shared" si="11"/>
        <v>0</v>
      </c>
      <c r="L77" s="384">
        <f t="shared" si="12"/>
        <v>0</v>
      </c>
      <c r="M77" s="384">
        <f t="shared" si="13"/>
        <v>0</v>
      </c>
      <c r="N77" s="421">
        <f t="shared" si="10"/>
        <v>0</v>
      </c>
      <c r="O77" s="383">
        <v>0</v>
      </c>
      <c r="P77" s="384">
        <v>0</v>
      </c>
      <c r="Q77" s="384">
        <v>0</v>
      </c>
      <c r="R77" s="385">
        <f t="shared" si="9"/>
        <v>0</v>
      </c>
      <c r="S77" s="334">
        <v>6</v>
      </c>
      <c r="T77" s="357"/>
      <c r="U77" s="355">
        <v>32793</v>
      </c>
      <c r="V77" s="438" t="s">
        <v>808</v>
      </c>
      <c r="Y77" s="344"/>
      <c r="AD77" s="343"/>
      <c r="AG77" s="344"/>
      <c r="AL77" s="343"/>
      <c r="AO77" s="344"/>
      <c r="AP77" s="343"/>
      <c r="AS77" s="344"/>
      <c r="AW77" s="344"/>
      <c r="BA77" s="345"/>
    </row>
    <row r="78" spans="1:53" s="136" customFormat="1">
      <c r="A78" s="162">
        <v>1989</v>
      </c>
      <c r="B78" s="137">
        <v>32834</v>
      </c>
      <c r="C78" s="1027" t="s">
        <v>188</v>
      </c>
      <c r="D78" s="1027"/>
      <c r="E78" s="136">
        <v>40</v>
      </c>
      <c r="F78" s="136">
        <v>1</v>
      </c>
      <c r="G78" s="138">
        <v>6</v>
      </c>
      <c r="I78" s="136">
        <v>7</v>
      </c>
      <c r="J78" s="139">
        <v>21</v>
      </c>
      <c r="K78" s="140">
        <f t="shared" si="11"/>
        <v>28.571428571428569</v>
      </c>
      <c r="L78" s="140">
        <f t="shared" si="12"/>
        <v>0</v>
      </c>
      <c r="M78" s="140">
        <f t="shared" si="13"/>
        <v>33.333333333333329</v>
      </c>
      <c r="N78" s="141">
        <f t="shared" si="10"/>
        <v>61.904761904761898</v>
      </c>
      <c r="O78" s="142">
        <v>49.3</v>
      </c>
      <c r="P78" s="140"/>
      <c r="Q78" s="140">
        <v>50</v>
      </c>
      <c r="R78" s="143">
        <f t="shared" si="9"/>
        <v>99.3</v>
      </c>
      <c r="S78" s="136">
        <v>7</v>
      </c>
      <c r="T78" s="145">
        <v>32817</v>
      </c>
      <c r="U78" s="137">
        <v>32834</v>
      </c>
      <c r="V78" s="163" t="s">
        <v>789</v>
      </c>
      <c r="Y78" s="147"/>
      <c r="Z78" s="146" t="s">
        <v>190</v>
      </c>
      <c r="AA78" s="136" t="s">
        <v>77</v>
      </c>
      <c r="AB78" s="136" t="s">
        <v>11</v>
      </c>
      <c r="AC78" s="147">
        <v>49.3</v>
      </c>
      <c r="AD78" s="136" t="s">
        <v>191</v>
      </c>
      <c r="AE78" s="136" t="s">
        <v>20</v>
      </c>
      <c r="AF78" s="136" t="s">
        <v>12</v>
      </c>
      <c r="AG78" s="147">
        <v>43</v>
      </c>
      <c r="AH78" s="136" t="s">
        <v>192</v>
      </c>
      <c r="AI78" s="136" t="s">
        <v>193</v>
      </c>
      <c r="AJ78" s="136" t="s">
        <v>12</v>
      </c>
      <c r="AK78" s="136">
        <v>7</v>
      </c>
      <c r="AL78" s="146"/>
      <c r="AO78" s="147"/>
      <c r="AP78" s="146"/>
      <c r="AS78" s="147"/>
      <c r="AW78" s="147"/>
      <c r="BA78" s="148"/>
    </row>
    <row r="79" spans="1:53" s="73" customFormat="1">
      <c r="A79" s="73">
        <v>1990</v>
      </c>
      <c r="B79" s="85"/>
      <c r="C79" s="988" t="s">
        <v>188</v>
      </c>
      <c r="D79" s="988"/>
      <c r="E79" s="73">
        <v>43</v>
      </c>
      <c r="G79" s="123">
        <v>6</v>
      </c>
      <c r="I79" s="73">
        <v>7</v>
      </c>
      <c r="J79" s="134">
        <v>21</v>
      </c>
      <c r="K79" s="92">
        <f t="shared" si="11"/>
        <v>28.571428571428569</v>
      </c>
      <c r="L79" s="92">
        <f t="shared" si="12"/>
        <v>0</v>
      </c>
      <c r="M79" s="92">
        <f t="shared" si="13"/>
        <v>33.333333333333329</v>
      </c>
      <c r="N79" s="125">
        <f t="shared" si="10"/>
        <v>61.904761904761898</v>
      </c>
      <c r="O79" s="91">
        <v>49.3</v>
      </c>
      <c r="P79" s="92"/>
      <c r="Q79" s="92">
        <v>50</v>
      </c>
      <c r="R79" s="93">
        <f t="shared" si="9"/>
        <v>99.3</v>
      </c>
      <c r="S79" s="73">
        <v>7</v>
      </c>
      <c r="T79" s="81"/>
      <c r="U79" s="85"/>
      <c r="V79" s="158" t="s">
        <v>789</v>
      </c>
      <c r="Y79" s="83"/>
      <c r="Z79" s="82" t="s">
        <v>190</v>
      </c>
      <c r="AA79" s="73" t="s">
        <v>77</v>
      </c>
      <c r="AB79" s="73" t="s">
        <v>11</v>
      </c>
      <c r="AC79" s="83">
        <v>49.3</v>
      </c>
      <c r="AD79" s="73" t="s">
        <v>191</v>
      </c>
      <c r="AE79" s="73" t="s">
        <v>20</v>
      </c>
      <c r="AF79" s="73" t="s">
        <v>12</v>
      </c>
      <c r="AG79" s="83">
        <v>43</v>
      </c>
      <c r="AH79" s="73" t="s">
        <v>192</v>
      </c>
      <c r="AI79" s="73" t="s">
        <v>193</v>
      </c>
      <c r="AJ79" s="73" t="s">
        <v>12</v>
      </c>
      <c r="AK79" s="73">
        <v>7</v>
      </c>
      <c r="AL79" s="82"/>
      <c r="AO79" s="83"/>
      <c r="AP79" s="82"/>
      <c r="AS79" s="83"/>
      <c r="AW79" s="83"/>
      <c r="BA79" s="84"/>
    </row>
    <row r="80" spans="1:53" s="334" customFormat="1">
      <c r="A80" s="334">
        <v>1990</v>
      </c>
      <c r="B80" s="355">
        <v>32917</v>
      </c>
      <c r="C80" s="992" t="s">
        <v>189</v>
      </c>
      <c r="D80" s="992"/>
      <c r="E80" s="334">
        <v>57</v>
      </c>
      <c r="F80" s="334">
        <v>4</v>
      </c>
      <c r="G80" s="419">
        <v>0</v>
      </c>
      <c r="H80" s="334">
        <v>0</v>
      </c>
      <c r="I80" s="334">
        <v>0</v>
      </c>
      <c r="J80" s="435">
        <v>21</v>
      </c>
      <c r="K80" s="384">
        <f t="shared" ref="K80:K85" si="17">G80/J80*100</f>
        <v>0</v>
      </c>
      <c r="L80" s="384">
        <f t="shared" ref="L80:L85" si="18">H80/J80*100</f>
        <v>0</v>
      </c>
      <c r="M80" s="384">
        <f t="shared" ref="M80:M85" si="19">I80/J80*100</f>
        <v>0</v>
      </c>
      <c r="N80" s="421">
        <f>SUM(K80:M80)</f>
        <v>0</v>
      </c>
      <c r="O80" s="383">
        <v>0</v>
      </c>
      <c r="P80" s="384">
        <v>0</v>
      </c>
      <c r="Q80" s="384">
        <v>0</v>
      </c>
      <c r="R80" s="385">
        <f t="shared" si="9"/>
        <v>0</v>
      </c>
      <c r="S80" s="334">
        <v>6</v>
      </c>
      <c r="T80" s="357"/>
      <c r="U80" s="355">
        <v>32917</v>
      </c>
      <c r="V80" s="438" t="s">
        <v>808</v>
      </c>
      <c r="Y80" s="344"/>
      <c r="AD80" s="343"/>
      <c r="AG80" s="344"/>
      <c r="AL80" s="343"/>
      <c r="AO80" s="344"/>
      <c r="AP80" s="343"/>
      <c r="AS80" s="344"/>
      <c r="AW80" s="344"/>
      <c r="BA80" s="345"/>
    </row>
    <row r="81" spans="1:53" s="73" customFormat="1">
      <c r="A81" s="73">
        <v>1990</v>
      </c>
      <c r="B81" s="85">
        <v>32974</v>
      </c>
      <c r="C81" s="988" t="s">
        <v>180</v>
      </c>
      <c r="D81" s="988"/>
      <c r="E81" s="73">
        <v>265</v>
      </c>
      <c r="F81" s="73">
        <v>1</v>
      </c>
      <c r="G81" s="123">
        <v>25</v>
      </c>
      <c r="J81" s="134">
        <v>25</v>
      </c>
      <c r="K81" s="92">
        <f t="shared" si="17"/>
        <v>100</v>
      </c>
      <c r="L81" s="92">
        <f t="shared" si="18"/>
        <v>0</v>
      </c>
      <c r="M81" s="92">
        <f t="shared" si="19"/>
        <v>0</v>
      </c>
      <c r="N81" s="125">
        <f t="shared" si="10"/>
        <v>100</v>
      </c>
      <c r="O81" s="91">
        <v>50.3</v>
      </c>
      <c r="P81" s="92"/>
      <c r="Q81" s="92"/>
      <c r="R81" s="93">
        <f t="shared" si="9"/>
        <v>50.3</v>
      </c>
      <c r="S81" s="73">
        <v>1</v>
      </c>
      <c r="T81" s="95">
        <v>32971</v>
      </c>
      <c r="U81" s="85">
        <v>32974</v>
      </c>
      <c r="V81" s="82" t="s">
        <v>190</v>
      </c>
      <c r="W81" s="73" t="s">
        <v>77</v>
      </c>
      <c r="X81" s="73" t="s">
        <v>11</v>
      </c>
      <c r="Y81" s="83">
        <v>50.3</v>
      </c>
      <c r="AD81" s="82"/>
      <c r="AG81" s="83"/>
      <c r="AL81" s="82"/>
      <c r="AO81" s="83"/>
      <c r="AP81" s="82"/>
      <c r="AS81" s="83"/>
      <c r="AW81" s="83"/>
      <c r="BA81" s="84"/>
    </row>
    <row r="82" spans="1:53" s="73" customFormat="1">
      <c r="A82" s="73">
        <v>1991</v>
      </c>
      <c r="C82" s="988" t="s">
        <v>180</v>
      </c>
      <c r="D82" s="988"/>
      <c r="E82" s="73">
        <v>0</v>
      </c>
      <c r="G82" s="123">
        <v>25</v>
      </c>
      <c r="J82" s="134">
        <v>25</v>
      </c>
      <c r="K82" s="92">
        <f t="shared" si="17"/>
        <v>100</v>
      </c>
      <c r="L82" s="92">
        <f t="shared" si="18"/>
        <v>0</v>
      </c>
      <c r="M82" s="92">
        <f t="shared" si="19"/>
        <v>0</v>
      </c>
      <c r="N82" s="125">
        <f t="shared" si="10"/>
        <v>100</v>
      </c>
      <c r="O82" s="91">
        <v>50.3</v>
      </c>
      <c r="P82" s="92"/>
      <c r="Q82" s="92"/>
      <c r="R82" s="93">
        <f t="shared" si="9"/>
        <v>50.3</v>
      </c>
      <c r="S82" s="73">
        <v>1</v>
      </c>
      <c r="T82" s="81"/>
      <c r="V82" s="82" t="s">
        <v>190</v>
      </c>
      <c r="W82" s="73" t="s">
        <v>77</v>
      </c>
      <c r="X82" s="73" t="s">
        <v>11</v>
      </c>
      <c r="Y82" s="83">
        <v>50.3</v>
      </c>
      <c r="AD82" s="82"/>
      <c r="AG82" s="83"/>
      <c r="AL82" s="82"/>
      <c r="AO82" s="83"/>
      <c r="AP82" s="82"/>
      <c r="AS82" s="83"/>
      <c r="AW82" s="83"/>
      <c r="BA82" s="84"/>
    </row>
    <row r="83" spans="1:53" s="73" customFormat="1">
      <c r="A83" s="73">
        <v>1991</v>
      </c>
      <c r="C83" s="988" t="s">
        <v>180</v>
      </c>
      <c r="D83" s="988"/>
      <c r="E83" s="73">
        <f>365-E82</f>
        <v>365</v>
      </c>
      <c r="G83" s="123">
        <v>25</v>
      </c>
      <c r="J83" s="134">
        <v>25</v>
      </c>
      <c r="K83" s="92">
        <f t="shared" si="17"/>
        <v>100</v>
      </c>
      <c r="L83" s="92">
        <f t="shared" si="18"/>
        <v>0</v>
      </c>
      <c r="M83" s="92">
        <f t="shared" si="19"/>
        <v>0</v>
      </c>
      <c r="N83" s="125">
        <f t="shared" si="10"/>
        <v>100</v>
      </c>
      <c r="O83" s="91">
        <v>50.3</v>
      </c>
      <c r="P83" s="92"/>
      <c r="Q83" s="92"/>
      <c r="R83" s="93">
        <f t="shared" si="9"/>
        <v>50.3</v>
      </c>
      <c r="S83" s="73">
        <v>1</v>
      </c>
      <c r="T83" s="81"/>
      <c r="V83" s="82" t="s">
        <v>190</v>
      </c>
      <c r="W83" s="73" t="s">
        <v>77</v>
      </c>
      <c r="X83" s="73" t="s">
        <v>11</v>
      </c>
      <c r="Y83" s="83">
        <v>50.3</v>
      </c>
      <c r="AD83" s="82"/>
      <c r="AG83" s="83"/>
      <c r="AL83" s="82"/>
      <c r="AO83" s="83"/>
      <c r="AP83" s="82"/>
      <c r="AS83" s="83"/>
      <c r="AW83" s="83"/>
      <c r="BA83" s="84"/>
    </row>
    <row r="84" spans="1:53" s="73" customFormat="1">
      <c r="A84" s="73">
        <v>1992</v>
      </c>
      <c r="C84" s="988" t="s">
        <v>180</v>
      </c>
      <c r="D84" s="988"/>
      <c r="E84" s="73">
        <v>0</v>
      </c>
      <c r="G84" s="123">
        <v>21</v>
      </c>
      <c r="J84" s="134">
        <v>21</v>
      </c>
      <c r="K84" s="92">
        <f t="shared" si="17"/>
        <v>100</v>
      </c>
      <c r="L84" s="92">
        <f t="shared" si="18"/>
        <v>0</v>
      </c>
      <c r="M84" s="92">
        <f t="shared" si="19"/>
        <v>0</v>
      </c>
      <c r="N84" s="125">
        <f t="shared" si="10"/>
        <v>100</v>
      </c>
      <c r="O84" s="91">
        <v>50.3</v>
      </c>
      <c r="P84" s="92"/>
      <c r="Q84" s="92"/>
      <c r="R84" s="93">
        <f t="shared" si="9"/>
        <v>50.3</v>
      </c>
      <c r="S84" s="73">
        <v>1</v>
      </c>
      <c r="T84" s="81"/>
      <c r="V84" s="82" t="s">
        <v>190</v>
      </c>
      <c r="W84" s="73" t="s">
        <v>77</v>
      </c>
      <c r="X84" s="73" t="s">
        <v>11</v>
      </c>
      <c r="Y84" s="83">
        <v>50.3</v>
      </c>
      <c r="AD84" s="82"/>
      <c r="AG84" s="83"/>
      <c r="AL84" s="82"/>
      <c r="AO84" s="83"/>
      <c r="AP84" s="82"/>
      <c r="AS84" s="83"/>
      <c r="AW84" s="83"/>
      <c r="BA84" s="84"/>
    </row>
    <row r="85" spans="1:53" s="73" customFormat="1">
      <c r="A85" s="73">
        <v>1992</v>
      </c>
      <c r="C85" s="988" t="s">
        <v>180</v>
      </c>
      <c r="D85" s="988"/>
      <c r="E85" s="73">
        <v>366</v>
      </c>
      <c r="G85" s="123">
        <v>21</v>
      </c>
      <c r="J85" s="134">
        <v>21</v>
      </c>
      <c r="K85" s="92">
        <f t="shared" si="17"/>
        <v>100</v>
      </c>
      <c r="L85" s="92">
        <f t="shared" si="18"/>
        <v>0</v>
      </c>
      <c r="M85" s="92">
        <f t="shared" si="19"/>
        <v>0</v>
      </c>
      <c r="N85" s="125">
        <f t="shared" si="10"/>
        <v>100</v>
      </c>
      <c r="O85" s="91">
        <v>50.3</v>
      </c>
      <c r="P85" s="92"/>
      <c r="Q85" s="92"/>
      <c r="R85" s="93">
        <f t="shared" si="9"/>
        <v>50.3</v>
      </c>
      <c r="S85" s="73">
        <v>1</v>
      </c>
      <c r="T85" s="81"/>
      <c r="V85" s="82" t="s">
        <v>190</v>
      </c>
      <c r="W85" s="73" t="s">
        <v>77</v>
      </c>
      <c r="X85" s="73" t="s">
        <v>11</v>
      </c>
      <c r="Y85" s="83">
        <v>50.3</v>
      </c>
      <c r="AD85" s="82"/>
      <c r="AG85" s="83"/>
      <c r="AL85" s="82"/>
      <c r="AO85" s="83"/>
      <c r="AP85" s="82"/>
      <c r="AS85" s="83"/>
      <c r="AW85" s="83"/>
      <c r="BA85" s="84"/>
    </row>
    <row r="86" spans="1:53" s="73" customFormat="1">
      <c r="A86" s="73">
        <v>1993</v>
      </c>
      <c r="C86" s="988" t="s">
        <v>180</v>
      </c>
      <c r="D86" s="988"/>
      <c r="E86" s="73">
        <v>297</v>
      </c>
      <c r="G86" s="123">
        <v>22</v>
      </c>
      <c r="J86" s="134">
        <v>22</v>
      </c>
      <c r="K86" s="92">
        <f t="shared" ref="K86:K110" si="20">G86/J86*100</f>
        <v>100</v>
      </c>
      <c r="L86" s="92">
        <f t="shared" ref="L86:L110" si="21">H86/J86*100</f>
        <v>0</v>
      </c>
      <c r="M86" s="92">
        <f t="shared" ref="M86:M110" si="22">I86/J86*100</f>
        <v>0</v>
      </c>
      <c r="N86" s="125">
        <f t="shared" si="10"/>
        <v>100</v>
      </c>
      <c r="O86" s="91">
        <v>50.3</v>
      </c>
      <c r="P86" s="92"/>
      <c r="Q86" s="92"/>
      <c r="R86" s="93">
        <f t="shared" si="9"/>
        <v>50.3</v>
      </c>
      <c r="S86" s="73">
        <v>1</v>
      </c>
      <c r="T86" s="81"/>
      <c r="V86" s="82" t="s">
        <v>190</v>
      </c>
      <c r="W86" s="73" t="s">
        <v>77</v>
      </c>
      <c r="X86" s="73" t="s">
        <v>11</v>
      </c>
      <c r="Y86" s="83">
        <v>50.3</v>
      </c>
      <c r="AD86" s="82"/>
      <c r="AG86" s="83"/>
      <c r="AL86" s="82"/>
      <c r="AO86" s="83"/>
      <c r="AP86" s="82"/>
      <c r="AS86" s="83"/>
      <c r="AW86" s="83"/>
      <c r="BA86" s="84"/>
    </row>
    <row r="87" spans="1:53" s="334" customFormat="1">
      <c r="A87" s="334">
        <v>1993</v>
      </c>
      <c r="B87" s="355">
        <v>34267</v>
      </c>
      <c r="C87" s="992" t="s">
        <v>1375</v>
      </c>
      <c r="D87" s="992"/>
      <c r="E87" s="334">
        <f>365-E86</f>
        <v>68</v>
      </c>
      <c r="F87" s="334">
        <v>1</v>
      </c>
      <c r="G87" s="419"/>
      <c r="I87" s="334">
        <v>22</v>
      </c>
      <c r="J87" s="435">
        <v>22</v>
      </c>
      <c r="K87" s="384">
        <f t="shared" si="20"/>
        <v>0</v>
      </c>
      <c r="L87" s="384">
        <f t="shared" si="21"/>
        <v>0</v>
      </c>
      <c r="M87" s="384">
        <f t="shared" si="22"/>
        <v>100</v>
      </c>
      <c r="N87" s="421">
        <f t="shared" si="10"/>
        <v>100</v>
      </c>
      <c r="O87" s="383"/>
      <c r="P87" s="384"/>
      <c r="Q87" s="384">
        <v>56.7</v>
      </c>
      <c r="R87" s="385">
        <f t="shared" si="9"/>
        <v>56.7</v>
      </c>
      <c r="S87" s="334">
        <v>1</v>
      </c>
      <c r="T87" s="342">
        <v>34252</v>
      </c>
      <c r="U87" s="355">
        <v>34267</v>
      </c>
      <c r="V87" s="343" t="s">
        <v>191</v>
      </c>
      <c r="W87" s="334" t="s">
        <v>20</v>
      </c>
      <c r="X87" s="334" t="s">
        <v>12</v>
      </c>
      <c r="Y87" s="344">
        <v>56.7</v>
      </c>
      <c r="AD87" s="343"/>
      <c r="AG87" s="344"/>
      <c r="AL87" s="343"/>
      <c r="AO87" s="344"/>
      <c r="AP87" s="343"/>
      <c r="AS87" s="344"/>
      <c r="AW87" s="344"/>
      <c r="BA87" s="345"/>
    </row>
    <row r="88" spans="1:53" s="334" customFormat="1">
      <c r="A88" s="334">
        <v>1994</v>
      </c>
      <c r="C88" s="992" t="s">
        <v>1375</v>
      </c>
      <c r="D88" s="992"/>
      <c r="E88" s="334">
        <v>0</v>
      </c>
      <c r="G88" s="419"/>
      <c r="I88" s="334">
        <v>22</v>
      </c>
      <c r="J88" s="435">
        <v>22</v>
      </c>
      <c r="K88" s="384">
        <f t="shared" si="20"/>
        <v>0</v>
      </c>
      <c r="L88" s="384">
        <f t="shared" si="21"/>
        <v>0</v>
      </c>
      <c r="M88" s="384">
        <f t="shared" si="22"/>
        <v>100</v>
      </c>
      <c r="N88" s="421">
        <f t="shared" si="10"/>
        <v>100</v>
      </c>
      <c r="O88" s="383"/>
      <c r="P88" s="384"/>
      <c r="Q88" s="384">
        <v>56.7</v>
      </c>
      <c r="R88" s="385">
        <f t="shared" si="9"/>
        <v>56.7</v>
      </c>
      <c r="S88" s="334">
        <v>1</v>
      </c>
      <c r="T88" s="357"/>
      <c r="V88" s="343" t="s">
        <v>191</v>
      </c>
      <c r="W88" s="334" t="s">
        <v>20</v>
      </c>
      <c r="X88" s="334" t="s">
        <v>12</v>
      </c>
      <c r="Y88" s="344">
        <v>56.7</v>
      </c>
      <c r="AD88" s="343"/>
      <c r="AG88" s="344"/>
      <c r="AL88" s="343"/>
      <c r="AO88" s="344"/>
      <c r="AP88" s="343"/>
      <c r="AS88" s="344"/>
      <c r="AW88" s="344"/>
      <c r="BA88" s="345"/>
    </row>
    <row r="89" spans="1:53" s="334" customFormat="1">
      <c r="A89" s="334">
        <v>1994</v>
      </c>
      <c r="C89" s="992" t="s">
        <v>1375</v>
      </c>
      <c r="D89" s="992"/>
      <c r="E89" s="334">
        <f>365-E88</f>
        <v>365</v>
      </c>
      <c r="G89" s="419"/>
      <c r="I89" s="334">
        <v>22</v>
      </c>
      <c r="J89" s="435">
        <v>22</v>
      </c>
      <c r="K89" s="384">
        <f t="shared" si="20"/>
        <v>0</v>
      </c>
      <c r="L89" s="384">
        <f t="shared" si="21"/>
        <v>0</v>
      </c>
      <c r="M89" s="384">
        <f t="shared" si="22"/>
        <v>100</v>
      </c>
      <c r="N89" s="421">
        <f t="shared" si="10"/>
        <v>100</v>
      </c>
      <c r="O89" s="383"/>
      <c r="P89" s="384"/>
      <c r="Q89" s="384">
        <v>56.7</v>
      </c>
      <c r="R89" s="385">
        <f t="shared" si="9"/>
        <v>56.7</v>
      </c>
      <c r="S89" s="334">
        <v>1</v>
      </c>
      <c r="T89" s="357"/>
      <c r="V89" s="343" t="s">
        <v>191</v>
      </c>
      <c r="W89" s="334" t="s">
        <v>20</v>
      </c>
      <c r="X89" s="334" t="s">
        <v>12</v>
      </c>
      <c r="Y89" s="344">
        <v>56.7</v>
      </c>
      <c r="AD89" s="343"/>
      <c r="AG89" s="344"/>
      <c r="AL89" s="343"/>
      <c r="AO89" s="344"/>
      <c r="AP89" s="343"/>
      <c r="AS89" s="344"/>
      <c r="AW89" s="344"/>
      <c r="BA89" s="345"/>
    </row>
    <row r="90" spans="1:53" s="334" customFormat="1">
      <c r="A90" s="334">
        <v>1995</v>
      </c>
      <c r="C90" s="992" t="s">
        <v>1375</v>
      </c>
      <c r="D90" s="992"/>
      <c r="E90" s="334">
        <v>0</v>
      </c>
      <c r="G90" s="419"/>
      <c r="I90" s="334">
        <v>23</v>
      </c>
      <c r="J90" s="435">
        <v>23</v>
      </c>
      <c r="K90" s="384">
        <f t="shared" si="20"/>
        <v>0</v>
      </c>
      <c r="L90" s="384">
        <f t="shared" si="21"/>
        <v>0</v>
      </c>
      <c r="M90" s="384">
        <f t="shared" si="22"/>
        <v>100</v>
      </c>
      <c r="N90" s="421">
        <f t="shared" si="10"/>
        <v>100</v>
      </c>
      <c r="O90" s="383"/>
      <c r="P90" s="384"/>
      <c r="Q90" s="384">
        <v>56.7</v>
      </c>
      <c r="R90" s="385">
        <f t="shared" si="9"/>
        <v>56.7</v>
      </c>
      <c r="S90" s="334">
        <v>1</v>
      </c>
      <c r="T90" s="357"/>
      <c r="V90" s="343" t="s">
        <v>191</v>
      </c>
      <c r="W90" s="334" t="s">
        <v>20</v>
      </c>
      <c r="X90" s="334" t="s">
        <v>12</v>
      </c>
      <c r="Y90" s="344">
        <v>56.7</v>
      </c>
      <c r="AD90" s="343"/>
      <c r="AG90" s="344"/>
      <c r="AL90" s="343"/>
      <c r="AO90" s="344"/>
      <c r="AP90" s="343"/>
      <c r="AS90" s="344"/>
      <c r="AW90" s="344"/>
      <c r="BA90" s="345"/>
    </row>
    <row r="91" spans="1:53" s="334" customFormat="1">
      <c r="A91" s="334">
        <v>1995</v>
      </c>
      <c r="C91" s="992" t="s">
        <v>1375</v>
      </c>
      <c r="D91" s="992"/>
      <c r="E91" s="334">
        <f>365-E90</f>
        <v>365</v>
      </c>
      <c r="G91" s="419"/>
      <c r="I91" s="334">
        <v>23</v>
      </c>
      <c r="J91" s="435">
        <v>23</v>
      </c>
      <c r="K91" s="384">
        <f t="shared" si="20"/>
        <v>0</v>
      </c>
      <c r="L91" s="384">
        <f t="shared" si="21"/>
        <v>0</v>
      </c>
      <c r="M91" s="384">
        <f t="shared" si="22"/>
        <v>100</v>
      </c>
      <c r="N91" s="421">
        <f t="shared" si="10"/>
        <v>100</v>
      </c>
      <c r="O91" s="383"/>
      <c r="P91" s="384"/>
      <c r="Q91" s="384">
        <v>56.7</v>
      </c>
      <c r="R91" s="385">
        <f t="shared" si="9"/>
        <v>56.7</v>
      </c>
      <c r="S91" s="334">
        <v>1</v>
      </c>
      <c r="T91" s="357"/>
      <c r="V91" s="343" t="s">
        <v>191</v>
      </c>
      <c r="W91" s="334" t="s">
        <v>20</v>
      </c>
      <c r="X91" s="334" t="s">
        <v>12</v>
      </c>
      <c r="Y91" s="344">
        <v>56.7</v>
      </c>
      <c r="AD91" s="343"/>
      <c r="AG91" s="344"/>
      <c r="AL91" s="343"/>
      <c r="AO91" s="344"/>
      <c r="AP91" s="343"/>
      <c r="AS91" s="344"/>
      <c r="AW91" s="344"/>
      <c r="BA91" s="345"/>
    </row>
    <row r="92" spans="1:53" s="334" customFormat="1">
      <c r="A92" s="334">
        <v>1996</v>
      </c>
      <c r="C92" s="992" t="s">
        <v>1375</v>
      </c>
      <c r="D92" s="992"/>
      <c r="E92" s="334">
        <v>31</v>
      </c>
      <c r="G92" s="419"/>
      <c r="I92" s="334">
        <v>23</v>
      </c>
      <c r="J92" s="435">
        <v>23</v>
      </c>
      <c r="K92" s="384">
        <f t="shared" si="20"/>
        <v>0</v>
      </c>
      <c r="L92" s="384">
        <f t="shared" si="21"/>
        <v>0</v>
      </c>
      <c r="M92" s="384">
        <f t="shared" si="22"/>
        <v>100</v>
      </c>
      <c r="N92" s="421">
        <f t="shared" si="10"/>
        <v>100</v>
      </c>
      <c r="O92" s="383"/>
      <c r="P92" s="384"/>
      <c r="Q92" s="384">
        <v>56.7</v>
      </c>
      <c r="R92" s="385">
        <f t="shared" si="9"/>
        <v>56.7</v>
      </c>
      <c r="S92" s="334">
        <v>1</v>
      </c>
      <c r="T92" s="357"/>
      <c r="V92" s="343" t="s">
        <v>191</v>
      </c>
      <c r="W92" s="334" t="s">
        <v>20</v>
      </c>
      <c r="X92" s="334" t="s">
        <v>12</v>
      </c>
      <c r="Y92" s="344">
        <v>56.7</v>
      </c>
      <c r="AD92" s="343"/>
      <c r="AG92" s="344"/>
      <c r="AL92" s="343"/>
      <c r="AO92" s="344"/>
      <c r="AP92" s="343"/>
      <c r="AS92" s="344"/>
      <c r="AW92" s="344"/>
      <c r="BA92" s="345"/>
    </row>
    <row r="93" spans="1:53" s="73" customFormat="1">
      <c r="A93" s="73">
        <v>1996</v>
      </c>
      <c r="B93" s="85">
        <v>35096</v>
      </c>
      <c r="C93" s="988" t="s">
        <v>181</v>
      </c>
      <c r="D93" s="988"/>
      <c r="E93" s="73">
        <v>255</v>
      </c>
      <c r="F93" s="73">
        <v>3</v>
      </c>
      <c r="G93" s="123"/>
      <c r="I93" s="73">
        <v>20</v>
      </c>
      <c r="J93" s="134">
        <v>20</v>
      </c>
      <c r="K93" s="92">
        <f t="shared" si="20"/>
        <v>0</v>
      </c>
      <c r="L93" s="92">
        <f t="shared" si="21"/>
        <v>0</v>
      </c>
      <c r="M93" s="92">
        <f t="shared" si="22"/>
        <v>100</v>
      </c>
      <c r="N93" s="125">
        <f t="shared" si="10"/>
        <v>100</v>
      </c>
      <c r="O93" s="91"/>
      <c r="P93" s="92"/>
      <c r="Q93" s="92">
        <v>54</v>
      </c>
      <c r="R93" s="93">
        <f t="shared" si="9"/>
        <v>54</v>
      </c>
      <c r="S93" s="73">
        <v>1</v>
      </c>
      <c r="T93" s="81"/>
      <c r="U93" s="85">
        <v>35096</v>
      </c>
      <c r="V93" s="82" t="s">
        <v>191</v>
      </c>
      <c r="W93" s="73" t="s">
        <v>20</v>
      </c>
      <c r="X93" s="73" t="s">
        <v>12</v>
      </c>
      <c r="Y93" s="83">
        <v>56.7</v>
      </c>
      <c r="AD93" s="82"/>
      <c r="AG93" s="83"/>
      <c r="AL93" s="82"/>
      <c r="AO93" s="83"/>
      <c r="AP93" s="82"/>
      <c r="AS93" s="83"/>
      <c r="AW93" s="83"/>
      <c r="BA93" s="84"/>
    </row>
    <row r="94" spans="1:53" s="334" customFormat="1">
      <c r="A94" s="334">
        <v>1996</v>
      </c>
      <c r="B94" s="355">
        <v>35351</v>
      </c>
      <c r="C94" s="992" t="s">
        <v>182</v>
      </c>
      <c r="D94" s="992"/>
      <c r="E94" s="334">
        <v>80</v>
      </c>
      <c r="F94" s="334">
        <v>1</v>
      </c>
      <c r="G94" s="419"/>
      <c r="I94" s="334">
        <v>20</v>
      </c>
      <c r="J94" s="435">
        <v>20</v>
      </c>
      <c r="K94" s="384">
        <f>G94/J94*100</f>
        <v>0</v>
      </c>
      <c r="L94" s="384">
        <f>H94/J94*100</f>
        <v>0</v>
      </c>
      <c r="M94" s="384">
        <f>I94/J94*100</f>
        <v>100</v>
      </c>
      <c r="N94" s="421">
        <f t="shared" si="10"/>
        <v>100</v>
      </c>
      <c r="O94" s="383"/>
      <c r="P94" s="384"/>
      <c r="Q94" s="384">
        <v>54</v>
      </c>
      <c r="R94" s="385">
        <f t="shared" si="9"/>
        <v>54</v>
      </c>
      <c r="S94" s="334">
        <v>1</v>
      </c>
      <c r="T94" s="342">
        <v>35330</v>
      </c>
      <c r="U94" s="355">
        <v>35351</v>
      </c>
      <c r="V94" s="343" t="s">
        <v>191</v>
      </c>
      <c r="W94" s="334" t="s">
        <v>20</v>
      </c>
      <c r="X94" s="334" t="s">
        <v>12</v>
      </c>
      <c r="Y94" s="344">
        <v>54</v>
      </c>
      <c r="AD94" s="343"/>
      <c r="AG94" s="344"/>
      <c r="AL94" s="343"/>
      <c r="AO94" s="344"/>
      <c r="AP94" s="343"/>
      <c r="AS94" s="344"/>
      <c r="AW94" s="344"/>
      <c r="BA94" s="345"/>
    </row>
    <row r="95" spans="1:53" s="334" customFormat="1">
      <c r="A95" s="334">
        <v>1997</v>
      </c>
      <c r="C95" s="992" t="s">
        <v>182</v>
      </c>
      <c r="D95" s="992"/>
      <c r="E95" s="334">
        <v>0</v>
      </c>
      <c r="G95" s="419"/>
      <c r="I95" s="334">
        <v>20</v>
      </c>
      <c r="J95" s="435">
        <v>20</v>
      </c>
      <c r="K95" s="384">
        <f t="shared" si="20"/>
        <v>0</v>
      </c>
      <c r="L95" s="384">
        <f t="shared" si="21"/>
        <v>0</v>
      </c>
      <c r="M95" s="384">
        <f t="shared" si="22"/>
        <v>100</v>
      </c>
      <c r="N95" s="421">
        <f t="shared" si="10"/>
        <v>100</v>
      </c>
      <c r="O95" s="383"/>
      <c r="P95" s="384"/>
      <c r="Q95" s="384">
        <v>54</v>
      </c>
      <c r="R95" s="385">
        <f t="shared" si="9"/>
        <v>54</v>
      </c>
      <c r="S95" s="334">
        <v>1</v>
      </c>
      <c r="T95" s="357"/>
      <c r="V95" s="343" t="s">
        <v>191</v>
      </c>
      <c r="W95" s="334" t="s">
        <v>20</v>
      </c>
      <c r="X95" s="334" t="s">
        <v>12</v>
      </c>
      <c r="Y95" s="344">
        <v>54</v>
      </c>
      <c r="AD95" s="343"/>
      <c r="AG95" s="344"/>
      <c r="AL95" s="343"/>
      <c r="AO95" s="344"/>
      <c r="AP95" s="343"/>
      <c r="AS95" s="344"/>
      <c r="AW95" s="344"/>
      <c r="BA95" s="345"/>
    </row>
    <row r="96" spans="1:53" s="334" customFormat="1">
      <c r="A96" s="334">
        <v>1997</v>
      </c>
      <c r="C96" s="992" t="s">
        <v>182</v>
      </c>
      <c r="D96" s="992"/>
      <c r="E96" s="334">
        <f>365-E95</f>
        <v>365</v>
      </c>
      <c r="G96" s="419"/>
      <c r="I96" s="334">
        <v>20</v>
      </c>
      <c r="J96" s="435">
        <v>20</v>
      </c>
      <c r="K96" s="384">
        <f t="shared" si="20"/>
        <v>0</v>
      </c>
      <c r="L96" s="384">
        <f t="shared" si="21"/>
        <v>0</v>
      </c>
      <c r="M96" s="384">
        <f t="shared" si="22"/>
        <v>100</v>
      </c>
      <c r="N96" s="421">
        <f t="shared" si="10"/>
        <v>100</v>
      </c>
      <c r="O96" s="383"/>
      <c r="P96" s="384"/>
      <c r="Q96" s="384">
        <v>54</v>
      </c>
      <c r="R96" s="385">
        <f t="shared" si="9"/>
        <v>54</v>
      </c>
      <c r="S96" s="334">
        <v>1</v>
      </c>
      <c r="T96" s="357"/>
      <c r="V96" s="343" t="s">
        <v>191</v>
      </c>
      <c r="W96" s="334" t="s">
        <v>20</v>
      </c>
      <c r="X96" s="334" t="s">
        <v>12</v>
      </c>
      <c r="Y96" s="344">
        <v>54</v>
      </c>
      <c r="AD96" s="343"/>
      <c r="AG96" s="344"/>
      <c r="AL96" s="343"/>
      <c r="AO96" s="344"/>
      <c r="AP96" s="343"/>
      <c r="AS96" s="344"/>
      <c r="AW96" s="344"/>
      <c r="BA96" s="345"/>
    </row>
    <row r="97" spans="1:53" s="334" customFormat="1">
      <c r="A97" s="334">
        <v>1998</v>
      </c>
      <c r="C97" s="992" t="s">
        <v>182</v>
      </c>
      <c r="D97" s="992"/>
      <c r="E97" s="334">
        <v>0</v>
      </c>
      <c r="G97" s="419"/>
      <c r="I97" s="334">
        <v>20</v>
      </c>
      <c r="J97" s="435">
        <v>20</v>
      </c>
      <c r="K97" s="384">
        <f t="shared" si="20"/>
        <v>0</v>
      </c>
      <c r="L97" s="384">
        <f t="shared" si="21"/>
        <v>0</v>
      </c>
      <c r="M97" s="384">
        <f t="shared" si="22"/>
        <v>100</v>
      </c>
      <c r="N97" s="421">
        <f t="shared" si="10"/>
        <v>100</v>
      </c>
      <c r="O97" s="383"/>
      <c r="P97" s="384"/>
      <c r="Q97" s="384">
        <v>54</v>
      </c>
      <c r="R97" s="385">
        <f t="shared" si="9"/>
        <v>54</v>
      </c>
      <c r="S97" s="334">
        <v>1</v>
      </c>
      <c r="T97" s="357"/>
      <c r="V97" s="343" t="s">
        <v>191</v>
      </c>
      <c r="W97" s="334" t="s">
        <v>20</v>
      </c>
      <c r="X97" s="334" t="s">
        <v>12</v>
      </c>
      <c r="Y97" s="344">
        <v>54</v>
      </c>
      <c r="AD97" s="343"/>
      <c r="AG97" s="344"/>
      <c r="AL97" s="343"/>
      <c r="AO97" s="344"/>
      <c r="AP97" s="343"/>
      <c r="AS97" s="344"/>
      <c r="AW97" s="344"/>
      <c r="BA97" s="345"/>
    </row>
    <row r="98" spans="1:53" s="334" customFormat="1">
      <c r="A98" s="334">
        <v>1998</v>
      </c>
      <c r="C98" s="992" t="s">
        <v>182</v>
      </c>
      <c r="D98" s="992"/>
      <c r="E98" s="334">
        <f>365-E97</f>
        <v>365</v>
      </c>
      <c r="G98" s="419"/>
      <c r="I98" s="334">
        <v>20</v>
      </c>
      <c r="J98" s="435">
        <v>20</v>
      </c>
      <c r="K98" s="384">
        <f t="shared" si="20"/>
        <v>0</v>
      </c>
      <c r="L98" s="384">
        <f t="shared" si="21"/>
        <v>0</v>
      </c>
      <c r="M98" s="384">
        <f t="shared" si="22"/>
        <v>100</v>
      </c>
      <c r="N98" s="421">
        <f t="shared" si="10"/>
        <v>100</v>
      </c>
      <c r="O98" s="383"/>
      <c r="P98" s="384"/>
      <c r="Q98" s="384">
        <v>54</v>
      </c>
      <c r="R98" s="385">
        <f t="shared" si="9"/>
        <v>54</v>
      </c>
      <c r="S98" s="334">
        <v>1</v>
      </c>
      <c r="T98" s="357"/>
      <c r="V98" s="343" t="s">
        <v>191</v>
      </c>
      <c r="W98" s="334" t="s">
        <v>20</v>
      </c>
      <c r="X98" s="334" t="s">
        <v>12</v>
      </c>
      <c r="Y98" s="344">
        <v>54</v>
      </c>
      <c r="AD98" s="343"/>
      <c r="AG98" s="344"/>
      <c r="AL98" s="343"/>
      <c r="AO98" s="344"/>
      <c r="AP98" s="343"/>
      <c r="AS98" s="344"/>
      <c r="AW98" s="344"/>
      <c r="BA98" s="345"/>
    </row>
    <row r="99" spans="1:53" s="334" customFormat="1">
      <c r="A99" s="334">
        <v>1999</v>
      </c>
      <c r="C99" s="992" t="s">
        <v>182</v>
      </c>
      <c r="D99" s="992"/>
      <c r="E99" s="334">
        <v>0</v>
      </c>
      <c r="G99" s="419"/>
      <c r="I99" s="334">
        <v>21</v>
      </c>
      <c r="J99" s="435">
        <v>21</v>
      </c>
      <c r="K99" s="384">
        <f t="shared" si="20"/>
        <v>0</v>
      </c>
      <c r="L99" s="384">
        <f t="shared" si="21"/>
        <v>0</v>
      </c>
      <c r="M99" s="384">
        <f t="shared" si="22"/>
        <v>100</v>
      </c>
      <c r="N99" s="421">
        <f t="shared" si="10"/>
        <v>100</v>
      </c>
      <c r="O99" s="383"/>
      <c r="P99" s="384"/>
      <c r="Q99" s="384">
        <v>54</v>
      </c>
      <c r="R99" s="385">
        <f t="shared" si="9"/>
        <v>54</v>
      </c>
      <c r="S99" s="334">
        <v>1</v>
      </c>
      <c r="T99" s="357"/>
      <c r="V99" s="343" t="s">
        <v>191</v>
      </c>
      <c r="W99" s="334" t="s">
        <v>20</v>
      </c>
      <c r="X99" s="334" t="s">
        <v>12</v>
      </c>
      <c r="Y99" s="344">
        <v>54</v>
      </c>
      <c r="AD99" s="343"/>
      <c r="AG99" s="344"/>
      <c r="AL99" s="343"/>
      <c r="AO99" s="344"/>
      <c r="AP99" s="343"/>
      <c r="AS99" s="344"/>
      <c r="AW99" s="344"/>
      <c r="BA99" s="345"/>
    </row>
    <row r="100" spans="1:53" s="334" customFormat="1">
      <c r="A100" s="334">
        <v>1999</v>
      </c>
      <c r="C100" s="992" t="s">
        <v>182</v>
      </c>
      <c r="D100" s="992"/>
      <c r="E100" s="334">
        <f>365-E99</f>
        <v>365</v>
      </c>
      <c r="G100" s="419"/>
      <c r="I100" s="334">
        <v>21</v>
      </c>
      <c r="J100" s="435">
        <v>21</v>
      </c>
      <c r="K100" s="384">
        <f t="shared" si="20"/>
        <v>0</v>
      </c>
      <c r="L100" s="384">
        <f t="shared" si="21"/>
        <v>0</v>
      </c>
      <c r="M100" s="384">
        <f t="shared" si="22"/>
        <v>100</v>
      </c>
      <c r="N100" s="421">
        <f t="shared" si="10"/>
        <v>100</v>
      </c>
      <c r="O100" s="383"/>
      <c r="P100" s="384"/>
      <c r="Q100" s="384">
        <v>54</v>
      </c>
      <c r="R100" s="385">
        <f t="shared" si="9"/>
        <v>54</v>
      </c>
      <c r="S100" s="334">
        <v>1</v>
      </c>
      <c r="T100" s="357"/>
      <c r="V100" s="343" t="s">
        <v>191</v>
      </c>
      <c r="W100" s="334" t="s">
        <v>20</v>
      </c>
      <c r="X100" s="334" t="s">
        <v>12</v>
      </c>
      <c r="Y100" s="344">
        <v>54</v>
      </c>
      <c r="AD100" s="343"/>
      <c r="AG100" s="344"/>
      <c r="AL100" s="343"/>
      <c r="AO100" s="344"/>
      <c r="AP100" s="343"/>
      <c r="AS100" s="344"/>
      <c r="AW100" s="344"/>
      <c r="BA100" s="345"/>
    </row>
    <row r="101" spans="1:53" s="334" customFormat="1">
      <c r="A101" s="334">
        <v>2000</v>
      </c>
      <c r="C101" s="992" t="s">
        <v>182</v>
      </c>
      <c r="D101" s="992"/>
      <c r="E101" s="334">
        <v>115</v>
      </c>
      <c r="G101" s="419"/>
      <c r="I101" s="334">
        <v>21</v>
      </c>
      <c r="J101" s="435">
        <v>21</v>
      </c>
      <c r="K101" s="384">
        <f t="shared" si="20"/>
        <v>0</v>
      </c>
      <c r="L101" s="384">
        <f t="shared" si="21"/>
        <v>0</v>
      </c>
      <c r="M101" s="384">
        <f t="shared" si="22"/>
        <v>100</v>
      </c>
      <c r="N101" s="421">
        <f t="shared" si="10"/>
        <v>100</v>
      </c>
      <c r="O101" s="383"/>
      <c r="P101" s="384"/>
      <c r="Q101" s="384">
        <v>54</v>
      </c>
      <c r="R101" s="385">
        <f t="shared" si="9"/>
        <v>54</v>
      </c>
      <c r="S101" s="334">
        <v>1</v>
      </c>
      <c r="T101" s="357"/>
      <c r="V101" s="343" t="s">
        <v>191</v>
      </c>
      <c r="W101" s="334" t="s">
        <v>20</v>
      </c>
      <c r="X101" s="334" t="s">
        <v>12</v>
      </c>
      <c r="Y101" s="344">
        <v>54</v>
      </c>
      <c r="AD101" s="343"/>
      <c r="AG101" s="344"/>
      <c r="AL101" s="343"/>
      <c r="AO101" s="344"/>
      <c r="AP101" s="343"/>
      <c r="AS101" s="344"/>
      <c r="AW101" s="344"/>
      <c r="BA101" s="345"/>
    </row>
    <row r="102" spans="1:53" s="73" customFormat="1">
      <c r="A102" s="73">
        <v>2000</v>
      </c>
      <c r="B102" s="85">
        <v>36641</v>
      </c>
      <c r="C102" s="988" t="s">
        <v>183</v>
      </c>
      <c r="D102" s="988"/>
      <c r="E102" s="73">
        <v>251</v>
      </c>
      <c r="F102" s="73">
        <v>1</v>
      </c>
      <c r="G102" s="123"/>
      <c r="I102" s="73">
        <v>21</v>
      </c>
      <c r="J102" s="134">
        <v>21</v>
      </c>
      <c r="K102" s="92">
        <f t="shared" si="20"/>
        <v>0</v>
      </c>
      <c r="L102" s="92">
        <f t="shared" si="21"/>
        <v>0</v>
      </c>
      <c r="M102" s="92">
        <f t="shared" si="22"/>
        <v>100</v>
      </c>
      <c r="N102" s="125">
        <f t="shared" si="10"/>
        <v>100</v>
      </c>
      <c r="O102" s="91"/>
      <c r="P102" s="92"/>
      <c r="Q102" s="92">
        <v>52.7</v>
      </c>
      <c r="R102" s="93">
        <f t="shared" si="9"/>
        <v>52.7</v>
      </c>
      <c r="S102" s="73">
        <v>1</v>
      </c>
      <c r="T102" s="95">
        <v>36625</v>
      </c>
      <c r="U102" s="85">
        <v>36641</v>
      </c>
      <c r="V102" s="82" t="s">
        <v>191</v>
      </c>
      <c r="W102" s="73" t="s">
        <v>20</v>
      </c>
      <c r="X102" s="73" t="s">
        <v>12</v>
      </c>
      <c r="Y102" s="83">
        <v>52.7</v>
      </c>
      <c r="AD102" s="82"/>
      <c r="AG102" s="83"/>
      <c r="AL102" s="82"/>
      <c r="AO102" s="83"/>
      <c r="AP102" s="82"/>
      <c r="AS102" s="83"/>
      <c r="AW102" s="83"/>
      <c r="BA102" s="84"/>
    </row>
    <row r="103" spans="1:53" s="73" customFormat="1">
      <c r="A103" s="73">
        <v>2001</v>
      </c>
      <c r="C103" s="988" t="s">
        <v>183</v>
      </c>
      <c r="D103" s="988"/>
      <c r="E103" s="73">
        <v>0</v>
      </c>
      <c r="G103" s="123"/>
      <c r="I103" s="73">
        <v>21</v>
      </c>
      <c r="J103" s="134">
        <v>21</v>
      </c>
      <c r="K103" s="92">
        <f t="shared" si="20"/>
        <v>0</v>
      </c>
      <c r="L103" s="92">
        <f t="shared" si="21"/>
        <v>0</v>
      </c>
      <c r="M103" s="92">
        <f t="shared" si="22"/>
        <v>100</v>
      </c>
      <c r="N103" s="125">
        <f t="shared" si="10"/>
        <v>100</v>
      </c>
      <c r="O103" s="91"/>
      <c r="P103" s="92"/>
      <c r="Q103" s="92">
        <v>52.7</v>
      </c>
      <c r="R103" s="93">
        <f t="shared" si="9"/>
        <v>52.7</v>
      </c>
      <c r="S103" s="73">
        <v>1</v>
      </c>
      <c r="T103" s="81"/>
      <c r="V103" s="82" t="s">
        <v>191</v>
      </c>
      <c r="W103" s="73" t="s">
        <v>20</v>
      </c>
      <c r="X103" s="73" t="s">
        <v>12</v>
      </c>
      <c r="Y103" s="83">
        <v>52.7</v>
      </c>
      <c r="AD103" s="82"/>
      <c r="AG103" s="83"/>
      <c r="AL103" s="82"/>
      <c r="AO103" s="83"/>
      <c r="AP103" s="82"/>
      <c r="AS103" s="83"/>
      <c r="AW103" s="83"/>
      <c r="BA103" s="84"/>
    </row>
    <row r="104" spans="1:53" s="73" customFormat="1">
      <c r="A104" s="73">
        <v>2001</v>
      </c>
      <c r="C104" s="988" t="s">
        <v>183</v>
      </c>
      <c r="D104" s="988"/>
      <c r="E104" s="73">
        <f>365-E103</f>
        <v>365</v>
      </c>
      <c r="G104" s="123"/>
      <c r="I104" s="73">
        <v>21</v>
      </c>
      <c r="J104" s="134">
        <v>21</v>
      </c>
      <c r="K104" s="92">
        <f t="shared" si="20"/>
        <v>0</v>
      </c>
      <c r="L104" s="92">
        <f t="shared" si="21"/>
        <v>0</v>
      </c>
      <c r="M104" s="92">
        <f t="shared" si="22"/>
        <v>100</v>
      </c>
      <c r="N104" s="125">
        <f t="shared" si="10"/>
        <v>100</v>
      </c>
      <c r="O104" s="91"/>
      <c r="P104" s="92"/>
      <c r="Q104" s="92">
        <v>52.7</v>
      </c>
      <c r="R104" s="93">
        <f t="shared" si="9"/>
        <v>52.7</v>
      </c>
      <c r="S104" s="73">
        <v>1</v>
      </c>
      <c r="T104" s="81"/>
      <c r="V104" s="82" t="s">
        <v>191</v>
      </c>
      <c r="W104" s="73" t="s">
        <v>20</v>
      </c>
      <c r="X104" s="73" t="s">
        <v>12</v>
      </c>
      <c r="Y104" s="83">
        <v>52.7</v>
      </c>
      <c r="AD104" s="82"/>
      <c r="AG104" s="83"/>
      <c r="AL104" s="82"/>
      <c r="AO104" s="83"/>
      <c r="AP104" s="82"/>
      <c r="AS104" s="83"/>
      <c r="AW104" s="83"/>
      <c r="BA104" s="84"/>
    </row>
    <row r="105" spans="1:53" s="73" customFormat="1">
      <c r="A105" s="73">
        <v>2002</v>
      </c>
      <c r="C105" s="988" t="s">
        <v>183</v>
      </c>
      <c r="D105" s="988"/>
      <c r="E105" s="73">
        <v>0</v>
      </c>
      <c r="G105" s="123"/>
      <c r="I105" s="73">
        <v>21</v>
      </c>
      <c r="J105" s="134">
        <v>21</v>
      </c>
      <c r="K105" s="92">
        <f t="shared" si="20"/>
        <v>0</v>
      </c>
      <c r="L105" s="92">
        <f t="shared" si="21"/>
        <v>0</v>
      </c>
      <c r="M105" s="92">
        <f t="shared" si="22"/>
        <v>100</v>
      </c>
      <c r="N105" s="125">
        <f t="shared" si="10"/>
        <v>100</v>
      </c>
      <c r="O105" s="91"/>
      <c r="P105" s="92"/>
      <c r="Q105" s="92">
        <v>52.7</v>
      </c>
      <c r="R105" s="93">
        <f t="shared" si="9"/>
        <v>52.7</v>
      </c>
      <c r="S105" s="73">
        <v>1</v>
      </c>
      <c r="T105" s="81"/>
      <c r="V105" s="82" t="s">
        <v>191</v>
      </c>
      <c r="W105" s="73" t="s">
        <v>20</v>
      </c>
      <c r="X105" s="73" t="s">
        <v>12</v>
      </c>
      <c r="Y105" s="83">
        <v>52.7</v>
      </c>
      <c r="AD105" s="82"/>
      <c r="AG105" s="83"/>
      <c r="AL105" s="82"/>
      <c r="AO105" s="83"/>
      <c r="AP105" s="82"/>
      <c r="AS105" s="83"/>
      <c r="AW105" s="83"/>
      <c r="BA105" s="84"/>
    </row>
    <row r="106" spans="1:53" s="73" customFormat="1">
      <c r="A106" s="73">
        <v>2002</v>
      </c>
      <c r="C106" s="988" t="s">
        <v>183</v>
      </c>
      <c r="D106" s="988"/>
      <c r="E106" s="73">
        <f>365-E105</f>
        <v>365</v>
      </c>
      <c r="G106" s="123"/>
      <c r="I106" s="73">
        <v>21</v>
      </c>
      <c r="J106" s="134">
        <v>21</v>
      </c>
      <c r="K106" s="92">
        <f t="shared" si="20"/>
        <v>0</v>
      </c>
      <c r="L106" s="92">
        <f t="shared" si="21"/>
        <v>0</v>
      </c>
      <c r="M106" s="92">
        <f t="shared" si="22"/>
        <v>100</v>
      </c>
      <c r="N106" s="125">
        <f t="shared" si="10"/>
        <v>100</v>
      </c>
      <c r="O106" s="91"/>
      <c r="P106" s="92"/>
      <c r="Q106" s="92">
        <v>52.7</v>
      </c>
      <c r="R106" s="93">
        <f t="shared" si="9"/>
        <v>52.7</v>
      </c>
      <c r="S106" s="73">
        <v>1</v>
      </c>
      <c r="T106" s="81"/>
      <c r="V106" s="82" t="s">
        <v>191</v>
      </c>
      <c r="W106" s="73" t="s">
        <v>20</v>
      </c>
      <c r="X106" s="73" t="s">
        <v>12</v>
      </c>
      <c r="Y106" s="83">
        <v>52.7</v>
      </c>
      <c r="AD106" s="82"/>
      <c r="AG106" s="83"/>
      <c r="AL106" s="82"/>
      <c r="AO106" s="83"/>
      <c r="AP106" s="82"/>
      <c r="AS106" s="83"/>
      <c r="AW106" s="83"/>
      <c r="BA106" s="84"/>
    </row>
    <row r="107" spans="1:53" s="73" customFormat="1">
      <c r="A107" s="73">
        <v>2003</v>
      </c>
      <c r="C107" s="988" t="s">
        <v>183</v>
      </c>
      <c r="D107" s="988"/>
      <c r="E107" s="73">
        <v>0</v>
      </c>
      <c r="G107" s="123"/>
      <c r="I107" s="73">
        <v>21</v>
      </c>
      <c r="J107" s="134">
        <v>21</v>
      </c>
      <c r="K107" s="92">
        <f t="shared" si="20"/>
        <v>0</v>
      </c>
      <c r="L107" s="92">
        <f t="shared" si="21"/>
        <v>0</v>
      </c>
      <c r="M107" s="92">
        <f t="shared" si="22"/>
        <v>100</v>
      </c>
      <c r="N107" s="125">
        <f t="shared" si="10"/>
        <v>100</v>
      </c>
      <c r="O107" s="91"/>
      <c r="P107" s="92"/>
      <c r="Q107" s="92">
        <v>52.7</v>
      </c>
      <c r="R107" s="93">
        <f t="shared" si="9"/>
        <v>52.7</v>
      </c>
      <c r="S107" s="73">
        <v>1</v>
      </c>
      <c r="T107" s="81"/>
      <c r="V107" s="82" t="s">
        <v>191</v>
      </c>
      <c r="W107" s="73" t="s">
        <v>20</v>
      </c>
      <c r="X107" s="73" t="s">
        <v>12</v>
      </c>
      <c r="Y107" s="83">
        <v>52.7</v>
      </c>
      <c r="AD107" s="82"/>
      <c r="AG107" s="83"/>
      <c r="AL107" s="82"/>
      <c r="AO107" s="83"/>
      <c r="AP107" s="82"/>
      <c r="AS107" s="83"/>
      <c r="AW107" s="83"/>
      <c r="BA107" s="84"/>
    </row>
    <row r="108" spans="1:53" s="73" customFormat="1">
      <c r="A108" s="73">
        <v>2003</v>
      </c>
      <c r="C108" s="988" t="s">
        <v>183</v>
      </c>
      <c r="D108" s="988"/>
      <c r="E108" s="73">
        <f>365-E107</f>
        <v>365</v>
      </c>
      <c r="G108" s="123"/>
      <c r="I108" s="73">
        <v>21</v>
      </c>
      <c r="J108" s="134">
        <v>21</v>
      </c>
      <c r="K108" s="92">
        <f t="shared" si="20"/>
        <v>0</v>
      </c>
      <c r="L108" s="92">
        <f t="shared" si="21"/>
        <v>0</v>
      </c>
      <c r="M108" s="92">
        <f t="shared" si="22"/>
        <v>100</v>
      </c>
      <c r="N108" s="125">
        <f t="shared" si="10"/>
        <v>100</v>
      </c>
      <c r="O108" s="91"/>
      <c r="P108" s="92"/>
      <c r="Q108" s="92">
        <v>52.7</v>
      </c>
      <c r="R108" s="93">
        <f t="shared" si="9"/>
        <v>52.7</v>
      </c>
      <c r="S108" s="73">
        <v>1</v>
      </c>
      <c r="T108" s="81"/>
      <c r="V108" s="82" t="s">
        <v>191</v>
      </c>
      <c r="W108" s="73" t="s">
        <v>20</v>
      </c>
      <c r="X108" s="73" t="s">
        <v>12</v>
      </c>
      <c r="Y108" s="83">
        <v>52.7</v>
      </c>
      <c r="AD108" s="82"/>
      <c r="AG108" s="83"/>
      <c r="AL108" s="82"/>
      <c r="AO108" s="83"/>
      <c r="AP108" s="82"/>
      <c r="AS108" s="83"/>
      <c r="AW108" s="83"/>
      <c r="BA108" s="84"/>
    </row>
    <row r="109" spans="1:53" s="73" customFormat="1">
      <c r="A109" s="73">
        <v>2004</v>
      </c>
      <c r="C109" s="988" t="s">
        <v>183</v>
      </c>
      <c r="D109" s="988"/>
      <c r="E109" s="73">
        <v>82</v>
      </c>
      <c r="G109" s="123"/>
      <c r="I109" s="73">
        <v>21</v>
      </c>
      <c r="J109" s="134">
        <v>21</v>
      </c>
      <c r="K109" s="92">
        <f t="shared" si="20"/>
        <v>0</v>
      </c>
      <c r="L109" s="92">
        <f t="shared" si="21"/>
        <v>0</v>
      </c>
      <c r="M109" s="92">
        <f t="shared" si="22"/>
        <v>100</v>
      </c>
      <c r="N109" s="125">
        <f t="shared" si="10"/>
        <v>100</v>
      </c>
      <c r="O109" s="91"/>
      <c r="P109" s="92"/>
      <c r="Q109" s="92">
        <v>52.7</v>
      </c>
      <c r="R109" s="93">
        <f t="shared" si="9"/>
        <v>52.7</v>
      </c>
      <c r="S109" s="73">
        <v>1</v>
      </c>
      <c r="T109" s="81"/>
      <c r="V109" s="82" t="s">
        <v>191</v>
      </c>
      <c r="W109" s="73" t="s">
        <v>20</v>
      </c>
      <c r="X109" s="73" t="s">
        <v>12</v>
      </c>
      <c r="Y109" s="83">
        <v>52.7</v>
      </c>
      <c r="AD109" s="82"/>
      <c r="AG109" s="83"/>
      <c r="AL109" s="82"/>
      <c r="AO109" s="83"/>
      <c r="AP109" s="82"/>
      <c r="AS109" s="83"/>
      <c r="AW109" s="83"/>
      <c r="BA109" s="84"/>
    </row>
    <row r="110" spans="1:53" s="334" customFormat="1">
      <c r="A110" s="334">
        <v>2004</v>
      </c>
      <c r="B110" s="355">
        <v>38069</v>
      </c>
      <c r="C110" s="992" t="s">
        <v>176</v>
      </c>
      <c r="D110" s="992"/>
      <c r="E110" s="334">
        <v>284</v>
      </c>
      <c r="F110" s="334">
        <v>1</v>
      </c>
      <c r="G110" s="419">
        <v>20</v>
      </c>
      <c r="J110" s="435">
        <v>20</v>
      </c>
      <c r="K110" s="384">
        <f t="shared" si="20"/>
        <v>100</v>
      </c>
      <c r="L110" s="384">
        <f t="shared" si="21"/>
        <v>0</v>
      </c>
      <c r="M110" s="384">
        <f t="shared" si="22"/>
        <v>0</v>
      </c>
      <c r="N110" s="421">
        <f t="shared" si="10"/>
        <v>100</v>
      </c>
      <c r="O110" s="383">
        <v>55</v>
      </c>
      <c r="P110" s="384"/>
      <c r="Q110" s="384"/>
      <c r="R110" s="385">
        <f t="shared" ref="R110:R131" si="23">SUM(O110:Q110)</f>
        <v>55</v>
      </c>
      <c r="S110" s="334">
        <v>1</v>
      </c>
      <c r="T110" s="342">
        <v>38053</v>
      </c>
      <c r="U110" s="355">
        <v>38069</v>
      </c>
      <c r="V110" s="343" t="s">
        <v>190</v>
      </c>
      <c r="W110" s="334" t="s">
        <v>77</v>
      </c>
      <c r="X110" s="334" t="s">
        <v>11</v>
      </c>
      <c r="Y110" s="344">
        <v>55</v>
      </c>
      <c r="AD110" s="343"/>
      <c r="AG110" s="344"/>
      <c r="AL110" s="343"/>
      <c r="AO110" s="344"/>
      <c r="AP110" s="343"/>
      <c r="AS110" s="344"/>
      <c r="AW110" s="344"/>
      <c r="BA110" s="345"/>
    </row>
    <row r="111" spans="1:53" s="334" customFormat="1">
      <c r="A111" s="334">
        <v>2005</v>
      </c>
      <c r="C111" s="992" t="s">
        <v>176</v>
      </c>
      <c r="D111" s="992"/>
      <c r="E111" s="334">
        <v>0</v>
      </c>
      <c r="G111" s="419">
        <v>20</v>
      </c>
      <c r="J111" s="435">
        <v>20</v>
      </c>
      <c r="K111" s="384">
        <f t="shared" ref="K111:K118" si="24">G111/J111*100</f>
        <v>100</v>
      </c>
      <c r="L111" s="384">
        <f t="shared" ref="L111:L119" si="25">H111/J111*100</f>
        <v>0</v>
      </c>
      <c r="M111" s="384">
        <f t="shared" ref="M111:M119" si="26">I111/J111*100</f>
        <v>0</v>
      </c>
      <c r="N111" s="421">
        <f t="shared" si="10"/>
        <v>100</v>
      </c>
      <c r="O111" s="383">
        <v>55</v>
      </c>
      <c r="P111" s="384"/>
      <c r="Q111" s="384"/>
      <c r="R111" s="385">
        <f t="shared" si="23"/>
        <v>55</v>
      </c>
      <c r="S111" s="334">
        <v>1</v>
      </c>
      <c r="T111" s="357"/>
      <c r="V111" s="343" t="s">
        <v>190</v>
      </c>
      <c r="W111" s="334" t="s">
        <v>77</v>
      </c>
      <c r="X111" s="334" t="s">
        <v>11</v>
      </c>
      <c r="Y111" s="344">
        <v>55</v>
      </c>
      <c r="AD111" s="343"/>
      <c r="AG111" s="344"/>
      <c r="AL111" s="343"/>
      <c r="AO111" s="344"/>
      <c r="AP111" s="343"/>
      <c r="AS111" s="344"/>
      <c r="AW111" s="344"/>
      <c r="BA111" s="345"/>
    </row>
    <row r="112" spans="1:53" s="334" customFormat="1">
      <c r="A112" s="334">
        <v>2005</v>
      </c>
      <c r="C112" s="992" t="s">
        <v>176</v>
      </c>
      <c r="D112" s="992"/>
      <c r="E112" s="334">
        <v>365</v>
      </c>
      <c r="G112" s="419">
        <v>20</v>
      </c>
      <c r="J112" s="435">
        <v>20</v>
      </c>
      <c r="K112" s="384">
        <f t="shared" si="24"/>
        <v>100</v>
      </c>
      <c r="L112" s="384">
        <f t="shared" si="25"/>
        <v>0</v>
      </c>
      <c r="M112" s="384">
        <f t="shared" si="26"/>
        <v>0</v>
      </c>
      <c r="N112" s="421">
        <f t="shared" si="10"/>
        <v>100</v>
      </c>
      <c r="O112" s="383">
        <v>55</v>
      </c>
      <c r="P112" s="384"/>
      <c r="Q112" s="384"/>
      <c r="R112" s="385">
        <f t="shared" si="23"/>
        <v>55</v>
      </c>
      <c r="S112" s="334">
        <v>1</v>
      </c>
      <c r="T112" s="357"/>
      <c r="V112" s="343" t="s">
        <v>190</v>
      </c>
      <c r="W112" s="334" t="s">
        <v>77</v>
      </c>
      <c r="X112" s="334" t="s">
        <v>11</v>
      </c>
      <c r="Y112" s="344">
        <v>55</v>
      </c>
      <c r="AD112" s="343"/>
      <c r="AG112" s="344"/>
      <c r="AL112" s="343"/>
      <c r="AO112" s="344"/>
      <c r="AP112" s="343"/>
      <c r="AS112" s="344"/>
      <c r="AW112" s="344"/>
      <c r="BA112" s="345"/>
    </row>
    <row r="113" spans="1:53" s="334" customFormat="1">
      <c r="A113" s="334">
        <v>2006</v>
      </c>
      <c r="C113" s="992" t="s">
        <v>176</v>
      </c>
      <c r="D113" s="992"/>
      <c r="E113" s="334">
        <v>0</v>
      </c>
      <c r="G113" s="419">
        <v>20</v>
      </c>
      <c r="J113" s="435">
        <v>20</v>
      </c>
      <c r="K113" s="384">
        <f t="shared" si="24"/>
        <v>100</v>
      </c>
      <c r="L113" s="384">
        <f t="shared" si="25"/>
        <v>0</v>
      </c>
      <c r="M113" s="384">
        <f t="shared" si="26"/>
        <v>0</v>
      </c>
      <c r="N113" s="421">
        <f t="shared" si="10"/>
        <v>100</v>
      </c>
      <c r="O113" s="383">
        <v>55</v>
      </c>
      <c r="P113" s="384"/>
      <c r="Q113" s="384"/>
      <c r="R113" s="385">
        <f t="shared" si="23"/>
        <v>55</v>
      </c>
      <c r="S113" s="334">
        <v>1</v>
      </c>
      <c r="T113" s="357"/>
      <c r="V113" s="343" t="s">
        <v>190</v>
      </c>
      <c r="W113" s="334" t="s">
        <v>77</v>
      </c>
      <c r="X113" s="334" t="s">
        <v>11</v>
      </c>
      <c r="Y113" s="344">
        <v>55</v>
      </c>
      <c r="AD113" s="343"/>
      <c r="AG113" s="344"/>
      <c r="AL113" s="343"/>
      <c r="AO113" s="344"/>
      <c r="AP113" s="343"/>
      <c r="AS113" s="344"/>
      <c r="AW113" s="344"/>
      <c r="BA113" s="345"/>
    </row>
    <row r="114" spans="1:53" s="334" customFormat="1">
      <c r="A114" s="334">
        <v>2006</v>
      </c>
      <c r="C114" s="992" t="s">
        <v>176</v>
      </c>
      <c r="D114" s="992"/>
      <c r="E114" s="334">
        <v>365</v>
      </c>
      <c r="G114" s="419">
        <v>20</v>
      </c>
      <c r="J114" s="435">
        <v>20</v>
      </c>
      <c r="K114" s="384">
        <f t="shared" si="24"/>
        <v>100</v>
      </c>
      <c r="L114" s="384">
        <f t="shared" si="25"/>
        <v>0</v>
      </c>
      <c r="M114" s="384">
        <f t="shared" si="26"/>
        <v>0</v>
      </c>
      <c r="N114" s="421">
        <f t="shared" si="10"/>
        <v>100</v>
      </c>
      <c r="O114" s="383">
        <v>55</v>
      </c>
      <c r="P114" s="384"/>
      <c r="Q114" s="384"/>
      <c r="R114" s="385">
        <f t="shared" si="23"/>
        <v>55</v>
      </c>
      <c r="S114" s="334">
        <v>1</v>
      </c>
      <c r="T114" s="357"/>
      <c r="V114" s="343" t="s">
        <v>190</v>
      </c>
      <c r="W114" s="334" t="s">
        <v>77</v>
      </c>
      <c r="X114" s="334" t="s">
        <v>11</v>
      </c>
      <c r="Y114" s="344">
        <v>55</v>
      </c>
      <c r="AD114" s="343"/>
      <c r="AG114" s="344"/>
      <c r="AL114" s="343"/>
      <c r="AO114" s="344"/>
      <c r="AP114" s="343"/>
      <c r="AS114" s="344"/>
      <c r="AW114" s="344"/>
      <c r="BA114" s="345"/>
    </row>
    <row r="115" spans="1:53" s="334" customFormat="1">
      <c r="A115" s="334">
        <v>2007</v>
      </c>
      <c r="C115" s="992" t="s">
        <v>176</v>
      </c>
      <c r="D115" s="992"/>
      <c r="E115" s="334">
        <f>365-E116</f>
        <v>273</v>
      </c>
      <c r="G115" s="419">
        <v>20</v>
      </c>
      <c r="J115" s="435">
        <v>20</v>
      </c>
      <c r="K115" s="384">
        <f t="shared" si="24"/>
        <v>100</v>
      </c>
      <c r="L115" s="384">
        <f t="shared" si="25"/>
        <v>0</v>
      </c>
      <c r="M115" s="384">
        <f t="shared" si="26"/>
        <v>0</v>
      </c>
      <c r="N115" s="421">
        <f t="shared" si="10"/>
        <v>100</v>
      </c>
      <c r="O115" s="383">
        <v>55</v>
      </c>
      <c r="P115" s="384"/>
      <c r="Q115" s="384"/>
      <c r="R115" s="385">
        <f t="shared" si="23"/>
        <v>55</v>
      </c>
      <c r="S115" s="334">
        <v>1</v>
      </c>
      <c r="T115" s="357"/>
      <c r="V115" s="343" t="s">
        <v>190</v>
      </c>
      <c r="W115" s="334" t="s">
        <v>77</v>
      </c>
      <c r="X115" s="334" t="s">
        <v>11</v>
      </c>
      <c r="Y115" s="344">
        <v>55</v>
      </c>
      <c r="AD115" s="343"/>
      <c r="AG115" s="344"/>
      <c r="AL115" s="343"/>
      <c r="AO115" s="344"/>
      <c r="AP115" s="343"/>
      <c r="AS115" s="344"/>
      <c r="AW115" s="344"/>
      <c r="BA115" s="345"/>
    </row>
    <row r="116" spans="1:53" s="225" customFormat="1">
      <c r="A116" s="225">
        <v>2007</v>
      </c>
      <c r="B116" s="224">
        <v>39356</v>
      </c>
      <c r="C116" s="988" t="s">
        <v>177</v>
      </c>
      <c r="D116" s="988"/>
      <c r="E116" s="225">
        <v>92</v>
      </c>
      <c r="F116" s="225">
        <v>1</v>
      </c>
      <c r="G116" s="123">
        <v>18</v>
      </c>
      <c r="J116" s="134">
        <v>18</v>
      </c>
      <c r="K116" s="92">
        <f t="shared" si="24"/>
        <v>100</v>
      </c>
      <c r="L116" s="92">
        <f t="shared" si="25"/>
        <v>0</v>
      </c>
      <c r="M116" s="92">
        <f t="shared" si="26"/>
        <v>0</v>
      </c>
      <c r="N116" s="125">
        <f t="shared" si="10"/>
        <v>100</v>
      </c>
      <c r="O116" s="91">
        <v>50.7</v>
      </c>
      <c r="P116" s="92"/>
      <c r="Q116" s="92"/>
      <c r="R116" s="93">
        <f t="shared" si="23"/>
        <v>50.7</v>
      </c>
      <c r="S116" s="225">
        <v>1</v>
      </c>
      <c r="T116" s="95">
        <v>39341</v>
      </c>
      <c r="U116" s="224">
        <v>39356</v>
      </c>
      <c r="V116" s="82" t="s">
        <v>190</v>
      </c>
      <c r="W116" s="225" t="s">
        <v>77</v>
      </c>
      <c r="X116" s="225" t="s">
        <v>11</v>
      </c>
      <c r="Y116" s="83">
        <v>50.7</v>
      </c>
      <c r="AD116" s="82"/>
      <c r="AG116" s="83"/>
      <c r="AL116" s="82"/>
      <c r="AO116" s="83"/>
      <c r="AP116" s="82"/>
      <c r="AS116" s="83"/>
      <c r="AW116" s="83"/>
      <c r="BA116" s="84"/>
    </row>
    <row r="117" spans="1:53" s="225" customFormat="1">
      <c r="A117" s="225">
        <v>2008</v>
      </c>
      <c r="C117" s="988" t="s">
        <v>177</v>
      </c>
      <c r="D117" s="988"/>
      <c r="E117" s="225">
        <v>297</v>
      </c>
      <c r="G117" s="123">
        <v>18</v>
      </c>
      <c r="J117" s="134">
        <v>18</v>
      </c>
      <c r="K117" s="92">
        <f t="shared" si="24"/>
        <v>100</v>
      </c>
      <c r="L117" s="92">
        <f t="shared" si="25"/>
        <v>0</v>
      </c>
      <c r="M117" s="92">
        <f t="shared" si="26"/>
        <v>0</v>
      </c>
      <c r="N117" s="125">
        <f t="shared" si="10"/>
        <v>100</v>
      </c>
      <c r="O117" s="91">
        <v>50.7</v>
      </c>
      <c r="P117" s="92"/>
      <c r="Q117" s="92"/>
      <c r="R117" s="93">
        <f t="shared" si="23"/>
        <v>50.7</v>
      </c>
      <c r="S117" s="225">
        <v>1</v>
      </c>
      <c r="T117" s="81"/>
      <c r="V117" s="82" t="s">
        <v>190</v>
      </c>
      <c r="W117" s="225" t="s">
        <v>77</v>
      </c>
      <c r="X117" s="225" t="s">
        <v>11</v>
      </c>
      <c r="Y117" s="83">
        <v>50.7</v>
      </c>
      <c r="AD117" s="82"/>
      <c r="AG117" s="83"/>
      <c r="AL117" s="82"/>
      <c r="AO117" s="83"/>
      <c r="AP117" s="82"/>
      <c r="AS117" s="83"/>
      <c r="AW117" s="83"/>
      <c r="BA117" s="84"/>
    </row>
    <row r="118" spans="1:53" s="225" customFormat="1">
      <c r="A118" s="225">
        <v>2008</v>
      </c>
      <c r="B118" s="216">
        <v>39745</v>
      </c>
      <c r="C118" s="988" t="s">
        <v>177</v>
      </c>
      <c r="D118" s="988"/>
      <c r="E118" s="225">
        <v>69</v>
      </c>
      <c r="F118" s="217">
        <v>0</v>
      </c>
      <c r="G118" s="123">
        <v>17</v>
      </c>
      <c r="J118" s="134">
        <v>17</v>
      </c>
      <c r="K118" s="92">
        <f t="shared" si="24"/>
        <v>100</v>
      </c>
      <c r="L118" s="92">
        <f t="shared" si="25"/>
        <v>0</v>
      </c>
      <c r="M118" s="92">
        <f t="shared" si="26"/>
        <v>0</v>
      </c>
      <c r="N118" s="125">
        <f t="shared" si="10"/>
        <v>100</v>
      </c>
      <c r="O118" s="91">
        <v>50.7</v>
      </c>
      <c r="P118" s="92"/>
      <c r="Q118" s="92"/>
      <c r="R118" s="93">
        <f t="shared" si="23"/>
        <v>50.7</v>
      </c>
      <c r="S118" s="225">
        <v>1</v>
      </c>
      <c r="T118" s="81"/>
      <c r="U118" s="224"/>
      <c r="V118" s="82" t="s">
        <v>190</v>
      </c>
      <c r="W118" s="225" t="s">
        <v>77</v>
      </c>
      <c r="X118" s="225" t="s">
        <v>11</v>
      </c>
      <c r="Y118" s="83">
        <v>50.7</v>
      </c>
      <c r="AD118" s="82"/>
      <c r="AG118" s="83"/>
      <c r="AL118" s="82"/>
      <c r="AO118" s="83"/>
      <c r="AP118" s="82"/>
      <c r="AS118" s="83"/>
      <c r="AW118" s="83"/>
      <c r="BA118" s="84"/>
    </row>
    <row r="119" spans="1:53" s="225" customFormat="1">
      <c r="A119" s="225">
        <v>2009</v>
      </c>
      <c r="C119" s="988" t="s">
        <v>177</v>
      </c>
      <c r="D119" s="988"/>
      <c r="E119" s="225">
        <v>291</v>
      </c>
      <c r="G119" s="123">
        <v>17</v>
      </c>
      <c r="J119" s="134">
        <v>17</v>
      </c>
      <c r="K119" s="92">
        <f t="shared" ref="K119:K125" si="27">G119/J119*100</f>
        <v>100</v>
      </c>
      <c r="L119" s="92">
        <f t="shared" si="25"/>
        <v>0</v>
      </c>
      <c r="M119" s="92">
        <f t="shared" si="26"/>
        <v>0</v>
      </c>
      <c r="N119" s="125">
        <f t="shared" si="10"/>
        <v>100</v>
      </c>
      <c r="O119" s="91">
        <v>50.7</v>
      </c>
      <c r="P119" s="92"/>
      <c r="Q119" s="92"/>
      <c r="R119" s="93">
        <f t="shared" si="23"/>
        <v>50.7</v>
      </c>
      <c r="S119" s="225">
        <v>1</v>
      </c>
      <c r="T119" s="81"/>
      <c r="V119" s="82" t="s">
        <v>190</v>
      </c>
      <c r="W119" s="225" t="s">
        <v>77</v>
      </c>
      <c r="X119" s="225" t="s">
        <v>11</v>
      </c>
      <c r="Y119" s="83">
        <v>50.7</v>
      </c>
      <c r="AD119" s="82"/>
      <c r="AG119" s="83"/>
      <c r="AL119" s="82"/>
      <c r="AO119" s="83"/>
      <c r="AP119" s="82"/>
      <c r="AS119" s="83"/>
      <c r="AW119" s="83"/>
      <c r="BA119" s="84"/>
    </row>
    <row r="120" spans="1:53" s="334" customFormat="1">
      <c r="A120" s="334">
        <v>2009</v>
      </c>
      <c r="B120" s="355">
        <v>40105</v>
      </c>
      <c r="C120" s="992" t="s">
        <v>1376</v>
      </c>
      <c r="D120" s="992"/>
      <c r="E120" s="334">
        <v>74</v>
      </c>
      <c r="F120" s="334">
        <v>1</v>
      </c>
      <c r="G120" s="419"/>
      <c r="I120" s="334">
        <v>17</v>
      </c>
      <c r="J120" s="435">
        <v>17</v>
      </c>
      <c r="K120" s="384">
        <f t="shared" si="27"/>
        <v>0</v>
      </c>
      <c r="L120" s="384">
        <f t="shared" ref="L120:L125" si="28">H120/J120*100</f>
        <v>0</v>
      </c>
      <c r="M120" s="384">
        <f t="shared" ref="M120:M125" si="29">I120/J120*100</f>
        <v>100</v>
      </c>
      <c r="N120" s="421">
        <f t="shared" si="10"/>
        <v>100</v>
      </c>
      <c r="O120" s="383"/>
      <c r="P120" s="384"/>
      <c r="Q120" s="384">
        <v>53.3</v>
      </c>
      <c r="R120" s="385">
        <f t="shared" si="23"/>
        <v>53.3</v>
      </c>
      <c r="S120" s="334">
        <v>1</v>
      </c>
      <c r="T120" s="342">
        <v>40090</v>
      </c>
      <c r="U120" s="355">
        <v>40105</v>
      </c>
      <c r="V120" s="343" t="s">
        <v>191</v>
      </c>
      <c r="W120" s="334" t="s">
        <v>20</v>
      </c>
      <c r="X120" s="334" t="s">
        <v>12</v>
      </c>
      <c r="Y120" s="344">
        <v>53.3</v>
      </c>
      <c r="AD120" s="343"/>
      <c r="AG120" s="344"/>
      <c r="AL120" s="343"/>
      <c r="AO120" s="344"/>
      <c r="AP120" s="343"/>
      <c r="AS120" s="344"/>
      <c r="AW120" s="344"/>
      <c r="BA120" s="345"/>
    </row>
    <row r="121" spans="1:53" s="334" customFormat="1">
      <c r="A121" s="334">
        <v>2010</v>
      </c>
      <c r="C121" s="992" t="s">
        <v>1376</v>
      </c>
      <c r="D121" s="992"/>
      <c r="E121" s="334">
        <v>249</v>
      </c>
      <c r="G121" s="419"/>
      <c r="I121" s="334">
        <v>17</v>
      </c>
      <c r="J121" s="435">
        <v>17</v>
      </c>
      <c r="K121" s="384">
        <f t="shared" si="27"/>
        <v>0</v>
      </c>
      <c r="L121" s="384">
        <f t="shared" si="28"/>
        <v>0</v>
      </c>
      <c r="M121" s="384">
        <f t="shared" si="29"/>
        <v>100</v>
      </c>
      <c r="N121" s="421">
        <f t="shared" si="10"/>
        <v>100</v>
      </c>
      <c r="O121" s="383"/>
      <c r="P121" s="384"/>
      <c r="Q121" s="384">
        <v>53.3</v>
      </c>
      <c r="R121" s="385">
        <f t="shared" si="23"/>
        <v>53.3</v>
      </c>
      <c r="S121" s="334">
        <v>1</v>
      </c>
      <c r="T121" s="357"/>
      <c r="V121" s="343" t="s">
        <v>191</v>
      </c>
      <c r="W121" s="334" t="s">
        <v>20</v>
      </c>
      <c r="X121" s="334" t="s">
        <v>12</v>
      </c>
      <c r="Y121" s="344">
        <v>53.3</v>
      </c>
      <c r="AD121" s="343"/>
      <c r="AG121" s="344"/>
      <c r="AL121" s="343"/>
      <c r="AO121" s="344"/>
      <c r="AP121" s="343"/>
      <c r="AS121" s="344"/>
      <c r="AW121" s="344"/>
      <c r="BA121" s="345"/>
    </row>
    <row r="122" spans="1:53" s="334" customFormat="1">
      <c r="A122" s="334">
        <v>2010</v>
      </c>
      <c r="B122" s="450">
        <v>40428</v>
      </c>
      <c r="C122" s="992" t="s">
        <v>1376</v>
      </c>
      <c r="D122" s="992"/>
      <c r="E122" s="334">
        <f>365-E121</f>
        <v>116</v>
      </c>
      <c r="F122" s="451">
        <v>0</v>
      </c>
      <c r="G122" s="419"/>
      <c r="I122" s="334">
        <v>18</v>
      </c>
      <c r="J122" s="435">
        <v>18</v>
      </c>
      <c r="K122" s="384">
        <f t="shared" si="27"/>
        <v>0</v>
      </c>
      <c r="L122" s="384">
        <f t="shared" si="28"/>
        <v>0</v>
      </c>
      <c r="M122" s="384">
        <f t="shared" si="29"/>
        <v>100</v>
      </c>
      <c r="N122" s="421">
        <f t="shared" si="10"/>
        <v>100</v>
      </c>
      <c r="O122" s="383"/>
      <c r="P122" s="384"/>
      <c r="Q122" s="384">
        <v>53.3</v>
      </c>
      <c r="R122" s="385">
        <f t="shared" si="23"/>
        <v>53.3</v>
      </c>
      <c r="S122" s="334">
        <v>1</v>
      </c>
      <c r="T122" s="357"/>
      <c r="U122" s="355"/>
      <c r="V122" s="343" t="s">
        <v>191</v>
      </c>
      <c r="W122" s="334" t="s">
        <v>20</v>
      </c>
      <c r="X122" s="334" t="s">
        <v>12</v>
      </c>
      <c r="Y122" s="344">
        <v>53.3</v>
      </c>
      <c r="AD122" s="343"/>
      <c r="AG122" s="344"/>
      <c r="AL122" s="343"/>
      <c r="AO122" s="344"/>
      <c r="AP122" s="343"/>
      <c r="AS122" s="344"/>
      <c r="AW122" s="344"/>
      <c r="BA122" s="345"/>
    </row>
    <row r="123" spans="1:53" s="334" customFormat="1">
      <c r="A123" s="334">
        <v>2011</v>
      </c>
      <c r="C123" s="992" t="s">
        <v>1376</v>
      </c>
      <c r="D123" s="992"/>
      <c r="E123" s="334">
        <v>319</v>
      </c>
      <c r="G123" s="419"/>
      <c r="I123" s="334">
        <v>18</v>
      </c>
      <c r="J123" s="435">
        <v>18</v>
      </c>
      <c r="K123" s="384">
        <f t="shared" si="27"/>
        <v>0</v>
      </c>
      <c r="L123" s="384">
        <f t="shared" si="28"/>
        <v>0</v>
      </c>
      <c r="M123" s="384">
        <f t="shared" si="29"/>
        <v>100</v>
      </c>
      <c r="N123" s="421">
        <f t="shared" si="10"/>
        <v>100</v>
      </c>
      <c r="O123" s="383"/>
      <c r="P123" s="384"/>
      <c r="Q123" s="384">
        <v>53.3</v>
      </c>
      <c r="R123" s="385">
        <f t="shared" si="23"/>
        <v>53.3</v>
      </c>
      <c r="S123" s="334">
        <v>1</v>
      </c>
      <c r="T123" s="357"/>
      <c r="V123" s="343" t="s">
        <v>191</v>
      </c>
      <c r="W123" s="334" t="s">
        <v>20</v>
      </c>
      <c r="X123" s="334" t="s">
        <v>12</v>
      </c>
      <c r="Y123" s="344">
        <v>53.3</v>
      </c>
      <c r="AD123" s="343"/>
      <c r="AG123" s="344"/>
      <c r="AL123" s="343"/>
      <c r="AO123" s="344"/>
      <c r="AP123" s="343"/>
      <c r="AS123" s="344"/>
      <c r="AW123" s="344"/>
      <c r="BA123" s="345"/>
    </row>
    <row r="124" spans="1:53" s="225" customFormat="1">
      <c r="A124" s="225">
        <v>2011</v>
      </c>
      <c r="B124" s="224">
        <v>40863</v>
      </c>
      <c r="C124" s="988" t="s">
        <v>184</v>
      </c>
      <c r="D124" s="988"/>
      <c r="E124" s="225">
        <v>46</v>
      </c>
      <c r="F124" s="225">
        <v>2</v>
      </c>
      <c r="G124" s="123">
        <v>3</v>
      </c>
      <c r="I124" s="225">
        <v>12</v>
      </c>
      <c r="J124" s="134">
        <v>18</v>
      </c>
      <c r="K124" s="92">
        <f t="shared" si="27"/>
        <v>16.666666666666664</v>
      </c>
      <c r="L124" s="92">
        <f t="shared" si="28"/>
        <v>0</v>
      </c>
      <c r="M124" s="92">
        <f t="shared" si="29"/>
        <v>66.666666666666657</v>
      </c>
      <c r="N124" s="125">
        <f>SUM(K124:M124)</f>
        <v>83.333333333333314</v>
      </c>
      <c r="O124" s="91">
        <v>35.299999999999997</v>
      </c>
      <c r="P124" s="92">
        <v>0</v>
      </c>
      <c r="Q124" s="92">
        <v>53.3</v>
      </c>
      <c r="R124" s="93">
        <f t="shared" si="23"/>
        <v>88.6</v>
      </c>
      <c r="S124" s="225">
        <v>7</v>
      </c>
      <c r="T124" s="81"/>
      <c r="U124" s="224">
        <v>40863</v>
      </c>
      <c r="V124" s="226" t="s">
        <v>789</v>
      </c>
      <c r="Y124" s="83"/>
      <c r="Z124" s="225" t="s">
        <v>191</v>
      </c>
      <c r="AA124" s="225" t="s">
        <v>20</v>
      </c>
      <c r="AB124" s="225" t="s">
        <v>12</v>
      </c>
      <c r="AC124" s="225">
        <v>53.3</v>
      </c>
      <c r="AD124" s="82" t="s">
        <v>190</v>
      </c>
      <c r="AE124" s="225" t="s">
        <v>77</v>
      </c>
      <c r="AF124" s="225" t="s">
        <v>11</v>
      </c>
      <c r="AG124" s="83">
        <v>30.3</v>
      </c>
      <c r="AH124" s="225" t="s">
        <v>558</v>
      </c>
      <c r="AI124" s="225" t="s">
        <v>304</v>
      </c>
      <c r="AJ124" s="225" t="s">
        <v>11</v>
      </c>
      <c r="AK124" s="225">
        <v>5</v>
      </c>
      <c r="AL124" s="82"/>
      <c r="AO124" s="83"/>
      <c r="AP124" s="82"/>
      <c r="AS124" s="83"/>
      <c r="AW124" s="83"/>
      <c r="BA124" s="84"/>
    </row>
    <row r="125" spans="1:53" s="225" customFormat="1">
      <c r="A125" s="225">
        <v>2012</v>
      </c>
      <c r="C125" s="988" t="s">
        <v>184</v>
      </c>
      <c r="D125" s="988"/>
      <c r="E125" s="225">
        <v>136</v>
      </c>
      <c r="G125" s="123">
        <v>3</v>
      </c>
      <c r="I125" s="225">
        <v>12</v>
      </c>
      <c r="J125" s="134">
        <v>18</v>
      </c>
      <c r="K125" s="92">
        <f t="shared" si="27"/>
        <v>16.666666666666664</v>
      </c>
      <c r="L125" s="92">
        <f t="shared" si="28"/>
        <v>0</v>
      </c>
      <c r="M125" s="92">
        <f t="shared" si="29"/>
        <v>66.666666666666657</v>
      </c>
      <c r="N125" s="125">
        <f>SUM(K125:M125)</f>
        <v>83.333333333333314</v>
      </c>
      <c r="O125" s="91">
        <v>35.299999999999997</v>
      </c>
      <c r="P125" s="92">
        <v>0</v>
      </c>
      <c r="Q125" s="92">
        <v>53.3</v>
      </c>
      <c r="R125" s="93">
        <f t="shared" si="23"/>
        <v>88.6</v>
      </c>
      <c r="S125" s="225">
        <v>7</v>
      </c>
      <c r="T125" s="81"/>
      <c r="V125" s="226" t="s">
        <v>789</v>
      </c>
      <c r="Y125" s="83"/>
      <c r="Z125" s="225" t="s">
        <v>191</v>
      </c>
      <c r="AA125" s="225" t="s">
        <v>20</v>
      </c>
      <c r="AB125" s="225" t="s">
        <v>12</v>
      </c>
      <c r="AC125" s="225">
        <v>53.3</v>
      </c>
      <c r="AD125" s="82" t="s">
        <v>190</v>
      </c>
      <c r="AE125" s="225" t="s">
        <v>77</v>
      </c>
      <c r="AF125" s="225" t="s">
        <v>11</v>
      </c>
      <c r="AG125" s="83">
        <v>30.3</v>
      </c>
      <c r="AH125" s="225" t="s">
        <v>558</v>
      </c>
      <c r="AI125" s="225" t="s">
        <v>304</v>
      </c>
      <c r="AJ125" s="225" t="s">
        <v>11</v>
      </c>
      <c r="AK125" s="225">
        <v>5</v>
      </c>
      <c r="AL125" s="82"/>
      <c r="AO125" s="83"/>
      <c r="AP125" s="82"/>
      <c r="AS125" s="83"/>
      <c r="AW125" s="83"/>
      <c r="BA125" s="84"/>
    </row>
    <row r="126" spans="1:53" s="334" customFormat="1">
      <c r="A126" s="334">
        <v>2012</v>
      </c>
      <c r="B126" s="355">
        <v>41045</v>
      </c>
      <c r="C126" s="1025" t="s">
        <v>185</v>
      </c>
      <c r="D126" s="1025"/>
      <c r="E126" s="334">
        <v>36</v>
      </c>
      <c r="F126" s="334">
        <v>1</v>
      </c>
      <c r="G126" s="419">
        <v>0</v>
      </c>
      <c r="H126" s="334">
        <v>0</v>
      </c>
      <c r="I126" s="334">
        <v>0</v>
      </c>
      <c r="J126" s="435">
        <v>17</v>
      </c>
      <c r="K126" s="384">
        <v>0</v>
      </c>
      <c r="L126" s="384">
        <v>0</v>
      </c>
      <c r="M126" s="384">
        <v>0</v>
      </c>
      <c r="N126" s="421">
        <f t="shared" si="10"/>
        <v>0</v>
      </c>
      <c r="O126" s="383">
        <v>0</v>
      </c>
      <c r="P126" s="384">
        <v>0</v>
      </c>
      <c r="Q126" s="384">
        <v>0</v>
      </c>
      <c r="R126" s="385">
        <f t="shared" si="23"/>
        <v>0</v>
      </c>
      <c r="S126" s="334">
        <v>6</v>
      </c>
      <c r="T126" s="342">
        <v>41035</v>
      </c>
      <c r="U126" s="355">
        <v>41045</v>
      </c>
      <c r="V126" s="438" t="s">
        <v>808</v>
      </c>
      <c r="Y126" s="344"/>
      <c r="AD126" s="343"/>
      <c r="AG126" s="344"/>
      <c r="AL126" s="343"/>
      <c r="AO126" s="344"/>
      <c r="AP126" s="343"/>
      <c r="AS126" s="344"/>
      <c r="AW126" s="344"/>
      <c r="BA126" s="345"/>
    </row>
    <row r="127" spans="1:53" s="73" customFormat="1">
      <c r="A127" s="73">
        <v>2012</v>
      </c>
      <c r="B127" s="85">
        <v>41081</v>
      </c>
      <c r="C127" s="1026" t="s">
        <v>186</v>
      </c>
      <c r="D127" s="1026"/>
      <c r="E127" s="73">
        <v>194</v>
      </c>
      <c r="F127" s="73">
        <v>1</v>
      </c>
      <c r="G127" s="123">
        <v>13</v>
      </c>
      <c r="I127" s="73">
        <v>5</v>
      </c>
      <c r="J127" s="134">
        <v>18</v>
      </c>
      <c r="K127" s="92">
        <f t="shared" ref="K127:M129" si="30">G127/$J127*100</f>
        <v>72.222222222222214</v>
      </c>
      <c r="L127" s="92">
        <f t="shared" si="30"/>
        <v>0</v>
      </c>
      <c r="M127" s="92">
        <f t="shared" si="30"/>
        <v>27.777777777777779</v>
      </c>
      <c r="N127" s="125">
        <f t="shared" ref="N127:N139" si="31">SUM(K127:M127)</f>
        <v>100</v>
      </c>
      <c r="O127" s="91">
        <v>43</v>
      </c>
      <c r="P127" s="92"/>
      <c r="Q127" s="92">
        <v>16</v>
      </c>
      <c r="R127" s="93">
        <f t="shared" si="23"/>
        <v>59</v>
      </c>
      <c r="S127" s="73">
        <v>3</v>
      </c>
      <c r="T127" s="95">
        <v>41077</v>
      </c>
      <c r="U127" s="85">
        <v>41081</v>
      </c>
      <c r="V127" s="82" t="s">
        <v>190</v>
      </c>
      <c r="W127" s="73" t="s">
        <v>77</v>
      </c>
      <c r="X127" s="73" t="s">
        <v>11</v>
      </c>
      <c r="Y127" s="83">
        <v>43</v>
      </c>
      <c r="Z127" s="82" t="s">
        <v>191</v>
      </c>
      <c r="AA127" s="73" t="s">
        <v>20</v>
      </c>
      <c r="AB127" s="73" t="s">
        <v>12</v>
      </c>
      <c r="AC127" s="83">
        <v>11</v>
      </c>
      <c r="AD127" s="82" t="s">
        <v>194</v>
      </c>
      <c r="AE127" s="73" t="s">
        <v>116</v>
      </c>
      <c r="AF127" s="73" t="s">
        <v>12</v>
      </c>
      <c r="AG127" s="83">
        <v>5</v>
      </c>
      <c r="AL127" s="82"/>
      <c r="AO127" s="83"/>
      <c r="AP127" s="82"/>
      <c r="AS127" s="83"/>
      <c r="AW127" s="83"/>
      <c r="BA127" s="84"/>
    </row>
    <row r="128" spans="1:53" s="300" customFormat="1">
      <c r="A128" s="300">
        <v>2013</v>
      </c>
      <c r="C128" s="1026" t="s">
        <v>186</v>
      </c>
      <c r="D128" s="1026"/>
      <c r="E128" s="300">
        <v>175</v>
      </c>
      <c r="G128" s="123">
        <v>13</v>
      </c>
      <c r="I128" s="300">
        <v>5</v>
      </c>
      <c r="J128" s="134">
        <v>18</v>
      </c>
      <c r="K128" s="92">
        <f t="shared" si="30"/>
        <v>72.222222222222214</v>
      </c>
      <c r="L128" s="92">
        <f t="shared" si="30"/>
        <v>0</v>
      </c>
      <c r="M128" s="92">
        <f t="shared" si="30"/>
        <v>27.777777777777779</v>
      </c>
      <c r="N128" s="125">
        <f t="shared" si="31"/>
        <v>100</v>
      </c>
      <c r="O128" s="91">
        <v>43</v>
      </c>
      <c r="P128" s="92"/>
      <c r="Q128" s="92">
        <v>16</v>
      </c>
      <c r="R128" s="93">
        <f t="shared" si="23"/>
        <v>59</v>
      </c>
      <c r="S128" s="300">
        <v>3</v>
      </c>
      <c r="T128" s="81"/>
      <c r="U128" s="299"/>
      <c r="V128" s="82" t="s">
        <v>190</v>
      </c>
      <c r="W128" s="300" t="s">
        <v>77</v>
      </c>
      <c r="X128" s="300" t="s">
        <v>11</v>
      </c>
      <c r="Y128" s="83">
        <v>43</v>
      </c>
      <c r="Z128" s="82" t="s">
        <v>191</v>
      </c>
      <c r="AA128" s="300" t="s">
        <v>20</v>
      </c>
      <c r="AB128" s="300" t="s">
        <v>12</v>
      </c>
      <c r="AC128" s="83">
        <v>11</v>
      </c>
      <c r="AD128" s="82" t="s">
        <v>194</v>
      </c>
      <c r="AE128" s="300" t="s">
        <v>116</v>
      </c>
      <c r="AF128" s="300" t="s">
        <v>12</v>
      </c>
      <c r="AG128" s="83">
        <v>5</v>
      </c>
      <c r="AL128" s="82"/>
      <c r="AO128" s="83"/>
      <c r="AP128" s="82"/>
      <c r="AS128" s="83"/>
      <c r="AW128" s="83"/>
      <c r="BA128" s="84"/>
    </row>
    <row r="129" spans="1:53" s="356" customFormat="1">
      <c r="A129" s="356">
        <v>2013</v>
      </c>
      <c r="B129" s="397">
        <v>41450</v>
      </c>
      <c r="C129" s="992" t="s">
        <v>1284</v>
      </c>
      <c r="D129" s="992"/>
      <c r="E129" s="356">
        <f>365-E128</f>
        <v>190</v>
      </c>
      <c r="F129" s="356">
        <v>4</v>
      </c>
      <c r="G129" s="419">
        <v>16</v>
      </c>
      <c r="I129" s="356">
        <v>4</v>
      </c>
      <c r="J129" s="435">
        <v>20</v>
      </c>
      <c r="K129" s="384">
        <f t="shared" si="30"/>
        <v>80</v>
      </c>
      <c r="L129" s="384">
        <f t="shared" si="30"/>
        <v>0</v>
      </c>
      <c r="M129" s="384">
        <f t="shared" ref="M129:M139" si="32">I129/$J129*100</f>
        <v>20</v>
      </c>
      <c r="N129" s="421">
        <f t="shared" si="31"/>
        <v>100</v>
      </c>
      <c r="O129" s="383">
        <v>42</v>
      </c>
      <c r="P129" s="384"/>
      <c r="Q129" s="384">
        <v>9</v>
      </c>
      <c r="R129" s="385">
        <f t="shared" si="23"/>
        <v>51</v>
      </c>
      <c r="S129" s="356">
        <v>2</v>
      </c>
      <c r="T129" s="357"/>
      <c r="U129" s="397">
        <v>41450</v>
      </c>
      <c r="V129" s="343" t="s">
        <v>190</v>
      </c>
      <c r="W129" s="356" t="s">
        <v>77</v>
      </c>
      <c r="X129" s="356" t="s">
        <v>11</v>
      </c>
      <c r="Y129" s="344">
        <v>42</v>
      </c>
      <c r="Z129" s="356" t="s">
        <v>191</v>
      </c>
      <c r="AA129" s="356" t="s">
        <v>20</v>
      </c>
      <c r="AB129" s="356" t="s">
        <v>12</v>
      </c>
      <c r="AC129" s="356">
        <v>9</v>
      </c>
      <c r="AD129" s="343"/>
      <c r="AG129" s="344"/>
      <c r="AL129" s="343"/>
      <c r="AO129" s="344"/>
      <c r="AP129" s="343"/>
      <c r="AS129" s="344"/>
      <c r="AW129" s="344"/>
      <c r="BA129" s="345"/>
    </row>
    <row r="130" spans="1:53" s="538" customFormat="1">
      <c r="A130" s="386">
        <v>2014</v>
      </c>
      <c r="B130" s="502"/>
      <c r="C130" s="992" t="s">
        <v>1284</v>
      </c>
      <c r="D130" s="992"/>
      <c r="E130" s="538">
        <v>160</v>
      </c>
      <c r="F130" s="501"/>
      <c r="G130" s="497">
        <v>16</v>
      </c>
      <c r="I130" s="538">
        <v>4</v>
      </c>
      <c r="J130" s="499">
        <v>20</v>
      </c>
      <c r="K130" s="495">
        <f t="shared" ref="K130:L139" si="33">G130/$J130*100</f>
        <v>80</v>
      </c>
      <c r="L130" s="495">
        <f t="shared" si="33"/>
        <v>0</v>
      </c>
      <c r="M130" s="495">
        <f t="shared" si="32"/>
        <v>20</v>
      </c>
      <c r="N130" s="498">
        <f t="shared" si="31"/>
        <v>100</v>
      </c>
      <c r="O130" s="494">
        <v>42</v>
      </c>
      <c r="P130" s="495"/>
      <c r="Q130" s="495">
        <v>9</v>
      </c>
      <c r="R130" s="496">
        <f t="shared" si="23"/>
        <v>51</v>
      </c>
      <c r="S130" s="538">
        <v>2</v>
      </c>
      <c r="T130" s="492"/>
      <c r="U130" s="535"/>
      <c r="V130" s="488" t="s">
        <v>190</v>
      </c>
      <c r="W130" s="538" t="s">
        <v>77</v>
      </c>
      <c r="X130" s="538" t="s">
        <v>11</v>
      </c>
      <c r="Y130" s="489">
        <v>42</v>
      </c>
      <c r="Z130" s="538" t="s">
        <v>191</v>
      </c>
      <c r="AA130" s="538" t="s">
        <v>20</v>
      </c>
      <c r="AB130" s="538" t="s">
        <v>12</v>
      </c>
      <c r="AC130" s="538">
        <v>9</v>
      </c>
      <c r="AD130" s="488"/>
      <c r="AG130" s="489"/>
      <c r="AL130" s="488"/>
      <c r="AO130" s="489"/>
      <c r="AP130" s="488"/>
      <c r="AS130" s="489"/>
      <c r="AW130" s="489"/>
      <c r="BA130" s="490"/>
    </row>
    <row r="131" spans="1:53" s="538" customFormat="1">
      <c r="A131" s="386">
        <v>2014</v>
      </c>
      <c r="B131" s="502">
        <v>41800</v>
      </c>
      <c r="C131" s="992" t="s">
        <v>1284</v>
      </c>
      <c r="D131" s="992"/>
      <c r="E131" s="538">
        <v>205</v>
      </c>
      <c r="F131" s="501">
        <v>0</v>
      </c>
      <c r="G131" s="497">
        <v>16</v>
      </c>
      <c r="I131" s="538">
        <v>4</v>
      </c>
      <c r="J131" s="499">
        <v>20</v>
      </c>
      <c r="K131" s="495">
        <f t="shared" si="33"/>
        <v>80</v>
      </c>
      <c r="L131" s="495">
        <f t="shared" si="33"/>
        <v>0</v>
      </c>
      <c r="M131" s="495">
        <f t="shared" si="32"/>
        <v>20</v>
      </c>
      <c r="N131" s="498">
        <f t="shared" si="31"/>
        <v>100</v>
      </c>
      <c r="O131" s="494">
        <v>42</v>
      </c>
      <c r="P131" s="495"/>
      <c r="Q131" s="495">
        <v>9</v>
      </c>
      <c r="R131" s="496">
        <f t="shared" si="23"/>
        <v>51</v>
      </c>
      <c r="S131" s="538">
        <v>2</v>
      </c>
      <c r="T131" s="492"/>
      <c r="U131" s="535"/>
      <c r="V131" s="488" t="s">
        <v>190</v>
      </c>
      <c r="W131" s="538" t="s">
        <v>77</v>
      </c>
      <c r="X131" s="538" t="s">
        <v>11</v>
      </c>
      <c r="Y131" s="489">
        <v>42</v>
      </c>
      <c r="Z131" s="538" t="s">
        <v>191</v>
      </c>
      <c r="AA131" s="538" t="s">
        <v>20</v>
      </c>
      <c r="AB131" s="538" t="s">
        <v>12</v>
      </c>
      <c r="AC131" s="538">
        <v>9</v>
      </c>
      <c r="AD131" s="488"/>
      <c r="AG131" s="489"/>
      <c r="AL131" s="488"/>
      <c r="AO131" s="489"/>
      <c r="AP131" s="488"/>
      <c r="AS131" s="489"/>
      <c r="AW131" s="489"/>
      <c r="BA131" s="490"/>
    </row>
    <row r="132" spans="1:53" s="723" customFormat="1">
      <c r="A132" s="386">
        <v>2015</v>
      </c>
      <c r="B132" s="502"/>
      <c r="C132" s="992" t="s">
        <v>1284</v>
      </c>
      <c r="D132" s="992"/>
      <c r="E132" s="723">
        <v>25</v>
      </c>
      <c r="F132" s="501"/>
      <c r="G132" s="642">
        <v>16</v>
      </c>
      <c r="I132" s="723">
        <v>4</v>
      </c>
      <c r="J132" s="644">
        <v>20</v>
      </c>
      <c r="K132" s="640">
        <f t="shared" si="33"/>
        <v>80</v>
      </c>
      <c r="L132" s="640">
        <f t="shared" si="33"/>
        <v>0</v>
      </c>
      <c r="M132" s="640">
        <f t="shared" si="32"/>
        <v>20</v>
      </c>
      <c r="N132" s="643">
        <f t="shared" si="31"/>
        <v>100</v>
      </c>
      <c r="O132" s="639">
        <v>42</v>
      </c>
      <c r="P132" s="640"/>
      <c r="Q132" s="640">
        <v>9</v>
      </c>
      <c r="R132" s="641">
        <f t="shared" ref="R132:R135" si="34">SUM(O132:Q132)</f>
        <v>51</v>
      </c>
      <c r="S132" s="723">
        <v>2</v>
      </c>
      <c r="T132" s="638"/>
      <c r="U132" s="719"/>
      <c r="V132" s="634" t="s">
        <v>190</v>
      </c>
      <c r="W132" s="723" t="s">
        <v>77</v>
      </c>
      <c r="X132" s="723" t="s">
        <v>11</v>
      </c>
      <c r="Y132" s="635">
        <v>42</v>
      </c>
      <c r="Z132" s="723" t="s">
        <v>191</v>
      </c>
      <c r="AA132" s="723" t="s">
        <v>20</v>
      </c>
      <c r="AB132" s="723" t="s">
        <v>12</v>
      </c>
      <c r="AC132" s="723">
        <v>9</v>
      </c>
      <c r="AD132" s="634"/>
      <c r="AG132" s="635"/>
      <c r="AL132" s="634"/>
      <c r="AO132" s="635"/>
      <c r="AP132" s="634"/>
      <c r="AS132" s="635"/>
      <c r="AW132" s="635"/>
      <c r="BA132" s="636"/>
    </row>
    <row r="133" spans="1:53" s="722" customFormat="1">
      <c r="A133" s="722">
        <v>2015</v>
      </c>
      <c r="B133" s="718">
        <v>42030</v>
      </c>
      <c r="C133" s="1026" t="s">
        <v>1334</v>
      </c>
      <c r="D133" s="1026"/>
      <c r="E133" s="722">
        <v>214</v>
      </c>
      <c r="F133" s="722">
        <v>1</v>
      </c>
      <c r="G133" s="596">
        <v>1</v>
      </c>
      <c r="I133" s="722">
        <v>11</v>
      </c>
      <c r="J133" s="598">
        <v>15</v>
      </c>
      <c r="K133" s="593">
        <f t="shared" si="33"/>
        <v>6.666666666666667</v>
      </c>
      <c r="L133" s="593">
        <f t="shared" si="33"/>
        <v>0</v>
      </c>
      <c r="M133" s="593">
        <f t="shared" si="32"/>
        <v>73.333333333333329</v>
      </c>
      <c r="N133" s="597">
        <f t="shared" si="31"/>
        <v>80</v>
      </c>
      <c r="O133" s="592">
        <v>4.3</v>
      </c>
      <c r="P133" s="593"/>
      <c r="Q133" s="593">
        <v>49.7</v>
      </c>
      <c r="R133" s="594">
        <f t="shared" si="34"/>
        <v>54</v>
      </c>
      <c r="S133" s="722">
        <v>2</v>
      </c>
      <c r="T133" s="595">
        <v>42029</v>
      </c>
      <c r="U133" s="718">
        <v>42030</v>
      </c>
      <c r="V133" s="739" t="s">
        <v>192</v>
      </c>
      <c r="W133" s="722" t="s">
        <v>193</v>
      </c>
      <c r="X133" s="722" t="s">
        <v>12</v>
      </c>
      <c r="Y133" s="589">
        <v>49.7</v>
      </c>
      <c r="Z133" s="588" t="s">
        <v>1337</v>
      </c>
      <c r="AA133" s="722" t="s">
        <v>1338</v>
      </c>
      <c r="AB133" s="722" t="s">
        <v>11</v>
      </c>
      <c r="AC133" s="589">
        <v>4.3</v>
      </c>
      <c r="AD133" s="588"/>
      <c r="AG133" s="589"/>
      <c r="AL133" s="588"/>
      <c r="AO133" s="589"/>
      <c r="AP133" s="588"/>
      <c r="AS133" s="589"/>
      <c r="AW133" s="589"/>
      <c r="BA133" s="590"/>
    </row>
    <row r="134" spans="1:53" s="723" customFormat="1">
      <c r="A134" s="386">
        <v>2015</v>
      </c>
      <c r="B134" s="719">
        <v>42244</v>
      </c>
      <c r="C134" s="992" t="s">
        <v>1335</v>
      </c>
      <c r="D134" s="992"/>
      <c r="E134" s="723">
        <v>26</v>
      </c>
      <c r="F134" s="769">
        <v>1</v>
      </c>
      <c r="G134" s="642">
        <v>0</v>
      </c>
      <c r="H134" s="723">
        <v>0</v>
      </c>
      <c r="I134" s="723">
        <v>0</v>
      </c>
      <c r="J134" s="644">
        <v>13</v>
      </c>
      <c r="K134" s="640">
        <f t="shared" si="33"/>
        <v>0</v>
      </c>
      <c r="L134" s="640">
        <f t="shared" si="33"/>
        <v>0</v>
      </c>
      <c r="M134" s="640">
        <f t="shared" si="32"/>
        <v>0</v>
      </c>
      <c r="N134" s="643">
        <f t="shared" si="31"/>
        <v>0</v>
      </c>
      <c r="O134" s="639">
        <v>0</v>
      </c>
      <c r="P134" s="640">
        <v>0</v>
      </c>
      <c r="Q134" s="640">
        <v>0</v>
      </c>
      <c r="R134" s="641">
        <f t="shared" si="34"/>
        <v>0</v>
      </c>
      <c r="S134" s="723">
        <v>6</v>
      </c>
      <c r="T134" s="638"/>
      <c r="U134" s="719">
        <v>42244</v>
      </c>
      <c r="V134" s="727" t="s">
        <v>808</v>
      </c>
      <c r="Y134" s="635"/>
      <c r="AD134" s="634"/>
      <c r="AG134" s="635"/>
      <c r="AL134" s="634"/>
      <c r="AO134" s="635"/>
      <c r="AP134" s="634"/>
      <c r="AS134" s="635"/>
      <c r="AW134" s="635"/>
      <c r="BA134" s="636"/>
    </row>
    <row r="135" spans="1:53" s="806" customFormat="1">
      <c r="A135" s="806">
        <v>2015</v>
      </c>
      <c r="B135" s="803">
        <v>42270</v>
      </c>
      <c r="C135" s="1026" t="s">
        <v>1336</v>
      </c>
      <c r="D135" s="1026"/>
      <c r="E135" s="806">
        <v>100</v>
      </c>
      <c r="F135" s="806">
        <v>1</v>
      </c>
      <c r="G135" s="596">
        <v>1</v>
      </c>
      <c r="I135" s="806">
        <v>15</v>
      </c>
      <c r="J135" s="598">
        <v>18</v>
      </c>
      <c r="K135" s="593">
        <f t="shared" si="33"/>
        <v>5.5555555555555554</v>
      </c>
      <c r="L135" s="593">
        <f t="shared" si="33"/>
        <v>0</v>
      </c>
      <c r="M135" s="593">
        <f t="shared" si="32"/>
        <v>83.333333333333343</v>
      </c>
      <c r="N135" s="597">
        <f t="shared" si="31"/>
        <v>88.8888888888889</v>
      </c>
      <c r="O135" s="592">
        <v>3.3</v>
      </c>
      <c r="P135" s="593"/>
      <c r="Q135" s="593">
        <v>48.3</v>
      </c>
      <c r="R135" s="594">
        <f t="shared" si="34"/>
        <v>51.599999999999994</v>
      </c>
      <c r="S135" s="806">
        <v>2</v>
      </c>
      <c r="T135" s="595">
        <v>42267</v>
      </c>
      <c r="U135" s="803">
        <v>42270</v>
      </c>
      <c r="V135" s="588" t="s">
        <v>192</v>
      </c>
      <c r="W135" s="806" t="s">
        <v>193</v>
      </c>
      <c r="X135" s="806" t="s">
        <v>12</v>
      </c>
      <c r="Y135" s="589">
        <v>48.3</v>
      </c>
      <c r="Z135" s="588" t="s">
        <v>1337</v>
      </c>
      <c r="AA135" s="806" t="s">
        <v>1338</v>
      </c>
      <c r="AB135" s="806" t="s">
        <v>11</v>
      </c>
      <c r="AC135" s="589">
        <v>3.3</v>
      </c>
      <c r="AD135" s="588"/>
      <c r="AG135" s="589"/>
      <c r="AL135" s="588"/>
      <c r="AO135" s="589"/>
      <c r="AP135" s="588"/>
      <c r="AS135" s="589"/>
      <c r="AW135" s="589"/>
      <c r="BA135" s="590"/>
    </row>
    <row r="136" spans="1:53" s="806" customFormat="1">
      <c r="A136" s="806">
        <v>2016</v>
      </c>
      <c r="B136" s="803"/>
      <c r="C136" s="1026" t="s">
        <v>1336</v>
      </c>
      <c r="D136" s="1026"/>
      <c r="E136" s="806">
        <v>308</v>
      </c>
      <c r="G136" s="596">
        <v>1</v>
      </c>
      <c r="I136" s="806">
        <v>15</v>
      </c>
      <c r="J136" s="598">
        <v>18</v>
      </c>
      <c r="K136" s="593">
        <f t="shared" si="33"/>
        <v>5.5555555555555554</v>
      </c>
      <c r="L136" s="593">
        <f t="shared" si="33"/>
        <v>0</v>
      </c>
      <c r="M136" s="593">
        <f t="shared" si="32"/>
        <v>83.333333333333343</v>
      </c>
      <c r="N136" s="597">
        <f t="shared" si="31"/>
        <v>88.8888888888889</v>
      </c>
      <c r="O136" s="592">
        <v>3.3</v>
      </c>
      <c r="P136" s="593"/>
      <c r="Q136" s="593">
        <v>48.3</v>
      </c>
      <c r="R136" s="594">
        <f t="shared" ref="R136:R137" si="35">SUM(O136:Q136)</f>
        <v>51.599999999999994</v>
      </c>
      <c r="S136" s="806">
        <v>2</v>
      </c>
      <c r="T136" s="595"/>
      <c r="U136" s="803"/>
      <c r="V136" s="588" t="s">
        <v>192</v>
      </c>
      <c r="W136" s="806" t="s">
        <v>193</v>
      </c>
      <c r="X136" s="806" t="s">
        <v>12</v>
      </c>
      <c r="Y136" s="589">
        <v>48.3</v>
      </c>
      <c r="Z136" s="588" t="s">
        <v>1337</v>
      </c>
      <c r="AA136" s="806" t="s">
        <v>1338</v>
      </c>
      <c r="AB136" s="806" t="s">
        <v>11</v>
      </c>
      <c r="AC136" s="589">
        <v>3.3</v>
      </c>
      <c r="AD136" s="588"/>
      <c r="AG136" s="589"/>
      <c r="AL136" s="588"/>
      <c r="AO136" s="589"/>
      <c r="AP136" s="588"/>
      <c r="AS136" s="589"/>
      <c r="AW136" s="589"/>
      <c r="BA136" s="590"/>
    </row>
    <row r="137" spans="1:53" s="806" customFormat="1">
      <c r="A137" s="806">
        <v>2016</v>
      </c>
      <c r="B137" s="817">
        <v>42678</v>
      </c>
      <c r="C137" s="1026" t="s">
        <v>1336</v>
      </c>
      <c r="D137" s="1026"/>
      <c r="E137" s="806">
        <v>58</v>
      </c>
      <c r="F137" s="600">
        <v>0</v>
      </c>
      <c r="G137" s="596">
        <v>2</v>
      </c>
      <c r="I137" s="806">
        <v>18</v>
      </c>
      <c r="J137" s="598">
        <v>23</v>
      </c>
      <c r="K137" s="593">
        <f t="shared" si="33"/>
        <v>8.695652173913043</v>
      </c>
      <c r="L137" s="593">
        <f t="shared" si="33"/>
        <v>0</v>
      </c>
      <c r="M137" s="593">
        <f t="shared" si="32"/>
        <v>78.260869565217391</v>
      </c>
      <c r="N137" s="597">
        <f t="shared" si="31"/>
        <v>86.956521739130437</v>
      </c>
      <c r="O137" s="592">
        <v>3.3</v>
      </c>
      <c r="P137" s="593"/>
      <c r="Q137" s="593">
        <v>48.3</v>
      </c>
      <c r="R137" s="594">
        <f t="shared" si="35"/>
        <v>51.599999999999994</v>
      </c>
      <c r="S137" s="806">
        <v>2</v>
      </c>
      <c r="T137" s="595"/>
      <c r="U137" s="803"/>
      <c r="V137" s="588" t="s">
        <v>192</v>
      </c>
      <c r="W137" s="806" t="s">
        <v>193</v>
      </c>
      <c r="X137" s="806" t="s">
        <v>12</v>
      </c>
      <c r="Y137" s="589">
        <v>48.3</v>
      </c>
      <c r="Z137" s="588" t="s">
        <v>1337</v>
      </c>
      <c r="AA137" s="806" t="s">
        <v>1338</v>
      </c>
      <c r="AB137" s="806" t="s">
        <v>11</v>
      </c>
      <c r="AC137" s="589">
        <v>3.3</v>
      </c>
      <c r="AD137" s="588"/>
      <c r="AG137" s="589"/>
      <c r="AL137" s="588"/>
      <c r="AO137" s="589"/>
      <c r="AP137" s="588"/>
      <c r="AS137" s="589"/>
      <c r="AW137" s="589"/>
      <c r="BA137" s="590"/>
    </row>
    <row r="138" spans="1:53" s="896" customFormat="1">
      <c r="A138" s="896">
        <v>2017</v>
      </c>
      <c r="B138" s="894"/>
      <c r="C138" s="1026" t="s">
        <v>1336</v>
      </c>
      <c r="D138" s="1026"/>
      <c r="E138" s="896">
        <v>0</v>
      </c>
      <c r="G138" s="596">
        <v>2</v>
      </c>
      <c r="I138" s="896">
        <v>18</v>
      </c>
      <c r="J138" s="598">
        <v>23</v>
      </c>
      <c r="K138" s="593">
        <f t="shared" si="33"/>
        <v>8.695652173913043</v>
      </c>
      <c r="L138" s="593">
        <f t="shared" si="33"/>
        <v>0</v>
      </c>
      <c r="M138" s="593">
        <f t="shared" si="32"/>
        <v>78.260869565217391</v>
      </c>
      <c r="N138" s="597">
        <f t="shared" si="31"/>
        <v>86.956521739130437</v>
      </c>
      <c r="O138" s="592">
        <v>3.3</v>
      </c>
      <c r="P138" s="593"/>
      <c r="Q138" s="593">
        <v>48.3</v>
      </c>
      <c r="R138" s="594">
        <f t="shared" ref="R138:R139" si="36">SUM(O138:Q138)</f>
        <v>51.599999999999994</v>
      </c>
      <c r="S138" s="896">
        <v>2</v>
      </c>
      <c r="T138" s="595"/>
      <c r="U138" s="894"/>
      <c r="V138" s="588" t="s">
        <v>192</v>
      </c>
      <c r="W138" s="896" t="s">
        <v>193</v>
      </c>
      <c r="X138" s="896" t="s">
        <v>12</v>
      </c>
      <c r="Y138" s="589">
        <v>48.3</v>
      </c>
      <c r="Z138" s="588" t="s">
        <v>1337</v>
      </c>
      <c r="AA138" s="896" t="s">
        <v>1338</v>
      </c>
      <c r="AB138" s="896" t="s">
        <v>11</v>
      </c>
      <c r="AC138" s="589">
        <v>3.3</v>
      </c>
      <c r="AD138" s="588"/>
      <c r="AG138" s="589"/>
      <c r="AL138" s="588"/>
      <c r="AO138" s="589"/>
      <c r="AP138" s="588"/>
      <c r="AS138" s="589"/>
      <c r="AW138" s="589"/>
      <c r="BA138" s="590"/>
    </row>
    <row r="139" spans="1:53" s="896" customFormat="1">
      <c r="A139" s="896">
        <v>2017</v>
      </c>
      <c r="B139" s="894"/>
      <c r="C139" s="1026" t="s">
        <v>1336</v>
      </c>
      <c r="D139" s="1026"/>
      <c r="E139" s="896">
        <v>365</v>
      </c>
      <c r="G139" s="596">
        <v>2</v>
      </c>
      <c r="I139" s="896">
        <v>18</v>
      </c>
      <c r="J139" s="598">
        <v>23</v>
      </c>
      <c r="K139" s="593">
        <f t="shared" si="33"/>
        <v>8.695652173913043</v>
      </c>
      <c r="L139" s="593">
        <f t="shared" si="33"/>
        <v>0</v>
      </c>
      <c r="M139" s="593">
        <f t="shared" si="32"/>
        <v>78.260869565217391</v>
      </c>
      <c r="N139" s="597">
        <f t="shared" si="31"/>
        <v>86.956521739130437</v>
      </c>
      <c r="O139" s="592">
        <v>3.3</v>
      </c>
      <c r="P139" s="593"/>
      <c r="Q139" s="593">
        <v>48.3</v>
      </c>
      <c r="R139" s="594">
        <f t="shared" si="36"/>
        <v>51.599999999999994</v>
      </c>
      <c r="S139" s="896">
        <v>2</v>
      </c>
      <c r="T139" s="595"/>
      <c r="U139" s="894"/>
      <c r="V139" s="588" t="s">
        <v>192</v>
      </c>
      <c r="W139" s="896" t="s">
        <v>193</v>
      </c>
      <c r="X139" s="896" t="s">
        <v>12</v>
      </c>
      <c r="Y139" s="589">
        <v>48.3</v>
      </c>
      <c r="Z139" s="588" t="s">
        <v>1337</v>
      </c>
      <c r="AA139" s="896" t="s">
        <v>1338</v>
      </c>
      <c r="AB139" s="896" t="s">
        <v>11</v>
      </c>
      <c r="AC139" s="589">
        <v>3.3</v>
      </c>
      <c r="AD139" s="588"/>
      <c r="AG139" s="589"/>
      <c r="AL139" s="588"/>
      <c r="AO139" s="589"/>
      <c r="AP139" s="588"/>
      <c r="AS139" s="589"/>
      <c r="AW139" s="589"/>
      <c r="BA139" s="590"/>
    </row>
    <row r="140" spans="1:53" s="933" customFormat="1">
      <c r="A140" s="933">
        <v>2018</v>
      </c>
      <c r="B140" s="929"/>
      <c r="C140" s="1026" t="s">
        <v>1336</v>
      </c>
      <c r="D140" s="1026"/>
      <c r="E140" s="933">
        <v>239</v>
      </c>
      <c r="G140" s="596">
        <v>2</v>
      </c>
      <c r="I140" s="933">
        <v>18</v>
      </c>
      <c r="J140" s="598">
        <v>23</v>
      </c>
      <c r="K140" s="593">
        <f t="shared" ref="K140:K141" si="37">G140/$J140*100</f>
        <v>8.695652173913043</v>
      </c>
      <c r="L140" s="593">
        <f t="shared" ref="L140:L141" si="38">H140/$J140*100</f>
        <v>0</v>
      </c>
      <c r="M140" s="593">
        <f t="shared" ref="M140:M141" si="39">I140/$J140*100</f>
        <v>78.260869565217391</v>
      </c>
      <c r="N140" s="597">
        <f t="shared" ref="N140:N141" si="40">SUM(K140:M140)</f>
        <v>86.956521739130437</v>
      </c>
      <c r="O140" s="592">
        <v>3.3</v>
      </c>
      <c r="P140" s="593"/>
      <c r="Q140" s="593">
        <v>48.3</v>
      </c>
      <c r="R140" s="594">
        <f t="shared" ref="R140" si="41">SUM(O140:Q140)</f>
        <v>51.599999999999994</v>
      </c>
      <c r="S140" s="933">
        <v>2</v>
      </c>
      <c r="T140" s="595"/>
      <c r="U140" s="929"/>
      <c r="V140" s="588" t="s">
        <v>192</v>
      </c>
      <c r="W140" s="933" t="s">
        <v>193</v>
      </c>
      <c r="X140" s="933" t="s">
        <v>12</v>
      </c>
      <c r="Y140" s="589">
        <v>48.3</v>
      </c>
      <c r="Z140" s="588" t="s">
        <v>1337</v>
      </c>
      <c r="AA140" s="933" t="s">
        <v>1338</v>
      </c>
      <c r="AB140" s="933" t="s">
        <v>11</v>
      </c>
      <c r="AC140" s="589">
        <v>3.3</v>
      </c>
      <c r="AD140" s="588"/>
      <c r="AG140" s="589"/>
      <c r="AL140" s="588"/>
      <c r="AO140" s="589"/>
      <c r="AP140" s="588"/>
      <c r="AS140" s="589"/>
      <c r="AW140" s="589"/>
      <c r="BA140" s="590"/>
    </row>
    <row r="141" spans="1:53" s="933" customFormat="1">
      <c r="A141" s="933">
        <v>2018</v>
      </c>
      <c r="B141" s="817">
        <v>43340</v>
      </c>
      <c r="C141" s="1026" t="s">
        <v>1336</v>
      </c>
      <c r="D141" s="1026"/>
      <c r="E141" s="933">
        <v>126</v>
      </c>
      <c r="F141" s="600">
        <v>0</v>
      </c>
      <c r="G141" s="596">
        <v>2</v>
      </c>
      <c r="I141" s="933">
        <v>22</v>
      </c>
      <c r="J141" s="598">
        <v>24</v>
      </c>
      <c r="K141" s="593">
        <f t="shared" si="37"/>
        <v>8.3333333333333321</v>
      </c>
      <c r="L141" s="593">
        <f t="shared" si="38"/>
        <v>0</v>
      </c>
      <c r="M141" s="593">
        <f t="shared" si="39"/>
        <v>91.666666666666657</v>
      </c>
      <c r="N141" s="597">
        <f t="shared" si="40"/>
        <v>99.999999999999986</v>
      </c>
      <c r="O141" s="592">
        <v>3.3</v>
      </c>
      <c r="P141" s="593"/>
      <c r="Q141" s="593">
        <v>48.3</v>
      </c>
      <c r="R141" s="594">
        <f t="shared" ref="R141" si="42">SUM(O141:Q141)</f>
        <v>51.599999999999994</v>
      </c>
      <c r="S141" s="933">
        <v>2</v>
      </c>
      <c r="T141" s="595"/>
      <c r="U141" s="929"/>
      <c r="V141" s="588" t="s">
        <v>192</v>
      </c>
      <c r="W141" s="933" t="s">
        <v>193</v>
      </c>
      <c r="X141" s="933" t="s">
        <v>12</v>
      </c>
      <c r="Y141" s="589">
        <v>48.3</v>
      </c>
      <c r="Z141" s="588" t="s">
        <v>1337</v>
      </c>
      <c r="AA141" s="933" t="s">
        <v>1338</v>
      </c>
      <c r="AB141" s="933" t="s">
        <v>11</v>
      </c>
      <c r="AC141" s="589">
        <v>3.3</v>
      </c>
      <c r="AD141" s="588"/>
      <c r="AG141" s="589"/>
      <c r="AL141" s="588"/>
      <c r="AO141" s="589"/>
      <c r="AP141" s="588"/>
      <c r="AS141" s="589"/>
      <c r="AW141" s="589"/>
      <c r="BA141" s="590"/>
    </row>
    <row r="142" spans="1:53" s="933" customFormat="1">
      <c r="B142" s="817"/>
      <c r="C142" s="938"/>
      <c r="D142" s="938"/>
      <c r="F142" s="600"/>
      <c r="J142" s="940"/>
      <c r="K142" s="593"/>
      <c r="L142" s="593"/>
      <c r="M142" s="593"/>
      <c r="N142" s="597"/>
      <c r="O142" s="593"/>
      <c r="P142" s="593"/>
      <c r="Q142" s="593"/>
      <c r="R142" s="597"/>
      <c r="T142" s="929"/>
      <c r="U142" s="929"/>
    </row>
    <row r="143" spans="1:53">
      <c r="A143" s="896"/>
      <c r="G143" s="2"/>
      <c r="H143" s="2"/>
      <c r="I143" s="2"/>
      <c r="J143" s="2"/>
      <c r="K143" s="2"/>
      <c r="L143" s="2"/>
      <c r="M143" s="2"/>
      <c r="N143" s="2"/>
    </row>
    <row r="144" spans="1:53" s="2" customFormat="1" ht="18" customHeight="1">
      <c r="A144" s="1"/>
      <c r="B144" s="22" t="s">
        <v>1278</v>
      </c>
    </row>
    <row r="145" spans="1:30" s="2" customFormat="1" ht="9" customHeight="1"/>
    <row r="146" spans="1:30" s="364" customFormat="1" ht="9" customHeight="1">
      <c r="A146" s="362"/>
      <c r="B146" s="363" t="s">
        <v>1229</v>
      </c>
      <c r="C146" s="363"/>
      <c r="D146" s="363"/>
      <c r="E146" s="363"/>
      <c r="F146" s="363"/>
      <c r="G146" s="363" t="s">
        <v>1230</v>
      </c>
      <c r="H146" s="363"/>
      <c r="I146" s="363"/>
      <c r="J146" s="363"/>
      <c r="K146" s="363"/>
      <c r="L146" s="363"/>
      <c r="M146" s="363"/>
      <c r="N146" s="363"/>
      <c r="R146" s="982" t="s">
        <v>1231</v>
      </c>
      <c r="S146" s="982"/>
      <c r="T146" s="982"/>
      <c r="U146" s="982"/>
      <c r="V146" s="982"/>
      <c r="W146" s="982"/>
      <c r="X146" s="365"/>
      <c r="Y146" s="365"/>
      <c r="AA146" s="365"/>
      <c r="AB146" s="365"/>
      <c r="AC146" s="365"/>
      <c r="AD146" s="365"/>
    </row>
    <row r="147" spans="1:30" s="369" customFormat="1" ht="9" customHeight="1">
      <c r="A147" s="366"/>
      <c r="B147" s="367" t="s">
        <v>1233</v>
      </c>
      <c r="C147" s="368"/>
      <c r="D147" s="368"/>
      <c r="E147" s="368"/>
      <c r="F147" s="368"/>
      <c r="G147" s="367" t="s">
        <v>1232</v>
      </c>
      <c r="H147" s="368"/>
      <c r="I147" s="368"/>
      <c r="J147" s="368"/>
      <c r="K147" s="368"/>
      <c r="L147" s="368"/>
      <c r="M147" s="368"/>
      <c r="N147" s="368"/>
      <c r="R147" s="370" t="s">
        <v>1234</v>
      </c>
      <c r="S147" s="371"/>
      <c r="T147" s="372"/>
      <c r="U147" s="372"/>
      <c r="V147" s="372"/>
      <c r="W147" s="370" t="s">
        <v>1235</v>
      </c>
      <c r="X147" s="372"/>
      <c r="Y147" s="372"/>
      <c r="AA147" s="372"/>
      <c r="AB147" s="372"/>
      <c r="AC147" s="372"/>
      <c r="AD147" s="372"/>
    </row>
    <row r="148" spans="1:30" s="351" customFormat="1" ht="12" customHeight="1">
      <c r="A148" s="373" t="s">
        <v>3</v>
      </c>
      <c r="B148" s="374" t="s">
        <v>8</v>
      </c>
      <c r="C148" s="374" t="s">
        <v>9</v>
      </c>
      <c r="D148" s="374" t="s">
        <v>10</v>
      </c>
      <c r="E148" s="375" t="s">
        <v>1209</v>
      </c>
      <c r="F148" s="374"/>
      <c r="G148" s="351" t="s">
        <v>3</v>
      </c>
      <c r="H148" s="983" t="s">
        <v>0</v>
      </c>
      <c r="I148" s="983"/>
      <c r="J148" s="983" t="s">
        <v>1</v>
      </c>
      <c r="K148" s="983"/>
      <c r="L148" s="983" t="s">
        <v>2</v>
      </c>
      <c r="M148" s="983"/>
      <c r="N148" s="984" t="s">
        <v>1209</v>
      </c>
      <c r="O148" s="984"/>
      <c r="P148" s="376"/>
      <c r="Q148" s="376"/>
      <c r="R148" s="377" t="s">
        <v>3</v>
      </c>
      <c r="S148" s="378" t="s">
        <v>136</v>
      </c>
      <c r="T148" s="376" t="s">
        <v>134</v>
      </c>
      <c r="U148" s="374" t="s">
        <v>135</v>
      </c>
      <c r="V148" s="376"/>
      <c r="W148" s="379" t="s">
        <v>26</v>
      </c>
    </row>
    <row r="149" spans="1:30" s="273" customFormat="1">
      <c r="A149" s="273">
        <v>1959</v>
      </c>
      <c r="B149" s="274">
        <f>(K6*($E6/365))+(K7*($E7/365))</f>
        <v>100</v>
      </c>
      <c r="C149" s="274">
        <f>(L6*($E6/365))+(L7*($E7/365))</f>
        <v>0</v>
      </c>
      <c r="D149" s="274">
        <f>(M6*($E6/365))+(M7*($E7/365))</f>
        <v>0</v>
      </c>
      <c r="E149" s="261">
        <f>B149+C149+D149</f>
        <v>100</v>
      </c>
      <c r="G149" s="273">
        <v>1959</v>
      </c>
      <c r="H149" s="991">
        <f>(O6/$R6*100*($E6/365))+(O7/$R7*100*($E7/365))</f>
        <v>100</v>
      </c>
      <c r="I149" s="991"/>
      <c r="J149" s="991">
        <f>(P6/$R6*100*($E6/365))+(P7/$R7*100*($E7/365))</f>
        <v>0</v>
      </c>
      <c r="K149" s="991"/>
      <c r="L149" s="991">
        <f>(Q6/$R6*100*($E6/365))+(Q7/$R7*100*($E7/365))</f>
        <v>0</v>
      </c>
      <c r="M149" s="991"/>
      <c r="N149" s="991">
        <f>H149+J149+K149</f>
        <v>100</v>
      </c>
      <c r="O149" s="991"/>
      <c r="R149" s="273">
        <v>1959</v>
      </c>
      <c r="S149" s="274">
        <f>(O6*($E6/365))+(O7*($E7/365))</f>
        <v>57</v>
      </c>
      <c r="T149" s="274">
        <f>(P6*($E6/365))+(P7*($E7/365))</f>
        <v>0</v>
      </c>
      <c r="U149" s="274">
        <f>(Q6*($E6/365))+(Q7*($E7/365))</f>
        <v>0</v>
      </c>
      <c r="W149" s="262">
        <f>S149+T149+U149</f>
        <v>57</v>
      </c>
      <c r="AD149" s="280"/>
    </row>
    <row r="150" spans="1:30">
      <c r="A150" s="1">
        <v>1960</v>
      </c>
      <c r="B150" s="7">
        <f>(K8*($E8/366))+(K9*($E9/366))</f>
        <v>100</v>
      </c>
      <c r="C150" s="7">
        <f>(L8*($E8/366))+(L9*($E9/366))</f>
        <v>0</v>
      </c>
      <c r="D150" s="7">
        <f>(M8*($E8/366))+(M9*($E9/366))</f>
        <v>0</v>
      </c>
      <c r="E150" s="43">
        <f t="shared" ref="E150:E157" si="43">SUM(B150:D150)</f>
        <v>100</v>
      </c>
      <c r="G150" s="1">
        <v>1960</v>
      </c>
      <c r="H150" s="989">
        <f>(O8/$R8*100*($E8/366))+(O9/$R9*100*($E9/366))</f>
        <v>100</v>
      </c>
      <c r="I150" s="989"/>
      <c r="J150" s="989">
        <f>(P8/$R8*100*($E8/366))+(P9/$R9*100*($E9/366))</f>
        <v>0</v>
      </c>
      <c r="K150" s="989"/>
      <c r="L150" s="989">
        <f>(Q8/$R8*100*($E8/366))+(Q9/$R9*100*($E9/366))</f>
        <v>0</v>
      </c>
      <c r="M150" s="989"/>
      <c r="N150" s="1031">
        <f>SUM(H150:M150)</f>
        <v>100</v>
      </c>
      <c r="O150" s="1031"/>
      <c r="R150" s="1">
        <v>1960</v>
      </c>
      <c r="S150" s="7">
        <f>(O8*($E8/366))+(O9*($E9/366))</f>
        <v>57</v>
      </c>
      <c r="T150" s="7">
        <f>(P8*($E8/366))+(P9*($E9/366))</f>
        <v>0</v>
      </c>
      <c r="U150" s="7">
        <f>(Q8*($E8/366))+(Q9*($E9/366))</f>
        <v>0</v>
      </c>
      <c r="W150" s="5">
        <f>SUM(S150:U150)</f>
        <v>57</v>
      </c>
      <c r="AD150" s="37"/>
    </row>
    <row r="151" spans="1:30">
      <c r="A151" s="1">
        <v>1961</v>
      </c>
      <c r="B151" s="8">
        <f>(K10*($E10/365))+(K11*($E11/365))+(K12*($E12/365))</f>
        <v>87.945205479452056</v>
      </c>
      <c r="C151" s="8">
        <f>(L10*($E10/365))+(L11*($E11/365))+(L12*($E12/365))</f>
        <v>0</v>
      </c>
      <c r="D151" s="8">
        <f>(M10*($E10/365))+(M11*($E11/365))+(M12*($E12/365))</f>
        <v>0</v>
      </c>
      <c r="E151" s="43">
        <f t="shared" si="43"/>
        <v>87.945205479452056</v>
      </c>
      <c r="G151" s="1">
        <v>1961</v>
      </c>
      <c r="H151" s="989">
        <f>(O10/$R10*100*($E10/365))+(O12/$R12*100*($E12/365))</f>
        <v>87.945205479452056</v>
      </c>
      <c r="I151" s="989"/>
      <c r="J151" s="989">
        <f>(P10/$R10*100*($E10/365))+(P12/$R12*100*($E12/365))</f>
        <v>0</v>
      </c>
      <c r="K151" s="989"/>
      <c r="L151" s="989">
        <f>(Q10/$R10*100*($E10/365))+(Q12/$R12*100*($E12/365))</f>
        <v>0</v>
      </c>
      <c r="M151" s="989"/>
      <c r="N151" s="1031">
        <f t="shared" ref="N151:N156" si="44">SUM(H151:M151)</f>
        <v>87.945205479452056</v>
      </c>
      <c r="O151" s="1031"/>
      <c r="R151" s="1">
        <v>1961</v>
      </c>
      <c r="S151" s="8">
        <f>(O10*($E10/365))+(O11*($E11/365))+(O12*($E12/365))</f>
        <v>50.39890410958904</v>
      </c>
      <c r="T151" s="8">
        <f>(P10*($E10/365))+(P11*($E11/365))+(P12*($E12/365))</f>
        <v>0</v>
      </c>
      <c r="U151" s="8">
        <f>(Q10*($E10/365))+(Q11*($E11/365))+(Q12*($E12/365))</f>
        <v>0</v>
      </c>
      <c r="W151" s="5">
        <f t="shared" ref="W151:W157" si="45">SUM(S151:U151)</f>
        <v>50.39890410958904</v>
      </c>
      <c r="AD151" s="37"/>
    </row>
    <row r="152" spans="1:30">
      <c r="A152" s="1">
        <v>1962</v>
      </c>
      <c r="B152" s="8">
        <f>(K13*($E13/365))+(K14*($E14/365))</f>
        <v>100</v>
      </c>
      <c r="C152" s="8">
        <f>(L13*($E13/365))+(L14*($E14/365))</f>
        <v>0</v>
      </c>
      <c r="D152" s="8">
        <f>(M13*($E13/365))+(M14*($E14/365))</f>
        <v>0</v>
      </c>
      <c r="E152" s="43">
        <f t="shared" si="43"/>
        <v>100</v>
      </c>
      <c r="G152" s="1">
        <v>1962</v>
      </c>
      <c r="H152" s="989">
        <f>(O13/$R13*100*($E13/365))+(O14/$R14*100*($E14/365))</f>
        <v>100</v>
      </c>
      <c r="I152" s="989"/>
      <c r="J152" s="989">
        <f>(P13/$R13*100*($E13/365))+(P14/$R14*100*($E14/365))</f>
        <v>0</v>
      </c>
      <c r="K152" s="989"/>
      <c r="L152" s="989">
        <f>(Q13/$R13*100*($E13/365))+(Q14/$R14*100*($E14/365))</f>
        <v>0</v>
      </c>
      <c r="M152" s="989"/>
      <c r="N152" s="1031">
        <f t="shared" si="44"/>
        <v>100</v>
      </c>
      <c r="O152" s="1031"/>
      <c r="R152" s="1">
        <v>1962</v>
      </c>
      <c r="S152" s="8">
        <f>(O13*($E13/365))+(O14*($E14/365))</f>
        <v>58.7</v>
      </c>
      <c r="T152" s="8">
        <f>(P13*($E13/365))+(P14*($E14/365))</f>
        <v>0</v>
      </c>
      <c r="U152" s="8">
        <f>(Q13*($E13/365))+(Q14*($E14/365))</f>
        <v>0</v>
      </c>
      <c r="W152" s="5">
        <f t="shared" si="45"/>
        <v>58.7</v>
      </c>
      <c r="AD152" s="37"/>
    </row>
    <row r="153" spans="1:30">
      <c r="A153" s="1">
        <v>1963</v>
      </c>
      <c r="B153" s="8">
        <f>(K15*($E15/365))+(K16*($E16/365))+(K17*($E17/365))+(K18*($E18/365))+(K19*($E19/365))</f>
        <v>60.821917808219176</v>
      </c>
      <c r="C153" s="8">
        <f>(L15*($E15/365))+(L16*($E16/365))+(L17*($E17/365))+(L18*($E18/365))+(L19*($E19/365))</f>
        <v>0</v>
      </c>
      <c r="D153" s="8">
        <f>(M15*($E15/365))+(M16*($E16/365))+(M17*($E17/365))+(M18*($E18/365))+(M19*($E19/365))</f>
        <v>0</v>
      </c>
      <c r="E153" s="43">
        <f t="shared" si="43"/>
        <v>60.821917808219176</v>
      </c>
      <c r="G153" s="1">
        <v>1963</v>
      </c>
      <c r="H153" s="989">
        <f>(O15/$R15*100*($E15/365))+(O18/$R18*100*($E18/365))</f>
        <v>60.821917808219176</v>
      </c>
      <c r="I153" s="989"/>
      <c r="J153" s="989">
        <f>(P15/$R15*100*($E15/365))+(P18/$R18*100*($E18/365))</f>
        <v>0</v>
      </c>
      <c r="K153" s="989"/>
      <c r="L153" s="989">
        <f>(Q15/$R15*100*($E15/365))+(Q18/$R18*100*($E18/365))</f>
        <v>0</v>
      </c>
      <c r="M153" s="989"/>
      <c r="N153" s="1031">
        <f t="shared" si="44"/>
        <v>60.821917808219176</v>
      </c>
      <c r="O153" s="1031"/>
      <c r="R153" s="1">
        <v>1963</v>
      </c>
      <c r="S153" s="8">
        <f>(O15*($E15/365))+(O16*($E16/365))+(O17*($E17/365))+(O18*($E18/365))+(O19*($E19/365))</f>
        <v>33.858356164383558</v>
      </c>
      <c r="T153" s="8">
        <f>(P15*($E15/365))+(P16*($E16/365))+(P17*($E17/365))+(P18*($E18/365))+(P19*($E19/365))</f>
        <v>0</v>
      </c>
      <c r="U153" s="8">
        <f>(Q15*($E15/365))+(Q16*($E16/365))+(Q17*($E17/365))+(Q18*($E18/365))+(Q19*($E19/365))</f>
        <v>0</v>
      </c>
      <c r="W153" s="5">
        <f t="shared" si="45"/>
        <v>33.858356164383558</v>
      </c>
      <c r="AD153" s="37"/>
    </row>
    <row r="154" spans="1:30">
      <c r="A154" s="1">
        <v>1964</v>
      </c>
      <c r="B154" s="8">
        <f>(K20*($E20/366))+(K21*($E21/366))</f>
        <v>86.612021857923494</v>
      </c>
      <c r="C154" s="8">
        <f>(L20*($E20/366))+(L21*($E21/366))</f>
        <v>0</v>
      </c>
      <c r="D154" s="8">
        <f>(M20*($E20/366))+(M21*($E21/366))</f>
        <v>0</v>
      </c>
      <c r="E154" s="43">
        <f t="shared" si="43"/>
        <v>86.612021857923494</v>
      </c>
      <c r="G154" s="1">
        <v>1964</v>
      </c>
      <c r="H154" s="989">
        <f>(O21/$R21*100*($E21/366))</f>
        <v>86.612021857923494</v>
      </c>
      <c r="I154" s="989"/>
      <c r="J154" s="989">
        <f>(P21/$R21*100*($E21/366))</f>
        <v>0</v>
      </c>
      <c r="K154" s="989"/>
      <c r="L154" s="989">
        <f>(Q21/$R21*100*($E21/366))</f>
        <v>0</v>
      </c>
      <c r="M154" s="989"/>
      <c r="N154" s="1031">
        <f t="shared" si="44"/>
        <v>86.612021857923494</v>
      </c>
      <c r="O154" s="1031"/>
      <c r="R154" s="1">
        <v>1964</v>
      </c>
      <c r="S154" s="8">
        <f>(O20*($E20/366))+(O21*($E21/366))</f>
        <v>49.368852459016388</v>
      </c>
      <c r="T154" s="8">
        <f>(P20*($E20/366))+(P21*($E21/366))</f>
        <v>0</v>
      </c>
      <c r="U154" s="8">
        <f>(Q20*($E20/366))+(Q21*($E21/366))</f>
        <v>0</v>
      </c>
      <c r="W154" s="5">
        <f t="shared" si="45"/>
        <v>49.368852459016388</v>
      </c>
      <c r="AD154" s="37"/>
    </row>
    <row r="155" spans="1:30">
      <c r="A155" s="1">
        <v>1965</v>
      </c>
      <c r="B155" s="8">
        <f>(K22*($E22/365))+(K23*($E23/365))+(K24*($E24/365))+(K25*($E25/365))</f>
        <v>100</v>
      </c>
      <c r="C155" s="8">
        <f>(L22*($E22/365))+(L23*($E23/365))+(L24*($E24/365))+(L25*($E25/365))</f>
        <v>0</v>
      </c>
      <c r="D155" s="8">
        <f>(M22*($E22/365))+(M23*($E23/365))+(M24*($E24/365))+(M25*($E25/365))</f>
        <v>0</v>
      </c>
      <c r="E155" s="43">
        <f t="shared" si="43"/>
        <v>100</v>
      </c>
      <c r="G155" s="1">
        <v>1965</v>
      </c>
      <c r="H155" s="989">
        <f>(O22/$R22*100*($E22/365))+(O23/$R23*100*($E23/365))</f>
        <v>63.287671232876711</v>
      </c>
      <c r="I155" s="989"/>
      <c r="J155" s="989">
        <f>(P22/$R22*100*($E22/365))+(P23/$R23*100*($E23/365))</f>
        <v>0</v>
      </c>
      <c r="K155" s="989"/>
      <c r="L155" s="989">
        <f>(Q22/$R22*100*($E22/365))+(Q23/$R23*100*($E23/365))</f>
        <v>0</v>
      </c>
      <c r="M155" s="989"/>
      <c r="N155" s="1031">
        <f t="shared" si="44"/>
        <v>63.287671232876711</v>
      </c>
      <c r="O155" s="1031"/>
      <c r="R155" s="1">
        <v>1965</v>
      </c>
      <c r="S155" s="8">
        <f>(O22*($E22/365))+(O23*($E23/365))+(O24*($E24/365))+(O25*($E25/365))</f>
        <v>51.718356164383565</v>
      </c>
      <c r="T155" s="8">
        <f>(P22*($E22/365))+(P23*($E23/365))+(P24*($E24/365))+(P25*($E25/365))</f>
        <v>0</v>
      </c>
      <c r="U155" s="8">
        <f>(Q22*($E22/365))+(Q23*($E23/365))+(Q24*($E24/365))+(Q25*($E25/365))</f>
        <v>0</v>
      </c>
      <c r="W155" s="5">
        <f t="shared" si="45"/>
        <v>51.718356164383565</v>
      </c>
      <c r="AD155" s="37"/>
    </row>
    <row r="156" spans="1:30">
      <c r="A156" s="1">
        <v>1966</v>
      </c>
      <c r="B156" s="8">
        <f>(K26*($E26/365))+(K27*($E27/365))</f>
        <v>97.260273972602747</v>
      </c>
      <c r="C156" s="8">
        <f>(L26*($E26/365))+(L27*($E27/365))</f>
        <v>0</v>
      </c>
      <c r="D156" s="8">
        <f>(M26*($E26/365))+(M27*($E27/365))</f>
        <v>0</v>
      </c>
      <c r="E156" s="43">
        <f t="shared" si="43"/>
        <v>97.260273972602747</v>
      </c>
      <c r="G156" s="1">
        <v>1966</v>
      </c>
      <c r="H156" s="989">
        <f>(O26/$R26*100*($E26/365))</f>
        <v>97.260273972602747</v>
      </c>
      <c r="I156" s="989"/>
      <c r="J156" s="989">
        <f>(P26/$R26*100*($E26/365))</f>
        <v>0</v>
      </c>
      <c r="K156" s="989"/>
      <c r="L156" s="989">
        <f>(Q26/$R26*100*($E26/365))</f>
        <v>0</v>
      </c>
      <c r="M156" s="989"/>
      <c r="N156" s="1031">
        <f t="shared" si="44"/>
        <v>97.260273972602747</v>
      </c>
      <c r="O156" s="1031"/>
      <c r="R156" s="1">
        <v>1966</v>
      </c>
      <c r="S156" s="8">
        <f>(O26*($E26/365))+(O27*($E27/365))</f>
        <v>49.31095890410959</v>
      </c>
      <c r="T156" s="8">
        <f>(P26*($E26/365))+(P27*($E27/365))</f>
        <v>0</v>
      </c>
      <c r="U156" s="8">
        <f>(Q26*($E26/365))+(Q27*($E27/365))</f>
        <v>0</v>
      </c>
      <c r="W156" s="5">
        <f t="shared" si="45"/>
        <v>49.31095890410959</v>
      </c>
      <c r="AD156" s="37"/>
    </row>
    <row r="157" spans="1:30">
      <c r="A157" s="1">
        <v>1967</v>
      </c>
      <c r="B157" s="8">
        <f>(K28*($E28/(110))+(K29*($E29/110)))</f>
        <v>16.363636363636363</v>
      </c>
      <c r="C157" s="8">
        <f>(L28*($E28/(110))+(L29*($E29/110)))</f>
        <v>0</v>
      </c>
      <c r="D157" s="8">
        <f>(M28*($E28/(110))+(M29*($E29/110)))</f>
        <v>0</v>
      </c>
      <c r="E157" s="235">
        <f t="shared" si="43"/>
        <v>16.363636363636363</v>
      </c>
      <c r="G157" s="1">
        <v>1967</v>
      </c>
      <c r="H157" s="989">
        <f>(O29/$R29*100*($E29/365))</f>
        <v>4.9315068493150687</v>
      </c>
      <c r="I157" s="989"/>
      <c r="J157" s="989">
        <f>(P29/$R29*100*($E29/365))</f>
        <v>0</v>
      </c>
      <c r="K157" s="989"/>
      <c r="L157" s="989">
        <f>(Q29/$R29*100*($E29/365))</f>
        <v>0</v>
      </c>
      <c r="M157" s="989"/>
      <c r="N157" s="1030">
        <f>H157+J157+L157</f>
        <v>4.9315068493150687</v>
      </c>
      <c r="O157" s="1030"/>
      <c r="R157" s="1">
        <v>1967</v>
      </c>
      <c r="S157" s="8">
        <f>(O28*($E28/(110))+(O29*($E29/110)))</f>
        <v>5.4490909090909083</v>
      </c>
      <c r="T157" s="8">
        <f>(P28*($E28/(110))+(P29*($E29/110)))</f>
        <v>0</v>
      </c>
      <c r="U157" s="8">
        <f>(Q28*($E28/(110))+(Q29*($E29/110)))</f>
        <v>0</v>
      </c>
      <c r="W157" s="5">
        <f t="shared" si="45"/>
        <v>5.4490909090909083</v>
      </c>
      <c r="AD157" s="37"/>
    </row>
    <row r="158" spans="1:30">
      <c r="A158" s="1">
        <v>1968</v>
      </c>
      <c r="C158" s="6"/>
      <c r="D158" s="6"/>
      <c r="E158" s="6"/>
      <c r="F158" s="2"/>
      <c r="G158" s="1">
        <v>1968</v>
      </c>
      <c r="H158" s="1029"/>
      <c r="I158" s="1029"/>
      <c r="J158" s="1001"/>
      <c r="K158" s="1001"/>
      <c r="L158" s="989"/>
      <c r="M158" s="989"/>
      <c r="N158" s="1030"/>
      <c r="O158" s="1030"/>
      <c r="R158" s="1">
        <v>1968</v>
      </c>
      <c r="AD158" s="37"/>
    </row>
    <row r="159" spans="1:30">
      <c r="A159" s="1">
        <v>1969</v>
      </c>
      <c r="B159" s="6"/>
      <c r="C159" s="6"/>
      <c r="D159" s="6"/>
      <c r="E159" s="6"/>
      <c r="F159" s="2"/>
      <c r="G159" s="1">
        <v>1969</v>
      </c>
      <c r="H159" s="989"/>
      <c r="I159" s="989"/>
      <c r="J159" s="1001"/>
      <c r="K159" s="1001"/>
      <c r="L159" s="989"/>
      <c r="M159" s="989"/>
      <c r="N159" s="1030"/>
      <c r="O159" s="1030"/>
      <c r="R159" s="1">
        <v>1969</v>
      </c>
      <c r="AD159" s="37"/>
    </row>
    <row r="160" spans="1:30">
      <c r="A160" s="1">
        <v>1970</v>
      </c>
      <c r="B160" s="6"/>
      <c r="C160" s="6"/>
      <c r="D160" s="6"/>
      <c r="E160" s="6"/>
      <c r="F160" s="2"/>
      <c r="G160" s="1">
        <v>1970</v>
      </c>
      <c r="H160" s="989"/>
      <c r="I160" s="989"/>
      <c r="J160" s="1001"/>
      <c r="K160" s="1001"/>
      <c r="L160" s="989"/>
      <c r="M160" s="989"/>
      <c r="N160" s="1030"/>
      <c r="O160" s="1030"/>
      <c r="R160" s="1">
        <v>1970</v>
      </c>
      <c r="AD160" s="37"/>
    </row>
    <row r="161" spans="1:30">
      <c r="A161" s="1">
        <v>1971</v>
      </c>
      <c r="B161" s="6"/>
      <c r="C161" s="6"/>
      <c r="D161" s="6"/>
      <c r="E161" s="6"/>
      <c r="F161" s="2"/>
      <c r="G161" s="1">
        <v>1971</v>
      </c>
      <c r="H161" s="989"/>
      <c r="I161" s="989"/>
      <c r="J161" s="1001"/>
      <c r="K161" s="1001"/>
      <c r="L161" s="989"/>
      <c r="M161" s="989"/>
      <c r="N161" s="1030"/>
      <c r="O161" s="1030"/>
      <c r="R161" s="1">
        <v>1971</v>
      </c>
      <c r="AD161" s="37"/>
    </row>
    <row r="162" spans="1:30">
      <c r="A162" s="1">
        <v>1972</v>
      </c>
      <c r="B162" s="6"/>
      <c r="C162" s="6"/>
      <c r="D162" s="6"/>
      <c r="E162" s="6"/>
      <c r="F162" s="2"/>
      <c r="G162" s="1">
        <v>1972</v>
      </c>
      <c r="H162" s="989"/>
      <c r="I162" s="989"/>
      <c r="J162" s="1001"/>
      <c r="K162" s="1001"/>
      <c r="L162" s="989"/>
      <c r="M162" s="989"/>
      <c r="N162" s="1030"/>
      <c r="O162" s="1030"/>
      <c r="R162" s="1">
        <v>1972</v>
      </c>
      <c r="AD162" s="37"/>
    </row>
    <row r="163" spans="1:30">
      <c r="A163" s="1">
        <v>1973</v>
      </c>
      <c r="B163" s="6"/>
      <c r="C163" s="6"/>
      <c r="D163" s="6"/>
      <c r="E163" s="6"/>
      <c r="F163" s="2"/>
      <c r="G163" s="1">
        <v>1973</v>
      </c>
      <c r="H163" s="989"/>
      <c r="I163" s="989"/>
      <c r="J163" s="989"/>
      <c r="K163" s="989"/>
      <c r="L163" s="989"/>
      <c r="M163" s="989"/>
      <c r="N163" s="1030"/>
      <c r="O163" s="1030"/>
      <c r="R163" s="1">
        <v>1973</v>
      </c>
      <c r="AD163" s="37"/>
    </row>
    <row r="164" spans="1:30" s="15" customFormat="1">
      <c r="A164" s="15">
        <v>1974</v>
      </c>
      <c r="B164" s="46">
        <f>(K44*($E44/159))+(K45*($E45/159))</f>
        <v>72.426348891095657</v>
      </c>
      <c r="C164" s="46">
        <f>(L44*($E44/159))+(L45*($E45/159))</f>
        <v>0</v>
      </c>
      <c r="D164" s="46">
        <f>(M44*($E44/159))+(M45*($E45/159))</f>
        <v>0</v>
      </c>
      <c r="E164" s="47">
        <f>SUM(B164:D164)</f>
        <v>72.426348891095657</v>
      </c>
      <c r="G164" s="15">
        <v>1974</v>
      </c>
      <c r="H164" s="1023">
        <f>(O45/$R45*100*($E45/159))</f>
        <v>25.157232704402517</v>
      </c>
      <c r="I164" s="1023"/>
      <c r="J164" s="1023">
        <f>(P45/$R45*100*($E45/159))</f>
        <v>0</v>
      </c>
      <c r="K164" s="1023"/>
      <c r="L164" s="1023">
        <f>(Q45/$R45*100*($E45/159))</f>
        <v>0</v>
      </c>
      <c r="M164" s="1023"/>
      <c r="N164" s="1024">
        <f>SUM(H164:M164)</f>
        <v>25.157232704402517</v>
      </c>
      <c r="O164" s="1024"/>
      <c r="R164" s="15">
        <v>1974</v>
      </c>
      <c r="S164" s="46">
        <f>(O45*($E45/159))</f>
        <v>18.440251572327043</v>
      </c>
      <c r="T164" s="46">
        <f>(P45*($E45/159))</f>
        <v>0</v>
      </c>
      <c r="U164" s="46">
        <f>(Q45*($E45/159))</f>
        <v>0</v>
      </c>
      <c r="V164" s="46"/>
      <c r="W164" s="46">
        <f>SUM(S164:U164)</f>
        <v>18.440251572327043</v>
      </c>
      <c r="Y164" s="231" t="s">
        <v>1227</v>
      </c>
    </row>
    <row r="165" spans="1:30">
      <c r="A165" s="1">
        <v>1975</v>
      </c>
      <c r="B165" s="7">
        <f>(K46*($E46/365))+(K47*($E47/365))</f>
        <v>100</v>
      </c>
      <c r="C165" s="7">
        <f>(L46*($E46/365))+(L47*($E47/365))</f>
        <v>0</v>
      </c>
      <c r="D165" s="7">
        <f>(M46*($E46/365))+(M47*($E47/365))</f>
        <v>0</v>
      </c>
      <c r="E165" s="42">
        <f>SUM(B165:D165)</f>
        <v>100</v>
      </c>
      <c r="G165" s="1">
        <v>1975</v>
      </c>
      <c r="H165" s="1002">
        <f>(O46/$R46*100*($E46/365))+(O47/$R47*100*($E47/365))</f>
        <v>100</v>
      </c>
      <c r="I165" s="1002"/>
      <c r="J165" s="1002">
        <f>(P46/$R46*100*($E46/365))+(P47/$R47*100*($E47/365))</f>
        <v>0</v>
      </c>
      <c r="K165" s="1002"/>
      <c r="L165" s="1002">
        <f>(Q46/$R46*100*($E46/365))+(Q47/$R47*100*($E47/365))</f>
        <v>0</v>
      </c>
      <c r="M165" s="1002"/>
      <c r="N165" s="959">
        <f>SUM(H165:M165)</f>
        <v>100</v>
      </c>
      <c r="O165" s="959"/>
      <c r="R165" s="1">
        <v>1975</v>
      </c>
      <c r="S165" s="7">
        <f>(O46*($E46/365))+(O47*($E47/365))</f>
        <v>73.3</v>
      </c>
      <c r="T165" s="7">
        <f>(P46*($E46/365))+(P47*($E47/365))</f>
        <v>0</v>
      </c>
      <c r="U165" s="7">
        <f>(Q46*($E46/365))+(Q47*($E47/365))</f>
        <v>0</v>
      </c>
      <c r="V165" s="12"/>
      <c r="W165" s="7">
        <f>SUM(S165:U165)</f>
        <v>73.3</v>
      </c>
    </row>
    <row r="166" spans="1:30">
      <c r="A166" s="1">
        <v>1976</v>
      </c>
      <c r="B166" s="7">
        <f>(K48*($E48/366))+(K49*($E49/366))</f>
        <v>100</v>
      </c>
      <c r="C166" s="7">
        <f>(L48*($E48/366))+(L49*($E49/366))</f>
        <v>0</v>
      </c>
      <c r="D166" s="7">
        <f>(M48*($E48/366))+(M49*($E49/366))</f>
        <v>0</v>
      </c>
      <c r="E166" s="42">
        <f t="shared" ref="E166:E203" si="46">SUM(B166:D166)</f>
        <v>100</v>
      </c>
      <c r="G166" s="1">
        <v>1976</v>
      </c>
      <c r="H166" s="1002">
        <f>(O48/$R48*100*($E48/366))+(O49/$R49*100*($E49/366))</f>
        <v>100</v>
      </c>
      <c r="I166" s="1002"/>
      <c r="J166" s="1002">
        <f>(P48/$R48*100*($E48/366))+(P49/$R49*100*($E49/366))</f>
        <v>0</v>
      </c>
      <c r="K166" s="1002"/>
      <c r="L166" s="1002">
        <f>(Q48/$R48*100*($E48/366))+(Q49/$R49*100*($E49/366))</f>
        <v>0</v>
      </c>
      <c r="M166" s="1002"/>
      <c r="N166" s="959">
        <f t="shared" ref="N166:N202" si="47">SUM(H166:M166)</f>
        <v>100</v>
      </c>
      <c r="O166" s="959"/>
      <c r="R166" s="1">
        <v>1976</v>
      </c>
      <c r="S166" s="7">
        <f>(O48*($E48/366))+(O49*($E49/366))</f>
        <v>73.3</v>
      </c>
      <c r="T166" s="7">
        <f>(P48*($E48/366))+(P49*($E49/366))</f>
        <v>0</v>
      </c>
      <c r="U166" s="7">
        <f>(Q48*($E48/366))+(Q49*($E49/366))</f>
        <v>0</v>
      </c>
      <c r="V166" s="12"/>
      <c r="W166" s="7">
        <f t="shared" ref="W166:W203" si="48">SUM(S166:U166)</f>
        <v>73.3</v>
      </c>
    </row>
    <row r="167" spans="1:30">
      <c r="A167" s="1">
        <v>1977</v>
      </c>
      <c r="B167" s="7">
        <f>(K50*($E50/365))+(K51*($E51/365))</f>
        <v>99.576587795765889</v>
      </c>
      <c r="C167" s="7">
        <f>(L50*($E50/365))+(L51*($E51/365))</f>
        <v>0</v>
      </c>
      <c r="D167" s="7">
        <f>(M50*($E50/365))+(M51*($E51/365))</f>
        <v>0</v>
      </c>
      <c r="E167" s="42">
        <f t="shared" si="46"/>
        <v>99.576587795765889</v>
      </c>
      <c r="G167" s="1">
        <v>1977</v>
      </c>
      <c r="H167" s="1002">
        <f>(O50/$R50*100*($E50/365))+(O51/$R51*100*($E51/365))</f>
        <v>100.00000000000001</v>
      </c>
      <c r="I167" s="1002"/>
      <c r="J167" s="1002">
        <f>(P50/$R50*100*($E50/365))+(P51/$R51*100*($E51/365))</f>
        <v>0</v>
      </c>
      <c r="K167" s="1002"/>
      <c r="L167" s="1002">
        <f>(Q50/$R50*100*($E50/365))+(Q51/$R51*100*($E51/365))</f>
        <v>0</v>
      </c>
      <c r="M167" s="1002"/>
      <c r="N167" s="959">
        <f t="shared" si="47"/>
        <v>100.00000000000001</v>
      </c>
      <c r="O167" s="959"/>
      <c r="R167" s="1">
        <v>1977</v>
      </c>
      <c r="S167" s="7">
        <f>(O50*($E50/365))+(O51*($E51/365))</f>
        <v>71.781643835616435</v>
      </c>
      <c r="T167" s="7">
        <f>(P50*($E50/365))+(P51*($E51/365))</f>
        <v>0</v>
      </c>
      <c r="U167" s="7">
        <f>(Q50*($E50/365))+(Q51*($E51/365))</f>
        <v>0</v>
      </c>
      <c r="V167" s="12"/>
      <c r="W167" s="7">
        <f t="shared" si="48"/>
        <v>71.781643835616435</v>
      </c>
    </row>
    <row r="168" spans="1:30">
      <c r="A168" s="1">
        <v>1978</v>
      </c>
      <c r="B168" s="7">
        <f>(K52*($E52/365))+(K53*($E53/365))</f>
        <v>95.454545454545453</v>
      </c>
      <c r="C168" s="7">
        <f>(L52*($E52/365))+(L53*($E53/365))</f>
        <v>0</v>
      </c>
      <c r="D168" s="7">
        <f>(M52*($E52/365))+(M53*($E53/365))</f>
        <v>0</v>
      </c>
      <c r="E168" s="42">
        <f t="shared" si="46"/>
        <v>95.454545454545453</v>
      </c>
      <c r="G168" s="1">
        <v>1978</v>
      </c>
      <c r="H168" s="1002">
        <f>(O52/$R52*100*($E52/365))+(O53/$R53*100*($E53/365))</f>
        <v>100</v>
      </c>
      <c r="I168" s="1002"/>
      <c r="J168" s="1002">
        <f>(P52/$R52*100*($E52/365))+(P53/$R53*100*($E53/365))</f>
        <v>0</v>
      </c>
      <c r="K168" s="1002"/>
      <c r="L168" s="1002">
        <f>(Q52/$R52*100*($E52/365))+(Q53/$R53*100*($E53/365))</f>
        <v>0</v>
      </c>
      <c r="M168" s="1002"/>
      <c r="N168" s="959">
        <f t="shared" si="47"/>
        <v>100</v>
      </c>
      <c r="O168" s="959"/>
      <c r="R168" s="1">
        <v>1978</v>
      </c>
      <c r="S168" s="7">
        <f>(O52*($E52/365))+(O53*($E53/365))</f>
        <v>57</v>
      </c>
      <c r="T168" s="7">
        <f>(P52*($E52/365))+(P53*($E53/365))</f>
        <v>0</v>
      </c>
      <c r="U168" s="7">
        <f>(Q52*($E52/365))+(Q53*($E53/365))</f>
        <v>0</v>
      </c>
      <c r="V168" s="12"/>
      <c r="W168" s="7">
        <f t="shared" si="48"/>
        <v>57</v>
      </c>
    </row>
    <row r="169" spans="1:30">
      <c r="A169" s="1">
        <v>1979</v>
      </c>
      <c r="B169" s="7">
        <f>(K54*($E54/365))+(K55*($E55/365))</f>
        <v>95.454545454545453</v>
      </c>
      <c r="C169" s="7">
        <f>(L54*($E54/365))+(L55*($E55/365))</f>
        <v>0</v>
      </c>
      <c r="D169" s="7">
        <f>(M54*($E54/365))+(M55*($E55/365))</f>
        <v>0</v>
      </c>
      <c r="E169" s="42">
        <f t="shared" si="46"/>
        <v>95.454545454545453</v>
      </c>
      <c r="G169" s="1">
        <v>1979</v>
      </c>
      <c r="H169" s="1002">
        <f>(O54/$R54*100*($E54/365))+(O55/$R55*100*($E55/365))</f>
        <v>100</v>
      </c>
      <c r="I169" s="1002"/>
      <c r="J169" s="1002">
        <f>(P54/$R54*100*($E54/365))+(P55/$R55*100*($E55/365))</f>
        <v>0</v>
      </c>
      <c r="K169" s="1002"/>
      <c r="L169" s="1002">
        <f>(Q54/$R54*100*($E54/365))+(Q55/$R55*100*($E55/365))</f>
        <v>0</v>
      </c>
      <c r="M169" s="1002"/>
      <c r="N169" s="959">
        <f t="shared" si="47"/>
        <v>100</v>
      </c>
      <c r="O169" s="959"/>
      <c r="R169" s="1">
        <v>1979</v>
      </c>
      <c r="S169" s="7">
        <f>(O54*($E54/365))+(O55*($E55/365))</f>
        <v>57</v>
      </c>
      <c r="T169" s="7">
        <f>(P54*($E54/365))+(P55*($E55/365))</f>
        <v>0</v>
      </c>
      <c r="U169" s="7">
        <f>(Q54*($E54/365))+(Q55*($E55/365))</f>
        <v>0</v>
      </c>
      <c r="V169" s="12"/>
      <c r="W169" s="7">
        <f t="shared" si="48"/>
        <v>57</v>
      </c>
    </row>
    <row r="170" spans="1:30">
      <c r="A170" s="1">
        <v>1980</v>
      </c>
      <c r="B170" s="7">
        <f>(K56*($E56/366))+(K57*($E57/366))</f>
        <v>93.001738698460002</v>
      </c>
      <c r="C170" s="7">
        <f>(L56*($E56/366))+(L57*($E57/366))</f>
        <v>0</v>
      </c>
      <c r="D170" s="7">
        <f>(M56*($E56/366))+(M57*($E57/366))</f>
        <v>0</v>
      </c>
      <c r="E170" s="42">
        <f t="shared" si="46"/>
        <v>93.001738698460002</v>
      </c>
      <c r="G170" s="1">
        <v>1980</v>
      </c>
      <c r="H170" s="1002">
        <f>(O56/$R56*100*($E56/366))+(O57/$R57*100*($E57/366))</f>
        <v>100</v>
      </c>
      <c r="I170" s="1002"/>
      <c r="J170" s="1002">
        <f>(P56/$R56*100*($E56/366))+(P57/$R57*100*($E57/366))</f>
        <v>0</v>
      </c>
      <c r="K170" s="1002"/>
      <c r="L170" s="1002">
        <f>(Q56/$R56*100*($E56/366))+(Q57/$R57*100*($E57/366))</f>
        <v>0</v>
      </c>
      <c r="M170" s="1002"/>
      <c r="N170" s="959">
        <f t="shared" si="47"/>
        <v>100</v>
      </c>
      <c r="O170" s="959"/>
      <c r="R170" s="1">
        <v>1980</v>
      </c>
      <c r="S170" s="7">
        <f>(O56*($E56/366))+(O57*($E57/366))</f>
        <v>57</v>
      </c>
      <c r="T170" s="7">
        <f>(P56*($E56/366))+(P57*($E57/366))</f>
        <v>0</v>
      </c>
      <c r="U170" s="7">
        <f>(Q56*($E56/366))+(Q57*($E57/366))</f>
        <v>0</v>
      </c>
      <c r="V170" s="12"/>
      <c r="W170" s="7">
        <f t="shared" si="48"/>
        <v>57</v>
      </c>
    </row>
    <row r="171" spans="1:30">
      <c r="A171" s="1">
        <v>1981</v>
      </c>
      <c r="B171" s="7">
        <f>(K58*($E58/365))+(K59*($E59/365))</f>
        <v>73.584474885844742</v>
      </c>
      <c r="C171" s="7">
        <f>(L58*($E58/365))+(L59*($E59/365))</f>
        <v>0</v>
      </c>
      <c r="D171" s="7">
        <f>(M58*($E58/365))+(M59*($E59/365))</f>
        <v>19.726027397260275</v>
      </c>
      <c r="E171" s="42">
        <f t="shared" si="46"/>
        <v>93.310502283105023</v>
      </c>
      <c r="G171" s="1">
        <v>1981</v>
      </c>
      <c r="H171" s="1002">
        <f>(O58/$R58*100*($E58/365))+(O59/$R59*100*($E59/365))</f>
        <v>80.273972602739732</v>
      </c>
      <c r="I171" s="1002"/>
      <c r="J171" s="1002">
        <f>(P58/$R58*100*($E58/365))+(P59/$R59*100*($E59/365))</f>
        <v>0</v>
      </c>
      <c r="K171" s="1002"/>
      <c r="L171" s="1002">
        <f>(Q58/$R58*100*($E58/365))+(Q59/$R59*100*($E59/365))</f>
        <v>19.726027397260275</v>
      </c>
      <c r="M171" s="1002"/>
      <c r="N171" s="959">
        <f t="shared" si="47"/>
        <v>100</v>
      </c>
      <c r="O171" s="959"/>
      <c r="R171" s="1">
        <v>1981</v>
      </c>
      <c r="S171" s="7">
        <f>(O58*($E58/365))+(O59*($E59/365))</f>
        <v>45.756164383561647</v>
      </c>
      <c r="T171" s="7">
        <f>(P58*($E58/365))+(P59*($E59/365))</f>
        <v>0</v>
      </c>
      <c r="U171" s="7">
        <f>(Q58*($E58/365))+(Q59*($E59/365))</f>
        <v>11.303013698630137</v>
      </c>
      <c r="V171" s="12"/>
      <c r="W171" s="7">
        <f t="shared" si="48"/>
        <v>57.059178082191785</v>
      </c>
    </row>
    <row r="172" spans="1:30">
      <c r="A172" s="1">
        <v>1982</v>
      </c>
      <c r="B172" s="7">
        <f>(K60*($E60/365))+(K61*($E61/365))</f>
        <v>0</v>
      </c>
      <c r="C172" s="7">
        <f>(L60*($E60/365))+(L61*($E61/365))</f>
        <v>0</v>
      </c>
      <c r="D172" s="7">
        <f>(M60*($E60/365))+(M61*($E61/365))</f>
        <v>100</v>
      </c>
      <c r="E172" s="42">
        <f t="shared" si="46"/>
        <v>100</v>
      </c>
      <c r="G172" s="1">
        <v>1982</v>
      </c>
      <c r="H172" s="1002">
        <f>(O60/$R60*100*($E60/365))+(O61/$R61*100*($E61/365))</f>
        <v>0</v>
      </c>
      <c r="I172" s="1002"/>
      <c r="J172" s="1002">
        <f>(P60/$R60*100*($E60/365))+(P61/$R61*100*($E61/365))</f>
        <v>0</v>
      </c>
      <c r="K172" s="1002"/>
      <c r="L172" s="1002">
        <f>(Q60/$R60*100*($E60/365))+(Q61/$R61*100*($E61/365))</f>
        <v>100</v>
      </c>
      <c r="M172" s="1002"/>
      <c r="N172" s="959">
        <f t="shared" si="47"/>
        <v>100</v>
      </c>
      <c r="O172" s="959"/>
      <c r="R172" s="1">
        <v>1982</v>
      </c>
      <c r="S172" s="7">
        <f>(O60*($E60/365))+(O61*($E61/365))</f>
        <v>0</v>
      </c>
      <c r="T172" s="7">
        <f>(P60*($E60/365))+(P61*($E61/365))</f>
        <v>0</v>
      </c>
      <c r="U172" s="7">
        <f>(Q60*($E60/365))+(Q61*($E61/365))</f>
        <v>57.3</v>
      </c>
      <c r="V172" s="12"/>
      <c r="W172" s="7">
        <f t="shared" si="48"/>
        <v>57.3</v>
      </c>
    </row>
    <row r="173" spans="1:30">
      <c r="A173" s="1">
        <v>1983</v>
      </c>
      <c r="B173" s="7">
        <f>(K62*($E62/365))+(K63*($E63/365))</f>
        <v>0</v>
      </c>
      <c r="C173" s="7">
        <f>(L62*($E62/365))+(L63*($E63/365))</f>
        <v>0</v>
      </c>
      <c r="D173" s="7">
        <f>(M62*($E62/365))+(M63*($E63/365))</f>
        <v>100</v>
      </c>
      <c r="E173" s="42">
        <f t="shared" si="46"/>
        <v>100</v>
      </c>
      <c r="G173" s="1">
        <v>1983</v>
      </c>
      <c r="H173" s="1002">
        <f>(O62/$R62*100*($E62/365))+(O63/$R63*100*($E63/365))</f>
        <v>0</v>
      </c>
      <c r="I173" s="1002"/>
      <c r="J173" s="1002">
        <f>(P62/$R62*100*($E62/365))+(P63/$R63*100*($E63/365))</f>
        <v>0</v>
      </c>
      <c r="K173" s="1002"/>
      <c r="L173" s="1002">
        <f>(Q62/$R62*100*($E62/365))+(Q63/$R63*100*($E63/365))</f>
        <v>100</v>
      </c>
      <c r="M173" s="1002"/>
      <c r="N173" s="959">
        <f t="shared" si="47"/>
        <v>100</v>
      </c>
      <c r="O173" s="959"/>
      <c r="R173" s="1">
        <v>1983</v>
      </c>
      <c r="S173" s="7">
        <f>(O62*($E62/365))+(O63*($E63/365))</f>
        <v>0</v>
      </c>
      <c r="T173" s="7">
        <f>(P62*($E62/365))+(P63*($E63/365))</f>
        <v>0</v>
      </c>
      <c r="U173" s="7">
        <f>(Q62*($E62/365))+(Q63*($E63/365))</f>
        <v>57.3</v>
      </c>
      <c r="V173" s="12"/>
      <c r="W173" s="7">
        <f t="shared" si="48"/>
        <v>57.3</v>
      </c>
    </row>
    <row r="174" spans="1:30">
      <c r="A174" s="1">
        <v>1984</v>
      </c>
      <c r="B174" s="7">
        <f>(K64*($E64/366))+(K65*($E65/366))</f>
        <v>0</v>
      </c>
      <c r="C174" s="7">
        <f>(L64*($E64/366))+(L65*($E65/366))</f>
        <v>0</v>
      </c>
      <c r="D174" s="7">
        <f>(M64*($E64/366))+(M65*($E65/366))</f>
        <v>100</v>
      </c>
      <c r="E174" s="42">
        <f t="shared" si="46"/>
        <v>100</v>
      </c>
      <c r="G174" s="1">
        <v>1984</v>
      </c>
      <c r="H174" s="1002">
        <f>(O64/$R64*100*($E64/366))+(O65/$R65*100*($E65/366))</f>
        <v>0</v>
      </c>
      <c r="I174" s="1002"/>
      <c r="J174" s="1002">
        <f>(P64/$R64*100*($E64/366))+(P65/$R65*100*($E65/366))</f>
        <v>0</v>
      </c>
      <c r="K174" s="1002"/>
      <c r="L174" s="1002">
        <f>(Q64/$R64*100*($E64/366))+(Q65/$R65*100*($E65/366))</f>
        <v>100</v>
      </c>
      <c r="M174" s="1002"/>
      <c r="N174" s="959">
        <f t="shared" si="47"/>
        <v>100</v>
      </c>
      <c r="O174" s="959"/>
      <c r="R174" s="1">
        <v>1984</v>
      </c>
      <c r="S174" s="7">
        <f>(O64*($E64/366))+(O65*($E65/366))</f>
        <v>0</v>
      </c>
      <c r="T174" s="7">
        <f>(P64*($E64/366))+(P65*($E65/366))</f>
        <v>0</v>
      </c>
      <c r="U174" s="7">
        <f>(Q64*($E64/366))+(Q65*($E65/366))</f>
        <v>57.3</v>
      </c>
      <c r="V174" s="12"/>
      <c r="W174" s="7">
        <f t="shared" si="48"/>
        <v>57.3</v>
      </c>
    </row>
    <row r="175" spans="1:30" ht="9" customHeight="1">
      <c r="A175" s="1">
        <v>1985</v>
      </c>
      <c r="B175" s="7">
        <f>(K66*($E66/365))+(K67*($E67/365))+(K68*($E68/365))</f>
        <v>0</v>
      </c>
      <c r="C175" s="7">
        <f>(L66*($E66/365))+(L67*($E67/365))+(L68*($E68/365))</f>
        <v>0</v>
      </c>
      <c r="D175" s="7">
        <f>(M66*($E66/365))+(M67*($E67/365))+(M68*($E68/365))</f>
        <v>100</v>
      </c>
      <c r="E175" s="42">
        <f t="shared" si="46"/>
        <v>100</v>
      </c>
      <c r="G175" s="1">
        <v>1985</v>
      </c>
      <c r="H175" s="1002">
        <f>(O66/$R66*100*($E66/365))+(O67/$R67*100*($E67/365))+(O68/$R68*100*($E68/365))</f>
        <v>0</v>
      </c>
      <c r="I175" s="1002"/>
      <c r="J175" s="1002">
        <f>(P66/$R66*100*($E66/365))+(P67/$R67*100*($E67/365))+(P68/$R68*100*($E68/365))</f>
        <v>0</v>
      </c>
      <c r="K175" s="1002"/>
      <c r="L175" s="1002">
        <f>(Q66/$R66*100*($E66/365))+(Q67/$R67*100*($E67/365))+(Q68/$R68*100*($E68/365))</f>
        <v>100</v>
      </c>
      <c r="M175" s="1002"/>
      <c r="N175" s="959">
        <f t="shared" si="47"/>
        <v>100</v>
      </c>
      <c r="O175" s="959"/>
      <c r="R175" s="1">
        <v>1985</v>
      </c>
      <c r="S175" s="7">
        <f>(O66*($E66/365))+(O67*($E67/365))+(O68*($E68/365))</f>
        <v>0</v>
      </c>
      <c r="T175" s="7">
        <f>(P66*($E66/365))+(P67*($E67/365))+(P68*($E68/365))</f>
        <v>0</v>
      </c>
      <c r="U175" s="7">
        <f>(Q66*($E66/365))+(Q67*($E67/365))+(Q68*($E68/365))</f>
        <v>55.228767123287668</v>
      </c>
      <c r="V175" s="12"/>
      <c r="W175" s="7">
        <f t="shared" si="48"/>
        <v>55.228767123287668</v>
      </c>
    </row>
    <row r="176" spans="1:30" ht="9" customHeight="1">
      <c r="A176" s="1">
        <v>1986</v>
      </c>
      <c r="B176" s="7">
        <f>(K69*($E69/365))+(K70*($E70/365))</f>
        <v>0</v>
      </c>
      <c r="C176" s="7">
        <f>(L69*($E69/365))+(L70*($E70/365))</f>
        <v>0</v>
      </c>
      <c r="D176" s="7">
        <f>(M69*($E69/365))+(M70*($E70/365))</f>
        <v>100</v>
      </c>
      <c r="E176" s="42">
        <f t="shared" si="46"/>
        <v>100</v>
      </c>
      <c r="G176" s="1">
        <v>1986</v>
      </c>
      <c r="H176" s="1002">
        <f>(O69/$R69*100*($E69/365))+(O70/$R70*100*($E70/365))</f>
        <v>0</v>
      </c>
      <c r="I176" s="1002"/>
      <c r="J176" s="1002">
        <f>(P69/$R69*100*($E69/365))+(P70/$R70*100*($E70/365))</f>
        <v>0</v>
      </c>
      <c r="K176" s="1002"/>
      <c r="L176" s="1002">
        <f>(Q69/$R69*100*($E69/365))+(Q70/$R70*100*($E70/365))</f>
        <v>100</v>
      </c>
      <c r="M176" s="1002"/>
      <c r="N176" s="959">
        <f t="shared" si="47"/>
        <v>100</v>
      </c>
      <c r="O176" s="959"/>
      <c r="R176" s="1">
        <v>1986</v>
      </c>
      <c r="S176" s="7">
        <f>(O69*($E69/365))+(O70*($E70/365))</f>
        <v>0</v>
      </c>
      <c r="T176" s="7">
        <f>(P69*($E69/365))+(P70*($E70/365))</f>
        <v>0</v>
      </c>
      <c r="U176" s="7">
        <f>(Q69*($E69/365))+(Q70*($E70/365))</f>
        <v>53.7</v>
      </c>
      <c r="V176" s="12"/>
      <c r="W176" s="7">
        <f t="shared" si="48"/>
        <v>53.7</v>
      </c>
    </row>
    <row r="177" spans="1:23" ht="9" customHeight="1">
      <c r="A177" s="1">
        <v>1987</v>
      </c>
      <c r="B177" s="7">
        <f>(K71*($E71/365))+(K72*($E72/365))</f>
        <v>0</v>
      </c>
      <c r="C177" s="7">
        <f>(L71*($E71/365))+(L72*($E72/365))</f>
        <v>0</v>
      </c>
      <c r="D177" s="7">
        <f>(M71*($E71/365))+(M72*($E72/365))</f>
        <v>100</v>
      </c>
      <c r="E177" s="42">
        <f t="shared" si="46"/>
        <v>100</v>
      </c>
      <c r="G177" s="1">
        <v>1987</v>
      </c>
      <c r="H177" s="1002">
        <f>(O71/$R71*100*($E71/365))+(O72/$R72*100*($E72/365))</f>
        <v>0</v>
      </c>
      <c r="I177" s="1002"/>
      <c r="J177" s="1002">
        <f>(P71/$R71*100*($E71/365))+(P72/$R72*100*($E72/365))</f>
        <v>0</v>
      </c>
      <c r="K177" s="1002"/>
      <c r="L177" s="1002">
        <f>(Q71/$R71*100*($E71/365))+(Q72/$R72*100*($E72/365))</f>
        <v>100</v>
      </c>
      <c r="M177" s="1002"/>
      <c r="N177" s="959">
        <f t="shared" si="47"/>
        <v>100</v>
      </c>
      <c r="O177" s="959"/>
      <c r="R177" s="1">
        <v>1987</v>
      </c>
      <c r="S177" s="7">
        <f>(O71*($E71/365))+(O72*($E72/365))</f>
        <v>0</v>
      </c>
      <c r="T177" s="7">
        <f>(P71*($E71/365))+(P72*($E72/365))</f>
        <v>0</v>
      </c>
      <c r="U177" s="7">
        <f>(Q71*($E71/365))+(Q72*($E72/365))</f>
        <v>53.7</v>
      </c>
      <c r="V177" s="12"/>
      <c r="W177" s="7">
        <f t="shared" si="48"/>
        <v>53.7</v>
      </c>
    </row>
    <row r="178" spans="1:23" ht="9" customHeight="1">
      <c r="A178" s="1">
        <v>1988</v>
      </c>
      <c r="B178" s="7">
        <f>(K73*($E73/366))+(K74*($E74/366))</f>
        <v>0</v>
      </c>
      <c r="C178" s="7">
        <f>(L73*($E73/366))+(L74*($E74/366))</f>
        <v>0</v>
      </c>
      <c r="D178" s="7">
        <f>(M73*($E73/366))+(M74*($E74/366))</f>
        <v>100</v>
      </c>
      <c r="E178" s="42">
        <f t="shared" si="46"/>
        <v>100</v>
      </c>
      <c r="G178" s="1">
        <v>1988</v>
      </c>
      <c r="H178" s="1002">
        <f>(O73/$R73*100*($E73/366))+(O74/$R74*100*($E74/366))</f>
        <v>0</v>
      </c>
      <c r="I178" s="1002"/>
      <c r="J178" s="1002">
        <f>(P73/$R73*100*($E73/366))+(P74/$R74*100*($E74/366))</f>
        <v>0</v>
      </c>
      <c r="K178" s="1002"/>
      <c r="L178" s="1002">
        <f>(Q73/$R73*100*($E73/366))+(Q74/$R74*100*($E74/366))</f>
        <v>100</v>
      </c>
      <c r="M178" s="1002"/>
      <c r="N178" s="959">
        <f t="shared" si="47"/>
        <v>100</v>
      </c>
      <c r="O178" s="959"/>
      <c r="R178" s="1">
        <v>1988</v>
      </c>
      <c r="S178" s="7">
        <f>(O73*($E73/366))+(O74*($E74/366))</f>
        <v>0</v>
      </c>
      <c r="T178" s="7">
        <f>(P73*($E73/366))+(P74*($E74/366))</f>
        <v>0</v>
      </c>
      <c r="U178" s="7">
        <f>(Q73*($E73/366))+(Q74*($E74/366))</f>
        <v>53.7</v>
      </c>
      <c r="W178" s="7">
        <f t="shared" si="48"/>
        <v>53.7</v>
      </c>
    </row>
    <row r="179" spans="1:23" ht="9" customHeight="1">
      <c r="A179" s="1">
        <v>1989</v>
      </c>
      <c r="B179" s="7">
        <f>(K75*($E75/365))+(K76*($E76/365))+(K77*($E77/365))+(K78*($E78/365))</f>
        <v>28.646303071556201</v>
      </c>
      <c r="C179" s="7">
        <f>(L75*($E75/365))+(L76*($E76/365))+(L77*($E77/365))+(L78*($E78/365))</f>
        <v>0</v>
      </c>
      <c r="D179" s="7">
        <f>(M75*($E75/365))+(M76*($E76/365))+(M77*($E77/365))+(M78*($E78/365))</f>
        <v>55.945999602938258</v>
      </c>
      <c r="E179" s="42">
        <f t="shared" si="46"/>
        <v>84.592302674494462</v>
      </c>
      <c r="G179" s="15">
        <v>1989</v>
      </c>
      <c r="H179" s="1023">
        <f>(O75/$R75*100*($E75/365))+(O76/$R76*100*($E76/365))+(O78/$R78*100*($E78/365))</f>
        <v>28.874044682641507</v>
      </c>
      <c r="I179" s="1023"/>
      <c r="J179" s="1023">
        <f>(P75/$R75*100*($E75/365))+(P76/$R76*100*($E76/365))+(P78/$R78*100*($E78/365))</f>
        <v>0</v>
      </c>
      <c r="K179" s="1023"/>
      <c r="L179" s="1023">
        <f>(Q75/$R75*100*($E75/365))+(Q76/$R76*100*($E76/365))+(Q78/$R78*100*($E78/365))</f>
        <v>59.893078605029736</v>
      </c>
      <c r="M179" s="1023"/>
      <c r="N179" s="1024">
        <f t="shared" si="47"/>
        <v>88.767123287671239</v>
      </c>
      <c r="O179" s="1024"/>
      <c r="R179" s="1">
        <v>1989</v>
      </c>
      <c r="S179" s="7">
        <f>(O75*($E75/365))+(O76*($E76/365))+(O77*($E77/365))+(O78*($E78/365))</f>
        <v>18.90027397260274</v>
      </c>
      <c r="T179" s="7">
        <f>(P75*($E75/365))+(P76*($E76/365))+(P77*($E77/365))+(P78*($E78/365))</f>
        <v>0</v>
      </c>
      <c r="U179" s="7">
        <f>(Q75*($E75/365))+(Q76*($E76/365))+(Q77*($E77/365))+(Q78*($E78/365))</f>
        <v>34.854794520547948</v>
      </c>
      <c r="W179" s="7">
        <f t="shared" si="48"/>
        <v>53.755068493150688</v>
      </c>
    </row>
    <row r="180" spans="1:23" ht="9" customHeight="1">
      <c r="A180" s="1">
        <v>1990</v>
      </c>
      <c r="B180" s="7">
        <f>(K79*($E79/365))+(K80*($E80/365))+(K81*($E81/365))</f>
        <v>75.968688845401175</v>
      </c>
      <c r="C180" s="7">
        <f>(L79*($E79/365))+(L80*($E80/365))+(L81*($E81/365))</f>
        <v>0</v>
      </c>
      <c r="D180" s="7">
        <f>(M79*($E79/365))+(M80*($E80/365))+(M81*($E81/365))</f>
        <v>3.926940639269406</v>
      </c>
      <c r="E180" s="42">
        <f t="shared" si="46"/>
        <v>79.895629484670579</v>
      </c>
      <c r="G180" s="15">
        <v>1990</v>
      </c>
      <c r="H180" s="1023">
        <f>(O79/$R79*100*($E79/365))+(O81/$R81*100*($E81/365))</f>
        <v>78.451627143428652</v>
      </c>
      <c r="I180" s="1023"/>
      <c r="J180" s="1023">
        <f>(P79/$R79*100*($E79/365))+(P81/$R81*100*($E81/365))</f>
        <v>0</v>
      </c>
      <c r="K180" s="1023"/>
      <c r="L180" s="1023">
        <f>(Q79/$R79*100*($E79/365))+(Q81/$R81*100*($E81/365))</f>
        <v>5.9319345004069577</v>
      </c>
      <c r="M180" s="1023"/>
      <c r="N180" s="1024">
        <f t="shared" si="47"/>
        <v>84.383561643835606</v>
      </c>
      <c r="O180" s="1024"/>
      <c r="R180" s="1">
        <v>1990</v>
      </c>
      <c r="S180" s="7">
        <f>(O79*($E79/365))+(O80*($E80/365))+(O81*($E81/365))</f>
        <v>42.327123287671228</v>
      </c>
      <c r="T180" s="7">
        <f>(P79*($E79/365))+(P80*($E80/365))+(P81*($E81/365))</f>
        <v>0</v>
      </c>
      <c r="U180" s="7">
        <f>(Q79*($E79/365))+(Q80*($E80/365))+(Q81*($E81/365))</f>
        <v>5.89041095890411</v>
      </c>
      <c r="W180" s="7">
        <f t="shared" si="48"/>
        <v>48.21753424657534</v>
      </c>
    </row>
    <row r="181" spans="1:23" ht="9" customHeight="1">
      <c r="A181" s="1">
        <v>1991</v>
      </c>
      <c r="B181" s="7">
        <f>(K82*($E82/365))+(K83*($E83/365))</f>
        <v>100</v>
      </c>
      <c r="C181" s="7">
        <f>(L82*($E82/365))+(L83*($E83/365))</f>
        <v>0</v>
      </c>
      <c r="D181" s="7">
        <f>(M82*($E82/365))+(M83*($E83/365))</f>
        <v>0</v>
      </c>
      <c r="E181" s="42">
        <f t="shared" si="46"/>
        <v>100</v>
      </c>
      <c r="G181" s="1">
        <v>1991</v>
      </c>
      <c r="H181" s="1002">
        <f>(O82/$R82*100*($E82/365))+(O83/$R83*100*($E83/365))</f>
        <v>100</v>
      </c>
      <c r="I181" s="1002"/>
      <c r="J181" s="1002">
        <f>(P82/$R82*100*($E82/365))+(P83/$R83*100*($E83/365))</f>
        <v>0</v>
      </c>
      <c r="K181" s="1002"/>
      <c r="L181" s="1002">
        <f>(Q82/$R82*100*($E82/365))+(Q83/$R83*100*($E83/365))</f>
        <v>0</v>
      </c>
      <c r="M181" s="1002"/>
      <c r="N181" s="959">
        <f t="shared" si="47"/>
        <v>100</v>
      </c>
      <c r="O181" s="959"/>
      <c r="R181" s="1">
        <v>1991</v>
      </c>
      <c r="S181" s="7">
        <f>(O82*($E82/365))+(O83*($E83/365))</f>
        <v>50.3</v>
      </c>
      <c r="T181" s="7">
        <f>(P82*($E82/365))+(P83*($E83/365))</f>
        <v>0</v>
      </c>
      <c r="U181" s="7">
        <f>(Q82*($E82/365))+(Q83*($E83/365))</f>
        <v>0</v>
      </c>
      <c r="W181" s="7">
        <f t="shared" si="48"/>
        <v>50.3</v>
      </c>
    </row>
    <row r="182" spans="1:23" ht="9" customHeight="1">
      <c r="A182" s="1">
        <v>1992</v>
      </c>
      <c r="B182" s="7">
        <f>(K84*($E84/366))+(K85*($E85/366))</f>
        <v>100</v>
      </c>
      <c r="C182" s="7">
        <f>(L84*($E84/366))+(L85*($E85/366))</f>
        <v>0</v>
      </c>
      <c r="D182" s="7">
        <f>(M84*($E84/366))+(M85*($E85/366))</f>
        <v>0</v>
      </c>
      <c r="E182" s="42">
        <f t="shared" si="46"/>
        <v>100</v>
      </c>
      <c r="G182" s="1">
        <v>1992</v>
      </c>
      <c r="H182" s="1002">
        <f>(O84/$R84*100*($E84/366))+(O85/$R85*100*($E85/366))</f>
        <v>100</v>
      </c>
      <c r="I182" s="1002"/>
      <c r="J182" s="1002">
        <f>(P84/$R84*100*($E84/366))+(P85/$R85*100*($E85/366))</f>
        <v>0</v>
      </c>
      <c r="K182" s="1002"/>
      <c r="L182" s="1002">
        <f>(Q84/$R84*100*($E84/366))+(Q85/$R85*100*($E85/366))</f>
        <v>0</v>
      </c>
      <c r="M182" s="1002"/>
      <c r="N182" s="959">
        <f t="shared" si="47"/>
        <v>100</v>
      </c>
      <c r="O182" s="959"/>
      <c r="R182" s="1">
        <v>1992</v>
      </c>
      <c r="S182" s="7">
        <f>(O84*($E84/366))+(O85*($E85/366))</f>
        <v>50.3</v>
      </c>
      <c r="T182" s="7">
        <f>(P84*($E84/366))+(P85*($E85/366))</f>
        <v>0</v>
      </c>
      <c r="U182" s="7">
        <f>(Q84*($E84/366))+(Q85*($E85/366))</f>
        <v>0</v>
      </c>
      <c r="W182" s="7">
        <f t="shared" si="48"/>
        <v>50.3</v>
      </c>
    </row>
    <row r="183" spans="1:23" ht="9" customHeight="1">
      <c r="A183" s="1">
        <v>1993</v>
      </c>
      <c r="B183" s="7">
        <f>(K86*($E86/365))+(K87*($E87/365))</f>
        <v>81.369863013698634</v>
      </c>
      <c r="C183" s="7">
        <f>(L86*($E86/365))+(L87*($E87/365))</f>
        <v>0</v>
      </c>
      <c r="D183" s="7">
        <f>(M86*($E86/365))+(M87*($E87/365))</f>
        <v>18.63013698630137</v>
      </c>
      <c r="E183" s="42">
        <f t="shared" si="46"/>
        <v>100</v>
      </c>
      <c r="G183" s="1">
        <v>1993</v>
      </c>
      <c r="H183" s="1002">
        <f>(O86/$R86*100*($E86/365))+(O87/$R87*100*($E87/365))</f>
        <v>81.369863013698634</v>
      </c>
      <c r="I183" s="1002"/>
      <c r="J183" s="1002">
        <f>(P86/$R86*100*($E86/365))+(P87/$R87*100*($E87/365))</f>
        <v>0</v>
      </c>
      <c r="K183" s="1002"/>
      <c r="L183" s="1002">
        <f>(Q86/$R86*100*($E86/365))+(Q87/$R87*100*($E87/365))</f>
        <v>18.63013698630137</v>
      </c>
      <c r="M183" s="1002"/>
      <c r="N183" s="959">
        <f t="shared" si="47"/>
        <v>100</v>
      </c>
      <c r="O183" s="959"/>
      <c r="R183" s="1">
        <v>1993</v>
      </c>
      <c r="S183" s="7">
        <f>(O86*($E86/365))+(O87*($E87/365))</f>
        <v>40.929041095890405</v>
      </c>
      <c r="T183" s="7">
        <f>(P86*($E86/365))+(P87*($E87/365))</f>
        <v>0</v>
      </c>
      <c r="U183" s="7">
        <f>(Q86*($E86/365))+(Q87*($E87/365))</f>
        <v>10.563287671232878</v>
      </c>
      <c r="W183" s="7">
        <f t="shared" si="48"/>
        <v>51.492328767123283</v>
      </c>
    </row>
    <row r="184" spans="1:23" ht="9" customHeight="1">
      <c r="A184" s="1">
        <v>1994</v>
      </c>
      <c r="B184" s="7">
        <f>(K88*($E88/365))+(K89*($E89/365))</f>
        <v>0</v>
      </c>
      <c r="C184" s="7">
        <f>(L88*($E88/365))+(L89*($E89/365))</f>
        <v>0</v>
      </c>
      <c r="D184" s="7">
        <f>(M88*($E88/365))+(M89*($E89/365))</f>
        <v>100</v>
      </c>
      <c r="E184" s="42">
        <f t="shared" si="46"/>
        <v>100</v>
      </c>
      <c r="G184" s="1">
        <v>1994</v>
      </c>
      <c r="H184" s="1002">
        <f>(O88/$R88*100*($E88/365))+(O89/$R89*100*($E89/365))</f>
        <v>0</v>
      </c>
      <c r="I184" s="1002"/>
      <c r="J184" s="1002">
        <f>(P88/$R88*100*($E88/365))+(P89/$R89*100*($E89/365))</f>
        <v>0</v>
      </c>
      <c r="K184" s="1002"/>
      <c r="L184" s="1002">
        <f>(Q88/$R88*100*($E88/365))+(Q89/$R89*100*($E89/365))</f>
        <v>100</v>
      </c>
      <c r="M184" s="1002"/>
      <c r="N184" s="959">
        <f t="shared" si="47"/>
        <v>100</v>
      </c>
      <c r="O184" s="959"/>
      <c r="R184" s="1">
        <v>1994</v>
      </c>
      <c r="S184" s="7">
        <f>(O88*($E88/365))+(O89*($E89/365))</f>
        <v>0</v>
      </c>
      <c r="T184" s="7">
        <f>(P88*($E88/365))+(P89*($E89/365))</f>
        <v>0</v>
      </c>
      <c r="U184" s="7">
        <f>(Q88*($E88/365))+(Q89*($E89/365))</f>
        <v>56.7</v>
      </c>
      <c r="W184" s="7">
        <f t="shared" si="48"/>
        <v>56.7</v>
      </c>
    </row>
    <row r="185" spans="1:23" ht="9" customHeight="1">
      <c r="A185" s="1">
        <v>1995</v>
      </c>
      <c r="B185" s="7">
        <f>(K90*($E90/365))+(K91*($E91/365))</f>
        <v>0</v>
      </c>
      <c r="C185" s="7">
        <f>(L90*($E90/365))+(L91*($E91/365))</f>
        <v>0</v>
      </c>
      <c r="D185" s="7">
        <f>(M90*($E90/365))+(M91*($E91/365))</f>
        <v>100</v>
      </c>
      <c r="E185" s="42">
        <f t="shared" si="46"/>
        <v>100</v>
      </c>
      <c r="G185" s="1">
        <v>1995</v>
      </c>
      <c r="H185" s="1002">
        <f>(O90/$R90*100*($E90/365))+(O91/$R91*100*($E91/365))</f>
        <v>0</v>
      </c>
      <c r="I185" s="1002"/>
      <c r="J185" s="1002">
        <f>(P90/$R90*100*($E90/365))+(P91/$R91*100*($E91/365))</f>
        <v>0</v>
      </c>
      <c r="K185" s="1002"/>
      <c r="L185" s="1002">
        <f>(Q90/$R90*100*($E90/365))+(Q91/$R91*100*($E91/365))</f>
        <v>100</v>
      </c>
      <c r="M185" s="1002"/>
      <c r="N185" s="959">
        <f t="shared" si="47"/>
        <v>100</v>
      </c>
      <c r="O185" s="959"/>
      <c r="R185" s="1">
        <v>1995</v>
      </c>
      <c r="S185" s="7">
        <f>(O90*($E90/365))+(O91*($E91/365))</f>
        <v>0</v>
      </c>
      <c r="T185" s="7">
        <f>(P90*($E90/365))+(P91*($E91/365))</f>
        <v>0</v>
      </c>
      <c r="U185" s="7">
        <f>(Q90*($E90/365))+(Q91*($E91/365))</f>
        <v>56.7</v>
      </c>
      <c r="W185" s="7">
        <f t="shared" si="48"/>
        <v>56.7</v>
      </c>
    </row>
    <row r="186" spans="1:23" ht="9" customHeight="1">
      <c r="A186" s="1">
        <v>1996</v>
      </c>
      <c r="B186" s="7">
        <f>(K92*($E92/366))+(K93*($E93/366))+(K94*($E94/366))</f>
        <v>0</v>
      </c>
      <c r="C186" s="7">
        <f>(L92*($E92/366))+(L93*($E93/366))+(L94*($E94/366))</f>
        <v>0</v>
      </c>
      <c r="D186" s="7">
        <f>(M92*($E92/366))+(M93*($E93/366))+(M94*($E94/366))</f>
        <v>100</v>
      </c>
      <c r="E186" s="42">
        <f t="shared" si="46"/>
        <v>100</v>
      </c>
      <c r="G186" s="1">
        <v>1996</v>
      </c>
      <c r="H186" s="1002">
        <f>(O92/$R92*100*($E92/366))+(O93/$R93*100*($E93/366))+(O94/$R94*100*($E94/366))</f>
        <v>0</v>
      </c>
      <c r="I186" s="1002"/>
      <c r="J186" s="1002">
        <f>(P92/$R92*100*($E92/366))+(P93/$R93*100*($E93/366))+(P94/$R94*100*($E94/366))</f>
        <v>0</v>
      </c>
      <c r="K186" s="1002"/>
      <c r="L186" s="1002">
        <f>(Q92/$R92*100*($E92/366))+(Q93/$R93*100*($E93/366))+(Q94/$R94*100*($E94/366))</f>
        <v>100</v>
      </c>
      <c r="M186" s="1002"/>
      <c r="N186" s="959">
        <f t="shared" si="47"/>
        <v>100</v>
      </c>
      <c r="O186" s="959"/>
      <c r="R186" s="1">
        <v>1996</v>
      </c>
      <c r="S186" s="7">
        <f>(O92*($E92/366))+(O93*($E93/366))+(O94*($E94/366))</f>
        <v>0</v>
      </c>
      <c r="T186" s="7">
        <f>(P92*($E92/366))+(P93*($E93/366))+(P94*($E94/366))</f>
        <v>0</v>
      </c>
      <c r="U186" s="7">
        <f>(Q92*($E92/366))+(Q93*($E93/366))+(Q94*($E94/366))</f>
        <v>54.228688524590169</v>
      </c>
      <c r="W186" s="7">
        <f t="shared" si="48"/>
        <v>54.228688524590169</v>
      </c>
    </row>
    <row r="187" spans="1:23" ht="9" customHeight="1">
      <c r="A187" s="1">
        <v>1997</v>
      </c>
      <c r="B187" s="7">
        <f>(K95*($E95/365))+(K96*($E96/365))</f>
        <v>0</v>
      </c>
      <c r="C187" s="7">
        <f>(L95*($E95/365))+(L96*($E96/365))</f>
        <v>0</v>
      </c>
      <c r="D187" s="7">
        <f>(M95*($E95/365))+(M96*($E96/365))</f>
        <v>100</v>
      </c>
      <c r="E187" s="42">
        <f t="shared" si="46"/>
        <v>100</v>
      </c>
      <c r="G187" s="1">
        <v>1997</v>
      </c>
      <c r="H187" s="1002">
        <f>(O95/$R95*100*($E95/365))+(O96/$R96*100*($E96/365))</f>
        <v>0</v>
      </c>
      <c r="I187" s="1002"/>
      <c r="J187" s="1002">
        <f>(P95/$R95*100*($E95/365))+(P96/$R96*100*($E96/365))</f>
        <v>0</v>
      </c>
      <c r="K187" s="1002"/>
      <c r="L187" s="1002">
        <f>(Q95/$R95*100*($E95/365))+(Q96/$R96*100*($E96/365))</f>
        <v>100</v>
      </c>
      <c r="M187" s="1002"/>
      <c r="N187" s="959">
        <f t="shared" si="47"/>
        <v>100</v>
      </c>
      <c r="O187" s="959"/>
      <c r="R187" s="1">
        <v>1997</v>
      </c>
      <c r="S187" s="7">
        <f>(O95*($E95/365))+(O96*($E96/365))</f>
        <v>0</v>
      </c>
      <c r="T187" s="7">
        <f>(P95*($E95/365))+(P96*($E96/365))</f>
        <v>0</v>
      </c>
      <c r="U187" s="7">
        <f>(Q95*($E95/365))+(Q96*($E96/365))</f>
        <v>54</v>
      </c>
      <c r="W187" s="7">
        <f t="shared" si="48"/>
        <v>54</v>
      </c>
    </row>
    <row r="188" spans="1:23" ht="9" customHeight="1">
      <c r="A188" s="1">
        <v>1998</v>
      </c>
      <c r="B188" s="7">
        <f>(K97*($E97/365))+(K98*($E98/365))</f>
        <v>0</v>
      </c>
      <c r="C188" s="7">
        <f>(L97*($E97/365))+(L98*($E98/365))</f>
        <v>0</v>
      </c>
      <c r="D188" s="7">
        <f>(M97*($E97/365))+(M98*($E98/365))</f>
        <v>100</v>
      </c>
      <c r="E188" s="42">
        <f t="shared" si="46"/>
        <v>100</v>
      </c>
      <c r="G188" s="1">
        <v>1998</v>
      </c>
      <c r="H188" s="1002">
        <f>(O97/$R97*100*($E97/365))+(O98/$R98*100*($E98/365))</f>
        <v>0</v>
      </c>
      <c r="I188" s="1002"/>
      <c r="J188" s="1002">
        <f>(P97/$R97*100*($E97/365))+(P98/$R98*100*($E98/365))</f>
        <v>0</v>
      </c>
      <c r="K188" s="1002"/>
      <c r="L188" s="1002">
        <f>(Q97/$R97*100*($E97/365))+(Q98/$R98*100*($E98/365))</f>
        <v>100</v>
      </c>
      <c r="M188" s="1002"/>
      <c r="N188" s="959">
        <f t="shared" si="47"/>
        <v>100</v>
      </c>
      <c r="O188" s="959"/>
      <c r="R188" s="1">
        <v>1998</v>
      </c>
      <c r="S188" s="7">
        <f>(O97*($E97/365))+(O98*($E98/365))</f>
        <v>0</v>
      </c>
      <c r="T188" s="7">
        <f>(P97*($E97/365))+(P98*($E98/365))</f>
        <v>0</v>
      </c>
      <c r="U188" s="7">
        <f>(Q97*($E97/365))+(Q98*($E98/365))</f>
        <v>54</v>
      </c>
      <c r="W188" s="7">
        <f t="shared" si="48"/>
        <v>54</v>
      </c>
    </row>
    <row r="189" spans="1:23" ht="9" customHeight="1">
      <c r="A189" s="1">
        <v>1999</v>
      </c>
      <c r="B189" s="7">
        <f>(K99*($E99/365))+(K100*($E100/365))</f>
        <v>0</v>
      </c>
      <c r="C189" s="7">
        <f>(L99*($E99/365))+(L100*($E100/365))</f>
        <v>0</v>
      </c>
      <c r="D189" s="7">
        <f>(M99*($E99/365))+(M100*($E100/365))</f>
        <v>100</v>
      </c>
      <c r="E189" s="42">
        <f t="shared" si="46"/>
        <v>100</v>
      </c>
      <c r="G189" s="1">
        <v>1999</v>
      </c>
      <c r="H189" s="1002">
        <f>(O99/$R99*100*($E99/365))+(O100/$R100*100*($E100/365))</f>
        <v>0</v>
      </c>
      <c r="I189" s="1002"/>
      <c r="J189" s="1002">
        <f>(P99/$R99*100*($E99/365))+(P100/$R100*100*($E100/365))</f>
        <v>0</v>
      </c>
      <c r="K189" s="1002"/>
      <c r="L189" s="1002">
        <f>(Q99/$R99*100*($E99/365))+(Q100/$R100*100*($E100/365))</f>
        <v>100</v>
      </c>
      <c r="M189" s="1002"/>
      <c r="N189" s="959">
        <f t="shared" si="47"/>
        <v>100</v>
      </c>
      <c r="O189" s="959"/>
      <c r="R189" s="1">
        <v>1999</v>
      </c>
      <c r="S189" s="7">
        <f>(O99*($E99/365))+(O100*($E100/365))</f>
        <v>0</v>
      </c>
      <c r="T189" s="7">
        <f>(P99*($E99/365))+(P100*($E100/365))</f>
        <v>0</v>
      </c>
      <c r="U189" s="7">
        <f>(Q99*($E99/365))+(Q100*($E100/365))</f>
        <v>54</v>
      </c>
      <c r="W189" s="7">
        <f t="shared" si="48"/>
        <v>54</v>
      </c>
    </row>
    <row r="190" spans="1:23" ht="9" customHeight="1">
      <c r="A190" s="1">
        <v>2000</v>
      </c>
      <c r="B190" s="7">
        <f>(K101*($E101/366))+(K102*($E102/366))</f>
        <v>0</v>
      </c>
      <c r="C190" s="7">
        <f>(L101*($E101/366))+(L102*($E102/366))</f>
        <v>0</v>
      </c>
      <c r="D190" s="7">
        <f>(M101*($E101/366))+(M102*($E102/366))</f>
        <v>100</v>
      </c>
      <c r="E190" s="42">
        <f t="shared" si="46"/>
        <v>100</v>
      </c>
      <c r="G190" s="1">
        <v>2000</v>
      </c>
      <c r="H190" s="1002">
        <f>(O101/$R101*100*($E101/366))+(O102/$R102*100*($E102/366))</f>
        <v>0</v>
      </c>
      <c r="I190" s="1002"/>
      <c r="J190" s="1002">
        <f>(P101/$R101*100*($E101/366))+(P102/$R102*100*($E102/366))</f>
        <v>0</v>
      </c>
      <c r="K190" s="1002"/>
      <c r="L190" s="1002">
        <f>(Q101/$R101*100*($E101/366))+(Q102/$R102*100*($E102/366))</f>
        <v>100</v>
      </c>
      <c r="M190" s="1002"/>
      <c r="N190" s="959">
        <f t="shared" si="47"/>
        <v>100</v>
      </c>
      <c r="O190" s="959"/>
      <c r="R190" s="1">
        <v>2000</v>
      </c>
      <c r="S190" s="7">
        <f>(O101*($E101/366))+(O102*($E102/366))</f>
        <v>0</v>
      </c>
      <c r="T190" s="7">
        <f>(P101*($E101/366))+(P102*($E102/366))</f>
        <v>0</v>
      </c>
      <c r="U190" s="7">
        <f>(Q101*($E101/366))+(Q102*($E102/366))</f>
        <v>53.108469945355196</v>
      </c>
      <c r="W190" s="7">
        <f t="shared" si="48"/>
        <v>53.108469945355196</v>
      </c>
    </row>
    <row r="191" spans="1:23" ht="9" customHeight="1">
      <c r="A191" s="1">
        <v>2001</v>
      </c>
      <c r="B191" s="7">
        <f>(K103*($E103/365))+(K104*($E104/365))</f>
        <v>0</v>
      </c>
      <c r="C191" s="7">
        <f>(L103*($E103/365))+(L104*($E104/365))</f>
        <v>0</v>
      </c>
      <c r="D191" s="7">
        <f>(M103*($E103/365))+(M104*($E104/365))</f>
        <v>100</v>
      </c>
      <c r="E191" s="42">
        <f t="shared" si="46"/>
        <v>100</v>
      </c>
      <c r="G191" s="1">
        <v>2001</v>
      </c>
      <c r="H191" s="1002">
        <f>(O103/$R103*100*($E103/365))+(O104/$R104*100*($E104/365))</f>
        <v>0</v>
      </c>
      <c r="I191" s="1002"/>
      <c r="J191" s="1002">
        <f>(P103/$R103*100*($E103/365))+(P104/$R104*100*($E104/365))</f>
        <v>0</v>
      </c>
      <c r="K191" s="1002"/>
      <c r="L191" s="1002">
        <f>(Q103/$R103*100*($E103/365))+(Q104/$R104*100*($E104/365))</f>
        <v>100</v>
      </c>
      <c r="M191" s="1002"/>
      <c r="N191" s="959">
        <f t="shared" si="47"/>
        <v>100</v>
      </c>
      <c r="O191" s="959"/>
      <c r="R191" s="1">
        <v>2001</v>
      </c>
      <c r="S191" s="7">
        <f>(O103*($E103/365))+(O104*($E104/365))</f>
        <v>0</v>
      </c>
      <c r="T191" s="7">
        <f>(P103*($E103/365))+(P104*($E104/365))</f>
        <v>0</v>
      </c>
      <c r="U191" s="7">
        <f>(Q103*($E103/365))+(Q104*($E104/365))</f>
        <v>52.7</v>
      </c>
      <c r="W191" s="7">
        <f t="shared" si="48"/>
        <v>52.7</v>
      </c>
    </row>
    <row r="192" spans="1:23" ht="9" customHeight="1">
      <c r="A192" s="1">
        <v>2002</v>
      </c>
      <c r="B192" s="7">
        <f>(K105*($E105/365))+(K106*($E106/365))</f>
        <v>0</v>
      </c>
      <c r="C192" s="7">
        <f>(L105*($E105/365))+(L106*($E106/365))</f>
        <v>0</v>
      </c>
      <c r="D192" s="7">
        <f>(M105*($E105/365))+(M106*($E106/365))</f>
        <v>100</v>
      </c>
      <c r="E192" s="42">
        <f t="shared" si="46"/>
        <v>100</v>
      </c>
      <c r="G192" s="1">
        <v>2002</v>
      </c>
      <c r="H192" s="1002">
        <f>(O105/$R105*100*($E105/365))+(O106/$R106*100*($E106/365))</f>
        <v>0</v>
      </c>
      <c r="I192" s="1002"/>
      <c r="J192" s="1002">
        <f>(P105/$R105*100*($E105/365))+(P106/$R106*100*($E106/365))</f>
        <v>0</v>
      </c>
      <c r="K192" s="1002"/>
      <c r="L192" s="1002">
        <f>(Q105/$R105*100*($E105/365))+(Q106/$R106*100*($E106/365))</f>
        <v>100</v>
      </c>
      <c r="M192" s="1002"/>
      <c r="N192" s="959">
        <f t="shared" si="47"/>
        <v>100</v>
      </c>
      <c r="O192" s="959"/>
      <c r="R192" s="1">
        <v>2002</v>
      </c>
      <c r="S192" s="7">
        <f>(O105*($E105/365))+(O106*($E106/365))</f>
        <v>0</v>
      </c>
      <c r="T192" s="7">
        <f>(P105*($E105/365))+(P106*($E106/365))</f>
        <v>0</v>
      </c>
      <c r="U192" s="7">
        <f>(Q105*($E105/365))+(Q106*($E106/365))</f>
        <v>52.7</v>
      </c>
      <c r="W192" s="7">
        <f t="shared" si="48"/>
        <v>52.7</v>
      </c>
    </row>
    <row r="193" spans="1:24" ht="9" customHeight="1">
      <c r="A193" s="1">
        <v>2003</v>
      </c>
      <c r="B193" s="7">
        <f>(K107*($E107/365))+(K108*($E108/365))</f>
        <v>0</v>
      </c>
      <c r="C193" s="7">
        <f>(L107*($E107/365))+(L108*($E108/365))</f>
        <v>0</v>
      </c>
      <c r="D193" s="7">
        <f>(M107*($E107/365))+(M108*($E108/365))</f>
        <v>100</v>
      </c>
      <c r="E193" s="42">
        <f t="shared" si="46"/>
        <v>100</v>
      </c>
      <c r="G193" s="1">
        <v>2003</v>
      </c>
      <c r="H193" s="1002">
        <f>(O107/$R107*100*($E107/365))+(O108/$R108*100*($E108/365))</f>
        <v>0</v>
      </c>
      <c r="I193" s="1002"/>
      <c r="J193" s="1002">
        <f>(P107/$R107*100*($E107/365))+(P108/$R108*100*($E108/365))</f>
        <v>0</v>
      </c>
      <c r="K193" s="1002"/>
      <c r="L193" s="1002">
        <f>(Q107/$R107*100*($E107/365))+(Q108/$R108*100*($E108/365))</f>
        <v>100</v>
      </c>
      <c r="M193" s="1002"/>
      <c r="N193" s="959">
        <f t="shared" si="47"/>
        <v>100</v>
      </c>
      <c r="O193" s="959"/>
      <c r="R193" s="1">
        <v>2003</v>
      </c>
      <c r="S193" s="7">
        <f>(O107*($E107/365))+(O108*($E108/365))</f>
        <v>0</v>
      </c>
      <c r="T193" s="7">
        <f>(P107*($E107/365))+(P108*($E108/365))</f>
        <v>0</v>
      </c>
      <c r="U193" s="7">
        <f>(Q107*($E107/365))+(Q108*($E108/365))</f>
        <v>52.7</v>
      </c>
      <c r="W193" s="7">
        <f t="shared" si="48"/>
        <v>52.7</v>
      </c>
    </row>
    <row r="194" spans="1:24" ht="9" customHeight="1">
      <c r="A194" s="1">
        <v>2004</v>
      </c>
      <c r="B194" s="7">
        <f>(K109*($E109/366))+(K110*($E110/366))</f>
        <v>77.595628415300538</v>
      </c>
      <c r="C194" s="7">
        <f>(L109*($E109/366))+(L110*($E110/366))</f>
        <v>0</v>
      </c>
      <c r="D194" s="7">
        <f>(M109*($E109/366))+(M110*($E110/366))</f>
        <v>22.404371584699454</v>
      </c>
      <c r="E194" s="42">
        <f t="shared" si="46"/>
        <v>100</v>
      </c>
      <c r="G194" s="1">
        <v>2004</v>
      </c>
      <c r="H194" s="1002">
        <f>(O109/$R109*100*($E109/366))+(O110/$R110*100*($E110/366))</f>
        <v>77.595628415300538</v>
      </c>
      <c r="I194" s="1002"/>
      <c r="J194" s="1002">
        <f>(P109/$R109*100*($E109/366))+(P110/$R110*100*($E110/366))</f>
        <v>0</v>
      </c>
      <c r="K194" s="1002"/>
      <c r="L194" s="1002">
        <f>(Q109/$R109*100*($E109/366))+(Q110/$R110*100*($E110/366))</f>
        <v>22.404371584699454</v>
      </c>
      <c r="M194" s="1002"/>
      <c r="N194" s="959">
        <f t="shared" si="47"/>
        <v>100</v>
      </c>
      <c r="O194" s="959"/>
      <c r="R194" s="1">
        <v>2004</v>
      </c>
      <c r="S194" s="7">
        <f>(O109*($E109/366))+(O110*($E110/366))</f>
        <v>42.677595628415297</v>
      </c>
      <c r="T194" s="7">
        <f>(P109*($E109/366))+(P110*($E110/366))</f>
        <v>0</v>
      </c>
      <c r="U194" s="7">
        <f>(Q109*($E109/366))+(Q110*($E110/366))</f>
        <v>11.807103825136613</v>
      </c>
      <c r="W194" s="7">
        <f t="shared" si="48"/>
        <v>54.484699453551912</v>
      </c>
    </row>
    <row r="195" spans="1:24" ht="9" customHeight="1">
      <c r="A195" s="1">
        <v>2005</v>
      </c>
      <c r="B195" s="7">
        <f>(K111*($E111/365))+(K112*($E112/365))</f>
        <v>100</v>
      </c>
      <c r="C195" s="7">
        <f>(L111*($E111/365))+(L112*($E112/365))</f>
        <v>0</v>
      </c>
      <c r="D195" s="7">
        <f>(M111*($E111/365))+(M112*($E112/365))</f>
        <v>0</v>
      </c>
      <c r="E195" s="42">
        <f t="shared" si="46"/>
        <v>100</v>
      </c>
      <c r="G195" s="1">
        <v>2005</v>
      </c>
      <c r="H195" s="1002">
        <f>(O111/$R111*100*($E111/365))+(O112/$R112*100*($E112/365))</f>
        <v>100</v>
      </c>
      <c r="I195" s="1002"/>
      <c r="J195" s="1002">
        <f>(P111/$R111*100*($E111/365))+(P112/$R112*100*($E112/365))</f>
        <v>0</v>
      </c>
      <c r="K195" s="1002"/>
      <c r="L195" s="1002">
        <f>(Q111/$R111*100*($E111/365))+(Q112/$R112*100*($E112/365))</f>
        <v>0</v>
      </c>
      <c r="M195" s="1002"/>
      <c r="N195" s="959">
        <f t="shared" si="47"/>
        <v>100</v>
      </c>
      <c r="O195" s="959"/>
      <c r="R195" s="1">
        <v>2005</v>
      </c>
      <c r="S195" s="7">
        <f>(O111*($E111/365))+(O112*($E112/365))</f>
        <v>55</v>
      </c>
      <c r="T195" s="7">
        <f>(P111*($E111/365))+(P112*($E112/365))</f>
        <v>0</v>
      </c>
      <c r="U195" s="7">
        <f>(Q111*($E111/365))+(Q112*($E112/365))</f>
        <v>0</v>
      </c>
      <c r="W195" s="7">
        <f t="shared" si="48"/>
        <v>55</v>
      </c>
    </row>
    <row r="196" spans="1:24" ht="9" customHeight="1">
      <c r="A196" s="1">
        <v>2006</v>
      </c>
      <c r="B196" s="7">
        <f>(K113*($E113/365))+(K114*($E114/365))</f>
        <v>100</v>
      </c>
      <c r="C196" s="7">
        <f>(L113*($E113/365))+(L114*($E114/365))</f>
        <v>0</v>
      </c>
      <c r="D196" s="7">
        <f>(M113*($E113/365))+(M114*($E114/365))</f>
        <v>0</v>
      </c>
      <c r="E196" s="42">
        <f t="shared" si="46"/>
        <v>100</v>
      </c>
      <c r="G196" s="1">
        <v>2006</v>
      </c>
      <c r="H196" s="1002">
        <f>(O113/$R113*100*($E113/365))+(O114/$R114*100*($E114/365))</f>
        <v>100</v>
      </c>
      <c r="I196" s="1002"/>
      <c r="J196" s="1002">
        <f>(P113/$R113*100*($E113/365))+(P114/$R114*100*($E114/365))</f>
        <v>0</v>
      </c>
      <c r="K196" s="1002"/>
      <c r="L196" s="1002">
        <f>(Q113/$R113*100*($E113/365))+(Q114/$R114*100*($E114/365))</f>
        <v>0</v>
      </c>
      <c r="M196" s="1002"/>
      <c r="N196" s="959">
        <f t="shared" si="47"/>
        <v>100</v>
      </c>
      <c r="O196" s="959"/>
      <c r="R196" s="1">
        <v>2006</v>
      </c>
      <c r="S196" s="7">
        <f>(O113*($E113/365))+(O114*($E114/365))</f>
        <v>55</v>
      </c>
      <c r="T196" s="7">
        <f>(P113*($E113/365))+(P114*($E114/365))</f>
        <v>0</v>
      </c>
      <c r="U196" s="7">
        <f>(Q113*($E113/365))+(Q114*($E114/365))</f>
        <v>0</v>
      </c>
      <c r="W196" s="7">
        <f t="shared" si="48"/>
        <v>55</v>
      </c>
    </row>
    <row r="197" spans="1:24" ht="9" customHeight="1">
      <c r="A197" s="1">
        <v>2007</v>
      </c>
      <c r="B197" s="7">
        <f>(K115*($E115/365))+(K116*($E116/365))</f>
        <v>100</v>
      </c>
      <c r="C197" s="7">
        <f>(L115*($E115/365))+(L116*($E116/365))</f>
        <v>0</v>
      </c>
      <c r="D197" s="7">
        <f>(M115*($E115/365))+(M116*($E116/365))</f>
        <v>0</v>
      </c>
      <c r="E197" s="42">
        <f t="shared" si="46"/>
        <v>100</v>
      </c>
      <c r="G197" s="1">
        <v>2007</v>
      </c>
      <c r="H197" s="1002">
        <f>(O115/$R115*100*($E115/365))+(O116/$R116*100*($E116/365))</f>
        <v>100</v>
      </c>
      <c r="I197" s="1002"/>
      <c r="J197" s="1002">
        <f>(P115/$R115*100*($E115/365))+(P116/$R116*100*($E116/365))</f>
        <v>0</v>
      </c>
      <c r="K197" s="1002"/>
      <c r="L197" s="1002">
        <f>(Q115/$R115*100*($E115/365))+(Q116/$R116*100*($E116/365))</f>
        <v>0</v>
      </c>
      <c r="M197" s="1002"/>
      <c r="N197" s="959">
        <f t="shared" si="47"/>
        <v>100</v>
      </c>
      <c r="O197" s="959"/>
      <c r="R197" s="1">
        <v>2007</v>
      </c>
      <c r="S197" s="7">
        <f>(O115*($E115/365))+(O116*($E116/365))</f>
        <v>53.91616438356165</v>
      </c>
      <c r="T197" s="7">
        <f>(P115*($E115/365))+(P116*($E116/365))</f>
        <v>0</v>
      </c>
      <c r="U197" s="7">
        <f>(Q115*($E115/365))+(Q116*($E116/365))</f>
        <v>0</v>
      </c>
      <c r="W197" s="7">
        <f t="shared" si="48"/>
        <v>53.91616438356165</v>
      </c>
    </row>
    <row r="198" spans="1:24" ht="9" customHeight="1">
      <c r="A198" s="1">
        <v>2008</v>
      </c>
      <c r="B198" s="7">
        <f>(K117*($E117/366))+(K118*($E118/366))</f>
        <v>100</v>
      </c>
      <c r="C198" s="7">
        <f>(L117*($E117/366))+(L118*($E118/366))</f>
        <v>0</v>
      </c>
      <c r="D198" s="7">
        <f>(M117*($E117/366))+(M118*($E118/366))</f>
        <v>0</v>
      </c>
      <c r="E198" s="42">
        <f t="shared" si="46"/>
        <v>100</v>
      </c>
      <c r="G198" s="1">
        <v>2008</v>
      </c>
      <c r="H198" s="1002">
        <f>(O117/$R117*100*($E117/366))+(O118/$R118*100*($E118/366))</f>
        <v>100</v>
      </c>
      <c r="I198" s="1002"/>
      <c r="J198" s="1002">
        <f>(P117/$R117*100*($E117/366))+(P118/$R118*100*($E118/366))</f>
        <v>0</v>
      </c>
      <c r="K198" s="1002"/>
      <c r="L198" s="1002">
        <f>(Q117/$R117*100*($E117/366))+(Q118/$R118*100*($E118/366))</f>
        <v>0</v>
      </c>
      <c r="M198" s="1002"/>
      <c r="N198" s="959">
        <f t="shared" si="47"/>
        <v>100</v>
      </c>
      <c r="O198" s="959"/>
      <c r="R198" s="1">
        <v>2008</v>
      </c>
      <c r="S198" s="7">
        <f>(O117*($E117/366))+(O118*($E118/366))</f>
        <v>50.7</v>
      </c>
      <c r="T198" s="7">
        <f>(P117*($E117/366))+(P118*($E118/366))</f>
        <v>0</v>
      </c>
      <c r="U198" s="7">
        <f>(Q117*($E117/366))+(Q118*($E118/366))</f>
        <v>0</v>
      </c>
      <c r="W198" s="7">
        <f t="shared" si="48"/>
        <v>50.7</v>
      </c>
    </row>
    <row r="199" spans="1:24" ht="9" customHeight="1">
      <c r="A199" s="1">
        <v>2009</v>
      </c>
      <c r="B199" s="7">
        <f>(K119*($E119/365))+(K120*($E120/365))</f>
        <v>79.726027397260268</v>
      </c>
      <c r="C199" s="7">
        <f>(L119*($E119/365))+(L120*($E120/365))</f>
        <v>0</v>
      </c>
      <c r="D199" s="7">
        <f>(M119*($E119/365))+(M120*($E120/365))</f>
        <v>20.273972602739725</v>
      </c>
      <c r="E199" s="42">
        <f t="shared" si="46"/>
        <v>100</v>
      </c>
      <c r="G199" s="1">
        <v>2009</v>
      </c>
      <c r="H199" s="1002">
        <f>(O119/$R119*100*($E119/365))+(O120/$R120*100*($E120/365))</f>
        <v>79.726027397260268</v>
      </c>
      <c r="I199" s="1002"/>
      <c r="J199" s="1002">
        <f>(P119/$R119*100*($E119/365))+(P120/$R120*100*($E120/365))</f>
        <v>0</v>
      </c>
      <c r="K199" s="1002"/>
      <c r="L199" s="1002">
        <f>(Q119/$R119*100*($E119/365))+(Q120/$R120*100*($E120/365))</f>
        <v>20.273972602739725</v>
      </c>
      <c r="M199" s="1002"/>
      <c r="N199" s="959">
        <f t="shared" si="47"/>
        <v>100</v>
      </c>
      <c r="O199" s="959"/>
      <c r="R199" s="1">
        <v>2009</v>
      </c>
      <c r="S199" s="7">
        <f>(O119*($E119/365))+(O120*($E120/365))</f>
        <v>40.42109589041096</v>
      </c>
      <c r="T199" s="7">
        <f>(P119*($E119/365))+(P120*($E120/365))</f>
        <v>0</v>
      </c>
      <c r="U199" s="7">
        <f>(Q119*($E119/365))+(Q120*($E120/365))</f>
        <v>10.806027397260273</v>
      </c>
      <c r="W199" s="7">
        <f t="shared" si="48"/>
        <v>51.227123287671233</v>
      </c>
    </row>
    <row r="200" spans="1:24" ht="9" customHeight="1">
      <c r="A200" s="1">
        <v>2010</v>
      </c>
      <c r="B200" s="7">
        <f>(K121*($E121/365))+(K122*($E122/365))</f>
        <v>0</v>
      </c>
      <c r="C200" s="7">
        <f>(L121*($E121/365))+(L122*($E122/365))</f>
        <v>0</v>
      </c>
      <c r="D200" s="7">
        <f>(M121*($E121/365))+(M122*($E122/365))</f>
        <v>100</v>
      </c>
      <c r="E200" s="42">
        <f t="shared" si="46"/>
        <v>100</v>
      </c>
      <c r="G200" s="1">
        <v>2010</v>
      </c>
      <c r="H200" s="1002">
        <f>(O121/$R121*100*($E121/365))+(O122/$R122*100*($E122/365))</f>
        <v>0</v>
      </c>
      <c r="I200" s="1002"/>
      <c r="J200" s="1002">
        <f>(P121/$R121*100*($E121/365))+(P122/$R122*100*($E122/365))</f>
        <v>0</v>
      </c>
      <c r="K200" s="1002"/>
      <c r="L200" s="1002">
        <f>(Q121/$R121*100*($E121/365))+(Q122/$R122*100*($E122/365))</f>
        <v>100</v>
      </c>
      <c r="M200" s="1002"/>
      <c r="N200" s="959">
        <f t="shared" si="47"/>
        <v>100</v>
      </c>
      <c r="O200" s="959"/>
      <c r="R200" s="1">
        <v>2010</v>
      </c>
      <c r="S200" s="7">
        <f>(O121*($E121/365))+(O122*($E122/365))</f>
        <v>0</v>
      </c>
      <c r="T200" s="7">
        <f>(P121*($E121/365))+(P122*($E122/365))</f>
        <v>0</v>
      </c>
      <c r="U200" s="7">
        <f>(Q121*($E121/365))+(Q122*($E122/365))</f>
        <v>53.3</v>
      </c>
      <c r="W200" s="7">
        <f t="shared" si="48"/>
        <v>53.3</v>
      </c>
    </row>
    <row r="201" spans="1:24" ht="9" customHeight="1">
      <c r="A201" s="1">
        <v>2011</v>
      </c>
      <c r="B201" s="7">
        <f>(K123*($E123/365))+(K124*($E124/365))</f>
        <v>2.1004566210045659</v>
      </c>
      <c r="C201" s="7">
        <f>(L123*($E123/365))+(L124*($E124/365))</f>
        <v>0</v>
      </c>
      <c r="D201" s="7">
        <f>(M123*($E123/365))+(M124*($E124/365))</f>
        <v>95.799086757990864</v>
      </c>
      <c r="E201" s="42">
        <f t="shared" si="46"/>
        <v>97.899543378995432</v>
      </c>
      <c r="G201" s="1">
        <v>2011</v>
      </c>
      <c r="H201" s="1002">
        <f>(O123/$R123*100*($E123/365))+(O124/$R124*100*($E124/365))</f>
        <v>5.0211818547264926</v>
      </c>
      <c r="I201" s="1002"/>
      <c r="J201" s="1002">
        <f>(P123/$R123*100*($E123/365))+(P124/$R124*100*($E124/365))</f>
        <v>0</v>
      </c>
      <c r="K201" s="1002"/>
      <c r="L201" s="1002">
        <f>(Q123/$R123*100*($E123/365))+(Q124/$R124*100*($E124/365))</f>
        <v>94.978818145273507</v>
      </c>
      <c r="M201" s="1002"/>
      <c r="N201" s="959">
        <f t="shared" si="47"/>
        <v>100</v>
      </c>
      <c r="O201" s="959"/>
      <c r="R201" s="1">
        <v>2011</v>
      </c>
      <c r="S201" s="7">
        <f>(O123*($E123/365))+(O124*($E124/365))</f>
        <v>4.4487671232876709</v>
      </c>
      <c r="T201" s="7">
        <f>(P123*($E123/365))+(P124*($E124/365))</f>
        <v>0</v>
      </c>
      <c r="U201" s="7">
        <f>(Q123*($E123/365))+(Q124*($E124/365))</f>
        <v>53.3</v>
      </c>
      <c r="W201" s="7">
        <f t="shared" si="48"/>
        <v>57.748767123287671</v>
      </c>
    </row>
    <row r="202" spans="1:24" ht="9" customHeight="1">
      <c r="A202" s="1">
        <v>2012</v>
      </c>
      <c r="B202" s="7">
        <f>(K125*($E125/366))+(K126*($E126/366))+(K127*($E127/366))</f>
        <v>44.474802671523982</v>
      </c>
      <c r="C202" s="7">
        <f>(L125*($E125/366))+(L126*($E126/366))+(L127*($E127/366))</f>
        <v>0</v>
      </c>
      <c r="D202" s="7">
        <f>(M125*($E125/366))+(M126*($E126/366))+(M127*($E127/366))</f>
        <v>39.496053430479662</v>
      </c>
      <c r="E202" s="42">
        <f t="shared" si="46"/>
        <v>83.970856102003637</v>
      </c>
      <c r="G202" s="15">
        <v>2012</v>
      </c>
      <c r="H202" s="1023">
        <f>(O125/$R125*100*($E125/366))+(O127/$R127*100*($E127/366))</f>
        <v>53.435773794702193</v>
      </c>
      <c r="I202" s="1023"/>
      <c r="J202" s="1023">
        <f>(P125/$R125*100*($E125/366))+(P127/$R127*100*($E127/366))</f>
        <v>0</v>
      </c>
      <c r="K202" s="1023"/>
      <c r="L202" s="1023">
        <f>(Q125/$R125*100*($E125/366))+(Q127/$R127*100*($E127/366))</f>
        <v>36.728160631527317</v>
      </c>
      <c r="M202" s="1023"/>
      <c r="N202" s="1024">
        <f t="shared" si="47"/>
        <v>90.163934426229503</v>
      </c>
      <c r="O202" s="1024"/>
      <c r="R202" s="1">
        <v>2012</v>
      </c>
      <c r="S202" s="7">
        <f>(O125*($E125/366))+(O126*($E126/366))+(O127*($E127/366))</f>
        <v>35.909289617486337</v>
      </c>
      <c r="T202" s="7">
        <f>(P125*($E125/366))+(P126*($E126/366))+(P127*($E127/366))</f>
        <v>0</v>
      </c>
      <c r="U202" s="7">
        <f>(Q125*($E125/366))+(Q126*($E126/366))+(Q127*($E127/366))</f>
        <v>28.28633879781421</v>
      </c>
      <c r="W202" s="7">
        <f t="shared" si="48"/>
        <v>64.195628415300547</v>
      </c>
    </row>
    <row r="203" spans="1:24">
      <c r="A203" s="1">
        <v>2013</v>
      </c>
      <c r="B203" s="7">
        <f>(K128*($E128/365))+(K129*($E129/365))</f>
        <v>76.270928462709264</v>
      </c>
      <c r="C203" s="7">
        <f>(L128*($E128/365))+(L129*($E129/365))</f>
        <v>0</v>
      </c>
      <c r="D203" s="7">
        <f>(M128*($E128/365))+(M129*($E129/365))</f>
        <v>23.729071537290714</v>
      </c>
      <c r="E203" s="298">
        <f t="shared" si="46"/>
        <v>99.999999999999972</v>
      </c>
      <c r="G203" s="1">
        <v>2013</v>
      </c>
      <c r="H203" s="1023">
        <f>(O128/$R128*100*($E128/365))+(O129/$R129*100*($E129/365))</f>
        <v>77.811770168945202</v>
      </c>
      <c r="I203" s="1023"/>
      <c r="J203" s="1023">
        <f>(P128/$R128*100*($E128/365))+(P129/$R129*100*($E129/365))</f>
        <v>0</v>
      </c>
      <c r="K203" s="1023"/>
      <c r="L203" s="1023">
        <f>(Q128/$R128*100*($E128/365))+(Q129/$R129*100*($E129/365))</f>
        <v>22.188229831054777</v>
      </c>
      <c r="M203" s="1023"/>
      <c r="N203" s="1024">
        <f>SUM(H203:M203)</f>
        <v>99.999999999999972</v>
      </c>
      <c r="O203" s="1024"/>
      <c r="R203" s="1">
        <v>2013</v>
      </c>
      <c r="S203" s="7">
        <f>(O128*($E128/365))+(O129*($E129/365))</f>
        <v>42.479452054794521</v>
      </c>
      <c r="T203" s="7">
        <f>(P128*($E128/365))+(P129*($E129/365))</f>
        <v>0</v>
      </c>
      <c r="U203" s="7">
        <f>(Q128*($E128/365))+(Q129*($E129/365))</f>
        <v>12.356164383561644</v>
      </c>
      <c r="W203" s="7">
        <f t="shared" si="48"/>
        <v>54.835616438356169</v>
      </c>
      <c r="X203" s="7"/>
    </row>
    <row r="204" spans="1:24">
      <c r="A204" s="1">
        <v>2014</v>
      </c>
      <c r="B204" s="7">
        <f>(K130*($E130/365))+(K131*($E131/365))</f>
        <v>80</v>
      </c>
      <c r="C204" s="7">
        <f>(L130*($E130/365))+(L131*($E131/365))</f>
        <v>0</v>
      </c>
      <c r="D204" s="7">
        <f>(M130*($E130/365))+(M131*($E131/365))</f>
        <v>20</v>
      </c>
      <c r="E204" s="533">
        <f>SUM(B204:D204)</f>
        <v>100</v>
      </c>
      <c r="G204" s="1">
        <v>2014</v>
      </c>
      <c r="H204" s="1023">
        <f>(O130/$R130*100*($E130/365))+(O131/$R131*100*($E131/365))</f>
        <v>82.35294117647058</v>
      </c>
      <c r="I204" s="1023"/>
      <c r="J204" s="1023">
        <f>(P130/$R130*100*($E130/365))+(P131/$R131*100*($E131/365))</f>
        <v>0</v>
      </c>
      <c r="K204" s="1023"/>
      <c r="L204" s="1023">
        <f>(Q130/$R130*100*($E130/365))+(Q131/$R131*100*($E131/365))</f>
        <v>17.647058823529413</v>
      </c>
      <c r="M204" s="1023"/>
      <c r="N204" s="1024">
        <f>SUM(H204:M204)</f>
        <v>100</v>
      </c>
      <c r="O204" s="1024"/>
      <c r="R204" s="1">
        <v>2014</v>
      </c>
      <c r="S204" s="7">
        <f>(O130*($E130/365))+(O131*($E131/365))</f>
        <v>42</v>
      </c>
      <c r="T204" s="7">
        <f>(P130*($E130/365))+(P131*($E131/365))</f>
        <v>0</v>
      </c>
      <c r="U204" s="7">
        <f>(Q130*($E130/365))+(Q131*($E131/365))</f>
        <v>9</v>
      </c>
      <c r="W204" s="7">
        <f>SUM(S204:U204)</f>
        <v>51</v>
      </c>
      <c r="X204" s="7"/>
    </row>
    <row r="205" spans="1:24" s="728" customFormat="1">
      <c r="A205" s="728">
        <v>2015</v>
      </c>
      <c r="B205" s="724">
        <f>(K132*($E132/365))+(K133*($E133/365))+(K134*($E134/365))+(K135*($E135/365))</f>
        <v>10.91019786910198</v>
      </c>
      <c r="C205" s="724">
        <f>(L132*($E132/365))+(L133*($E133/365))+(L134*($E134/365))+(L135*($E135/365))</f>
        <v>0</v>
      </c>
      <c r="D205" s="724">
        <f>(M132*($E132/365))+(M133*($E133/365))+(M134*($E134/365))+(M135*($E135/365))</f>
        <v>67.196347031963469</v>
      </c>
      <c r="E205" s="717">
        <f>SUM(B205:D205)</f>
        <v>78.106544901065448</v>
      </c>
      <c r="G205" s="728">
        <v>2015</v>
      </c>
      <c r="H205" s="1023">
        <f>(O132/$R132*100*($E132/365))+(O133/$R133*100*($E133/365))+(O135/$R135*100*($E135/365))</f>
        <v>12.06145886905964</v>
      </c>
      <c r="I205" s="1023"/>
      <c r="J205" s="1023">
        <f>(P132/$R132*100*($E132/365))+(P133/$R133*100*($E133/365))+(P135/$R135*100*($E135/365))</f>
        <v>0</v>
      </c>
      <c r="K205" s="1023"/>
      <c r="L205" s="1023">
        <f>(Q132/$R132*100*($E132/365))+(Q133/$R133*100*($E133/365))+(Q135/$R135*100*($E135/365))</f>
        <v>80.815253459707492</v>
      </c>
      <c r="M205" s="1023"/>
      <c r="N205" s="1024">
        <f>SUM(H205:M205)</f>
        <v>92.876712328767127</v>
      </c>
      <c r="O205" s="1024"/>
      <c r="R205" s="728">
        <v>2015</v>
      </c>
      <c r="S205" s="724">
        <f>(O132*($E132/365))+(O133*($E133/365))+(O135*($E135/365))</f>
        <v>6.3019178082191782</v>
      </c>
      <c r="T205" s="724">
        <f>(P132*($E132/365))+(P133*($E133/365))+(P135*($E135/365))</f>
        <v>0</v>
      </c>
      <c r="U205" s="724">
        <f>(Q132*($E132/365))+(Q133*($E133/365))+(Q135*($E135/365))</f>
        <v>42.988493150684931</v>
      </c>
      <c r="W205" s="724">
        <f>SUM(S205:U205)</f>
        <v>49.290410958904111</v>
      </c>
      <c r="X205" s="724"/>
    </row>
    <row r="206" spans="1:24" s="810" customFormat="1">
      <c r="A206" s="810">
        <v>2016</v>
      </c>
      <c r="B206" s="808">
        <f>(K136*($E136/366))+(K137*($E137/366))</f>
        <v>6.0531664950766872</v>
      </c>
      <c r="C206" s="808">
        <f>(L136*($E136/366))+(L137*($E137/366))</f>
        <v>0</v>
      </c>
      <c r="D206" s="808">
        <f>(M136*($E136/366))+(M137*($E137/366))</f>
        <v>82.529500277183814</v>
      </c>
      <c r="E206" s="801">
        <f>SUM(B206:D206)</f>
        <v>88.582666772260495</v>
      </c>
      <c r="G206" s="810">
        <v>2016</v>
      </c>
      <c r="H206" s="1023">
        <f>(O136/$R136*100*($E136/366))+(O137/$R137*100*($E137/366))</f>
        <v>6.395348837209303</v>
      </c>
      <c r="I206" s="1023"/>
      <c r="J206" s="1023">
        <f>(P136/$R136*100*($E136/366))+(P137/$R137*100*($E137/366))</f>
        <v>0</v>
      </c>
      <c r="K206" s="1023"/>
      <c r="L206" s="1023">
        <f>(Q136/$R136*100*($E136/366))+(Q137/$R137*100*($E137/366))</f>
        <v>93.604651162790717</v>
      </c>
      <c r="M206" s="1023"/>
      <c r="N206" s="1024">
        <f>SUM(H206:M206)</f>
        <v>100.00000000000001</v>
      </c>
      <c r="O206" s="1024"/>
      <c r="R206" s="810">
        <v>2016</v>
      </c>
      <c r="S206" s="808">
        <f>(O136*($E136/366))+(O137*($E137/366))</f>
        <v>3.3000000000000003</v>
      </c>
      <c r="T206" s="808">
        <f>(P136*($E136/366))+(P137*($E137/366))</f>
        <v>0</v>
      </c>
      <c r="U206" s="808">
        <f>(Q136*($E136/366))+(Q137*($E137/366))</f>
        <v>48.3</v>
      </c>
      <c r="W206" s="808">
        <f>SUM(S206:U206)</f>
        <v>51.599999999999994</v>
      </c>
      <c r="X206" s="808"/>
    </row>
    <row r="207" spans="1:24">
      <c r="A207" s="920">
        <v>2017</v>
      </c>
      <c r="B207" s="917">
        <f>(K138*($E138/365))+(K139*($E139/365))</f>
        <v>8.695652173913043</v>
      </c>
      <c r="C207" s="917">
        <f t="shared" ref="C207:D207" si="49">(L138*($E138/365))+(L139*($E139/365))</f>
        <v>0</v>
      </c>
      <c r="D207" s="917">
        <f t="shared" si="49"/>
        <v>78.260869565217391</v>
      </c>
      <c r="E207" s="914">
        <f>SUM(B207:D207)</f>
        <v>86.956521739130437</v>
      </c>
      <c r="F207" s="920"/>
      <c r="G207" s="920">
        <v>2017</v>
      </c>
      <c r="H207" s="1023">
        <f>(O138/$R138*100*($E138/365))+(O139/$R139*100*($E139/365))</f>
        <v>6.395348837209303</v>
      </c>
      <c r="I207" s="1023"/>
      <c r="J207" s="1023">
        <f>(P138/$R138*100*($E138/365))+(P139/$R139*100*($E139/365))</f>
        <v>0</v>
      </c>
      <c r="K207" s="1023"/>
      <c r="L207" s="1023">
        <f>(Q138/$R138*100*($E138/365))+(Q139/$R139*100*($E139/365))</f>
        <v>93.604651162790702</v>
      </c>
      <c r="M207" s="1023"/>
      <c r="N207" s="1024">
        <f>SUM(H207:M207)</f>
        <v>100</v>
      </c>
      <c r="O207" s="1024"/>
      <c r="P207" s="920"/>
      <c r="Q207" s="920"/>
      <c r="R207" s="920">
        <v>2017</v>
      </c>
      <c r="S207" s="917">
        <f>(O138*($E138/365))+(O139*($E139/365))</f>
        <v>3.3</v>
      </c>
      <c r="T207" s="917">
        <f>(P138*($E138/365))+(P139*($E139/365))</f>
        <v>0</v>
      </c>
      <c r="U207" s="917">
        <f>(Q138*($E138/365))+(Q139*($E139/365))</f>
        <v>48.3</v>
      </c>
      <c r="V207" s="920"/>
      <c r="W207" s="917">
        <f>SUM(S207:U207)</f>
        <v>51.599999999999994</v>
      </c>
    </row>
    <row r="208" spans="1:24">
      <c r="A208" s="939">
        <v>2018</v>
      </c>
      <c r="B208" s="935">
        <f>(K140*($E140/365))+(K141*($E141/365))</f>
        <v>8.5705777248362125</v>
      </c>
      <c r="C208" s="935">
        <f>(L140*($E140/365))+(L141*($E141/365))</f>
        <v>0</v>
      </c>
      <c r="D208" s="935">
        <f>(M140*($E140/365))+(M141*($E141/365))</f>
        <v>82.888624181060152</v>
      </c>
      <c r="E208" s="926">
        <f t="shared" ref="E208" si="50">SUM(B208:D208)</f>
        <v>91.459201905896364</v>
      </c>
      <c r="F208" s="939"/>
      <c r="G208" s="939">
        <v>2018</v>
      </c>
      <c r="H208" s="1023">
        <f>(O140/$R140*100*($E140/365))+(O141/$R141*100*($E141/365))</f>
        <v>6.395348837209303</v>
      </c>
      <c r="I208" s="1023"/>
      <c r="J208" s="1023">
        <f>(P140/$R140*100*($E140/365))+(P141/$R141*100*($E141/365))</f>
        <v>0</v>
      </c>
      <c r="K208" s="1023"/>
      <c r="L208" s="1023">
        <f>(Q140/$R140*100*($E140/365))+(Q141/$R141*100*($E141/365))</f>
        <v>93.604651162790702</v>
      </c>
      <c r="M208" s="1023"/>
      <c r="N208" s="1024">
        <f t="shared" ref="N208" si="51">SUM(H208:M208)</f>
        <v>100</v>
      </c>
      <c r="O208" s="1024"/>
      <c r="P208" s="939"/>
      <c r="Q208" s="939"/>
      <c r="R208" s="939">
        <v>2018</v>
      </c>
      <c r="S208" s="935">
        <f>(O140*($E140/365))+(O141*($E141/365))</f>
        <v>3.3</v>
      </c>
      <c r="T208" s="935">
        <f>(P140*($E140/365))+(P141*($E141/365))</f>
        <v>0</v>
      </c>
      <c r="U208" s="935">
        <f>(Q140*($E140/365))+(Q141*($E141/365))</f>
        <v>48.3</v>
      </c>
      <c r="V208" s="939"/>
      <c r="W208" s="935">
        <f t="shared" ref="W208" si="52">SUM(S208:U208)</f>
        <v>51.599999999999994</v>
      </c>
    </row>
  </sheetData>
  <mergeCells count="402">
    <mergeCell ref="H205:I205"/>
    <mergeCell ref="J205:K205"/>
    <mergeCell ref="L205:M205"/>
    <mergeCell ref="N205:O205"/>
    <mergeCell ref="H204:I204"/>
    <mergeCell ref="J204:K204"/>
    <mergeCell ref="L204:M204"/>
    <mergeCell ref="N204:O204"/>
    <mergeCell ref="AT4:AW4"/>
    <mergeCell ref="L151:M151"/>
    <mergeCell ref="L152:M152"/>
    <mergeCell ref="L153:M153"/>
    <mergeCell ref="L154:M154"/>
    <mergeCell ref="N203:O203"/>
    <mergeCell ref="H203:I203"/>
    <mergeCell ref="J203:K203"/>
    <mergeCell ref="L203:M203"/>
    <mergeCell ref="L161:M161"/>
    <mergeCell ref="N163:O163"/>
    <mergeCell ref="L162:M162"/>
    <mergeCell ref="L163:M163"/>
    <mergeCell ref="J161:K161"/>
    <mergeCell ref="H161:I161"/>
    <mergeCell ref="N161:O161"/>
    <mergeCell ref="N162:O162"/>
    <mergeCell ref="N159:O159"/>
    <mergeCell ref="L159:M159"/>
    <mergeCell ref="L160:M160"/>
    <mergeCell ref="AX4:BA4"/>
    <mergeCell ref="C7:D7"/>
    <mergeCell ref="C6:D6"/>
    <mergeCell ref="C29:D29"/>
    <mergeCell ref="N158:O158"/>
    <mergeCell ref="J158:K158"/>
    <mergeCell ref="J150:K150"/>
    <mergeCell ref="J151:K151"/>
    <mergeCell ref="J152:K152"/>
    <mergeCell ref="L150:M150"/>
    <mergeCell ref="L155:M155"/>
    <mergeCell ref="N150:O150"/>
    <mergeCell ref="N151:O151"/>
    <mergeCell ref="N152:O152"/>
    <mergeCell ref="N153:O153"/>
    <mergeCell ref="N154:O154"/>
    <mergeCell ref="N155:O155"/>
    <mergeCell ref="N156:O156"/>
    <mergeCell ref="J153:K153"/>
    <mergeCell ref="J154:K154"/>
    <mergeCell ref="H150:I150"/>
    <mergeCell ref="H151:I151"/>
    <mergeCell ref="H152:I152"/>
    <mergeCell ref="N157:O157"/>
    <mergeCell ref="L156:M156"/>
    <mergeCell ref="J156:K156"/>
    <mergeCell ref="J157:K157"/>
    <mergeCell ref="N160:O160"/>
    <mergeCell ref="L157:M157"/>
    <mergeCell ref="L158:M158"/>
    <mergeCell ref="H153:I153"/>
    <mergeCell ref="H154:I154"/>
    <mergeCell ref="H155:I155"/>
    <mergeCell ref="N202:O202"/>
    <mergeCell ref="N193:O193"/>
    <mergeCell ref="N194:O194"/>
    <mergeCell ref="N195:O195"/>
    <mergeCell ref="N196:O196"/>
    <mergeCell ref="N197:O197"/>
    <mergeCell ref="N198:O198"/>
    <mergeCell ref="N190:O190"/>
    <mergeCell ref="N191:O191"/>
    <mergeCell ref="N192:O192"/>
    <mergeCell ref="N199:O199"/>
    <mergeCell ref="N200:O200"/>
    <mergeCell ref="N201:O201"/>
    <mergeCell ref="H168:I168"/>
    <mergeCell ref="H169:I169"/>
    <mergeCell ref="H170:I170"/>
    <mergeCell ref="N187:O187"/>
    <mergeCell ref="N188:O188"/>
    <mergeCell ref="N189:O189"/>
    <mergeCell ref="H171:I171"/>
    <mergeCell ref="H172:I172"/>
    <mergeCell ref="H173:I173"/>
    <mergeCell ref="H174:I174"/>
    <mergeCell ref="H175:I175"/>
    <mergeCell ref="H176:I176"/>
    <mergeCell ref="H177:I177"/>
    <mergeCell ref="H178:I178"/>
    <mergeCell ref="H179:I179"/>
    <mergeCell ref="H180:I180"/>
    <mergeCell ref="H181:I181"/>
    <mergeCell ref="H183:I183"/>
    <mergeCell ref="H184:I184"/>
    <mergeCell ref="H185:I185"/>
    <mergeCell ref="H186:I186"/>
    <mergeCell ref="J183:K183"/>
    <mergeCell ref="J184:K184"/>
    <mergeCell ref="H182:I182"/>
    <mergeCell ref="N178:O178"/>
    <mergeCell ref="N179:O179"/>
    <mergeCell ref="N180:O180"/>
    <mergeCell ref="N181:O181"/>
    <mergeCell ref="N182:O182"/>
    <mergeCell ref="L182:M182"/>
    <mergeCell ref="J179:K179"/>
    <mergeCell ref="J180:K180"/>
    <mergeCell ref="H202:I202"/>
    <mergeCell ref="H198:I198"/>
    <mergeCell ref="H199:I199"/>
    <mergeCell ref="H200:I200"/>
    <mergeCell ref="H201:I201"/>
    <mergeCell ref="H196:I196"/>
    <mergeCell ref="H197:I197"/>
    <mergeCell ref="J201:K201"/>
    <mergeCell ref="J202:K202"/>
    <mergeCell ref="J198:K198"/>
    <mergeCell ref="J199:K199"/>
    <mergeCell ref="J200:K200"/>
    <mergeCell ref="J196:K196"/>
    <mergeCell ref="J197:K197"/>
    <mergeCell ref="H192:I192"/>
    <mergeCell ref="H193:I193"/>
    <mergeCell ref="J171:K171"/>
    <mergeCell ref="J172:K172"/>
    <mergeCell ref="J173:K173"/>
    <mergeCell ref="J174:K174"/>
    <mergeCell ref="J175:K175"/>
    <mergeCell ref="J176:K176"/>
    <mergeCell ref="J195:K195"/>
    <mergeCell ref="J193:K193"/>
    <mergeCell ref="J194:K194"/>
    <mergeCell ref="J187:K187"/>
    <mergeCell ref="J188:K188"/>
    <mergeCell ref="J189:K189"/>
    <mergeCell ref="J190:K190"/>
    <mergeCell ref="J192:K192"/>
    <mergeCell ref="J185:K185"/>
    <mergeCell ref="J182:K182"/>
    <mergeCell ref="L190:M190"/>
    <mergeCell ref="L191:M191"/>
    <mergeCell ref="L192:M192"/>
    <mergeCell ref="H195:I195"/>
    <mergeCell ref="J177:K177"/>
    <mergeCell ref="J178:K178"/>
    <mergeCell ref="H187:I187"/>
    <mergeCell ref="H188:I188"/>
    <mergeCell ref="H189:I189"/>
    <mergeCell ref="H190:I190"/>
    <mergeCell ref="H191:I191"/>
    <mergeCell ref="J191:K191"/>
    <mergeCell ref="L187:M187"/>
    <mergeCell ref="L188:M188"/>
    <mergeCell ref="L189:M189"/>
    <mergeCell ref="C44:D44"/>
    <mergeCell ref="N177:O177"/>
    <mergeCell ref="N175:O175"/>
    <mergeCell ref="N176:O176"/>
    <mergeCell ref="N173:O173"/>
    <mergeCell ref="N174:O174"/>
    <mergeCell ref="C45:D45"/>
    <mergeCell ref="C46:D46"/>
    <mergeCell ref="C47:D47"/>
    <mergeCell ref="C48:D48"/>
    <mergeCell ref="C49:D49"/>
    <mergeCell ref="C50:D50"/>
    <mergeCell ref="C51:D51"/>
    <mergeCell ref="C52:D52"/>
    <mergeCell ref="C53:D53"/>
    <mergeCell ref="C54:D54"/>
    <mergeCell ref="C55:D55"/>
    <mergeCell ref="C56:D56"/>
    <mergeCell ref="C57:D57"/>
    <mergeCell ref="N169:O169"/>
    <mergeCell ref="N170:O170"/>
    <mergeCell ref="L164:M164"/>
    <mergeCell ref="J164:K164"/>
    <mergeCell ref="L170:M170"/>
    <mergeCell ref="R146:W146"/>
    <mergeCell ref="H148:I148"/>
    <mergeCell ref="J148:K148"/>
    <mergeCell ref="L148:M148"/>
    <mergeCell ref="N148:O148"/>
    <mergeCell ref="N167:O167"/>
    <mergeCell ref="H164:I164"/>
    <mergeCell ref="H165:I165"/>
    <mergeCell ref="H166:I166"/>
    <mergeCell ref="H167:I167"/>
    <mergeCell ref="L149:M149"/>
    <mergeCell ref="N149:O149"/>
    <mergeCell ref="J162:K162"/>
    <mergeCell ref="J163:K163"/>
    <mergeCell ref="H162:I162"/>
    <mergeCell ref="H163:I163"/>
    <mergeCell ref="H156:I156"/>
    <mergeCell ref="H157:I157"/>
    <mergeCell ref="H159:I159"/>
    <mergeCell ref="H160:I160"/>
    <mergeCell ref="J159:K159"/>
    <mergeCell ref="J160:K160"/>
    <mergeCell ref="H158:I158"/>
    <mergeCell ref="J155:K155"/>
    <mergeCell ref="G3:M3"/>
    <mergeCell ref="O3:Q3"/>
    <mergeCell ref="A4:A5"/>
    <mergeCell ref="B4:B5"/>
    <mergeCell ref="C4:D5"/>
    <mergeCell ref="E4:E5"/>
    <mergeCell ref="F4:F5"/>
    <mergeCell ref="G4:J4"/>
    <mergeCell ref="Z4:AC4"/>
    <mergeCell ref="AD4:AG4"/>
    <mergeCell ref="AH4:AK4"/>
    <mergeCell ref="AL4:AO4"/>
    <mergeCell ref="U4:U5"/>
    <mergeCell ref="V4:Y4"/>
    <mergeCell ref="AP4:AS4"/>
    <mergeCell ref="K4:N4"/>
    <mergeCell ref="O4:R4"/>
    <mergeCell ref="S4:S5"/>
    <mergeCell ref="T4:T5"/>
    <mergeCell ref="C33:D33"/>
    <mergeCell ref="C34:D34"/>
    <mergeCell ref="C35:D35"/>
    <mergeCell ref="C21:D21"/>
    <mergeCell ref="C24:D24"/>
    <mergeCell ref="C25:D25"/>
    <mergeCell ref="C26:D26"/>
    <mergeCell ref="C27:D27"/>
    <mergeCell ref="C28:D28"/>
    <mergeCell ref="C22:D22"/>
    <mergeCell ref="C23:D23"/>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58:D58"/>
    <mergeCell ref="C59:D59"/>
    <mergeCell ref="C60:D60"/>
    <mergeCell ref="C61:D61"/>
    <mergeCell ref="C62:D62"/>
    <mergeCell ref="C63:D63"/>
    <mergeCell ref="C64:D64"/>
    <mergeCell ref="C65:D65"/>
    <mergeCell ref="C66:D66"/>
    <mergeCell ref="C68:D68"/>
    <mergeCell ref="C69:D69"/>
    <mergeCell ref="C67:D67"/>
    <mergeCell ref="C70:D70"/>
    <mergeCell ref="C71:D71"/>
    <mergeCell ref="C72:D72"/>
    <mergeCell ref="C73:D73"/>
    <mergeCell ref="C74:D74"/>
    <mergeCell ref="C77:D77"/>
    <mergeCell ref="C76:D76"/>
    <mergeCell ref="C75:D75"/>
    <mergeCell ref="C78:D78"/>
    <mergeCell ref="C79:D79"/>
    <mergeCell ref="C81:D81"/>
    <mergeCell ref="C82:D82"/>
    <mergeCell ref="C83:D83"/>
    <mergeCell ref="C84:D84"/>
    <mergeCell ref="C80:D80"/>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105:D105"/>
    <mergeCell ref="C106:D106"/>
    <mergeCell ref="C107:D107"/>
    <mergeCell ref="C108:D108"/>
    <mergeCell ref="C114:D114"/>
    <mergeCell ref="C115:D115"/>
    <mergeCell ref="C116:D116"/>
    <mergeCell ref="C117:D117"/>
    <mergeCell ref="C118:D118"/>
    <mergeCell ref="C109:D109"/>
    <mergeCell ref="C110:D110"/>
    <mergeCell ref="C137:D137"/>
    <mergeCell ref="L202:M202"/>
    <mergeCell ref="L194:M194"/>
    <mergeCell ref="L195:M195"/>
    <mergeCell ref="L196:M196"/>
    <mergeCell ref="L197:M197"/>
    <mergeCell ref="L198:M198"/>
    <mergeCell ref="L199:M199"/>
    <mergeCell ref="L200:M200"/>
    <mergeCell ref="L201:M201"/>
    <mergeCell ref="L173:M173"/>
    <mergeCell ref="L174:M174"/>
    <mergeCell ref="L175:M175"/>
    <mergeCell ref="L176:M176"/>
    <mergeCell ref="L177:M177"/>
    <mergeCell ref="L178:M178"/>
    <mergeCell ref="L165:M165"/>
    <mergeCell ref="L166:M166"/>
    <mergeCell ref="L167:M167"/>
    <mergeCell ref="L168:M168"/>
    <mergeCell ref="L169:M169"/>
    <mergeCell ref="J165:K165"/>
    <mergeCell ref="J166:K166"/>
    <mergeCell ref="J167:K167"/>
    <mergeCell ref="N164:O164"/>
    <mergeCell ref="L179:M179"/>
    <mergeCell ref="J181:K181"/>
    <mergeCell ref="H194:I194"/>
    <mergeCell ref="J168:K168"/>
    <mergeCell ref="J169:K169"/>
    <mergeCell ref="N171:O171"/>
    <mergeCell ref="N172:O172"/>
    <mergeCell ref="J170:K170"/>
    <mergeCell ref="L193:M193"/>
    <mergeCell ref="N183:O183"/>
    <mergeCell ref="N184:O184"/>
    <mergeCell ref="N185:O185"/>
    <mergeCell ref="N186:O186"/>
    <mergeCell ref="L171:M171"/>
    <mergeCell ref="L172:M172"/>
    <mergeCell ref="N168:O168"/>
    <mergeCell ref="J186:K186"/>
    <mergeCell ref="L180:M180"/>
    <mergeCell ref="L181:M181"/>
    <mergeCell ref="L183:M183"/>
    <mergeCell ref="L184:M184"/>
    <mergeCell ref="L185:M185"/>
    <mergeCell ref="L186:M186"/>
    <mergeCell ref="H208:I208"/>
    <mergeCell ref="J208:K208"/>
    <mergeCell ref="L208:M208"/>
    <mergeCell ref="N208:O208"/>
    <mergeCell ref="N165:O165"/>
    <mergeCell ref="N166:O166"/>
    <mergeCell ref="H149:I149"/>
    <mergeCell ref="J149:K149"/>
    <mergeCell ref="C125:D125"/>
    <mergeCell ref="C126:D126"/>
    <mergeCell ref="C127:D127"/>
    <mergeCell ref="C136:D136"/>
    <mergeCell ref="H207:I207"/>
    <mergeCell ref="J207:K207"/>
    <mergeCell ref="L207:M207"/>
    <mergeCell ref="N207:O207"/>
    <mergeCell ref="C138:D138"/>
    <mergeCell ref="C139:D139"/>
    <mergeCell ref="C140:D140"/>
    <mergeCell ref="C141:D141"/>
    <mergeCell ref="N206:O206"/>
    <mergeCell ref="H206:I206"/>
    <mergeCell ref="J206:K206"/>
    <mergeCell ref="L206:M206"/>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A102"/>
  <sheetViews>
    <sheetView zoomScale="140" zoomScaleNormal="120" workbookViewId="0">
      <pane xSplit="1" ySplit="5" topLeftCell="B41" activePane="bottomRight" state="frozen"/>
      <selection pane="topRight" activeCell="B1" sqref="B1"/>
      <selection pane="bottomLeft" activeCell="A6" sqref="A6"/>
      <selection pane="bottomRight" activeCell="W102" sqref="W10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141</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537">
        <v>1990</v>
      </c>
      <c r="B6" s="534"/>
      <c r="C6" s="1005" t="s">
        <v>1277</v>
      </c>
      <c r="D6" s="1005"/>
      <c r="E6" s="537">
        <v>142</v>
      </c>
      <c r="F6" s="537"/>
      <c r="G6" s="480"/>
      <c r="H6" s="537"/>
      <c r="I6" s="537"/>
      <c r="J6" s="482"/>
      <c r="K6" s="477"/>
      <c r="L6" s="477"/>
      <c r="M6" s="477"/>
      <c r="N6" s="481"/>
      <c r="O6" s="476"/>
      <c r="P6" s="477"/>
      <c r="Q6" s="477"/>
      <c r="R6" s="478"/>
      <c r="S6" s="537"/>
      <c r="T6" s="479"/>
      <c r="U6" s="534"/>
      <c r="V6" s="82"/>
      <c r="Y6" s="83"/>
      <c r="AD6" s="82"/>
      <c r="AG6" s="83"/>
      <c r="AL6" s="82"/>
      <c r="AO6" s="83"/>
      <c r="AP6" s="82"/>
      <c r="AS6" s="83"/>
      <c r="AW6" s="83"/>
      <c r="BA6" s="84"/>
    </row>
    <row r="7" spans="1:53" s="334" customFormat="1">
      <c r="A7" s="538">
        <v>1990</v>
      </c>
      <c r="B7" s="535">
        <v>33016</v>
      </c>
      <c r="C7" s="992" t="s">
        <v>1112</v>
      </c>
      <c r="D7" s="992"/>
      <c r="E7" s="538">
        <v>212</v>
      </c>
      <c r="F7" s="538" t="s">
        <v>345</v>
      </c>
      <c r="G7" s="497">
        <v>9</v>
      </c>
      <c r="H7" s="538">
        <v>1</v>
      </c>
      <c r="I7" s="538">
        <v>4</v>
      </c>
      <c r="J7" s="499">
        <v>17</v>
      </c>
      <c r="K7" s="495">
        <f>G7/J7*100</f>
        <v>52.941176470588239</v>
      </c>
      <c r="L7" s="495">
        <f>H7/J7*100</f>
        <v>5.8823529411764701</v>
      </c>
      <c r="M7" s="495">
        <f>I7/J7*100</f>
        <v>23.52941176470588</v>
      </c>
      <c r="N7" s="498">
        <f>SUM(K7:M7)</f>
        <v>82.352941176470594</v>
      </c>
      <c r="O7" s="494">
        <v>42.5</v>
      </c>
      <c r="P7" s="495">
        <v>5.4</v>
      </c>
      <c r="Q7" s="495">
        <v>11.4</v>
      </c>
      <c r="R7" s="496">
        <f>SUM(O7:Q7)</f>
        <v>59.3</v>
      </c>
      <c r="S7" s="538">
        <v>3</v>
      </c>
      <c r="T7" s="487">
        <v>32971</v>
      </c>
      <c r="U7" s="535">
        <v>33016</v>
      </c>
      <c r="V7" s="343" t="s">
        <v>1120</v>
      </c>
      <c r="W7" s="334" t="s">
        <v>74</v>
      </c>
      <c r="X7" s="334" t="s">
        <v>11</v>
      </c>
      <c r="Y7" s="344">
        <v>42.5</v>
      </c>
      <c r="Z7" s="334" t="s">
        <v>1121</v>
      </c>
      <c r="AA7" s="334" t="s">
        <v>880</v>
      </c>
      <c r="AB7" s="334" t="s">
        <v>12</v>
      </c>
      <c r="AC7" s="334">
        <v>11.4</v>
      </c>
      <c r="AD7" s="343" t="s">
        <v>1122</v>
      </c>
      <c r="AE7" s="334" t="s">
        <v>17</v>
      </c>
      <c r="AF7" s="334" t="s">
        <v>18</v>
      </c>
      <c r="AG7" s="344">
        <v>5.4</v>
      </c>
      <c r="AL7" s="343"/>
      <c r="AO7" s="344"/>
      <c r="AP7" s="343"/>
      <c r="AS7" s="344"/>
      <c r="AW7" s="344"/>
      <c r="BA7" s="345"/>
    </row>
    <row r="8" spans="1:53" s="334" customFormat="1">
      <c r="A8" s="538">
        <v>1990</v>
      </c>
      <c r="B8" s="502">
        <v>33228</v>
      </c>
      <c r="C8" s="992" t="s">
        <v>1112</v>
      </c>
      <c r="D8" s="992"/>
      <c r="E8" s="538">
        <v>11</v>
      </c>
      <c r="F8" s="501">
        <v>0</v>
      </c>
      <c r="G8" s="497">
        <v>11</v>
      </c>
      <c r="H8" s="538">
        <v>1</v>
      </c>
      <c r="I8" s="538">
        <v>4</v>
      </c>
      <c r="J8" s="499">
        <v>19</v>
      </c>
      <c r="K8" s="495">
        <f t="shared" ref="K8:K49" si="0">G8/J8*100</f>
        <v>57.894736842105267</v>
      </c>
      <c r="L8" s="495">
        <f t="shared" ref="L8:L49" si="1">H8/J8*100</f>
        <v>5.2631578947368416</v>
      </c>
      <c r="M8" s="495">
        <f t="shared" ref="M8:M49" si="2">I8/J8*100</f>
        <v>21.052631578947366</v>
      </c>
      <c r="N8" s="498">
        <f t="shared" ref="N8:N56" si="3">SUM(K8:M8)</f>
        <v>84.21052631578948</v>
      </c>
      <c r="O8" s="494">
        <v>42.5</v>
      </c>
      <c r="P8" s="495">
        <v>5.4</v>
      </c>
      <c r="Q8" s="495">
        <v>11.4</v>
      </c>
      <c r="R8" s="496">
        <f t="shared" ref="R8:R35" si="4">SUM(O8:Q8)</f>
        <v>59.3</v>
      </c>
      <c r="S8" s="538">
        <v>3</v>
      </c>
      <c r="T8" s="487"/>
      <c r="U8" s="535"/>
      <c r="V8" s="343" t="s">
        <v>1120</v>
      </c>
      <c r="W8" s="334" t="s">
        <v>74</v>
      </c>
      <c r="X8" s="334" t="s">
        <v>11</v>
      </c>
      <c r="Y8" s="344">
        <v>42.5</v>
      </c>
      <c r="Z8" s="334" t="s">
        <v>1121</v>
      </c>
      <c r="AA8" s="334" t="s">
        <v>880</v>
      </c>
      <c r="AB8" s="334" t="s">
        <v>12</v>
      </c>
      <c r="AC8" s="334">
        <v>11.4</v>
      </c>
      <c r="AD8" s="343" t="s">
        <v>1122</v>
      </c>
      <c r="AE8" s="334" t="s">
        <v>17</v>
      </c>
      <c r="AF8" s="334" t="s">
        <v>18</v>
      </c>
      <c r="AG8" s="344">
        <v>5.4</v>
      </c>
      <c r="AL8" s="343"/>
      <c r="AO8" s="344"/>
      <c r="AP8" s="343"/>
      <c r="AS8" s="344"/>
      <c r="AW8" s="344"/>
      <c r="BA8" s="345"/>
    </row>
    <row r="9" spans="1:53" s="334" customFormat="1">
      <c r="A9" s="538">
        <v>1991</v>
      </c>
      <c r="B9" s="535"/>
      <c r="C9" s="992" t="s">
        <v>1112</v>
      </c>
      <c r="D9" s="992"/>
      <c r="E9" s="538">
        <v>0</v>
      </c>
      <c r="F9" s="538"/>
      <c r="G9" s="497">
        <v>11</v>
      </c>
      <c r="H9" s="538">
        <v>1</v>
      </c>
      <c r="I9" s="538">
        <v>4</v>
      </c>
      <c r="J9" s="499">
        <v>19</v>
      </c>
      <c r="K9" s="495">
        <f t="shared" si="0"/>
        <v>57.894736842105267</v>
      </c>
      <c r="L9" s="495">
        <f t="shared" si="1"/>
        <v>5.2631578947368416</v>
      </c>
      <c r="M9" s="495">
        <f t="shared" si="2"/>
        <v>21.052631578947366</v>
      </c>
      <c r="N9" s="498">
        <f t="shared" si="3"/>
        <v>84.21052631578948</v>
      </c>
      <c r="O9" s="494">
        <v>42.5</v>
      </c>
      <c r="P9" s="495">
        <v>5.4</v>
      </c>
      <c r="Q9" s="495">
        <v>11.4</v>
      </c>
      <c r="R9" s="496">
        <f t="shared" si="4"/>
        <v>59.3</v>
      </c>
      <c r="S9" s="538">
        <v>3</v>
      </c>
      <c r="T9" s="487"/>
      <c r="U9" s="535"/>
      <c r="V9" s="343" t="s">
        <v>1120</v>
      </c>
      <c r="W9" s="334" t="s">
        <v>74</v>
      </c>
      <c r="X9" s="334" t="s">
        <v>11</v>
      </c>
      <c r="Y9" s="344">
        <v>42.5</v>
      </c>
      <c r="Z9" s="334" t="s">
        <v>1121</v>
      </c>
      <c r="AA9" s="334" t="s">
        <v>880</v>
      </c>
      <c r="AB9" s="334" t="s">
        <v>12</v>
      </c>
      <c r="AC9" s="334">
        <v>11.4</v>
      </c>
      <c r="AD9" s="343" t="s">
        <v>1122</v>
      </c>
      <c r="AE9" s="334" t="s">
        <v>17</v>
      </c>
      <c r="AF9" s="334" t="s">
        <v>18</v>
      </c>
      <c r="AG9" s="344">
        <v>5.4</v>
      </c>
      <c r="AL9" s="343"/>
      <c r="AO9" s="344"/>
      <c r="AP9" s="343"/>
      <c r="AS9" s="344"/>
      <c r="AW9" s="344"/>
      <c r="BA9" s="345"/>
    </row>
    <row r="10" spans="1:53" s="334" customFormat="1">
      <c r="A10" s="538">
        <v>1991</v>
      </c>
      <c r="B10" s="535"/>
      <c r="C10" s="992" t="s">
        <v>1112</v>
      </c>
      <c r="D10" s="992"/>
      <c r="E10" s="538">
        <v>365</v>
      </c>
      <c r="F10" s="538"/>
      <c r="G10" s="497">
        <v>11</v>
      </c>
      <c r="H10" s="538">
        <v>1</v>
      </c>
      <c r="I10" s="538">
        <v>4</v>
      </c>
      <c r="J10" s="499">
        <v>19</v>
      </c>
      <c r="K10" s="495">
        <f t="shared" si="0"/>
        <v>57.894736842105267</v>
      </c>
      <c r="L10" s="495">
        <f t="shared" si="1"/>
        <v>5.2631578947368416</v>
      </c>
      <c r="M10" s="495">
        <f t="shared" si="2"/>
        <v>21.052631578947366</v>
      </c>
      <c r="N10" s="498">
        <f t="shared" si="3"/>
        <v>84.21052631578948</v>
      </c>
      <c r="O10" s="494">
        <v>42.5</v>
      </c>
      <c r="P10" s="495">
        <v>5.4</v>
      </c>
      <c r="Q10" s="495">
        <v>11.4</v>
      </c>
      <c r="R10" s="496">
        <f t="shared" si="4"/>
        <v>59.3</v>
      </c>
      <c r="S10" s="538">
        <v>3</v>
      </c>
      <c r="T10" s="487"/>
      <c r="U10" s="535"/>
      <c r="V10" s="343" t="s">
        <v>1120</v>
      </c>
      <c r="W10" s="334" t="s">
        <v>74</v>
      </c>
      <c r="X10" s="334" t="s">
        <v>11</v>
      </c>
      <c r="Y10" s="344">
        <v>42.5</v>
      </c>
      <c r="Z10" s="334" t="s">
        <v>1121</v>
      </c>
      <c r="AA10" s="334" t="s">
        <v>880</v>
      </c>
      <c r="AB10" s="334" t="s">
        <v>12</v>
      </c>
      <c r="AC10" s="334">
        <v>11.4</v>
      </c>
      <c r="AD10" s="343" t="s">
        <v>1122</v>
      </c>
      <c r="AE10" s="334" t="s">
        <v>17</v>
      </c>
      <c r="AF10" s="334" t="s">
        <v>18</v>
      </c>
      <c r="AG10" s="344">
        <v>5.4</v>
      </c>
      <c r="AL10" s="343"/>
      <c r="AO10" s="344"/>
      <c r="AP10" s="343"/>
      <c r="AS10" s="344"/>
      <c r="AW10" s="344"/>
      <c r="BA10" s="345"/>
    </row>
    <row r="11" spans="1:53" s="334" customFormat="1">
      <c r="A11" s="538">
        <v>1992</v>
      </c>
      <c r="B11" s="535"/>
      <c r="C11" s="992" t="s">
        <v>1112</v>
      </c>
      <c r="D11" s="992"/>
      <c r="E11" s="538">
        <v>51</v>
      </c>
      <c r="F11" s="538"/>
      <c r="G11" s="497">
        <v>11</v>
      </c>
      <c r="H11" s="538">
        <v>1</v>
      </c>
      <c r="I11" s="538">
        <v>4</v>
      </c>
      <c r="J11" s="499">
        <v>19</v>
      </c>
      <c r="K11" s="495">
        <f t="shared" si="0"/>
        <v>57.894736842105267</v>
      </c>
      <c r="L11" s="495">
        <f t="shared" si="1"/>
        <v>5.2631578947368416</v>
      </c>
      <c r="M11" s="495">
        <f t="shared" si="2"/>
        <v>21.052631578947366</v>
      </c>
      <c r="N11" s="498">
        <f t="shared" si="3"/>
        <v>84.21052631578948</v>
      </c>
      <c r="O11" s="494">
        <v>42.5</v>
      </c>
      <c r="P11" s="495">
        <v>5.4</v>
      </c>
      <c r="Q11" s="495">
        <v>11.4</v>
      </c>
      <c r="R11" s="496">
        <f t="shared" si="4"/>
        <v>59.3</v>
      </c>
      <c r="S11" s="538">
        <v>3</v>
      </c>
      <c r="T11" s="487"/>
      <c r="U11" s="535"/>
      <c r="V11" s="343" t="s">
        <v>1120</v>
      </c>
      <c r="W11" s="334" t="s">
        <v>74</v>
      </c>
      <c r="X11" s="334" t="s">
        <v>11</v>
      </c>
      <c r="Y11" s="344">
        <v>42.5</v>
      </c>
      <c r="Z11" s="334" t="s">
        <v>1121</v>
      </c>
      <c r="AA11" s="334" t="s">
        <v>880</v>
      </c>
      <c r="AB11" s="334" t="s">
        <v>12</v>
      </c>
      <c r="AC11" s="334">
        <v>11.4</v>
      </c>
      <c r="AD11" s="343" t="s">
        <v>1122</v>
      </c>
      <c r="AE11" s="334" t="s">
        <v>17</v>
      </c>
      <c r="AF11" s="334" t="s">
        <v>18</v>
      </c>
      <c r="AG11" s="344">
        <v>5.4</v>
      </c>
      <c r="AL11" s="343"/>
      <c r="AO11" s="344"/>
      <c r="AP11" s="343"/>
      <c r="AS11" s="344"/>
      <c r="AW11" s="344"/>
      <c r="BA11" s="345"/>
    </row>
    <row r="12" spans="1:53" s="334" customFormat="1">
      <c r="A12" s="538">
        <v>1992</v>
      </c>
      <c r="B12" s="502">
        <v>33655</v>
      </c>
      <c r="C12" s="992" t="s">
        <v>1112</v>
      </c>
      <c r="D12" s="992"/>
      <c r="E12" s="538">
        <v>315</v>
      </c>
      <c r="F12" s="501">
        <v>0</v>
      </c>
      <c r="G12" s="497">
        <v>11</v>
      </c>
      <c r="H12" s="538">
        <v>1</v>
      </c>
      <c r="I12" s="538">
        <v>4</v>
      </c>
      <c r="J12" s="499">
        <v>19</v>
      </c>
      <c r="K12" s="495">
        <f t="shared" si="0"/>
        <v>57.894736842105267</v>
      </c>
      <c r="L12" s="495">
        <f t="shared" si="1"/>
        <v>5.2631578947368416</v>
      </c>
      <c r="M12" s="495">
        <f t="shared" si="2"/>
        <v>21.052631578947366</v>
      </c>
      <c r="N12" s="498">
        <f t="shared" si="3"/>
        <v>84.21052631578948</v>
      </c>
      <c r="O12" s="494">
        <v>42.5</v>
      </c>
      <c r="P12" s="495">
        <v>5.4</v>
      </c>
      <c r="Q12" s="495">
        <v>11.4</v>
      </c>
      <c r="R12" s="496">
        <f t="shared" si="4"/>
        <v>59.3</v>
      </c>
      <c r="S12" s="538">
        <v>3</v>
      </c>
      <c r="T12" s="487"/>
      <c r="U12" s="535"/>
      <c r="V12" s="343" t="s">
        <v>1120</v>
      </c>
      <c r="W12" s="334" t="s">
        <v>74</v>
      </c>
      <c r="X12" s="334" t="s">
        <v>11</v>
      </c>
      <c r="Y12" s="344">
        <v>42.5</v>
      </c>
      <c r="Z12" s="334" t="s">
        <v>1121</v>
      </c>
      <c r="AA12" s="334" t="s">
        <v>880</v>
      </c>
      <c r="AB12" s="334" t="s">
        <v>12</v>
      </c>
      <c r="AC12" s="334">
        <v>11.4</v>
      </c>
      <c r="AD12" s="343" t="s">
        <v>1122</v>
      </c>
      <c r="AE12" s="334" t="s">
        <v>17</v>
      </c>
      <c r="AF12" s="334" t="s">
        <v>18</v>
      </c>
      <c r="AG12" s="344">
        <v>5.4</v>
      </c>
      <c r="AL12" s="343"/>
      <c r="AO12" s="344"/>
      <c r="AP12" s="343"/>
      <c r="AS12" s="344"/>
      <c r="AW12" s="344"/>
      <c r="BA12" s="345"/>
    </row>
    <row r="13" spans="1:53" s="334" customFormat="1">
      <c r="A13" s="538">
        <v>1993</v>
      </c>
      <c r="B13" s="535"/>
      <c r="C13" s="992" t="s">
        <v>1112</v>
      </c>
      <c r="D13" s="992"/>
      <c r="E13" s="538">
        <v>354</v>
      </c>
      <c r="F13" s="538"/>
      <c r="G13" s="497">
        <v>11</v>
      </c>
      <c r="H13" s="538">
        <v>1</v>
      </c>
      <c r="I13" s="538">
        <v>4</v>
      </c>
      <c r="J13" s="499">
        <v>19</v>
      </c>
      <c r="K13" s="495">
        <f t="shared" si="0"/>
        <v>57.894736842105267</v>
      </c>
      <c r="L13" s="495">
        <f t="shared" si="1"/>
        <v>5.2631578947368416</v>
      </c>
      <c r="M13" s="495">
        <f t="shared" si="2"/>
        <v>21.052631578947366</v>
      </c>
      <c r="N13" s="498">
        <f t="shared" si="3"/>
        <v>84.21052631578948</v>
      </c>
      <c r="O13" s="494">
        <v>42.5</v>
      </c>
      <c r="P13" s="495">
        <v>5.4</v>
      </c>
      <c r="Q13" s="495">
        <v>11.4</v>
      </c>
      <c r="R13" s="496">
        <f t="shared" si="4"/>
        <v>59.3</v>
      </c>
      <c r="S13" s="538">
        <v>3</v>
      </c>
      <c r="T13" s="487"/>
      <c r="U13" s="535"/>
      <c r="V13" s="343" t="s">
        <v>1120</v>
      </c>
      <c r="W13" s="334" t="s">
        <v>74</v>
      </c>
      <c r="X13" s="334" t="s">
        <v>11</v>
      </c>
      <c r="Y13" s="344">
        <v>42.5</v>
      </c>
      <c r="Z13" s="334" t="s">
        <v>1121</v>
      </c>
      <c r="AA13" s="334" t="s">
        <v>880</v>
      </c>
      <c r="AB13" s="334" t="s">
        <v>12</v>
      </c>
      <c r="AC13" s="334">
        <v>11.4</v>
      </c>
      <c r="AD13" s="343" t="s">
        <v>1122</v>
      </c>
      <c r="AE13" s="334" t="s">
        <v>17</v>
      </c>
      <c r="AF13" s="334" t="s">
        <v>18</v>
      </c>
      <c r="AG13" s="344">
        <v>5.4</v>
      </c>
      <c r="AL13" s="343"/>
      <c r="AO13" s="344"/>
      <c r="AP13" s="343"/>
      <c r="AS13" s="344"/>
      <c r="AW13" s="344"/>
      <c r="BA13" s="345"/>
    </row>
    <row r="14" spans="1:53" s="238" customFormat="1">
      <c r="A14" s="537">
        <v>1993</v>
      </c>
      <c r="B14" s="534">
        <v>34324</v>
      </c>
      <c r="C14" s="988" t="s">
        <v>1113</v>
      </c>
      <c r="D14" s="988"/>
      <c r="E14" s="537">
        <v>11</v>
      </c>
      <c r="F14" s="537">
        <v>3</v>
      </c>
      <c r="G14" s="480">
        <v>10</v>
      </c>
      <c r="H14" s="537">
        <v>3</v>
      </c>
      <c r="I14" s="537">
        <v>3</v>
      </c>
      <c r="J14" s="482">
        <v>16</v>
      </c>
      <c r="K14" s="477">
        <f t="shared" si="0"/>
        <v>62.5</v>
      </c>
      <c r="L14" s="477">
        <f t="shared" si="1"/>
        <v>18.75</v>
      </c>
      <c r="M14" s="477">
        <f t="shared" si="2"/>
        <v>18.75</v>
      </c>
      <c r="N14" s="481">
        <f t="shared" si="3"/>
        <v>100</v>
      </c>
      <c r="O14" s="476">
        <v>42.5</v>
      </c>
      <c r="P14" s="477">
        <v>5.4</v>
      </c>
      <c r="Q14" s="477">
        <v>11.4</v>
      </c>
      <c r="R14" s="478">
        <f t="shared" si="4"/>
        <v>59.3</v>
      </c>
      <c r="S14" s="537">
        <v>3</v>
      </c>
      <c r="T14" s="479"/>
      <c r="U14" s="534">
        <v>34324</v>
      </c>
      <c r="V14" s="82" t="s">
        <v>1120</v>
      </c>
      <c r="W14" s="238" t="s">
        <v>74</v>
      </c>
      <c r="X14" s="238" t="s">
        <v>11</v>
      </c>
      <c r="Y14" s="83">
        <v>42.5</v>
      </c>
      <c r="Z14" s="238" t="s">
        <v>1121</v>
      </c>
      <c r="AA14" s="238" t="s">
        <v>880</v>
      </c>
      <c r="AB14" s="238" t="s">
        <v>12</v>
      </c>
      <c r="AC14" s="238">
        <v>11.4</v>
      </c>
      <c r="AD14" s="82" t="s">
        <v>1122</v>
      </c>
      <c r="AE14" s="238" t="s">
        <v>17</v>
      </c>
      <c r="AF14" s="238" t="s">
        <v>18</v>
      </c>
      <c r="AG14" s="83">
        <v>5.4</v>
      </c>
      <c r="AL14" s="82"/>
      <c r="AO14" s="83"/>
      <c r="AP14" s="82"/>
      <c r="AS14" s="83"/>
      <c r="AW14" s="83"/>
      <c r="BA14" s="84"/>
    </row>
    <row r="15" spans="1:53" s="238" customFormat="1">
      <c r="A15" s="537">
        <v>1994</v>
      </c>
      <c r="B15" s="534"/>
      <c r="C15" s="988" t="s">
        <v>1113</v>
      </c>
      <c r="D15" s="988"/>
      <c r="E15" s="537">
        <v>195</v>
      </c>
      <c r="F15" s="537"/>
      <c r="G15" s="480">
        <v>10</v>
      </c>
      <c r="H15" s="537">
        <v>3</v>
      </c>
      <c r="I15" s="537">
        <v>3</v>
      </c>
      <c r="J15" s="482">
        <v>16</v>
      </c>
      <c r="K15" s="477">
        <f t="shared" si="0"/>
        <v>62.5</v>
      </c>
      <c r="L15" s="477">
        <f t="shared" si="1"/>
        <v>18.75</v>
      </c>
      <c r="M15" s="477">
        <f t="shared" si="2"/>
        <v>18.75</v>
      </c>
      <c r="N15" s="481">
        <f t="shared" si="3"/>
        <v>100</v>
      </c>
      <c r="O15" s="476">
        <v>42.5</v>
      </c>
      <c r="P15" s="477">
        <v>5.4</v>
      </c>
      <c r="Q15" s="477">
        <v>11.4</v>
      </c>
      <c r="R15" s="478">
        <f t="shared" si="4"/>
        <v>59.3</v>
      </c>
      <c r="S15" s="537">
        <v>3</v>
      </c>
      <c r="T15" s="479"/>
      <c r="U15" s="534"/>
      <c r="V15" s="82" t="s">
        <v>1120</v>
      </c>
      <c r="W15" s="238" t="s">
        <v>74</v>
      </c>
      <c r="X15" s="238" t="s">
        <v>11</v>
      </c>
      <c r="Y15" s="83">
        <v>42.5</v>
      </c>
      <c r="Z15" s="238" t="s">
        <v>1121</v>
      </c>
      <c r="AA15" s="238" t="s">
        <v>880</v>
      </c>
      <c r="AB15" s="238" t="s">
        <v>12</v>
      </c>
      <c r="AC15" s="238">
        <v>11.4</v>
      </c>
      <c r="AD15" s="82" t="s">
        <v>1122</v>
      </c>
      <c r="AE15" s="238" t="s">
        <v>17</v>
      </c>
      <c r="AF15" s="238" t="s">
        <v>18</v>
      </c>
      <c r="AG15" s="83">
        <v>5.4</v>
      </c>
      <c r="AL15" s="82"/>
      <c r="AO15" s="83"/>
      <c r="AP15" s="82"/>
      <c r="AS15" s="83"/>
      <c r="AW15" s="83"/>
      <c r="BA15" s="84"/>
    </row>
    <row r="16" spans="1:53" s="334" customFormat="1">
      <c r="A16" s="538">
        <v>1994</v>
      </c>
      <c r="B16" s="535">
        <v>34530</v>
      </c>
      <c r="C16" s="992" t="s">
        <v>1114</v>
      </c>
      <c r="D16" s="992"/>
      <c r="E16" s="538">
        <v>170</v>
      </c>
      <c r="F16" s="538">
        <v>1</v>
      </c>
      <c r="G16" s="497">
        <v>3</v>
      </c>
      <c r="H16" s="538"/>
      <c r="I16" s="538">
        <v>11</v>
      </c>
      <c r="J16" s="499">
        <v>14</v>
      </c>
      <c r="K16" s="495">
        <f t="shared" si="0"/>
        <v>21.428571428571427</v>
      </c>
      <c r="L16" s="495">
        <f t="shared" si="1"/>
        <v>0</v>
      </c>
      <c r="M16" s="495">
        <f t="shared" si="2"/>
        <v>78.571428571428569</v>
      </c>
      <c r="N16" s="498">
        <f t="shared" si="3"/>
        <v>100</v>
      </c>
      <c r="O16" s="494">
        <v>17.899999999999999</v>
      </c>
      <c r="P16" s="495"/>
      <c r="Q16" s="495">
        <v>54.1</v>
      </c>
      <c r="R16" s="496">
        <f t="shared" si="4"/>
        <v>72</v>
      </c>
      <c r="S16" s="538">
        <v>3</v>
      </c>
      <c r="T16" s="487">
        <v>34482</v>
      </c>
      <c r="U16" s="535">
        <v>34530</v>
      </c>
      <c r="V16" s="343" t="s">
        <v>1123</v>
      </c>
      <c r="W16" s="334" t="s">
        <v>20</v>
      </c>
      <c r="X16" s="334" t="s">
        <v>12</v>
      </c>
      <c r="Y16" s="344">
        <v>54.1</v>
      </c>
      <c r="Z16" s="334" t="s">
        <v>1127</v>
      </c>
      <c r="AA16" s="334" t="s">
        <v>22</v>
      </c>
      <c r="AB16" s="334" t="s">
        <v>11</v>
      </c>
      <c r="AC16" s="334">
        <v>17.899999999999999</v>
      </c>
      <c r="AD16" s="343"/>
      <c r="AG16" s="344"/>
      <c r="AL16" s="343"/>
      <c r="AO16" s="344"/>
      <c r="AP16" s="343"/>
      <c r="AS16" s="344"/>
      <c r="AW16" s="344"/>
      <c r="BA16" s="345"/>
    </row>
    <row r="17" spans="1:53" s="334" customFormat="1">
      <c r="A17" s="538">
        <v>1995</v>
      </c>
      <c r="B17" s="535"/>
      <c r="C17" s="992" t="s">
        <v>1114</v>
      </c>
      <c r="D17" s="992"/>
      <c r="E17" s="538">
        <v>59</v>
      </c>
      <c r="F17" s="538"/>
      <c r="G17" s="497">
        <v>3</v>
      </c>
      <c r="H17" s="538"/>
      <c r="I17" s="538">
        <v>11</v>
      </c>
      <c r="J17" s="499">
        <v>14</v>
      </c>
      <c r="K17" s="495">
        <f t="shared" si="0"/>
        <v>21.428571428571427</v>
      </c>
      <c r="L17" s="495">
        <f t="shared" si="1"/>
        <v>0</v>
      </c>
      <c r="M17" s="495">
        <f t="shared" si="2"/>
        <v>78.571428571428569</v>
      </c>
      <c r="N17" s="498">
        <f t="shared" si="3"/>
        <v>100</v>
      </c>
      <c r="O17" s="494">
        <v>17.899999999999999</v>
      </c>
      <c r="P17" s="495"/>
      <c r="Q17" s="495">
        <v>54.1</v>
      </c>
      <c r="R17" s="496">
        <f t="shared" si="4"/>
        <v>72</v>
      </c>
      <c r="S17" s="538">
        <v>3</v>
      </c>
      <c r="T17" s="487"/>
      <c r="U17" s="535"/>
      <c r="V17" s="343" t="s">
        <v>1123</v>
      </c>
      <c r="W17" s="334" t="s">
        <v>20</v>
      </c>
      <c r="X17" s="334" t="s">
        <v>12</v>
      </c>
      <c r="Y17" s="344">
        <v>54.1</v>
      </c>
      <c r="Z17" s="334" t="s">
        <v>1127</v>
      </c>
      <c r="AA17" s="334" t="s">
        <v>22</v>
      </c>
      <c r="AB17" s="334" t="s">
        <v>11</v>
      </c>
      <c r="AC17" s="334">
        <v>17.899999999999999</v>
      </c>
      <c r="AD17" s="343"/>
      <c r="AG17" s="344"/>
      <c r="AL17" s="343"/>
      <c r="AO17" s="344"/>
      <c r="AP17" s="343"/>
      <c r="AS17" s="344"/>
      <c r="AW17" s="344"/>
      <c r="BA17" s="345"/>
    </row>
    <row r="18" spans="1:53" s="334" customFormat="1">
      <c r="A18" s="538">
        <v>1995</v>
      </c>
      <c r="B18" s="502">
        <v>34759</v>
      </c>
      <c r="C18" s="992" t="s">
        <v>1114</v>
      </c>
      <c r="D18" s="992"/>
      <c r="E18" s="538">
        <v>306</v>
      </c>
      <c r="F18" s="501">
        <v>0</v>
      </c>
      <c r="G18" s="497">
        <v>3</v>
      </c>
      <c r="H18" s="538"/>
      <c r="I18" s="538">
        <v>12</v>
      </c>
      <c r="J18" s="499">
        <v>15</v>
      </c>
      <c r="K18" s="495">
        <f t="shared" si="0"/>
        <v>20</v>
      </c>
      <c r="L18" s="495">
        <f t="shared" si="1"/>
        <v>0</v>
      </c>
      <c r="M18" s="495">
        <f t="shared" si="2"/>
        <v>80</v>
      </c>
      <c r="N18" s="498">
        <f t="shared" si="3"/>
        <v>100</v>
      </c>
      <c r="O18" s="494">
        <v>17.899999999999999</v>
      </c>
      <c r="P18" s="495"/>
      <c r="Q18" s="495">
        <v>54.1</v>
      </c>
      <c r="R18" s="496">
        <f t="shared" si="4"/>
        <v>72</v>
      </c>
      <c r="S18" s="538">
        <v>3</v>
      </c>
      <c r="T18" s="487"/>
      <c r="U18" s="535"/>
      <c r="V18" s="343" t="s">
        <v>1123</v>
      </c>
      <c r="W18" s="334" t="s">
        <v>20</v>
      </c>
      <c r="X18" s="334" t="s">
        <v>12</v>
      </c>
      <c r="Y18" s="344">
        <v>54.1</v>
      </c>
      <c r="Z18" s="334" t="s">
        <v>1127</v>
      </c>
      <c r="AA18" s="334" t="s">
        <v>22</v>
      </c>
      <c r="AB18" s="334" t="s">
        <v>11</v>
      </c>
      <c r="AC18" s="334">
        <v>17.899999999999999</v>
      </c>
      <c r="AD18" s="343"/>
      <c r="AG18" s="344"/>
      <c r="AL18" s="343"/>
      <c r="AO18" s="344"/>
      <c r="AP18" s="343"/>
      <c r="AS18" s="344"/>
      <c r="AW18" s="344"/>
      <c r="BA18" s="345"/>
    </row>
    <row r="19" spans="1:53" s="334" customFormat="1">
      <c r="A19" s="538">
        <v>1996</v>
      </c>
      <c r="B19" s="535"/>
      <c r="C19" s="992" t="s">
        <v>1114</v>
      </c>
      <c r="D19" s="992"/>
      <c r="E19" s="538">
        <v>0</v>
      </c>
      <c r="F19" s="538"/>
      <c r="G19" s="497">
        <v>3</v>
      </c>
      <c r="H19" s="538"/>
      <c r="I19" s="538">
        <v>12</v>
      </c>
      <c r="J19" s="499">
        <v>15</v>
      </c>
      <c r="K19" s="495">
        <f t="shared" si="0"/>
        <v>20</v>
      </c>
      <c r="L19" s="495">
        <f t="shared" si="1"/>
        <v>0</v>
      </c>
      <c r="M19" s="495">
        <f t="shared" si="2"/>
        <v>80</v>
      </c>
      <c r="N19" s="498">
        <f t="shared" si="3"/>
        <v>100</v>
      </c>
      <c r="O19" s="494">
        <v>17.899999999999999</v>
      </c>
      <c r="P19" s="495"/>
      <c r="Q19" s="495">
        <v>54.1</v>
      </c>
      <c r="R19" s="496">
        <f t="shared" si="4"/>
        <v>72</v>
      </c>
      <c r="S19" s="538">
        <v>3</v>
      </c>
      <c r="T19" s="487"/>
      <c r="U19" s="535"/>
      <c r="V19" s="343" t="s">
        <v>1123</v>
      </c>
      <c r="W19" s="334" t="s">
        <v>20</v>
      </c>
      <c r="X19" s="334" t="s">
        <v>12</v>
      </c>
      <c r="Y19" s="344">
        <v>54.1</v>
      </c>
      <c r="Z19" s="334" t="s">
        <v>1127</v>
      </c>
      <c r="AA19" s="334" t="s">
        <v>22</v>
      </c>
      <c r="AB19" s="334" t="s">
        <v>11</v>
      </c>
      <c r="AC19" s="334">
        <v>17.899999999999999</v>
      </c>
      <c r="AD19" s="343"/>
      <c r="AG19" s="344"/>
      <c r="AL19" s="343"/>
      <c r="AO19" s="344"/>
      <c r="AP19" s="343"/>
      <c r="AS19" s="344"/>
      <c r="AW19" s="344"/>
      <c r="BA19" s="345"/>
    </row>
    <row r="20" spans="1:53" s="334" customFormat="1">
      <c r="A20" s="538">
        <v>1996</v>
      </c>
      <c r="B20" s="535"/>
      <c r="C20" s="992" t="s">
        <v>1114</v>
      </c>
      <c r="D20" s="992"/>
      <c r="E20" s="538">
        <v>366</v>
      </c>
      <c r="F20" s="538"/>
      <c r="G20" s="497">
        <v>3</v>
      </c>
      <c r="H20" s="538"/>
      <c r="I20" s="538">
        <v>12</v>
      </c>
      <c r="J20" s="499">
        <v>15</v>
      </c>
      <c r="K20" s="495">
        <f t="shared" si="0"/>
        <v>20</v>
      </c>
      <c r="L20" s="495">
        <f t="shared" si="1"/>
        <v>0</v>
      </c>
      <c r="M20" s="495">
        <f t="shared" si="2"/>
        <v>80</v>
      </c>
      <c r="N20" s="498">
        <f t="shared" si="3"/>
        <v>100</v>
      </c>
      <c r="O20" s="494">
        <v>17.899999999999999</v>
      </c>
      <c r="P20" s="495"/>
      <c r="Q20" s="495">
        <v>54.1</v>
      </c>
      <c r="R20" s="496">
        <f t="shared" si="4"/>
        <v>72</v>
      </c>
      <c r="S20" s="538">
        <v>3</v>
      </c>
      <c r="T20" s="487"/>
      <c r="U20" s="535"/>
      <c r="V20" s="343" t="s">
        <v>1123</v>
      </c>
      <c r="W20" s="334" t="s">
        <v>20</v>
      </c>
      <c r="X20" s="334" t="s">
        <v>12</v>
      </c>
      <c r="Y20" s="344">
        <v>54.1</v>
      </c>
      <c r="Z20" s="334" t="s">
        <v>1127</v>
      </c>
      <c r="AA20" s="334" t="s">
        <v>22</v>
      </c>
      <c r="AB20" s="334" t="s">
        <v>11</v>
      </c>
      <c r="AC20" s="334">
        <v>17.899999999999999</v>
      </c>
      <c r="AD20" s="343"/>
      <c r="AG20" s="344"/>
      <c r="AL20" s="343"/>
      <c r="AO20" s="344"/>
      <c r="AP20" s="343"/>
      <c r="AS20" s="344"/>
      <c r="AW20" s="344"/>
      <c r="BA20" s="345"/>
    </row>
    <row r="21" spans="1:53" s="334" customFormat="1">
      <c r="A21" s="538">
        <v>1997</v>
      </c>
      <c r="B21" s="535"/>
      <c r="C21" s="992" t="s">
        <v>1114</v>
      </c>
      <c r="D21" s="992"/>
      <c r="E21" s="538">
        <v>0</v>
      </c>
      <c r="F21" s="538"/>
      <c r="G21" s="497">
        <v>3</v>
      </c>
      <c r="H21" s="538"/>
      <c r="I21" s="538">
        <v>12</v>
      </c>
      <c r="J21" s="499">
        <v>15</v>
      </c>
      <c r="K21" s="495">
        <f t="shared" si="0"/>
        <v>20</v>
      </c>
      <c r="L21" s="495">
        <f t="shared" si="1"/>
        <v>0</v>
      </c>
      <c r="M21" s="495">
        <f t="shared" si="2"/>
        <v>80</v>
      </c>
      <c r="N21" s="498">
        <f t="shared" si="3"/>
        <v>100</v>
      </c>
      <c r="O21" s="494">
        <v>17.899999999999999</v>
      </c>
      <c r="P21" s="495"/>
      <c r="Q21" s="495">
        <v>54.1</v>
      </c>
      <c r="R21" s="496">
        <f t="shared" si="4"/>
        <v>72</v>
      </c>
      <c r="S21" s="538">
        <v>3</v>
      </c>
      <c r="T21" s="487"/>
      <c r="U21" s="535"/>
      <c r="V21" s="343" t="s">
        <v>1123</v>
      </c>
      <c r="W21" s="334" t="s">
        <v>20</v>
      </c>
      <c r="X21" s="334" t="s">
        <v>12</v>
      </c>
      <c r="Y21" s="344">
        <v>54.1</v>
      </c>
      <c r="Z21" s="334" t="s">
        <v>1127</v>
      </c>
      <c r="AA21" s="334" t="s">
        <v>22</v>
      </c>
      <c r="AB21" s="334" t="s">
        <v>11</v>
      </c>
      <c r="AC21" s="334">
        <v>17.899999999999999</v>
      </c>
      <c r="AD21" s="343"/>
      <c r="AG21" s="344"/>
      <c r="AL21" s="343"/>
      <c r="AO21" s="344"/>
      <c r="AP21" s="343"/>
      <c r="AS21" s="344"/>
      <c r="AW21" s="344"/>
      <c r="BA21" s="345"/>
    </row>
    <row r="22" spans="1:53" s="334" customFormat="1">
      <c r="A22" s="538">
        <v>1997</v>
      </c>
      <c r="B22" s="535"/>
      <c r="C22" s="992" t="s">
        <v>1114</v>
      </c>
      <c r="D22" s="992"/>
      <c r="E22" s="538">
        <v>365</v>
      </c>
      <c r="F22" s="538"/>
      <c r="G22" s="497">
        <v>3</v>
      </c>
      <c r="H22" s="538"/>
      <c r="I22" s="538">
        <v>12</v>
      </c>
      <c r="J22" s="499">
        <v>15</v>
      </c>
      <c r="K22" s="495">
        <f t="shared" si="0"/>
        <v>20</v>
      </c>
      <c r="L22" s="495">
        <f t="shared" si="1"/>
        <v>0</v>
      </c>
      <c r="M22" s="495">
        <f t="shared" si="2"/>
        <v>80</v>
      </c>
      <c r="N22" s="498">
        <f t="shared" si="3"/>
        <v>100</v>
      </c>
      <c r="O22" s="494">
        <v>17.899999999999999</v>
      </c>
      <c r="P22" s="495"/>
      <c r="Q22" s="495">
        <v>54.1</v>
      </c>
      <c r="R22" s="496">
        <f t="shared" si="4"/>
        <v>72</v>
      </c>
      <c r="S22" s="538">
        <v>3</v>
      </c>
      <c r="T22" s="487"/>
      <c r="U22" s="535"/>
      <c r="V22" s="343" t="s">
        <v>1123</v>
      </c>
      <c r="W22" s="334" t="s">
        <v>20</v>
      </c>
      <c r="X22" s="334" t="s">
        <v>12</v>
      </c>
      <c r="Y22" s="344">
        <v>54.1</v>
      </c>
      <c r="Z22" s="334" t="s">
        <v>1127</v>
      </c>
      <c r="AA22" s="334" t="s">
        <v>22</v>
      </c>
      <c r="AB22" s="334" t="s">
        <v>11</v>
      </c>
      <c r="AC22" s="334">
        <v>17.899999999999999</v>
      </c>
      <c r="AD22" s="343"/>
      <c r="AG22" s="344"/>
      <c r="AL22" s="343"/>
      <c r="AO22" s="344"/>
      <c r="AP22" s="343"/>
      <c r="AS22" s="344"/>
      <c r="AW22" s="344"/>
      <c r="BA22" s="345"/>
    </row>
    <row r="23" spans="1:53" s="334" customFormat="1">
      <c r="A23" s="538">
        <v>1998</v>
      </c>
      <c r="B23" s="502">
        <v>35796</v>
      </c>
      <c r="C23" s="992" t="s">
        <v>1114</v>
      </c>
      <c r="D23" s="992"/>
      <c r="E23" s="538">
        <v>186</v>
      </c>
      <c r="F23" s="501">
        <v>0</v>
      </c>
      <c r="G23" s="497">
        <v>3</v>
      </c>
      <c r="H23" s="538"/>
      <c r="I23" s="538">
        <v>11</v>
      </c>
      <c r="J23" s="499">
        <v>14</v>
      </c>
      <c r="K23" s="495">
        <f t="shared" si="0"/>
        <v>21.428571428571427</v>
      </c>
      <c r="L23" s="495">
        <f t="shared" si="1"/>
        <v>0</v>
      </c>
      <c r="M23" s="495">
        <f t="shared" si="2"/>
        <v>78.571428571428569</v>
      </c>
      <c r="N23" s="498">
        <f t="shared" si="3"/>
        <v>100</v>
      </c>
      <c r="O23" s="494">
        <v>17.899999999999999</v>
      </c>
      <c r="P23" s="495"/>
      <c r="Q23" s="495">
        <v>54.1</v>
      </c>
      <c r="R23" s="496">
        <f t="shared" si="4"/>
        <v>72</v>
      </c>
      <c r="S23" s="538">
        <v>3</v>
      </c>
      <c r="T23" s="487"/>
      <c r="U23" s="535"/>
      <c r="V23" s="343" t="s">
        <v>1123</v>
      </c>
      <c r="W23" s="334" t="s">
        <v>20</v>
      </c>
      <c r="X23" s="334" t="s">
        <v>12</v>
      </c>
      <c r="Y23" s="344">
        <v>54.1</v>
      </c>
      <c r="Z23" s="334" t="s">
        <v>1127</v>
      </c>
      <c r="AA23" s="334" t="s">
        <v>22</v>
      </c>
      <c r="AB23" s="334" t="s">
        <v>11</v>
      </c>
      <c r="AC23" s="334">
        <v>17.899999999999999</v>
      </c>
      <c r="AD23" s="343"/>
      <c r="AG23" s="344"/>
      <c r="AL23" s="343"/>
      <c r="AO23" s="344"/>
      <c r="AP23" s="343"/>
      <c r="AS23" s="344"/>
      <c r="AW23" s="344"/>
      <c r="BA23" s="345"/>
    </row>
    <row r="24" spans="1:53" s="238" customFormat="1">
      <c r="A24" s="537">
        <v>1998</v>
      </c>
      <c r="B24" s="534">
        <v>35982</v>
      </c>
      <c r="C24" s="988" t="s">
        <v>1124</v>
      </c>
      <c r="D24" s="988"/>
      <c r="E24" s="537">
        <v>179</v>
      </c>
      <c r="F24" s="537">
        <v>1</v>
      </c>
      <c r="G24" s="480">
        <v>13</v>
      </c>
      <c r="H24" s="537"/>
      <c r="I24" s="537">
        <v>4</v>
      </c>
      <c r="J24" s="482">
        <v>17</v>
      </c>
      <c r="K24" s="477">
        <f t="shared" si="0"/>
        <v>76.470588235294116</v>
      </c>
      <c r="L24" s="477">
        <f t="shared" si="1"/>
        <v>0</v>
      </c>
      <c r="M24" s="477">
        <f t="shared" si="2"/>
        <v>23.52941176470588</v>
      </c>
      <c r="N24" s="481">
        <f t="shared" si="3"/>
        <v>100</v>
      </c>
      <c r="O24" s="476">
        <v>42.7</v>
      </c>
      <c r="P24" s="477"/>
      <c r="Q24" s="477">
        <v>12.4</v>
      </c>
      <c r="R24" s="478">
        <f t="shared" si="4"/>
        <v>55.1</v>
      </c>
      <c r="S24" s="537">
        <v>3</v>
      </c>
      <c r="T24" s="479">
        <v>35939</v>
      </c>
      <c r="U24" s="534">
        <v>35982</v>
      </c>
      <c r="V24" s="82" t="s">
        <v>1126</v>
      </c>
      <c r="W24" s="238" t="s">
        <v>79</v>
      </c>
      <c r="X24" s="238" t="s">
        <v>11</v>
      </c>
      <c r="Y24" s="83">
        <v>38.299999999999997</v>
      </c>
      <c r="Z24" s="238" t="s">
        <v>1121</v>
      </c>
      <c r="AA24" s="238" t="s">
        <v>880</v>
      </c>
      <c r="AB24" s="238" t="s">
        <v>12</v>
      </c>
      <c r="AC24" s="238">
        <v>12.4</v>
      </c>
      <c r="AD24" s="82" t="s">
        <v>1120</v>
      </c>
      <c r="AE24" s="238" t="s">
        <v>74</v>
      </c>
      <c r="AF24" s="238" t="s">
        <v>11</v>
      </c>
      <c r="AG24" s="83">
        <v>4.4000000000000004</v>
      </c>
      <c r="AL24" s="82"/>
      <c r="AO24" s="83"/>
      <c r="AP24" s="82"/>
      <c r="AS24" s="83"/>
      <c r="AW24" s="83"/>
      <c r="BA24" s="84"/>
    </row>
    <row r="25" spans="1:53" s="238" customFormat="1">
      <c r="A25" s="537">
        <v>1999</v>
      </c>
      <c r="B25" s="483">
        <v>36161</v>
      </c>
      <c r="C25" s="988" t="s">
        <v>1124</v>
      </c>
      <c r="D25" s="988"/>
      <c r="E25" s="537">
        <v>0</v>
      </c>
      <c r="F25" s="484">
        <v>0</v>
      </c>
      <c r="G25" s="480">
        <v>14</v>
      </c>
      <c r="H25" s="537"/>
      <c r="I25" s="537">
        <v>4</v>
      </c>
      <c r="J25" s="482">
        <v>18</v>
      </c>
      <c r="K25" s="477">
        <f t="shared" si="0"/>
        <v>77.777777777777786</v>
      </c>
      <c r="L25" s="477">
        <f t="shared" si="1"/>
        <v>0</v>
      </c>
      <c r="M25" s="477">
        <f t="shared" si="2"/>
        <v>22.222222222222221</v>
      </c>
      <c r="N25" s="481">
        <f t="shared" si="3"/>
        <v>100</v>
      </c>
      <c r="O25" s="476">
        <v>42.7</v>
      </c>
      <c r="P25" s="477"/>
      <c r="Q25" s="477">
        <v>12.4</v>
      </c>
      <c r="R25" s="478">
        <f t="shared" si="4"/>
        <v>55.1</v>
      </c>
      <c r="S25" s="537">
        <v>3</v>
      </c>
      <c r="T25" s="479"/>
      <c r="U25" s="534"/>
      <c r="V25" s="82" t="s">
        <v>1126</v>
      </c>
      <c r="W25" s="238" t="s">
        <v>79</v>
      </c>
      <c r="X25" s="238" t="s">
        <v>11</v>
      </c>
      <c r="Y25" s="83">
        <v>38.299999999999997</v>
      </c>
      <c r="Z25" s="238" t="s">
        <v>1121</v>
      </c>
      <c r="AA25" s="238" t="s">
        <v>880</v>
      </c>
      <c r="AB25" s="238" t="s">
        <v>12</v>
      </c>
      <c r="AC25" s="238">
        <v>12.4</v>
      </c>
      <c r="AD25" s="82" t="s">
        <v>1120</v>
      </c>
      <c r="AE25" s="238" t="s">
        <v>74</v>
      </c>
      <c r="AF25" s="238" t="s">
        <v>11</v>
      </c>
      <c r="AG25" s="83">
        <v>4.4000000000000004</v>
      </c>
      <c r="AL25" s="82"/>
      <c r="AO25" s="83"/>
      <c r="AP25" s="82"/>
      <c r="AS25" s="83"/>
      <c r="AW25" s="83"/>
      <c r="BA25" s="84"/>
    </row>
    <row r="26" spans="1:53" s="238" customFormat="1">
      <c r="A26" s="537">
        <v>1999</v>
      </c>
      <c r="B26" s="534"/>
      <c r="C26" s="988" t="s">
        <v>1124</v>
      </c>
      <c r="D26" s="988"/>
      <c r="E26" s="537">
        <v>365</v>
      </c>
      <c r="F26" s="537"/>
      <c r="G26" s="480">
        <v>14</v>
      </c>
      <c r="H26" s="537"/>
      <c r="I26" s="537">
        <v>4</v>
      </c>
      <c r="J26" s="482">
        <v>18</v>
      </c>
      <c r="K26" s="477">
        <f t="shared" si="0"/>
        <v>77.777777777777786</v>
      </c>
      <c r="L26" s="477">
        <f t="shared" si="1"/>
        <v>0</v>
      </c>
      <c r="M26" s="477">
        <f t="shared" si="2"/>
        <v>22.222222222222221</v>
      </c>
      <c r="N26" s="481">
        <f t="shared" si="3"/>
        <v>100</v>
      </c>
      <c r="O26" s="476">
        <v>42.7</v>
      </c>
      <c r="P26" s="477"/>
      <c r="Q26" s="477">
        <v>12.4</v>
      </c>
      <c r="R26" s="478">
        <f t="shared" si="4"/>
        <v>55.1</v>
      </c>
      <c r="S26" s="537">
        <v>3</v>
      </c>
      <c r="T26" s="479"/>
      <c r="U26" s="534"/>
      <c r="V26" s="82" t="s">
        <v>1126</v>
      </c>
      <c r="W26" s="238" t="s">
        <v>79</v>
      </c>
      <c r="X26" s="238" t="s">
        <v>11</v>
      </c>
      <c r="Y26" s="83">
        <v>38.299999999999997</v>
      </c>
      <c r="Z26" s="238" t="s">
        <v>1121</v>
      </c>
      <c r="AA26" s="238" t="s">
        <v>880</v>
      </c>
      <c r="AB26" s="238" t="s">
        <v>12</v>
      </c>
      <c r="AC26" s="238">
        <v>12.4</v>
      </c>
      <c r="AD26" s="82" t="s">
        <v>1120</v>
      </c>
      <c r="AE26" s="238" t="s">
        <v>74</v>
      </c>
      <c r="AF26" s="238" t="s">
        <v>11</v>
      </c>
      <c r="AG26" s="83">
        <v>4.4000000000000004</v>
      </c>
      <c r="AL26" s="82"/>
      <c r="AO26" s="83"/>
      <c r="AP26" s="82"/>
      <c r="AS26" s="83"/>
      <c r="AW26" s="83"/>
      <c r="BA26" s="84"/>
    </row>
    <row r="27" spans="1:53" s="238" customFormat="1">
      <c r="A27" s="537">
        <v>2000</v>
      </c>
      <c r="B27" s="534"/>
      <c r="C27" s="988" t="s">
        <v>1124</v>
      </c>
      <c r="D27" s="988"/>
      <c r="E27" s="537">
        <v>0</v>
      </c>
      <c r="F27" s="537"/>
      <c r="G27" s="480">
        <v>14</v>
      </c>
      <c r="H27" s="537"/>
      <c r="I27" s="537">
        <v>4</v>
      </c>
      <c r="J27" s="482">
        <v>18</v>
      </c>
      <c r="K27" s="477">
        <f t="shared" si="0"/>
        <v>77.777777777777786</v>
      </c>
      <c r="L27" s="477">
        <f t="shared" si="1"/>
        <v>0</v>
      </c>
      <c r="M27" s="477">
        <f t="shared" si="2"/>
        <v>22.222222222222221</v>
      </c>
      <c r="N27" s="481">
        <f t="shared" si="3"/>
        <v>100</v>
      </c>
      <c r="O27" s="476">
        <v>42.7</v>
      </c>
      <c r="P27" s="477"/>
      <c r="Q27" s="477">
        <v>12.4</v>
      </c>
      <c r="R27" s="478">
        <f t="shared" si="4"/>
        <v>55.1</v>
      </c>
      <c r="S27" s="537">
        <v>3</v>
      </c>
      <c r="T27" s="479"/>
      <c r="U27" s="534"/>
      <c r="V27" s="82" t="s">
        <v>1126</v>
      </c>
      <c r="W27" s="238" t="s">
        <v>79</v>
      </c>
      <c r="X27" s="238" t="s">
        <v>11</v>
      </c>
      <c r="Y27" s="83">
        <v>38.299999999999997</v>
      </c>
      <c r="Z27" s="238" t="s">
        <v>1121</v>
      </c>
      <c r="AA27" s="238" t="s">
        <v>880</v>
      </c>
      <c r="AB27" s="238" t="s">
        <v>12</v>
      </c>
      <c r="AC27" s="238">
        <v>12.4</v>
      </c>
      <c r="AD27" s="82" t="s">
        <v>1120</v>
      </c>
      <c r="AE27" s="238" t="s">
        <v>74</v>
      </c>
      <c r="AF27" s="238" t="s">
        <v>11</v>
      </c>
      <c r="AG27" s="83">
        <v>4.4000000000000004</v>
      </c>
      <c r="AL27" s="82"/>
      <c r="AO27" s="83"/>
      <c r="AP27" s="82"/>
      <c r="AS27" s="83"/>
      <c r="AW27" s="83"/>
      <c r="BA27" s="84"/>
    </row>
    <row r="28" spans="1:53" s="238" customFormat="1">
      <c r="A28" s="537">
        <v>2000</v>
      </c>
      <c r="B28" s="534"/>
      <c r="C28" s="988" t="s">
        <v>1124</v>
      </c>
      <c r="D28" s="988"/>
      <c r="E28" s="537">
        <v>366</v>
      </c>
      <c r="F28" s="537"/>
      <c r="G28" s="480">
        <v>14</v>
      </c>
      <c r="H28" s="537"/>
      <c r="I28" s="537">
        <v>4</v>
      </c>
      <c r="J28" s="482">
        <v>18</v>
      </c>
      <c r="K28" s="477">
        <f t="shared" si="0"/>
        <v>77.777777777777786</v>
      </c>
      <c r="L28" s="477">
        <f t="shared" si="1"/>
        <v>0</v>
      </c>
      <c r="M28" s="477">
        <f t="shared" si="2"/>
        <v>22.222222222222221</v>
      </c>
      <c r="N28" s="481">
        <f t="shared" si="3"/>
        <v>100</v>
      </c>
      <c r="O28" s="476">
        <v>42.7</v>
      </c>
      <c r="P28" s="477"/>
      <c r="Q28" s="477">
        <v>12.4</v>
      </c>
      <c r="R28" s="478">
        <f t="shared" si="4"/>
        <v>55.1</v>
      </c>
      <c r="S28" s="537">
        <v>3</v>
      </c>
      <c r="T28" s="479"/>
      <c r="U28" s="534"/>
      <c r="V28" s="82" t="s">
        <v>1126</v>
      </c>
      <c r="W28" s="238" t="s">
        <v>79</v>
      </c>
      <c r="X28" s="238" t="s">
        <v>11</v>
      </c>
      <c r="Y28" s="83">
        <v>38.299999999999997</v>
      </c>
      <c r="Z28" s="238" t="s">
        <v>1121</v>
      </c>
      <c r="AA28" s="238" t="s">
        <v>880</v>
      </c>
      <c r="AB28" s="238" t="s">
        <v>12</v>
      </c>
      <c r="AC28" s="238">
        <v>12.4</v>
      </c>
      <c r="AD28" s="82" t="s">
        <v>1120</v>
      </c>
      <c r="AE28" s="238" t="s">
        <v>74</v>
      </c>
      <c r="AF28" s="238" t="s">
        <v>11</v>
      </c>
      <c r="AG28" s="83">
        <v>4.4000000000000004</v>
      </c>
      <c r="AL28" s="82"/>
      <c r="AO28" s="83"/>
      <c r="AP28" s="82"/>
      <c r="AS28" s="83"/>
      <c r="AW28" s="83"/>
      <c r="BA28" s="84"/>
    </row>
    <row r="29" spans="1:53" s="238" customFormat="1">
      <c r="A29" s="537">
        <v>2001</v>
      </c>
      <c r="B29" s="483">
        <v>36892</v>
      </c>
      <c r="C29" s="988" t="s">
        <v>1124</v>
      </c>
      <c r="D29" s="988"/>
      <c r="E29" s="537">
        <v>0</v>
      </c>
      <c r="F29" s="484">
        <v>0</v>
      </c>
      <c r="G29" s="480">
        <v>14</v>
      </c>
      <c r="H29" s="537"/>
      <c r="I29" s="537">
        <v>4</v>
      </c>
      <c r="J29" s="482">
        <v>18</v>
      </c>
      <c r="K29" s="477">
        <f t="shared" si="0"/>
        <v>77.777777777777786</v>
      </c>
      <c r="L29" s="477">
        <f t="shared" si="1"/>
        <v>0</v>
      </c>
      <c r="M29" s="477">
        <f t="shared" si="2"/>
        <v>22.222222222222221</v>
      </c>
      <c r="N29" s="481">
        <f t="shared" si="3"/>
        <v>100</v>
      </c>
      <c r="O29" s="476">
        <v>42.7</v>
      </c>
      <c r="P29" s="477"/>
      <c r="Q29" s="477">
        <v>12.4</v>
      </c>
      <c r="R29" s="478">
        <f t="shared" si="4"/>
        <v>55.1</v>
      </c>
      <c r="S29" s="537">
        <v>3</v>
      </c>
      <c r="T29" s="479"/>
      <c r="U29" s="534"/>
      <c r="V29" s="82" t="s">
        <v>1126</v>
      </c>
      <c r="W29" s="238" t="s">
        <v>79</v>
      </c>
      <c r="X29" s="238" t="s">
        <v>11</v>
      </c>
      <c r="Y29" s="83">
        <v>38.299999999999997</v>
      </c>
      <c r="Z29" s="238" t="s">
        <v>1121</v>
      </c>
      <c r="AA29" s="238" t="s">
        <v>880</v>
      </c>
      <c r="AB29" s="238" t="s">
        <v>12</v>
      </c>
      <c r="AC29" s="238">
        <v>12.4</v>
      </c>
      <c r="AD29" s="82" t="s">
        <v>1120</v>
      </c>
      <c r="AE29" s="238" t="s">
        <v>74</v>
      </c>
      <c r="AF29" s="238" t="s">
        <v>11</v>
      </c>
      <c r="AG29" s="83">
        <v>4.4000000000000004</v>
      </c>
      <c r="AL29" s="82"/>
      <c r="AO29" s="83"/>
      <c r="AP29" s="82"/>
      <c r="AS29" s="83"/>
      <c r="AW29" s="83"/>
      <c r="BA29" s="84"/>
    </row>
    <row r="30" spans="1:53" s="238" customFormat="1">
      <c r="A30" s="537">
        <v>2001</v>
      </c>
      <c r="B30" s="534"/>
      <c r="C30" s="988" t="s">
        <v>1124</v>
      </c>
      <c r="D30" s="988"/>
      <c r="E30" s="537">
        <v>365</v>
      </c>
      <c r="F30" s="537"/>
      <c r="G30" s="480">
        <v>14</v>
      </c>
      <c r="H30" s="537"/>
      <c r="I30" s="537">
        <v>4</v>
      </c>
      <c r="J30" s="482">
        <v>18</v>
      </c>
      <c r="K30" s="477">
        <f t="shared" si="0"/>
        <v>77.777777777777786</v>
      </c>
      <c r="L30" s="477">
        <f t="shared" si="1"/>
        <v>0</v>
      </c>
      <c r="M30" s="477">
        <f t="shared" si="2"/>
        <v>22.222222222222221</v>
      </c>
      <c r="N30" s="481">
        <f t="shared" si="3"/>
        <v>100</v>
      </c>
      <c r="O30" s="476">
        <v>42.7</v>
      </c>
      <c r="P30" s="477"/>
      <c r="Q30" s="477">
        <v>12.4</v>
      </c>
      <c r="R30" s="478">
        <f t="shared" si="4"/>
        <v>55.1</v>
      </c>
      <c r="S30" s="537">
        <v>3</v>
      </c>
      <c r="T30" s="479"/>
      <c r="U30" s="534"/>
      <c r="V30" s="82" t="s">
        <v>1126</v>
      </c>
      <c r="W30" s="238" t="s">
        <v>79</v>
      </c>
      <c r="X30" s="238" t="s">
        <v>11</v>
      </c>
      <c r="Y30" s="83">
        <v>38.299999999999997</v>
      </c>
      <c r="Z30" s="238" t="s">
        <v>1121</v>
      </c>
      <c r="AA30" s="238" t="s">
        <v>880</v>
      </c>
      <c r="AB30" s="238" t="s">
        <v>12</v>
      </c>
      <c r="AC30" s="238">
        <v>12.4</v>
      </c>
      <c r="AD30" s="82" t="s">
        <v>1120</v>
      </c>
      <c r="AE30" s="238" t="s">
        <v>74</v>
      </c>
      <c r="AF30" s="238" t="s">
        <v>11</v>
      </c>
      <c r="AG30" s="83">
        <v>4.4000000000000004</v>
      </c>
      <c r="AL30" s="82"/>
      <c r="AO30" s="83"/>
      <c r="AP30" s="82"/>
      <c r="AS30" s="83"/>
      <c r="AW30" s="83"/>
      <c r="BA30" s="84"/>
    </row>
    <row r="31" spans="1:53" s="238" customFormat="1">
      <c r="A31" s="537">
        <v>2002</v>
      </c>
      <c r="B31" s="534"/>
      <c r="C31" s="988" t="s">
        <v>1124</v>
      </c>
      <c r="D31" s="988"/>
      <c r="E31" s="537">
        <v>146</v>
      </c>
      <c r="F31" s="537"/>
      <c r="G31" s="480">
        <v>14</v>
      </c>
      <c r="H31" s="537"/>
      <c r="I31" s="537">
        <v>4</v>
      </c>
      <c r="J31" s="482">
        <v>18</v>
      </c>
      <c r="K31" s="477">
        <f t="shared" si="0"/>
        <v>77.777777777777786</v>
      </c>
      <c r="L31" s="477">
        <f t="shared" si="1"/>
        <v>0</v>
      </c>
      <c r="M31" s="477">
        <f t="shared" si="2"/>
        <v>22.222222222222221</v>
      </c>
      <c r="N31" s="481">
        <f t="shared" si="3"/>
        <v>100</v>
      </c>
      <c r="O31" s="476">
        <v>42.7</v>
      </c>
      <c r="P31" s="477"/>
      <c r="Q31" s="477">
        <v>12.4</v>
      </c>
      <c r="R31" s="478">
        <f t="shared" si="4"/>
        <v>55.1</v>
      </c>
      <c r="S31" s="537">
        <v>3</v>
      </c>
      <c r="T31" s="479"/>
      <c r="U31" s="534"/>
      <c r="V31" s="82" t="s">
        <v>1126</v>
      </c>
      <c r="W31" s="238" t="s">
        <v>79</v>
      </c>
      <c r="X31" s="238" t="s">
        <v>11</v>
      </c>
      <c r="Y31" s="83">
        <v>38.299999999999997</v>
      </c>
      <c r="Z31" s="238" t="s">
        <v>1121</v>
      </c>
      <c r="AA31" s="238" t="s">
        <v>880</v>
      </c>
      <c r="AB31" s="238" t="s">
        <v>12</v>
      </c>
      <c r="AC31" s="238">
        <v>12.4</v>
      </c>
      <c r="AD31" s="82" t="s">
        <v>1120</v>
      </c>
      <c r="AE31" s="238" t="s">
        <v>74</v>
      </c>
      <c r="AF31" s="238" t="s">
        <v>11</v>
      </c>
      <c r="AG31" s="83">
        <v>4.4000000000000004</v>
      </c>
      <c r="AL31" s="82"/>
      <c r="AO31" s="83"/>
      <c r="AP31" s="82"/>
      <c r="AS31" s="83"/>
      <c r="AW31" s="83"/>
      <c r="BA31" s="84"/>
    </row>
    <row r="32" spans="1:53" s="334" customFormat="1">
      <c r="A32" s="538">
        <v>2002</v>
      </c>
      <c r="B32" s="535">
        <v>37403</v>
      </c>
      <c r="C32" s="992" t="s">
        <v>1115</v>
      </c>
      <c r="D32" s="992"/>
      <c r="E32" s="538">
        <v>219</v>
      </c>
      <c r="F32" s="538">
        <v>1</v>
      </c>
      <c r="G32" s="497">
        <v>4</v>
      </c>
      <c r="H32" s="538"/>
      <c r="I32" s="538">
        <v>11</v>
      </c>
      <c r="J32" s="499">
        <v>15</v>
      </c>
      <c r="K32" s="495">
        <f t="shared" si="0"/>
        <v>26.666666666666668</v>
      </c>
      <c r="L32" s="495">
        <f t="shared" si="1"/>
        <v>0</v>
      </c>
      <c r="M32" s="495">
        <f t="shared" si="2"/>
        <v>73.333333333333329</v>
      </c>
      <c r="N32" s="498">
        <f t="shared" si="3"/>
        <v>100</v>
      </c>
      <c r="O32" s="494">
        <v>5.2</v>
      </c>
      <c r="P32" s="495"/>
      <c r="Q32" s="495">
        <v>46.1</v>
      </c>
      <c r="R32" s="496">
        <f t="shared" si="4"/>
        <v>51.300000000000004</v>
      </c>
      <c r="S32" s="538">
        <v>2</v>
      </c>
      <c r="T32" s="487">
        <v>37367</v>
      </c>
      <c r="U32" s="535">
        <v>37403</v>
      </c>
      <c r="V32" s="343" t="s">
        <v>1123</v>
      </c>
      <c r="W32" s="334" t="s">
        <v>20</v>
      </c>
      <c r="X32" s="334" t="s">
        <v>12</v>
      </c>
      <c r="Y32" s="344">
        <v>46.1</v>
      </c>
      <c r="Z32" s="334" t="s">
        <v>1127</v>
      </c>
      <c r="AA32" s="334" t="s">
        <v>22</v>
      </c>
      <c r="AB32" s="334" t="s">
        <v>11</v>
      </c>
      <c r="AC32" s="334">
        <v>5.2</v>
      </c>
      <c r="AD32" s="343"/>
      <c r="AG32" s="344"/>
      <c r="AL32" s="343"/>
      <c r="AO32" s="344"/>
      <c r="AP32" s="343"/>
      <c r="AS32" s="344"/>
      <c r="AW32" s="344"/>
      <c r="BA32" s="345"/>
    </row>
    <row r="33" spans="1:53" s="334" customFormat="1">
      <c r="A33" s="538">
        <v>2003</v>
      </c>
      <c r="B33" s="535"/>
      <c r="C33" s="992" t="s">
        <v>1115</v>
      </c>
      <c r="D33" s="992"/>
      <c r="E33" s="538">
        <v>134</v>
      </c>
      <c r="F33" s="538"/>
      <c r="G33" s="497">
        <v>4</v>
      </c>
      <c r="H33" s="538"/>
      <c r="I33" s="538">
        <v>11</v>
      </c>
      <c r="J33" s="499">
        <v>15</v>
      </c>
      <c r="K33" s="495">
        <f t="shared" si="0"/>
        <v>26.666666666666668</v>
      </c>
      <c r="L33" s="495">
        <f t="shared" si="1"/>
        <v>0</v>
      </c>
      <c r="M33" s="495">
        <f t="shared" si="2"/>
        <v>73.333333333333329</v>
      </c>
      <c r="N33" s="498">
        <f t="shared" si="3"/>
        <v>100</v>
      </c>
      <c r="O33" s="494">
        <v>5.2</v>
      </c>
      <c r="P33" s="495"/>
      <c r="Q33" s="495">
        <v>46.1</v>
      </c>
      <c r="R33" s="496">
        <f t="shared" si="4"/>
        <v>51.300000000000004</v>
      </c>
      <c r="S33" s="538">
        <v>2</v>
      </c>
      <c r="T33" s="487"/>
      <c r="U33" s="535"/>
      <c r="V33" s="343" t="s">
        <v>1123</v>
      </c>
      <c r="W33" s="334" t="s">
        <v>20</v>
      </c>
      <c r="X33" s="334" t="s">
        <v>12</v>
      </c>
      <c r="Y33" s="344">
        <v>46.1</v>
      </c>
      <c r="Z33" s="334" t="s">
        <v>1127</v>
      </c>
      <c r="AA33" s="334" t="s">
        <v>22</v>
      </c>
      <c r="AB33" s="334" t="s">
        <v>11</v>
      </c>
      <c r="AC33" s="334">
        <v>5.2</v>
      </c>
      <c r="AD33" s="343"/>
      <c r="AG33" s="344"/>
      <c r="AL33" s="343"/>
      <c r="AO33" s="344"/>
      <c r="AP33" s="343"/>
      <c r="AS33" s="344"/>
      <c r="AW33" s="344"/>
      <c r="BA33" s="345"/>
    </row>
    <row r="34" spans="1:53" s="334" customFormat="1">
      <c r="A34" s="538">
        <v>2003</v>
      </c>
      <c r="B34" s="502">
        <v>37756</v>
      </c>
      <c r="C34" s="992" t="s">
        <v>1115</v>
      </c>
      <c r="D34" s="992"/>
      <c r="E34" s="538">
        <v>231</v>
      </c>
      <c r="F34" s="501">
        <v>0</v>
      </c>
      <c r="G34" s="497">
        <v>4</v>
      </c>
      <c r="H34" s="538"/>
      <c r="I34" s="538">
        <v>13</v>
      </c>
      <c r="J34" s="499">
        <v>17</v>
      </c>
      <c r="K34" s="495">
        <f t="shared" si="0"/>
        <v>23.52941176470588</v>
      </c>
      <c r="L34" s="495">
        <f t="shared" si="1"/>
        <v>0</v>
      </c>
      <c r="M34" s="495">
        <f t="shared" si="2"/>
        <v>76.470588235294116</v>
      </c>
      <c r="N34" s="498">
        <f t="shared" si="3"/>
        <v>100</v>
      </c>
      <c r="O34" s="494">
        <v>5.2</v>
      </c>
      <c r="P34" s="495"/>
      <c r="Q34" s="495">
        <v>46.1</v>
      </c>
      <c r="R34" s="496">
        <f t="shared" si="4"/>
        <v>51.300000000000004</v>
      </c>
      <c r="S34" s="538">
        <v>2</v>
      </c>
      <c r="T34" s="487"/>
      <c r="U34" s="535"/>
      <c r="V34" s="343" t="s">
        <v>1123</v>
      </c>
      <c r="W34" s="334" t="s">
        <v>20</v>
      </c>
      <c r="X34" s="334" t="s">
        <v>12</v>
      </c>
      <c r="Y34" s="344">
        <v>46.1</v>
      </c>
      <c r="Z34" s="334" t="s">
        <v>1127</v>
      </c>
      <c r="AA34" s="334" t="s">
        <v>22</v>
      </c>
      <c r="AB34" s="334" t="s">
        <v>11</v>
      </c>
      <c r="AC34" s="334">
        <v>5.2</v>
      </c>
      <c r="AD34" s="343"/>
      <c r="AG34" s="344"/>
      <c r="AL34" s="343"/>
      <c r="AO34" s="344"/>
      <c r="AP34" s="343"/>
      <c r="AS34" s="344"/>
      <c r="AW34" s="344"/>
      <c r="BA34" s="345"/>
    </row>
    <row r="35" spans="1:53" s="334" customFormat="1">
      <c r="A35" s="538">
        <v>2004</v>
      </c>
      <c r="B35" s="535"/>
      <c r="C35" s="992" t="s">
        <v>1115</v>
      </c>
      <c r="D35" s="992"/>
      <c r="E35" s="538">
        <v>272</v>
      </c>
      <c r="F35" s="538"/>
      <c r="G35" s="497">
        <v>4</v>
      </c>
      <c r="H35" s="538"/>
      <c r="I35" s="538">
        <v>13</v>
      </c>
      <c r="J35" s="499">
        <v>17</v>
      </c>
      <c r="K35" s="495">
        <f t="shared" si="0"/>
        <v>23.52941176470588</v>
      </c>
      <c r="L35" s="495">
        <f t="shared" si="1"/>
        <v>0</v>
      </c>
      <c r="M35" s="495">
        <f t="shared" si="2"/>
        <v>76.470588235294116</v>
      </c>
      <c r="N35" s="498">
        <f t="shared" si="3"/>
        <v>100</v>
      </c>
      <c r="O35" s="494">
        <v>5.2</v>
      </c>
      <c r="P35" s="495"/>
      <c r="Q35" s="495">
        <v>46.1</v>
      </c>
      <c r="R35" s="496">
        <f t="shared" si="4"/>
        <v>51.300000000000004</v>
      </c>
      <c r="S35" s="538">
        <v>2</v>
      </c>
      <c r="T35" s="487"/>
      <c r="U35" s="535"/>
      <c r="V35" s="343" t="s">
        <v>1123</v>
      </c>
      <c r="W35" s="334" t="s">
        <v>20</v>
      </c>
      <c r="X35" s="334" t="s">
        <v>12</v>
      </c>
      <c r="Y35" s="344">
        <v>46.1</v>
      </c>
      <c r="Z35" s="334" t="s">
        <v>1127</v>
      </c>
      <c r="AA35" s="334" t="s">
        <v>22</v>
      </c>
      <c r="AB35" s="334" t="s">
        <v>11</v>
      </c>
      <c r="AC35" s="334">
        <v>5.2</v>
      </c>
      <c r="AD35" s="343"/>
      <c r="AG35" s="344"/>
      <c r="AL35" s="343"/>
      <c r="AO35" s="344"/>
      <c r="AP35" s="343"/>
      <c r="AS35" s="344"/>
      <c r="AW35" s="344"/>
      <c r="BA35" s="345"/>
    </row>
    <row r="36" spans="1:53" s="238" customFormat="1">
      <c r="A36" s="537">
        <v>2004</v>
      </c>
      <c r="B36" s="121">
        <v>38259</v>
      </c>
      <c r="C36" s="988" t="s">
        <v>1116</v>
      </c>
      <c r="D36" s="988"/>
      <c r="E36" s="537">
        <v>94</v>
      </c>
      <c r="F36" s="537">
        <v>2</v>
      </c>
      <c r="G36" s="547">
        <v>4</v>
      </c>
      <c r="H36" s="327"/>
      <c r="I36" s="327">
        <v>14</v>
      </c>
      <c r="J36" s="548">
        <v>18</v>
      </c>
      <c r="K36" s="477">
        <f t="shared" si="0"/>
        <v>22.222222222222221</v>
      </c>
      <c r="L36" s="477">
        <f t="shared" si="1"/>
        <v>0</v>
      </c>
      <c r="M36" s="477">
        <f t="shared" si="2"/>
        <v>77.777777777777786</v>
      </c>
      <c r="N36" s="481">
        <f t="shared" si="3"/>
        <v>100</v>
      </c>
      <c r="O36" s="476">
        <v>5.2</v>
      </c>
      <c r="P36" s="477"/>
      <c r="Q36" s="477">
        <v>46.1</v>
      </c>
      <c r="R36" s="478">
        <f>SUM(O36:Q36)</f>
        <v>51.300000000000004</v>
      </c>
      <c r="S36" s="537">
        <v>2</v>
      </c>
      <c r="T36" s="479"/>
      <c r="U36" s="534">
        <v>38259</v>
      </c>
      <c r="V36" s="82" t="s">
        <v>1123</v>
      </c>
      <c r="W36" s="238" t="s">
        <v>20</v>
      </c>
      <c r="X36" s="238" t="s">
        <v>12</v>
      </c>
      <c r="Y36" s="83">
        <v>46.1</v>
      </c>
      <c r="Z36" s="238" t="s">
        <v>1127</v>
      </c>
      <c r="AA36" s="238" t="s">
        <v>22</v>
      </c>
      <c r="AB36" s="238" t="s">
        <v>11</v>
      </c>
      <c r="AC36" s="238">
        <v>5.2</v>
      </c>
      <c r="AD36" s="82"/>
      <c r="AG36" s="83"/>
      <c r="AL36" s="82"/>
      <c r="AO36" s="83"/>
      <c r="AP36" s="82"/>
      <c r="AS36" s="83"/>
      <c r="AW36" s="83"/>
      <c r="BA36" s="84"/>
    </row>
    <row r="37" spans="1:53" s="238" customFormat="1">
      <c r="A37" s="537">
        <v>2005</v>
      </c>
      <c r="B37" s="121"/>
      <c r="C37" s="988" t="s">
        <v>1116</v>
      </c>
      <c r="D37" s="988"/>
      <c r="E37" s="537">
        <v>0</v>
      </c>
      <c r="F37" s="537"/>
      <c r="G37" s="547">
        <v>4</v>
      </c>
      <c r="H37" s="327"/>
      <c r="I37" s="327">
        <v>14</v>
      </c>
      <c r="J37" s="548">
        <v>18</v>
      </c>
      <c r="K37" s="477">
        <f t="shared" si="0"/>
        <v>22.222222222222221</v>
      </c>
      <c r="L37" s="477">
        <f t="shared" si="1"/>
        <v>0</v>
      </c>
      <c r="M37" s="477">
        <f t="shared" si="2"/>
        <v>77.777777777777786</v>
      </c>
      <c r="N37" s="481">
        <f t="shared" si="3"/>
        <v>100</v>
      </c>
      <c r="O37" s="476">
        <v>5.2</v>
      </c>
      <c r="P37" s="477"/>
      <c r="Q37" s="477">
        <v>46.1</v>
      </c>
      <c r="R37" s="478">
        <f t="shared" ref="R37:R56" si="5">SUM(O37:Q37)</f>
        <v>51.300000000000004</v>
      </c>
      <c r="S37" s="537">
        <v>2</v>
      </c>
      <c r="T37" s="479"/>
      <c r="U37" s="534"/>
      <c r="V37" s="82" t="s">
        <v>1123</v>
      </c>
      <c r="W37" s="238" t="s">
        <v>20</v>
      </c>
      <c r="X37" s="238" t="s">
        <v>12</v>
      </c>
      <c r="Y37" s="83">
        <v>46.1</v>
      </c>
      <c r="Z37" s="238" t="s">
        <v>1127</v>
      </c>
      <c r="AA37" s="238" t="s">
        <v>22</v>
      </c>
      <c r="AB37" s="238" t="s">
        <v>11</v>
      </c>
      <c r="AC37" s="238">
        <v>5.2</v>
      </c>
      <c r="AD37" s="82"/>
      <c r="AG37" s="83"/>
      <c r="AL37" s="82"/>
      <c r="AO37" s="83"/>
      <c r="AP37" s="82"/>
      <c r="AS37" s="83"/>
      <c r="AW37" s="83"/>
      <c r="BA37" s="84"/>
    </row>
    <row r="38" spans="1:53" s="238" customFormat="1">
      <c r="A38" s="537">
        <v>2005</v>
      </c>
      <c r="B38" s="121"/>
      <c r="C38" s="988" t="s">
        <v>1116</v>
      </c>
      <c r="D38" s="988"/>
      <c r="E38" s="537">
        <v>365</v>
      </c>
      <c r="F38" s="537"/>
      <c r="G38" s="547">
        <v>4</v>
      </c>
      <c r="H38" s="327"/>
      <c r="I38" s="327">
        <v>14</v>
      </c>
      <c r="J38" s="548">
        <v>18</v>
      </c>
      <c r="K38" s="477">
        <f t="shared" si="0"/>
        <v>22.222222222222221</v>
      </c>
      <c r="L38" s="477">
        <f t="shared" si="1"/>
        <v>0</v>
      </c>
      <c r="M38" s="477">
        <f t="shared" si="2"/>
        <v>77.777777777777786</v>
      </c>
      <c r="N38" s="481">
        <f t="shared" si="3"/>
        <v>100</v>
      </c>
      <c r="O38" s="476">
        <v>5.2</v>
      </c>
      <c r="P38" s="477"/>
      <c r="Q38" s="477">
        <v>46.1</v>
      </c>
      <c r="R38" s="478">
        <f t="shared" si="5"/>
        <v>51.300000000000004</v>
      </c>
      <c r="S38" s="537">
        <v>2</v>
      </c>
      <c r="T38" s="479"/>
      <c r="U38" s="534"/>
      <c r="V38" s="82" t="s">
        <v>1123</v>
      </c>
      <c r="W38" s="238" t="s">
        <v>20</v>
      </c>
      <c r="X38" s="238" t="s">
        <v>12</v>
      </c>
      <c r="Y38" s="83">
        <v>46.1</v>
      </c>
      <c r="Z38" s="238" t="s">
        <v>1127</v>
      </c>
      <c r="AA38" s="238" t="s">
        <v>22</v>
      </c>
      <c r="AB38" s="238" t="s">
        <v>11</v>
      </c>
      <c r="AC38" s="238">
        <v>5.2</v>
      </c>
      <c r="AD38" s="82"/>
      <c r="AG38" s="83"/>
      <c r="AL38" s="82"/>
      <c r="AO38" s="83"/>
      <c r="AP38" s="82"/>
      <c r="AS38" s="83"/>
      <c r="AW38" s="83"/>
      <c r="BA38" s="84"/>
    </row>
    <row r="39" spans="1:53" s="238" customFormat="1">
      <c r="A39" s="537">
        <v>2006</v>
      </c>
      <c r="B39" s="121"/>
      <c r="C39" s="988" t="s">
        <v>1116</v>
      </c>
      <c r="D39" s="988"/>
      <c r="E39" s="537">
        <v>159</v>
      </c>
      <c r="F39" s="537"/>
      <c r="G39" s="547">
        <v>4</v>
      </c>
      <c r="H39" s="327"/>
      <c r="I39" s="327">
        <v>14</v>
      </c>
      <c r="J39" s="548">
        <v>18</v>
      </c>
      <c r="K39" s="477">
        <f t="shared" si="0"/>
        <v>22.222222222222221</v>
      </c>
      <c r="L39" s="477">
        <f t="shared" si="1"/>
        <v>0</v>
      </c>
      <c r="M39" s="477">
        <f t="shared" si="2"/>
        <v>77.777777777777786</v>
      </c>
      <c r="N39" s="481">
        <f t="shared" si="3"/>
        <v>100</v>
      </c>
      <c r="O39" s="476">
        <v>5.2</v>
      </c>
      <c r="P39" s="477"/>
      <c r="Q39" s="477">
        <v>46.1</v>
      </c>
      <c r="R39" s="478">
        <f t="shared" si="5"/>
        <v>51.300000000000004</v>
      </c>
      <c r="S39" s="537">
        <v>2</v>
      </c>
      <c r="T39" s="479"/>
      <c r="U39" s="534"/>
      <c r="V39" s="82" t="s">
        <v>1123</v>
      </c>
      <c r="W39" s="238" t="s">
        <v>20</v>
      </c>
      <c r="X39" s="238" t="s">
        <v>12</v>
      </c>
      <c r="Y39" s="83">
        <v>46.1</v>
      </c>
      <c r="Z39" s="238" t="s">
        <v>1127</v>
      </c>
      <c r="AA39" s="238" t="s">
        <v>22</v>
      </c>
      <c r="AB39" s="238" t="s">
        <v>11</v>
      </c>
      <c r="AC39" s="238">
        <v>5.2</v>
      </c>
      <c r="AD39" s="82"/>
      <c r="AG39" s="83"/>
      <c r="AL39" s="82"/>
      <c r="AO39" s="83"/>
      <c r="AP39" s="82"/>
      <c r="AS39" s="83"/>
      <c r="AW39" s="83"/>
      <c r="BA39" s="84"/>
    </row>
    <row r="40" spans="1:53" s="334" customFormat="1">
      <c r="A40" s="538">
        <v>2006</v>
      </c>
      <c r="B40" s="335">
        <v>38877</v>
      </c>
      <c r="C40" s="992" t="s">
        <v>1117</v>
      </c>
      <c r="D40" s="992"/>
      <c r="E40" s="538">
        <v>206</v>
      </c>
      <c r="F40" s="538">
        <v>1</v>
      </c>
      <c r="G40" s="549">
        <v>3</v>
      </c>
      <c r="H40" s="550"/>
      <c r="I40" s="550">
        <v>10</v>
      </c>
      <c r="J40" s="551">
        <v>13</v>
      </c>
      <c r="K40" s="495">
        <f t="shared" si="0"/>
        <v>23.076923076923077</v>
      </c>
      <c r="L40" s="495">
        <f t="shared" si="1"/>
        <v>0</v>
      </c>
      <c r="M40" s="495">
        <f t="shared" si="2"/>
        <v>76.923076923076934</v>
      </c>
      <c r="N40" s="498">
        <f t="shared" si="3"/>
        <v>100.00000000000001</v>
      </c>
      <c r="O40" s="494">
        <v>5.3</v>
      </c>
      <c r="P40" s="495"/>
      <c r="Q40" s="495">
        <v>49.2</v>
      </c>
      <c r="R40" s="496">
        <f t="shared" si="5"/>
        <v>54.5</v>
      </c>
      <c r="S40" s="538">
        <v>2</v>
      </c>
      <c r="T40" s="487">
        <v>38830</v>
      </c>
      <c r="U40" s="535">
        <v>38877</v>
      </c>
      <c r="V40" s="343" t="s">
        <v>1123</v>
      </c>
      <c r="W40" s="334" t="s">
        <v>20</v>
      </c>
      <c r="X40" s="334" t="s">
        <v>12</v>
      </c>
      <c r="Y40" s="344">
        <v>49.2</v>
      </c>
      <c r="Z40" s="334" t="s">
        <v>1127</v>
      </c>
      <c r="AA40" s="334" t="s">
        <v>22</v>
      </c>
      <c r="AB40" s="334" t="s">
        <v>11</v>
      </c>
      <c r="AC40" s="334">
        <v>5.2</v>
      </c>
      <c r="AD40" s="343"/>
      <c r="AG40" s="344"/>
      <c r="AL40" s="343"/>
      <c r="AO40" s="344"/>
      <c r="AP40" s="343"/>
      <c r="AS40" s="344"/>
      <c r="AW40" s="344"/>
      <c r="BA40" s="345"/>
    </row>
    <row r="41" spans="1:53" s="334" customFormat="1">
      <c r="A41" s="538">
        <v>2007</v>
      </c>
      <c r="B41" s="335"/>
      <c r="C41" s="992" t="s">
        <v>1117</v>
      </c>
      <c r="D41" s="992"/>
      <c r="E41" s="538">
        <v>181</v>
      </c>
      <c r="F41" s="538"/>
      <c r="G41" s="549">
        <v>3</v>
      </c>
      <c r="H41" s="550"/>
      <c r="I41" s="550">
        <v>10</v>
      </c>
      <c r="J41" s="551">
        <v>13</v>
      </c>
      <c r="K41" s="495">
        <f t="shared" si="0"/>
        <v>23.076923076923077</v>
      </c>
      <c r="L41" s="495">
        <f t="shared" si="1"/>
        <v>0</v>
      </c>
      <c r="M41" s="495">
        <f t="shared" si="2"/>
        <v>76.923076923076934</v>
      </c>
      <c r="N41" s="498">
        <f t="shared" si="3"/>
        <v>100.00000000000001</v>
      </c>
      <c r="O41" s="494">
        <v>5.3</v>
      </c>
      <c r="P41" s="495"/>
      <c r="Q41" s="495">
        <v>49.2</v>
      </c>
      <c r="R41" s="496">
        <f t="shared" si="5"/>
        <v>54.5</v>
      </c>
      <c r="S41" s="538">
        <v>2</v>
      </c>
      <c r="T41" s="487"/>
      <c r="U41" s="535"/>
      <c r="V41" s="343" t="s">
        <v>1123</v>
      </c>
      <c r="W41" s="334" t="s">
        <v>20</v>
      </c>
      <c r="X41" s="334" t="s">
        <v>12</v>
      </c>
      <c r="Y41" s="344">
        <v>49.2</v>
      </c>
      <c r="Z41" s="334" t="s">
        <v>1127</v>
      </c>
      <c r="AA41" s="334" t="s">
        <v>22</v>
      </c>
      <c r="AB41" s="334" t="s">
        <v>11</v>
      </c>
      <c r="AC41" s="334">
        <v>5.2</v>
      </c>
      <c r="AD41" s="343"/>
      <c r="AG41" s="344"/>
      <c r="AL41" s="343"/>
      <c r="AO41" s="344"/>
      <c r="AP41" s="343"/>
      <c r="AS41" s="344"/>
      <c r="AW41" s="344"/>
      <c r="BA41" s="345"/>
    </row>
    <row r="42" spans="1:53" s="334" customFormat="1">
      <c r="A42" s="538">
        <v>2007</v>
      </c>
      <c r="B42" s="440">
        <v>39264</v>
      </c>
      <c r="C42" s="992" t="s">
        <v>1117</v>
      </c>
      <c r="D42" s="992"/>
      <c r="E42" s="538">
        <v>184</v>
      </c>
      <c r="F42" s="501">
        <v>0</v>
      </c>
      <c r="G42" s="549">
        <v>3</v>
      </c>
      <c r="H42" s="550"/>
      <c r="I42" s="550">
        <v>12</v>
      </c>
      <c r="J42" s="551">
        <v>15</v>
      </c>
      <c r="K42" s="495">
        <f t="shared" si="0"/>
        <v>20</v>
      </c>
      <c r="L42" s="495">
        <f>H42/J42*100</f>
        <v>0</v>
      </c>
      <c r="M42" s="495">
        <f t="shared" si="2"/>
        <v>80</v>
      </c>
      <c r="N42" s="498">
        <f t="shared" si="3"/>
        <v>100</v>
      </c>
      <c r="O42" s="494">
        <v>5.3</v>
      </c>
      <c r="P42" s="495"/>
      <c r="Q42" s="495">
        <v>49.2</v>
      </c>
      <c r="R42" s="496">
        <f t="shared" si="5"/>
        <v>54.5</v>
      </c>
      <c r="S42" s="538">
        <v>2</v>
      </c>
      <c r="T42" s="487"/>
      <c r="U42" s="535"/>
      <c r="V42" s="343" t="s">
        <v>1123</v>
      </c>
      <c r="W42" s="334" t="s">
        <v>20</v>
      </c>
      <c r="X42" s="334" t="s">
        <v>12</v>
      </c>
      <c r="Y42" s="344">
        <v>49.2</v>
      </c>
      <c r="Z42" s="334" t="s">
        <v>1127</v>
      </c>
      <c r="AA42" s="334" t="s">
        <v>22</v>
      </c>
      <c r="AB42" s="334" t="s">
        <v>11</v>
      </c>
      <c r="AC42" s="334">
        <v>5.2</v>
      </c>
      <c r="AD42" s="343"/>
      <c r="AG42" s="344"/>
      <c r="AL42" s="343"/>
      <c r="AO42" s="344"/>
      <c r="AP42" s="343"/>
      <c r="AS42" s="344"/>
      <c r="AW42" s="344"/>
      <c r="BA42" s="345"/>
    </row>
    <row r="43" spans="1:53" s="334" customFormat="1">
      <c r="A43" s="538">
        <v>2008</v>
      </c>
      <c r="B43" s="335"/>
      <c r="C43" s="992" t="s">
        <v>1117</v>
      </c>
      <c r="D43" s="992"/>
      <c r="E43" s="538">
        <v>48</v>
      </c>
      <c r="F43" s="538"/>
      <c r="G43" s="549">
        <v>3</v>
      </c>
      <c r="H43" s="550"/>
      <c r="I43" s="550">
        <v>12</v>
      </c>
      <c r="J43" s="551">
        <v>15</v>
      </c>
      <c r="K43" s="495">
        <f>G43/J43*100</f>
        <v>20</v>
      </c>
      <c r="L43" s="495">
        <f>H43/J43*100</f>
        <v>0</v>
      </c>
      <c r="M43" s="495">
        <f>I43/J43*100</f>
        <v>80</v>
      </c>
      <c r="N43" s="498">
        <f t="shared" si="3"/>
        <v>100</v>
      </c>
      <c r="O43" s="494">
        <v>5.3</v>
      </c>
      <c r="P43" s="495"/>
      <c r="Q43" s="495">
        <v>49.2</v>
      </c>
      <c r="R43" s="496">
        <f t="shared" si="5"/>
        <v>54.5</v>
      </c>
      <c r="S43" s="538">
        <v>2</v>
      </c>
      <c r="T43" s="487"/>
      <c r="U43" s="535"/>
      <c r="V43" s="343" t="s">
        <v>1123</v>
      </c>
      <c r="W43" s="334" t="s">
        <v>20</v>
      </c>
      <c r="X43" s="334" t="s">
        <v>12</v>
      </c>
      <c r="Y43" s="344">
        <v>49.2</v>
      </c>
      <c r="Z43" s="334" t="s">
        <v>1127</v>
      </c>
      <c r="AA43" s="334" t="s">
        <v>22</v>
      </c>
      <c r="AB43" s="334" t="s">
        <v>11</v>
      </c>
      <c r="AC43" s="334">
        <v>5.2</v>
      </c>
      <c r="AD43" s="343"/>
      <c r="AG43" s="344"/>
      <c r="AL43" s="343"/>
      <c r="AO43" s="344"/>
      <c r="AP43" s="343"/>
      <c r="AS43" s="344"/>
      <c r="AW43" s="344"/>
      <c r="BA43" s="345"/>
    </row>
    <row r="44" spans="1:53" s="334" customFormat="1">
      <c r="A44" s="538">
        <v>2008</v>
      </c>
      <c r="B44" s="440">
        <v>39496</v>
      </c>
      <c r="C44" s="992" t="s">
        <v>1117</v>
      </c>
      <c r="D44" s="992"/>
      <c r="E44" s="538">
        <v>74</v>
      </c>
      <c r="F44" s="501">
        <v>0</v>
      </c>
      <c r="G44" s="549">
        <v>3</v>
      </c>
      <c r="H44" s="550"/>
      <c r="I44" s="550">
        <v>11</v>
      </c>
      <c r="J44" s="551">
        <v>14</v>
      </c>
      <c r="K44" s="495">
        <f t="shared" si="0"/>
        <v>21.428571428571427</v>
      </c>
      <c r="L44" s="495">
        <f t="shared" si="1"/>
        <v>0</v>
      </c>
      <c r="M44" s="495">
        <f t="shared" si="2"/>
        <v>78.571428571428569</v>
      </c>
      <c r="N44" s="498">
        <f t="shared" si="3"/>
        <v>100</v>
      </c>
      <c r="O44" s="494">
        <v>5.3</v>
      </c>
      <c r="P44" s="495"/>
      <c r="Q44" s="495">
        <v>49.2</v>
      </c>
      <c r="R44" s="496">
        <f t="shared" si="5"/>
        <v>54.5</v>
      </c>
      <c r="S44" s="538">
        <v>2</v>
      </c>
      <c r="T44" s="487"/>
      <c r="U44" s="535"/>
      <c r="V44" s="343" t="s">
        <v>1123</v>
      </c>
      <c r="W44" s="334" t="s">
        <v>20</v>
      </c>
      <c r="X44" s="334" t="s">
        <v>12</v>
      </c>
      <c r="Y44" s="344">
        <v>49.2</v>
      </c>
      <c r="Z44" s="334" t="s">
        <v>1127</v>
      </c>
      <c r="AA44" s="334" t="s">
        <v>22</v>
      </c>
      <c r="AB44" s="334" t="s">
        <v>11</v>
      </c>
      <c r="AC44" s="334">
        <v>5.2</v>
      </c>
      <c r="AD44" s="343"/>
      <c r="AG44" s="344"/>
      <c r="AL44" s="343"/>
      <c r="AO44" s="344"/>
      <c r="AP44" s="343"/>
      <c r="AS44" s="344"/>
      <c r="AW44" s="344"/>
      <c r="BA44" s="345"/>
    </row>
    <row r="45" spans="1:53" s="238" customFormat="1">
      <c r="A45" s="537">
        <v>2008</v>
      </c>
      <c r="B45" s="121">
        <v>39570</v>
      </c>
      <c r="C45" s="988" t="s">
        <v>1118</v>
      </c>
      <c r="D45" s="988"/>
      <c r="E45" s="537">
        <v>244</v>
      </c>
      <c r="F45" s="537">
        <v>4</v>
      </c>
      <c r="G45" s="547"/>
      <c r="H45" s="327"/>
      <c r="I45" s="327">
        <v>16</v>
      </c>
      <c r="J45" s="548">
        <v>16</v>
      </c>
      <c r="K45" s="477">
        <f t="shared" si="0"/>
        <v>0</v>
      </c>
      <c r="L45" s="477">
        <f t="shared" si="1"/>
        <v>0</v>
      </c>
      <c r="M45" s="477">
        <f t="shared" si="2"/>
        <v>100</v>
      </c>
      <c r="N45" s="481">
        <f t="shared" si="3"/>
        <v>100</v>
      </c>
      <c r="O45" s="476"/>
      <c r="P45" s="477"/>
      <c r="Q45" s="477">
        <v>49.2</v>
      </c>
      <c r="R45" s="478">
        <f t="shared" si="5"/>
        <v>49.2</v>
      </c>
      <c r="S45" s="537">
        <v>4</v>
      </c>
      <c r="T45" s="479"/>
      <c r="U45" s="534">
        <v>39570</v>
      </c>
      <c r="V45" s="82" t="s">
        <v>1123</v>
      </c>
      <c r="W45" s="238" t="s">
        <v>20</v>
      </c>
      <c r="X45" s="238" t="s">
        <v>12</v>
      </c>
      <c r="Y45" s="83">
        <v>49.2</v>
      </c>
      <c r="AD45" s="82"/>
      <c r="AG45" s="83"/>
      <c r="AL45" s="82"/>
      <c r="AO45" s="83"/>
      <c r="AP45" s="82"/>
      <c r="AS45" s="83"/>
      <c r="AW45" s="83"/>
      <c r="BA45" s="84"/>
    </row>
    <row r="46" spans="1:53" s="238" customFormat="1">
      <c r="A46" s="537">
        <v>2009</v>
      </c>
      <c r="B46" s="121"/>
      <c r="C46" s="988" t="s">
        <v>1118</v>
      </c>
      <c r="D46" s="988"/>
      <c r="E46" s="537">
        <v>103</v>
      </c>
      <c r="F46" s="537"/>
      <c r="G46" s="547"/>
      <c r="H46" s="327"/>
      <c r="I46" s="327">
        <v>16</v>
      </c>
      <c r="J46" s="548">
        <v>16</v>
      </c>
      <c r="K46" s="477">
        <f t="shared" si="0"/>
        <v>0</v>
      </c>
      <c r="L46" s="477">
        <f t="shared" si="1"/>
        <v>0</v>
      </c>
      <c r="M46" s="477">
        <f t="shared" si="2"/>
        <v>100</v>
      </c>
      <c r="N46" s="481">
        <f t="shared" si="3"/>
        <v>100</v>
      </c>
      <c r="O46" s="476"/>
      <c r="P46" s="477"/>
      <c r="Q46" s="477">
        <v>49.2</v>
      </c>
      <c r="R46" s="478">
        <f t="shared" si="5"/>
        <v>49.2</v>
      </c>
      <c r="S46" s="537">
        <v>4</v>
      </c>
      <c r="T46" s="479"/>
      <c r="U46" s="534"/>
      <c r="V46" s="82" t="s">
        <v>1123</v>
      </c>
      <c r="W46" s="238" t="s">
        <v>20</v>
      </c>
      <c r="X46" s="238" t="s">
        <v>12</v>
      </c>
      <c r="Y46" s="83">
        <v>49.2</v>
      </c>
      <c r="AD46" s="82"/>
      <c r="AG46" s="83"/>
      <c r="AL46" s="82"/>
      <c r="AO46" s="83"/>
      <c r="AP46" s="82"/>
      <c r="AS46" s="83"/>
      <c r="AW46" s="83"/>
      <c r="BA46" s="84"/>
    </row>
    <row r="47" spans="1:53" s="334" customFormat="1">
      <c r="A47" s="538">
        <v>2009</v>
      </c>
      <c r="B47" s="335">
        <v>39917</v>
      </c>
      <c r="C47" s="992" t="s">
        <v>1119</v>
      </c>
      <c r="D47" s="992"/>
      <c r="E47" s="538">
        <v>262</v>
      </c>
      <c r="F47" s="538">
        <v>2</v>
      </c>
      <c r="G47" s="549"/>
      <c r="H47" s="550"/>
      <c r="I47" s="550">
        <v>16</v>
      </c>
      <c r="J47" s="551">
        <v>16</v>
      </c>
      <c r="K47" s="495">
        <f t="shared" si="0"/>
        <v>0</v>
      </c>
      <c r="L47" s="495">
        <f t="shared" si="1"/>
        <v>0</v>
      </c>
      <c r="M47" s="495">
        <f t="shared" si="2"/>
        <v>100</v>
      </c>
      <c r="N47" s="498">
        <f t="shared" si="3"/>
        <v>100</v>
      </c>
      <c r="O47" s="494"/>
      <c r="P47" s="495"/>
      <c r="Q47" s="495">
        <v>49.2</v>
      </c>
      <c r="R47" s="496">
        <f t="shared" si="5"/>
        <v>49.2</v>
      </c>
      <c r="S47" s="538">
        <v>4</v>
      </c>
      <c r="T47" s="487"/>
      <c r="U47" s="535">
        <v>39917</v>
      </c>
      <c r="V47" s="343" t="s">
        <v>1123</v>
      </c>
      <c r="W47" s="334" t="s">
        <v>20</v>
      </c>
      <c r="X47" s="334" t="s">
        <v>12</v>
      </c>
      <c r="Y47" s="344">
        <v>49.2</v>
      </c>
      <c r="AD47" s="343"/>
      <c r="AG47" s="344"/>
      <c r="AL47" s="343"/>
      <c r="AO47" s="344"/>
      <c r="AP47" s="343"/>
      <c r="AS47" s="344"/>
      <c r="AW47" s="344"/>
      <c r="BA47" s="345"/>
    </row>
    <row r="48" spans="1:53" s="334" customFormat="1">
      <c r="A48" s="538">
        <v>2010</v>
      </c>
      <c r="B48" s="335"/>
      <c r="C48" s="992" t="s">
        <v>1119</v>
      </c>
      <c r="D48" s="992"/>
      <c r="E48" s="538">
        <v>148</v>
      </c>
      <c r="F48" s="538"/>
      <c r="G48" s="549"/>
      <c r="H48" s="550"/>
      <c r="I48" s="550">
        <v>16</v>
      </c>
      <c r="J48" s="551">
        <v>16</v>
      </c>
      <c r="K48" s="495">
        <f t="shared" si="0"/>
        <v>0</v>
      </c>
      <c r="L48" s="495">
        <f t="shared" si="1"/>
        <v>0</v>
      </c>
      <c r="M48" s="495">
        <f t="shared" si="2"/>
        <v>100</v>
      </c>
      <c r="N48" s="498">
        <f t="shared" si="3"/>
        <v>100</v>
      </c>
      <c r="O48" s="494"/>
      <c r="P48" s="495"/>
      <c r="Q48" s="495">
        <v>49.2</v>
      </c>
      <c r="R48" s="496">
        <f t="shared" si="5"/>
        <v>49.2</v>
      </c>
      <c r="S48" s="538">
        <v>4</v>
      </c>
      <c r="T48" s="487"/>
      <c r="U48" s="535"/>
      <c r="V48" s="343" t="s">
        <v>1123</v>
      </c>
      <c r="W48" s="334" t="s">
        <v>20</v>
      </c>
      <c r="X48" s="334" t="s">
        <v>12</v>
      </c>
      <c r="Y48" s="344">
        <v>49.2</v>
      </c>
      <c r="AD48" s="343"/>
      <c r="AG48" s="344"/>
      <c r="AL48" s="343"/>
      <c r="AO48" s="344"/>
      <c r="AP48" s="343"/>
      <c r="AS48" s="344"/>
      <c r="AW48" s="344"/>
      <c r="BA48" s="345"/>
    </row>
    <row r="49" spans="1:53" s="238" customFormat="1">
      <c r="A49" s="537">
        <v>2010</v>
      </c>
      <c r="B49" s="121">
        <v>40327</v>
      </c>
      <c r="C49" s="988" t="s">
        <v>1125</v>
      </c>
      <c r="D49" s="988"/>
      <c r="E49" s="537">
        <v>217</v>
      </c>
      <c r="F49" s="537">
        <v>1</v>
      </c>
      <c r="G49" s="547">
        <v>7</v>
      </c>
      <c r="H49" s="327"/>
      <c r="I49" s="327"/>
      <c r="J49" s="548">
        <v>10</v>
      </c>
      <c r="K49" s="477">
        <f t="shared" si="0"/>
        <v>70</v>
      </c>
      <c r="L49" s="477">
        <f t="shared" si="1"/>
        <v>0</v>
      </c>
      <c r="M49" s="477">
        <f t="shared" si="2"/>
        <v>0</v>
      </c>
      <c r="N49" s="481">
        <f t="shared" si="3"/>
        <v>70</v>
      </c>
      <c r="O49" s="476">
        <v>68.099999999999994</v>
      </c>
      <c r="P49" s="477"/>
      <c r="Q49" s="477"/>
      <c r="R49" s="478">
        <f t="shared" si="5"/>
        <v>68.099999999999994</v>
      </c>
      <c r="S49" s="537">
        <v>1</v>
      </c>
      <c r="T49" s="479">
        <v>40293</v>
      </c>
      <c r="U49" s="534">
        <v>40327</v>
      </c>
      <c r="V49" s="82" t="s">
        <v>1126</v>
      </c>
      <c r="W49" s="238" t="s">
        <v>79</v>
      </c>
      <c r="X49" s="238" t="s">
        <v>11</v>
      </c>
      <c r="Y49" s="83">
        <v>68.099999999999994</v>
      </c>
      <c r="AD49" s="82"/>
      <c r="AG49" s="83"/>
      <c r="AL49" s="82"/>
      <c r="AO49" s="83"/>
      <c r="AP49" s="82"/>
      <c r="AS49" s="83"/>
      <c r="AW49" s="83"/>
      <c r="BA49" s="84"/>
    </row>
    <row r="50" spans="1:53" s="238" customFormat="1">
      <c r="A50" s="537">
        <v>2011</v>
      </c>
      <c r="B50" s="121"/>
      <c r="C50" s="988" t="s">
        <v>1125</v>
      </c>
      <c r="D50" s="988"/>
      <c r="E50" s="537">
        <v>356</v>
      </c>
      <c r="F50" s="537"/>
      <c r="G50" s="547">
        <v>7</v>
      </c>
      <c r="H50" s="327"/>
      <c r="I50" s="327"/>
      <c r="J50" s="548">
        <v>10</v>
      </c>
      <c r="K50" s="477">
        <f t="shared" ref="K50:K56" si="6">G50/J50*100</f>
        <v>70</v>
      </c>
      <c r="L50" s="477">
        <f t="shared" ref="L50:L56" si="7">H50/J50*100</f>
        <v>0</v>
      </c>
      <c r="M50" s="477">
        <f t="shared" ref="M50:M56" si="8">I50/J50*100</f>
        <v>0</v>
      </c>
      <c r="N50" s="481">
        <f t="shared" si="3"/>
        <v>70</v>
      </c>
      <c r="O50" s="476">
        <v>68.099999999999994</v>
      </c>
      <c r="P50" s="477"/>
      <c r="Q50" s="477"/>
      <c r="R50" s="478">
        <f t="shared" si="5"/>
        <v>68.099999999999994</v>
      </c>
      <c r="S50" s="537">
        <v>1</v>
      </c>
      <c r="T50" s="479"/>
      <c r="U50" s="534"/>
      <c r="V50" s="82" t="s">
        <v>1126</v>
      </c>
      <c r="W50" s="238" t="s">
        <v>79</v>
      </c>
      <c r="X50" s="238" t="s">
        <v>11</v>
      </c>
      <c r="Y50" s="83">
        <v>68.099999999999994</v>
      </c>
      <c r="AD50" s="82"/>
      <c r="AG50" s="83"/>
      <c r="AL50" s="82"/>
      <c r="AO50" s="83"/>
      <c r="AP50" s="82"/>
      <c r="AS50" s="83"/>
      <c r="AW50" s="83"/>
      <c r="BA50" s="84"/>
    </row>
    <row r="51" spans="1:53" s="321" customFormat="1">
      <c r="A51" s="537">
        <v>2011</v>
      </c>
      <c r="B51" s="154">
        <v>40900</v>
      </c>
      <c r="C51" s="988" t="s">
        <v>1125</v>
      </c>
      <c r="D51" s="988"/>
      <c r="E51" s="537">
        <f>365-E50</f>
        <v>9</v>
      </c>
      <c r="F51" s="484">
        <v>0</v>
      </c>
      <c r="G51" s="547">
        <v>7</v>
      </c>
      <c r="H51" s="327"/>
      <c r="I51" s="327"/>
      <c r="J51" s="548">
        <v>11</v>
      </c>
      <c r="K51" s="477">
        <f t="shared" si="6"/>
        <v>63.636363636363633</v>
      </c>
      <c r="L51" s="477">
        <f t="shared" si="7"/>
        <v>0</v>
      </c>
      <c r="M51" s="477">
        <f t="shared" si="8"/>
        <v>0</v>
      </c>
      <c r="N51" s="481">
        <f t="shared" si="3"/>
        <v>63.636363636363633</v>
      </c>
      <c r="O51" s="476">
        <v>68.099999999999994</v>
      </c>
      <c r="P51" s="477"/>
      <c r="Q51" s="477"/>
      <c r="R51" s="478">
        <f t="shared" si="5"/>
        <v>68.099999999999994</v>
      </c>
      <c r="S51" s="537">
        <v>1</v>
      </c>
      <c r="T51" s="479"/>
      <c r="U51" s="534"/>
      <c r="V51" s="82" t="s">
        <v>1126</v>
      </c>
      <c r="W51" s="321" t="s">
        <v>79</v>
      </c>
      <c r="X51" s="321" t="s">
        <v>11</v>
      </c>
      <c r="Y51" s="83">
        <v>68.099999999999994</v>
      </c>
      <c r="AD51" s="82"/>
      <c r="AG51" s="83"/>
      <c r="AL51" s="82"/>
      <c r="AO51" s="83"/>
      <c r="AP51" s="82"/>
      <c r="AS51" s="83"/>
      <c r="AW51" s="83"/>
      <c r="BA51" s="84"/>
    </row>
    <row r="52" spans="1:53" s="321" customFormat="1">
      <c r="A52" s="537">
        <v>2012</v>
      </c>
      <c r="B52" s="154"/>
      <c r="C52" s="988" t="s">
        <v>1125</v>
      </c>
      <c r="D52" s="988"/>
      <c r="E52" s="537">
        <v>134</v>
      </c>
      <c r="F52" s="484"/>
      <c r="G52" s="547">
        <v>7</v>
      </c>
      <c r="H52" s="327"/>
      <c r="I52" s="327"/>
      <c r="J52" s="548">
        <v>11</v>
      </c>
      <c r="K52" s="477">
        <f>G52/J52*100</f>
        <v>63.636363636363633</v>
      </c>
      <c r="L52" s="477">
        <f t="shared" si="7"/>
        <v>0</v>
      </c>
      <c r="M52" s="477">
        <f t="shared" si="8"/>
        <v>0</v>
      </c>
      <c r="N52" s="481">
        <f t="shared" si="3"/>
        <v>63.636363636363633</v>
      </c>
      <c r="O52" s="476">
        <v>68.099999999999994</v>
      </c>
      <c r="P52" s="477"/>
      <c r="Q52" s="477"/>
      <c r="R52" s="478">
        <f t="shared" si="5"/>
        <v>68.099999999999994</v>
      </c>
      <c r="S52" s="537">
        <v>1</v>
      </c>
      <c r="T52" s="479"/>
      <c r="U52" s="534"/>
      <c r="V52" s="82" t="s">
        <v>1126</v>
      </c>
      <c r="W52" s="321" t="s">
        <v>79</v>
      </c>
      <c r="X52" s="321" t="s">
        <v>11</v>
      </c>
      <c r="Y52" s="83">
        <v>68.099999999999994</v>
      </c>
      <c r="AD52" s="82"/>
      <c r="AG52" s="83"/>
      <c r="AL52" s="82"/>
      <c r="AO52" s="83"/>
      <c r="AP52" s="82"/>
      <c r="AS52" s="83"/>
      <c r="AW52" s="83"/>
      <c r="BA52" s="84"/>
    </row>
    <row r="53" spans="1:53" s="238" customFormat="1">
      <c r="A53" s="537">
        <v>2012</v>
      </c>
      <c r="B53" s="154">
        <v>41043</v>
      </c>
      <c r="C53" s="988" t="s">
        <v>1125</v>
      </c>
      <c r="D53" s="988"/>
      <c r="E53" s="537">
        <v>19</v>
      </c>
      <c r="F53" s="484">
        <v>0</v>
      </c>
      <c r="G53" s="547">
        <v>8</v>
      </c>
      <c r="H53" s="327"/>
      <c r="I53" s="327"/>
      <c r="J53" s="548">
        <v>11</v>
      </c>
      <c r="K53" s="477">
        <f t="shared" si="6"/>
        <v>72.727272727272734</v>
      </c>
      <c r="L53" s="477">
        <f t="shared" si="7"/>
        <v>0</v>
      </c>
      <c r="M53" s="477">
        <f t="shared" si="8"/>
        <v>0</v>
      </c>
      <c r="N53" s="481">
        <f t="shared" si="3"/>
        <v>72.727272727272734</v>
      </c>
      <c r="O53" s="476">
        <v>68.099999999999994</v>
      </c>
      <c r="P53" s="477"/>
      <c r="Q53" s="477"/>
      <c r="R53" s="478">
        <f t="shared" si="5"/>
        <v>68.099999999999994</v>
      </c>
      <c r="S53" s="537">
        <v>1</v>
      </c>
      <c r="T53" s="479"/>
      <c r="U53" s="534"/>
      <c r="V53" s="82" t="s">
        <v>1126</v>
      </c>
      <c r="W53" s="238" t="s">
        <v>79</v>
      </c>
      <c r="X53" s="238" t="s">
        <v>11</v>
      </c>
      <c r="Y53" s="83">
        <v>68.099999999999994</v>
      </c>
      <c r="AD53" s="82"/>
      <c r="AG53" s="83"/>
      <c r="AL53" s="82"/>
      <c r="AO53" s="83"/>
      <c r="AP53" s="82"/>
      <c r="AS53" s="83"/>
      <c r="AW53" s="83"/>
      <c r="BA53" s="84"/>
    </row>
    <row r="54" spans="1:53" s="321" customFormat="1">
      <c r="A54" s="537">
        <v>2012</v>
      </c>
      <c r="B54" s="154">
        <v>41062</v>
      </c>
      <c r="C54" s="988" t="s">
        <v>1125</v>
      </c>
      <c r="D54" s="988"/>
      <c r="E54" s="537">
        <f>366-E53-E52</f>
        <v>213</v>
      </c>
      <c r="F54" s="484">
        <v>0</v>
      </c>
      <c r="G54" s="547">
        <v>9</v>
      </c>
      <c r="H54" s="327"/>
      <c r="I54" s="327"/>
      <c r="J54" s="548">
        <v>11</v>
      </c>
      <c r="K54" s="477">
        <f t="shared" si="6"/>
        <v>81.818181818181827</v>
      </c>
      <c r="L54" s="477">
        <f t="shared" si="7"/>
        <v>0</v>
      </c>
      <c r="M54" s="477">
        <f t="shared" si="8"/>
        <v>0</v>
      </c>
      <c r="N54" s="481">
        <f t="shared" si="3"/>
        <v>81.818181818181827</v>
      </c>
      <c r="O54" s="476">
        <v>68.099999999999994</v>
      </c>
      <c r="P54" s="477"/>
      <c r="Q54" s="477"/>
      <c r="R54" s="478">
        <f t="shared" si="5"/>
        <v>68.099999999999994</v>
      </c>
      <c r="S54" s="537">
        <v>1</v>
      </c>
      <c r="T54" s="479"/>
      <c r="U54" s="534"/>
      <c r="V54" s="82" t="s">
        <v>1126</v>
      </c>
      <c r="W54" s="321" t="s">
        <v>80</v>
      </c>
      <c r="X54" s="321" t="s">
        <v>11</v>
      </c>
      <c r="Y54" s="83">
        <v>68.099999999999994</v>
      </c>
      <c r="AD54" s="82"/>
      <c r="AG54" s="83"/>
      <c r="AL54" s="82"/>
      <c r="AO54" s="83"/>
      <c r="AP54" s="82"/>
      <c r="AS54" s="83"/>
      <c r="AW54" s="83"/>
      <c r="BA54" s="84"/>
    </row>
    <row r="55" spans="1:53" s="238" customFormat="1">
      <c r="A55" s="537">
        <v>2013</v>
      </c>
      <c r="B55" s="154"/>
      <c r="C55" s="988" t="s">
        <v>1125</v>
      </c>
      <c r="D55" s="988"/>
      <c r="E55" s="537">
        <v>61</v>
      </c>
      <c r="F55" s="484"/>
      <c r="G55" s="547">
        <v>9</v>
      </c>
      <c r="H55" s="327"/>
      <c r="I55" s="327"/>
      <c r="J55" s="548">
        <v>11</v>
      </c>
      <c r="K55" s="477">
        <f t="shared" si="6"/>
        <v>81.818181818181827</v>
      </c>
      <c r="L55" s="477">
        <f t="shared" si="7"/>
        <v>0</v>
      </c>
      <c r="M55" s="477">
        <f t="shared" si="8"/>
        <v>0</v>
      </c>
      <c r="N55" s="481">
        <f t="shared" si="3"/>
        <v>81.818181818181827</v>
      </c>
      <c r="O55" s="476">
        <v>68.099999999999994</v>
      </c>
      <c r="P55" s="477"/>
      <c r="Q55" s="477"/>
      <c r="R55" s="478">
        <f t="shared" si="5"/>
        <v>68.099999999999994</v>
      </c>
      <c r="S55" s="537">
        <v>1</v>
      </c>
      <c r="T55" s="479"/>
      <c r="U55" s="534"/>
      <c r="V55" s="82" t="s">
        <v>1126</v>
      </c>
      <c r="W55" s="316" t="s">
        <v>79</v>
      </c>
      <c r="X55" s="316" t="s">
        <v>11</v>
      </c>
      <c r="Y55" s="83">
        <v>68.099999999999994</v>
      </c>
      <c r="AD55" s="82"/>
      <c r="AG55" s="83"/>
      <c r="AL55" s="82"/>
      <c r="AO55" s="83"/>
      <c r="AP55" s="82"/>
      <c r="AS55" s="83"/>
      <c r="AW55" s="83"/>
      <c r="BA55" s="84"/>
    </row>
    <row r="56" spans="1:53" s="316" customFormat="1">
      <c r="A56" s="537">
        <v>2013</v>
      </c>
      <c r="B56" s="154">
        <v>41336</v>
      </c>
      <c r="C56" s="988" t="s">
        <v>1125</v>
      </c>
      <c r="D56" s="988"/>
      <c r="E56" s="537">
        <f>365-E55</f>
        <v>304</v>
      </c>
      <c r="F56" s="484">
        <v>0</v>
      </c>
      <c r="G56" s="547">
        <v>8</v>
      </c>
      <c r="H56" s="327"/>
      <c r="I56" s="327"/>
      <c r="J56" s="548">
        <v>10</v>
      </c>
      <c r="K56" s="477">
        <f t="shared" si="6"/>
        <v>80</v>
      </c>
      <c r="L56" s="477">
        <f t="shared" si="7"/>
        <v>0</v>
      </c>
      <c r="M56" s="477">
        <f t="shared" si="8"/>
        <v>0</v>
      </c>
      <c r="N56" s="481">
        <f t="shared" si="3"/>
        <v>80</v>
      </c>
      <c r="O56" s="476">
        <v>68.099999999999994</v>
      </c>
      <c r="P56" s="477"/>
      <c r="Q56" s="477"/>
      <c r="R56" s="478">
        <f t="shared" si="5"/>
        <v>68.099999999999994</v>
      </c>
      <c r="S56" s="537">
        <v>1</v>
      </c>
      <c r="T56" s="479"/>
      <c r="U56" s="534"/>
      <c r="V56" s="82" t="s">
        <v>1126</v>
      </c>
      <c r="W56" s="316" t="s">
        <v>79</v>
      </c>
      <c r="X56" s="316" t="s">
        <v>11</v>
      </c>
      <c r="Y56" s="83">
        <v>68.099999999999994</v>
      </c>
      <c r="AD56" s="82"/>
      <c r="AG56" s="83"/>
      <c r="AL56" s="82"/>
      <c r="AO56" s="83"/>
      <c r="AP56" s="82"/>
      <c r="AS56" s="83"/>
      <c r="AW56" s="83"/>
      <c r="BA56" s="84"/>
    </row>
    <row r="57" spans="1:53" s="537" customFormat="1">
      <c r="A57" s="537">
        <v>2014</v>
      </c>
      <c r="B57" s="154"/>
      <c r="C57" s="988" t="s">
        <v>1125</v>
      </c>
      <c r="D57" s="988"/>
      <c r="E57" s="537">
        <v>123</v>
      </c>
      <c r="F57" s="484"/>
      <c r="G57" s="547">
        <v>8</v>
      </c>
      <c r="H57" s="327"/>
      <c r="I57" s="327"/>
      <c r="J57" s="548">
        <v>10</v>
      </c>
      <c r="K57" s="477">
        <f t="shared" ref="K57:K67" si="9">G57/J57*100</f>
        <v>80</v>
      </c>
      <c r="L57" s="477">
        <f t="shared" ref="L57:L67" si="10">H57/J57*100</f>
        <v>0</v>
      </c>
      <c r="M57" s="477">
        <f t="shared" ref="M57:M67" si="11">I57/J57*100</f>
        <v>0</v>
      </c>
      <c r="N57" s="481">
        <f t="shared" ref="N57:N67" si="12">SUM(K57:M57)</f>
        <v>80</v>
      </c>
      <c r="O57" s="476">
        <v>68.099999999999994</v>
      </c>
      <c r="P57" s="477"/>
      <c r="Q57" s="477"/>
      <c r="R57" s="478">
        <f t="shared" ref="R57:R62" si="13">SUM(O57:Q57)</f>
        <v>68.099999999999994</v>
      </c>
      <c r="S57" s="537">
        <v>1</v>
      </c>
      <c r="T57" s="479"/>
      <c r="U57" s="534"/>
      <c r="V57" s="472" t="s">
        <v>1126</v>
      </c>
      <c r="W57" s="537" t="s">
        <v>79</v>
      </c>
      <c r="X57" s="537" t="s">
        <v>11</v>
      </c>
      <c r="Y57" s="473">
        <v>68.099999999999994</v>
      </c>
      <c r="AD57" s="472"/>
      <c r="AG57" s="473"/>
      <c r="AL57" s="472"/>
      <c r="AO57" s="473"/>
      <c r="AP57" s="472"/>
      <c r="AS57" s="473"/>
      <c r="AW57" s="473"/>
      <c r="BA57" s="474"/>
    </row>
    <row r="58" spans="1:53" s="538" customFormat="1">
      <c r="A58" s="538">
        <v>2014</v>
      </c>
      <c r="B58" s="335">
        <v>41763</v>
      </c>
      <c r="C58" s="992" t="s">
        <v>1302</v>
      </c>
      <c r="D58" s="992"/>
      <c r="E58" s="538">
        <v>242</v>
      </c>
      <c r="F58" s="538">
        <v>1</v>
      </c>
      <c r="G58" s="549">
        <v>7</v>
      </c>
      <c r="H58" s="550"/>
      <c r="I58" s="550"/>
      <c r="J58" s="551">
        <v>11</v>
      </c>
      <c r="K58" s="495">
        <f t="shared" si="9"/>
        <v>63.636363636363633</v>
      </c>
      <c r="L58" s="495">
        <f t="shared" si="10"/>
        <v>0</v>
      </c>
      <c r="M58" s="495">
        <f t="shared" si="11"/>
        <v>0</v>
      </c>
      <c r="N58" s="498">
        <f t="shared" si="12"/>
        <v>63.636363636363633</v>
      </c>
      <c r="O58" s="494">
        <v>66.8</v>
      </c>
      <c r="P58" s="495"/>
      <c r="Q58" s="495"/>
      <c r="R58" s="496">
        <f t="shared" si="13"/>
        <v>66.8</v>
      </c>
      <c r="S58" s="538">
        <v>1</v>
      </c>
      <c r="T58" s="487">
        <v>41735</v>
      </c>
      <c r="U58" s="535">
        <v>41763</v>
      </c>
      <c r="V58" s="488" t="s">
        <v>1126</v>
      </c>
      <c r="W58" s="538" t="s">
        <v>79</v>
      </c>
      <c r="X58" s="538" t="s">
        <v>11</v>
      </c>
      <c r="Y58" s="489">
        <v>66.8</v>
      </c>
      <c r="AD58" s="488"/>
      <c r="AG58" s="489"/>
      <c r="AL58" s="488"/>
      <c r="AO58" s="489"/>
      <c r="AP58" s="488"/>
      <c r="AS58" s="489"/>
      <c r="AW58" s="489"/>
      <c r="BA58" s="490"/>
    </row>
    <row r="59" spans="1:53" s="723" customFormat="1">
      <c r="A59" s="723">
        <v>2015</v>
      </c>
      <c r="B59" s="335"/>
      <c r="C59" s="992" t="s">
        <v>1302</v>
      </c>
      <c r="D59" s="992"/>
      <c r="E59" s="723">
        <v>0</v>
      </c>
      <c r="G59" s="549">
        <v>8</v>
      </c>
      <c r="H59" s="550"/>
      <c r="I59" s="550"/>
      <c r="J59" s="551">
        <v>11</v>
      </c>
      <c r="K59" s="640">
        <f t="shared" si="9"/>
        <v>72.727272727272734</v>
      </c>
      <c r="L59" s="640">
        <f t="shared" si="10"/>
        <v>0</v>
      </c>
      <c r="M59" s="640">
        <f t="shared" si="11"/>
        <v>0</v>
      </c>
      <c r="N59" s="643">
        <f t="shared" si="12"/>
        <v>72.727272727272734</v>
      </c>
      <c r="O59" s="639">
        <v>66.8</v>
      </c>
      <c r="P59" s="640"/>
      <c r="Q59" s="640"/>
      <c r="R59" s="641">
        <f t="shared" si="13"/>
        <v>66.8</v>
      </c>
      <c r="S59" s="723">
        <v>1</v>
      </c>
      <c r="T59" s="487"/>
      <c r="U59" s="719"/>
      <c r="V59" s="634" t="s">
        <v>1126</v>
      </c>
      <c r="W59" s="723" t="s">
        <v>79</v>
      </c>
      <c r="X59" s="723" t="s">
        <v>11</v>
      </c>
      <c r="Y59" s="635">
        <v>66.8</v>
      </c>
      <c r="AD59" s="634"/>
      <c r="AG59" s="635"/>
      <c r="AL59" s="634"/>
      <c r="AO59" s="635"/>
      <c r="AP59" s="634"/>
      <c r="AS59" s="635"/>
      <c r="AW59" s="635"/>
      <c r="BA59" s="636"/>
    </row>
    <row r="60" spans="1:53" s="723" customFormat="1">
      <c r="A60" s="723">
        <v>2015</v>
      </c>
      <c r="B60" s="335"/>
      <c r="C60" s="992" t="s">
        <v>1302</v>
      </c>
      <c r="D60" s="992"/>
      <c r="E60" s="723">
        <v>365</v>
      </c>
      <c r="G60" s="549">
        <v>8</v>
      </c>
      <c r="H60" s="550"/>
      <c r="I60" s="550"/>
      <c r="J60" s="551">
        <v>11</v>
      </c>
      <c r="K60" s="640">
        <f t="shared" si="9"/>
        <v>72.727272727272734</v>
      </c>
      <c r="L60" s="640">
        <f t="shared" si="10"/>
        <v>0</v>
      </c>
      <c r="M60" s="640">
        <f t="shared" si="11"/>
        <v>0</v>
      </c>
      <c r="N60" s="643">
        <f t="shared" si="12"/>
        <v>72.727272727272734</v>
      </c>
      <c r="O60" s="639">
        <v>66.8</v>
      </c>
      <c r="P60" s="640"/>
      <c r="Q60" s="640"/>
      <c r="R60" s="641">
        <f t="shared" si="13"/>
        <v>66.8</v>
      </c>
      <c r="S60" s="723">
        <v>1</v>
      </c>
      <c r="T60" s="487"/>
      <c r="U60" s="719"/>
      <c r="V60" s="634" t="s">
        <v>1126</v>
      </c>
      <c r="W60" s="723" t="s">
        <v>79</v>
      </c>
      <c r="X60" s="723" t="s">
        <v>11</v>
      </c>
      <c r="Y60" s="635">
        <v>66.8</v>
      </c>
      <c r="AD60" s="634"/>
      <c r="AG60" s="635"/>
      <c r="AL60" s="634"/>
      <c r="AO60" s="635"/>
      <c r="AP60" s="634"/>
      <c r="AS60" s="635"/>
      <c r="AW60" s="635"/>
      <c r="BA60" s="636"/>
    </row>
    <row r="61" spans="1:53" s="807" customFormat="1">
      <c r="A61" s="807">
        <v>2016</v>
      </c>
      <c r="B61" s="335"/>
      <c r="C61" s="992" t="s">
        <v>1302</v>
      </c>
      <c r="D61" s="992"/>
      <c r="E61" s="807">
        <v>0</v>
      </c>
      <c r="G61" s="549">
        <v>8</v>
      </c>
      <c r="H61" s="550"/>
      <c r="I61" s="550"/>
      <c r="J61" s="551">
        <v>11</v>
      </c>
      <c r="K61" s="640">
        <f t="shared" si="9"/>
        <v>72.727272727272734</v>
      </c>
      <c r="L61" s="640">
        <f t="shared" si="10"/>
        <v>0</v>
      </c>
      <c r="M61" s="640">
        <f t="shared" si="11"/>
        <v>0</v>
      </c>
      <c r="N61" s="643">
        <f t="shared" si="12"/>
        <v>72.727272727272734</v>
      </c>
      <c r="O61" s="639">
        <v>66.8</v>
      </c>
      <c r="P61" s="640"/>
      <c r="Q61" s="640"/>
      <c r="R61" s="641">
        <f t="shared" si="13"/>
        <v>66.8</v>
      </c>
      <c r="S61" s="807">
        <v>1</v>
      </c>
      <c r="T61" s="487"/>
      <c r="U61" s="802"/>
      <c r="V61" s="634" t="s">
        <v>1126</v>
      </c>
      <c r="W61" s="807" t="s">
        <v>79</v>
      </c>
      <c r="X61" s="807" t="s">
        <v>11</v>
      </c>
      <c r="Y61" s="635">
        <v>66.8</v>
      </c>
      <c r="AD61" s="634"/>
      <c r="AG61" s="635"/>
      <c r="AL61" s="634"/>
      <c r="AO61" s="635"/>
      <c r="AP61" s="634"/>
      <c r="AS61" s="635"/>
      <c r="AW61" s="635"/>
      <c r="BA61" s="636"/>
    </row>
    <row r="62" spans="1:53" s="807" customFormat="1">
      <c r="A62" s="807">
        <v>2016</v>
      </c>
      <c r="B62" s="335"/>
      <c r="C62" s="992" t="s">
        <v>1302</v>
      </c>
      <c r="D62" s="992"/>
      <c r="E62" s="807">
        <v>366</v>
      </c>
      <c r="G62" s="549">
        <v>8</v>
      </c>
      <c r="H62" s="550"/>
      <c r="I62" s="550"/>
      <c r="J62" s="551">
        <v>11</v>
      </c>
      <c r="K62" s="640">
        <f t="shared" si="9"/>
        <v>72.727272727272734</v>
      </c>
      <c r="L62" s="640">
        <f t="shared" si="10"/>
        <v>0</v>
      </c>
      <c r="M62" s="640">
        <f t="shared" si="11"/>
        <v>0</v>
      </c>
      <c r="N62" s="643">
        <f t="shared" si="12"/>
        <v>72.727272727272734</v>
      </c>
      <c r="O62" s="639">
        <v>66.8</v>
      </c>
      <c r="P62" s="640"/>
      <c r="Q62" s="640"/>
      <c r="R62" s="641">
        <f t="shared" si="13"/>
        <v>66.8</v>
      </c>
      <c r="S62" s="807">
        <v>1</v>
      </c>
      <c r="T62" s="487"/>
      <c r="U62" s="802"/>
      <c r="V62" s="634" t="s">
        <v>1126</v>
      </c>
      <c r="W62" s="807" t="s">
        <v>79</v>
      </c>
      <c r="X62" s="807" t="s">
        <v>11</v>
      </c>
      <c r="Y62" s="635">
        <v>66.8</v>
      </c>
      <c r="AD62" s="634"/>
      <c r="AG62" s="635"/>
      <c r="AL62" s="634"/>
      <c r="AO62" s="635"/>
      <c r="AP62" s="634"/>
      <c r="AS62" s="635"/>
      <c r="AW62" s="635"/>
      <c r="BA62" s="636"/>
    </row>
    <row r="63" spans="1:53" s="895" customFormat="1">
      <c r="A63" s="895">
        <v>2017</v>
      </c>
      <c r="B63" s="335"/>
      <c r="C63" s="992" t="s">
        <v>1302</v>
      </c>
      <c r="D63" s="992"/>
      <c r="E63" s="895">
        <v>121</v>
      </c>
      <c r="G63" s="549">
        <v>8</v>
      </c>
      <c r="H63" s="550"/>
      <c r="I63" s="550"/>
      <c r="J63" s="551">
        <v>11</v>
      </c>
      <c r="K63" s="640">
        <f t="shared" si="9"/>
        <v>72.727272727272734</v>
      </c>
      <c r="L63" s="640">
        <f t="shared" si="10"/>
        <v>0</v>
      </c>
      <c r="M63" s="640">
        <f t="shared" si="11"/>
        <v>0</v>
      </c>
      <c r="N63" s="643">
        <f t="shared" si="12"/>
        <v>72.727272727272734</v>
      </c>
      <c r="O63" s="639">
        <v>66.8</v>
      </c>
      <c r="P63" s="640"/>
      <c r="Q63" s="640"/>
      <c r="R63" s="641">
        <f t="shared" ref="R63:R65" si="14">SUM(O63:Q63)</f>
        <v>66.8</v>
      </c>
      <c r="S63" s="895">
        <v>1</v>
      </c>
      <c r="T63" s="487"/>
      <c r="U63" s="893"/>
      <c r="V63" s="634" t="s">
        <v>1126</v>
      </c>
      <c r="W63" s="895" t="s">
        <v>79</v>
      </c>
      <c r="X63" s="895" t="s">
        <v>11</v>
      </c>
      <c r="Y63" s="635">
        <v>66.8</v>
      </c>
      <c r="AD63" s="634"/>
      <c r="AG63" s="635"/>
      <c r="AL63" s="634"/>
      <c r="AO63" s="635"/>
      <c r="AP63" s="634"/>
      <c r="AS63" s="635"/>
      <c r="AW63" s="635"/>
      <c r="BA63" s="636"/>
    </row>
    <row r="64" spans="1:53" s="895" customFormat="1">
      <c r="A64" s="895">
        <v>2017</v>
      </c>
      <c r="B64" s="440">
        <v>42857</v>
      </c>
      <c r="C64" s="992" t="s">
        <v>1302</v>
      </c>
      <c r="D64" s="992"/>
      <c r="E64" s="895">
        <v>153</v>
      </c>
      <c r="F64" s="501">
        <v>0</v>
      </c>
      <c r="G64" s="549">
        <v>10</v>
      </c>
      <c r="H64" s="550"/>
      <c r="I64" s="550"/>
      <c r="J64" s="551">
        <v>13</v>
      </c>
      <c r="K64" s="640">
        <f t="shared" si="9"/>
        <v>76.923076923076934</v>
      </c>
      <c r="L64" s="640">
        <f t="shared" si="10"/>
        <v>0</v>
      </c>
      <c r="M64" s="640">
        <f t="shared" si="11"/>
        <v>0</v>
      </c>
      <c r="N64" s="643">
        <f t="shared" si="12"/>
        <v>76.923076923076934</v>
      </c>
      <c r="O64" s="639">
        <v>66.8</v>
      </c>
      <c r="P64" s="640"/>
      <c r="Q64" s="640"/>
      <c r="R64" s="641">
        <f t="shared" si="14"/>
        <v>66.8</v>
      </c>
      <c r="S64" s="895">
        <v>1</v>
      </c>
      <c r="T64" s="487"/>
      <c r="U64" s="893"/>
      <c r="V64" s="634" t="s">
        <v>1126</v>
      </c>
      <c r="W64" s="895" t="s">
        <v>79</v>
      </c>
      <c r="X64" s="895" t="s">
        <v>11</v>
      </c>
      <c r="Y64" s="635">
        <v>66.8</v>
      </c>
      <c r="AD64" s="634"/>
      <c r="AG64" s="635"/>
      <c r="AL64" s="634"/>
      <c r="AO64" s="635"/>
      <c r="AP64" s="634"/>
      <c r="AS64" s="635"/>
      <c r="AW64" s="635"/>
      <c r="BA64" s="636"/>
    </row>
    <row r="65" spans="1:53" s="895" customFormat="1">
      <c r="A65" s="895">
        <v>2017</v>
      </c>
      <c r="B65" s="440">
        <v>43010</v>
      </c>
      <c r="C65" s="992" t="s">
        <v>1302</v>
      </c>
      <c r="D65" s="992"/>
      <c r="E65" s="895">
        <v>91</v>
      </c>
      <c r="F65" s="501">
        <v>0</v>
      </c>
      <c r="G65" s="549">
        <v>10</v>
      </c>
      <c r="H65" s="550"/>
      <c r="I65" s="550"/>
      <c r="J65" s="551">
        <v>13</v>
      </c>
      <c r="K65" s="640">
        <f t="shared" si="9"/>
        <v>76.923076923076934</v>
      </c>
      <c r="L65" s="640">
        <f t="shared" si="10"/>
        <v>0</v>
      </c>
      <c r="M65" s="640">
        <f t="shared" si="11"/>
        <v>0</v>
      </c>
      <c r="N65" s="643">
        <f t="shared" si="12"/>
        <v>76.923076923076934</v>
      </c>
      <c r="O65" s="639">
        <v>66.8</v>
      </c>
      <c r="P65" s="640"/>
      <c r="Q65" s="640"/>
      <c r="R65" s="641">
        <f t="shared" si="14"/>
        <v>66.8</v>
      </c>
      <c r="S65" s="895">
        <v>1</v>
      </c>
      <c r="T65" s="487"/>
      <c r="U65" s="893"/>
      <c r="V65" s="634" t="s">
        <v>1126</v>
      </c>
      <c r="W65" s="895" t="s">
        <v>79</v>
      </c>
      <c r="X65" s="895" t="s">
        <v>11</v>
      </c>
      <c r="Y65" s="635">
        <v>66.8</v>
      </c>
      <c r="AD65" s="634"/>
      <c r="AG65" s="635"/>
      <c r="AL65" s="634"/>
      <c r="AO65" s="635"/>
      <c r="AP65" s="634"/>
      <c r="AS65" s="635"/>
      <c r="AW65" s="635"/>
      <c r="BA65" s="636"/>
    </row>
    <row r="66" spans="1:53" s="932" customFormat="1">
      <c r="A66" s="932">
        <v>2018</v>
      </c>
      <c r="B66" s="440"/>
      <c r="C66" s="992" t="s">
        <v>1302</v>
      </c>
      <c r="D66" s="992"/>
      <c r="E66" s="932">
        <v>137</v>
      </c>
      <c r="F66" s="501"/>
      <c r="G66" s="549">
        <v>10</v>
      </c>
      <c r="H66" s="550"/>
      <c r="I66" s="550"/>
      <c r="J66" s="551">
        <v>13</v>
      </c>
      <c r="K66" s="640">
        <f t="shared" si="9"/>
        <v>76.923076923076934</v>
      </c>
      <c r="L66" s="640">
        <f t="shared" si="10"/>
        <v>0</v>
      </c>
      <c r="M66" s="640">
        <f t="shared" si="11"/>
        <v>0</v>
      </c>
      <c r="N66" s="643">
        <f t="shared" si="12"/>
        <v>76.923076923076934</v>
      </c>
      <c r="O66" s="639">
        <v>66.8</v>
      </c>
      <c r="P66" s="640"/>
      <c r="Q66" s="640"/>
      <c r="R66" s="641">
        <f t="shared" ref="R66:R67" si="15">SUM(O66:Q66)</f>
        <v>66.8</v>
      </c>
      <c r="S66" s="932">
        <v>1</v>
      </c>
      <c r="T66" s="487"/>
      <c r="U66" s="928"/>
      <c r="V66" s="634" t="s">
        <v>1126</v>
      </c>
      <c r="W66" s="932" t="s">
        <v>79</v>
      </c>
      <c r="X66" s="932" t="s">
        <v>11</v>
      </c>
      <c r="Y66" s="635">
        <v>66.8</v>
      </c>
      <c r="AD66" s="634"/>
      <c r="AG66" s="635"/>
      <c r="AL66" s="634"/>
      <c r="AO66" s="635"/>
      <c r="AP66" s="634"/>
      <c r="AS66" s="635"/>
      <c r="AW66" s="635"/>
      <c r="BA66" s="636"/>
    </row>
    <row r="67" spans="1:53" s="933" customFormat="1">
      <c r="A67" s="933">
        <v>2018</v>
      </c>
      <c r="B67" s="121">
        <v>43238</v>
      </c>
      <c r="C67" s="988" t="s">
        <v>1411</v>
      </c>
      <c r="D67" s="988"/>
      <c r="E67" s="933">
        <v>228</v>
      </c>
      <c r="F67" s="600"/>
      <c r="G67" s="547">
        <v>10</v>
      </c>
      <c r="H67" s="327"/>
      <c r="I67" s="327"/>
      <c r="J67" s="548">
        <v>13</v>
      </c>
      <c r="K67" s="593">
        <f t="shared" si="9"/>
        <v>76.923076923076934</v>
      </c>
      <c r="L67" s="593">
        <f t="shared" si="10"/>
        <v>0</v>
      </c>
      <c r="M67" s="593">
        <f t="shared" si="11"/>
        <v>0</v>
      </c>
      <c r="N67" s="597">
        <f t="shared" si="12"/>
        <v>76.923076923076934</v>
      </c>
      <c r="O67" s="592">
        <v>65.8</v>
      </c>
      <c r="P67" s="593"/>
      <c r="Q67" s="593"/>
      <c r="R67" s="594">
        <f t="shared" si="15"/>
        <v>65.8</v>
      </c>
      <c r="S67" s="933">
        <v>1</v>
      </c>
      <c r="T67" s="595">
        <v>43198</v>
      </c>
      <c r="U67" s="121">
        <v>43238</v>
      </c>
      <c r="V67" s="951" t="s">
        <v>1126</v>
      </c>
      <c r="W67" s="16" t="s">
        <v>79</v>
      </c>
      <c r="X67" s="16" t="s">
        <v>11</v>
      </c>
      <c r="Y67" s="952">
        <v>65.8</v>
      </c>
      <c r="AD67" s="588"/>
      <c r="AG67" s="589"/>
      <c r="AL67" s="588"/>
      <c r="AO67" s="589"/>
      <c r="AP67" s="588"/>
      <c r="AS67" s="589"/>
      <c r="AW67" s="589"/>
      <c r="BA67" s="590"/>
    </row>
    <row r="68" spans="1:53">
      <c r="B68" s="2"/>
      <c r="C68" s="2"/>
      <c r="D68" s="2"/>
      <c r="E68" s="2"/>
      <c r="F68" s="2"/>
      <c r="G68" s="2"/>
      <c r="H68" s="2"/>
      <c r="I68" s="2"/>
      <c r="J68" s="2"/>
      <c r="K68" s="2"/>
      <c r="L68" s="2"/>
      <c r="M68" s="2"/>
      <c r="N68" s="2"/>
    </row>
    <row r="69" spans="1:53" s="2" customFormat="1" ht="18" customHeight="1">
      <c r="B69" s="22" t="s">
        <v>1278</v>
      </c>
    </row>
    <row r="70" spans="1:53" s="2" customFormat="1" ht="9" customHeight="1"/>
    <row r="71" spans="1:53" s="364" customFormat="1" ht="9" customHeight="1">
      <c r="A71" s="362"/>
      <c r="B71" s="363" t="s">
        <v>1229</v>
      </c>
      <c r="C71" s="363"/>
      <c r="D71" s="363"/>
      <c r="E71" s="363"/>
      <c r="F71" s="363"/>
      <c r="G71" s="363" t="s">
        <v>1230</v>
      </c>
      <c r="H71" s="363"/>
      <c r="I71" s="363"/>
      <c r="J71" s="363"/>
      <c r="K71" s="363"/>
      <c r="L71" s="363"/>
      <c r="M71" s="363"/>
      <c r="N71" s="363"/>
      <c r="R71" s="982" t="s">
        <v>1231</v>
      </c>
      <c r="S71" s="982"/>
      <c r="T71" s="982"/>
      <c r="U71" s="982"/>
      <c r="V71" s="982"/>
      <c r="W71" s="982"/>
      <c r="X71" s="365"/>
      <c r="Y71" s="365"/>
      <c r="AA71" s="365"/>
      <c r="AB71" s="365"/>
      <c r="AC71" s="365"/>
      <c r="AD71" s="365"/>
    </row>
    <row r="72" spans="1:53" s="369" customFormat="1" ht="9" customHeight="1">
      <c r="A72" s="366"/>
      <c r="B72" s="367" t="s">
        <v>1233</v>
      </c>
      <c r="C72" s="368"/>
      <c r="D72" s="368"/>
      <c r="E72" s="368"/>
      <c r="F72" s="368"/>
      <c r="G72" s="367" t="s">
        <v>1232</v>
      </c>
      <c r="H72" s="368"/>
      <c r="I72" s="368"/>
      <c r="J72" s="368"/>
      <c r="K72" s="368"/>
      <c r="L72" s="368"/>
      <c r="M72" s="368"/>
      <c r="N72" s="368"/>
      <c r="R72" s="370" t="s">
        <v>1234</v>
      </c>
      <c r="S72" s="371"/>
      <c r="T72" s="372"/>
      <c r="U72" s="372"/>
      <c r="V72" s="372"/>
      <c r="W72" s="370" t="s">
        <v>1235</v>
      </c>
      <c r="X72" s="372"/>
      <c r="Y72" s="372"/>
      <c r="AA72" s="372"/>
      <c r="AB72" s="372"/>
      <c r="AC72" s="372"/>
      <c r="AD72" s="372"/>
    </row>
    <row r="73" spans="1:53" s="351" customFormat="1" ht="12" customHeight="1">
      <c r="A73" s="373" t="s">
        <v>3</v>
      </c>
      <c r="B73" s="374" t="s">
        <v>8</v>
      </c>
      <c r="C73" s="374" t="s">
        <v>9</v>
      </c>
      <c r="D73" s="374" t="s">
        <v>10</v>
      </c>
      <c r="E73" s="375" t="s">
        <v>1209</v>
      </c>
      <c r="F73" s="374"/>
      <c r="G73" s="351" t="s">
        <v>3</v>
      </c>
      <c r="H73" s="983" t="s">
        <v>0</v>
      </c>
      <c r="I73" s="983"/>
      <c r="J73" s="983" t="s">
        <v>1</v>
      </c>
      <c r="K73" s="983"/>
      <c r="L73" s="983" t="s">
        <v>2</v>
      </c>
      <c r="M73" s="983"/>
      <c r="N73" s="984" t="s">
        <v>1209</v>
      </c>
      <c r="O73" s="984"/>
      <c r="P73" s="376"/>
      <c r="Q73" s="376"/>
      <c r="R73" s="377" t="s">
        <v>3</v>
      </c>
      <c r="S73" s="378" t="s">
        <v>136</v>
      </c>
      <c r="T73" s="376" t="s">
        <v>134</v>
      </c>
      <c r="U73" s="374" t="s">
        <v>135</v>
      </c>
      <c r="V73" s="376"/>
      <c r="W73" s="379" t="s">
        <v>26</v>
      </c>
    </row>
    <row r="74" spans="1:53" ht="9" customHeight="1">
      <c r="A74" s="1">
        <v>1990</v>
      </c>
      <c r="B74" s="8">
        <f>(K7*($E7/223))+(K8*($E8/223))</f>
        <v>53.185522497882801</v>
      </c>
      <c r="C74" s="8">
        <f>(L7*($E7/223))+(L8*($E8/223))</f>
        <v>5.8518096877646499</v>
      </c>
      <c r="D74" s="8">
        <f>(M7*($E7/223))+(M8*($E8/223))</f>
        <v>23.4072387510586</v>
      </c>
      <c r="E74" s="69">
        <f>SUM(B74:D74)</f>
        <v>82.444570936706043</v>
      </c>
      <c r="G74" s="1">
        <v>1990</v>
      </c>
      <c r="H74" s="1006">
        <f>(O7/$R7*100*($E7/223))+(O8/$R8*100*($E8/223))</f>
        <v>71.669477234401356</v>
      </c>
      <c r="I74" s="1006"/>
      <c r="J74" s="1006">
        <f>(P7/$R7*100*($E7/223))+(P8/$R8*100*($E8/223))</f>
        <v>9.1062394603709951</v>
      </c>
      <c r="K74" s="1006"/>
      <c r="L74" s="1006">
        <f>(Q7/$R7*100*($E7/223))+(Q8/$R8*100*($E8/223))</f>
        <v>19.224283305227658</v>
      </c>
      <c r="M74" s="1006"/>
      <c r="N74" s="959">
        <f>SUM(H74:M74)</f>
        <v>100.00000000000001</v>
      </c>
      <c r="O74" s="959"/>
      <c r="R74" s="1">
        <v>1990</v>
      </c>
      <c r="S74" s="8">
        <f>(O7*($E7/223))+(O8*($E8/223))</f>
        <v>42.5</v>
      </c>
      <c r="T74" s="8">
        <f>(P7*($E7/223))+(P8*($E8/223))</f>
        <v>5.4</v>
      </c>
      <c r="U74" s="8">
        <f>(Q7*($E7/223))+(Q8*($E8/223))</f>
        <v>11.4</v>
      </c>
      <c r="W74" s="7">
        <f t="shared" ref="W74:W95" si="16">SUM(S74:U74)</f>
        <v>59.3</v>
      </c>
      <c r="Y74" s="71" t="s">
        <v>1150</v>
      </c>
    </row>
    <row r="75" spans="1:53" ht="9" customHeight="1">
      <c r="A75" s="1">
        <v>1991</v>
      </c>
      <c r="B75" s="8">
        <f>(K9*($E9/365))+(K10*($E10/365))</f>
        <v>57.894736842105267</v>
      </c>
      <c r="C75" s="8">
        <f>(L9*($E9/365))+(L10*($E10/365))</f>
        <v>5.2631578947368416</v>
      </c>
      <c r="D75" s="8">
        <f>(M9*($E9/365))+(M10*($E10/365))</f>
        <v>21.052631578947366</v>
      </c>
      <c r="E75" s="69">
        <f t="shared" ref="E75:E95" si="17">SUM(B75:D75)</f>
        <v>84.21052631578948</v>
      </c>
      <c r="G75" s="1">
        <v>1991</v>
      </c>
      <c r="H75" s="989">
        <f>(O9/$R9*100*($E9/365))+(O10/$R10*100*($E10/365))</f>
        <v>71.669477234401356</v>
      </c>
      <c r="I75" s="989"/>
      <c r="J75" s="989">
        <f>(P9/$R9*100*($E9/365))+(P10/$R10*100*($E10/365))</f>
        <v>9.1062394603709969</v>
      </c>
      <c r="K75" s="989"/>
      <c r="L75" s="989">
        <f>(Q9/$R9*100*($E9/365))+(Q10/$R10*100*($E10/365))</f>
        <v>19.224283305227658</v>
      </c>
      <c r="M75" s="989"/>
      <c r="N75" s="959">
        <f t="shared" ref="N75:N96" si="18">SUM(H75:M75)</f>
        <v>100.00000000000001</v>
      </c>
      <c r="O75" s="959"/>
      <c r="R75" s="1">
        <v>1991</v>
      </c>
      <c r="S75" s="8">
        <f>(O9*($E9/365))+(O10*($E10/365))</f>
        <v>42.5</v>
      </c>
      <c r="T75" s="8">
        <f>(P9*($E9/365))+(P10*($E10/365))</f>
        <v>5.4</v>
      </c>
      <c r="U75" s="8">
        <f>(Q9*($E9/365))+(Q10*($E10/365))</f>
        <v>11.4</v>
      </c>
      <c r="W75" s="7">
        <f t="shared" si="16"/>
        <v>59.3</v>
      </c>
    </row>
    <row r="76" spans="1:53" ht="9" customHeight="1">
      <c r="A76" s="1">
        <v>1992</v>
      </c>
      <c r="B76" s="8">
        <f>(K11*($E11/366))+(K12*($E12/366))</f>
        <v>57.89473684210526</v>
      </c>
      <c r="C76" s="8">
        <f>(L11*($E11/366))+(L12*($E12/366))</f>
        <v>5.2631578947368416</v>
      </c>
      <c r="D76" s="8">
        <f>(M11*($E11/366))+(M12*($E12/366))</f>
        <v>21.052631578947366</v>
      </c>
      <c r="E76" s="69">
        <f t="shared" si="17"/>
        <v>84.210526315789465</v>
      </c>
      <c r="G76" s="1">
        <v>1992</v>
      </c>
      <c r="H76" s="989">
        <f>(O11/$R11*100*($E11/366))+(O12/$R12*100*($E12/366))</f>
        <v>71.669477234401356</v>
      </c>
      <c r="I76" s="989"/>
      <c r="J76" s="989">
        <f>(P11/$R11*100*($E11/366))+(P12/$R12*100*($E12/366))</f>
        <v>9.1062394603709969</v>
      </c>
      <c r="K76" s="989"/>
      <c r="L76" s="989">
        <f>(Q11/$R11*100*($E11/366))+(Q12/$R12*100*($E12/366))</f>
        <v>19.224283305227658</v>
      </c>
      <c r="M76" s="989"/>
      <c r="N76" s="959">
        <f t="shared" si="18"/>
        <v>100.00000000000001</v>
      </c>
      <c r="O76" s="959"/>
      <c r="R76" s="1">
        <v>1992</v>
      </c>
      <c r="S76" s="8">
        <f>(O11*($E11/366))+(O12*($E12/366))</f>
        <v>42.499999999999993</v>
      </c>
      <c r="T76" s="8">
        <f>(P11*($E11/366))+(P12*($E12/366))</f>
        <v>5.4</v>
      </c>
      <c r="U76" s="8">
        <f>(Q11*($E11/366))+(Q12*($E12/366))</f>
        <v>11.4</v>
      </c>
      <c r="W76" s="7">
        <f t="shared" si="16"/>
        <v>59.29999999999999</v>
      </c>
    </row>
    <row r="77" spans="1:53" ht="9" customHeight="1">
      <c r="A77" s="1">
        <v>1993</v>
      </c>
      <c r="B77" s="8">
        <f>(K13*($E13/365))+(K14*($E14/365))</f>
        <v>58.03352559480895</v>
      </c>
      <c r="C77" s="8">
        <f>(L13*($E13/365))+(L14*($E14/365))</f>
        <v>5.6696106705118954</v>
      </c>
      <c r="D77" s="8">
        <f>(M13*($E13/365))+(M14*($E14/365))</f>
        <v>20.983237202595529</v>
      </c>
      <c r="E77" s="69">
        <f t="shared" si="17"/>
        <v>84.686373467916368</v>
      </c>
      <c r="G77" s="1">
        <v>1993</v>
      </c>
      <c r="H77" s="989">
        <f>(O13/$R13*100*($E13/365))+(O14/$R14*100*($E14/365))</f>
        <v>71.669477234401356</v>
      </c>
      <c r="I77" s="989"/>
      <c r="J77" s="989">
        <f>(P13/$R13*100*($E13/365))+(P14/$R14*100*($E14/365))</f>
        <v>9.1062394603709969</v>
      </c>
      <c r="K77" s="989"/>
      <c r="L77" s="989">
        <f>(Q13/$R13*100*($E13/365))+(Q14/$R14*100*($E14/365))</f>
        <v>19.224283305227658</v>
      </c>
      <c r="M77" s="989"/>
      <c r="N77" s="959">
        <f t="shared" si="18"/>
        <v>100.00000000000001</v>
      </c>
      <c r="O77" s="959"/>
      <c r="R77" s="1">
        <v>1993</v>
      </c>
      <c r="S77" s="8">
        <f>(O13*($E13/365))+(O14*($E14/365))</f>
        <v>42.5</v>
      </c>
      <c r="T77" s="8">
        <f>(P13*($E13/365))+(P14*($E14/365))</f>
        <v>5.4</v>
      </c>
      <c r="U77" s="8">
        <f>(Q13*($E13/365))+(Q14*($E14/365))</f>
        <v>11.4</v>
      </c>
      <c r="W77" s="7">
        <f t="shared" si="16"/>
        <v>59.3</v>
      </c>
    </row>
    <row r="78" spans="1:53" ht="9" customHeight="1">
      <c r="A78" s="1">
        <v>1994</v>
      </c>
      <c r="B78" s="8">
        <f>(K15*($E15/365))+(K16*($E16/365))</f>
        <v>43.370841487279847</v>
      </c>
      <c r="C78" s="8">
        <f>(L15*($E15/365))+(L16*($E16/365))</f>
        <v>10.017123287671234</v>
      </c>
      <c r="D78" s="8">
        <f>(M15*($E15/365))+(M16*($E16/365))</f>
        <v>46.61203522504892</v>
      </c>
      <c r="E78" s="69">
        <f t="shared" si="17"/>
        <v>100</v>
      </c>
      <c r="G78" s="1">
        <v>1994</v>
      </c>
      <c r="H78" s="989">
        <f>(O15/$R15*100*($E15/365))+(O16/$R16*100*($E16/365))</f>
        <v>49.868320409855215</v>
      </c>
      <c r="I78" s="989"/>
      <c r="J78" s="989">
        <f>(P15/$R15*100*($E15/365))+(P16/$R16*100*($E16/365))</f>
        <v>4.8649772459516285</v>
      </c>
      <c r="K78" s="989"/>
      <c r="L78" s="989">
        <f>(Q15/$R15*100*($E15/365))+(Q16/$R16*100*($E16/365))</f>
        <v>45.266702344193163</v>
      </c>
      <c r="M78" s="989"/>
      <c r="N78" s="959">
        <f t="shared" si="18"/>
        <v>100</v>
      </c>
      <c r="O78" s="959"/>
      <c r="R78" s="1">
        <v>1994</v>
      </c>
      <c r="S78" s="8">
        <f>(O15*($E15/365))+(O16*($E16/365))</f>
        <v>31.042465753424658</v>
      </c>
      <c r="T78" s="8">
        <f>(P15*($E15/365))+(P16*($E16/365))</f>
        <v>2.8849315068493153</v>
      </c>
      <c r="U78" s="8">
        <f>(Q15*($E15/365))+(Q16*($E16/365))</f>
        <v>31.287671232876711</v>
      </c>
      <c r="W78" s="7">
        <f t="shared" si="16"/>
        <v>65.215068493150682</v>
      </c>
    </row>
    <row r="79" spans="1:53" ht="9" customHeight="1">
      <c r="A79" s="1">
        <v>1995</v>
      </c>
      <c r="B79" s="8">
        <f>(K17*($E17/365))+(K18*($E18/365))</f>
        <v>20.230919765166341</v>
      </c>
      <c r="C79" s="8">
        <f>(L17*($E17/365))+(L18*($E18/365))</f>
        <v>0</v>
      </c>
      <c r="D79" s="8">
        <f>(M17*($E17/365))+(M18*($E18/365))</f>
        <v>79.769080234833652</v>
      </c>
      <c r="E79" s="69">
        <f t="shared" si="17"/>
        <v>100</v>
      </c>
      <c r="G79" s="1">
        <v>1995</v>
      </c>
      <c r="H79" s="989">
        <f>(O17/$R17*100*($E17/365))+(O18/$R18*100*($E18/365))</f>
        <v>24.861111111111107</v>
      </c>
      <c r="I79" s="989"/>
      <c r="J79" s="989">
        <f>(P17/$R17*100*($E17/365))+(P18/$R18*100*($E18/365))</f>
        <v>0</v>
      </c>
      <c r="K79" s="989"/>
      <c r="L79" s="989">
        <f>(Q17/$R17*100*($E17/365))+(Q18/$R18*100*($E18/365))</f>
        <v>75.138888888888886</v>
      </c>
      <c r="M79" s="989"/>
      <c r="N79" s="959">
        <f t="shared" si="18"/>
        <v>100</v>
      </c>
      <c r="O79" s="959"/>
      <c r="R79" s="1">
        <v>1995</v>
      </c>
      <c r="S79" s="8">
        <f>(O17*($E17/365))+(O18*($E18/365))</f>
        <v>17.899999999999999</v>
      </c>
      <c r="T79" s="8">
        <f>(P17*($E17/365))+(P18*($E18/365))</f>
        <v>0</v>
      </c>
      <c r="U79" s="8">
        <f>(Q17*($E17/365))+(Q18*($E18/365))</f>
        <v>54.100000000000009</v>
      </c>
      <c r="W79" s="7">
        <f t="shared" si="16"/>
        <v>72</v>
      </c>
    </row>
    <row r="80" spans="1:53" ht="9" customHeight="1">
      <c r="A80" s="1">
        <v>1996</v>
      </c>
      <c r="B80" s="8">
        <f>(K19*($E19/366))+(K20*($E20/366))</f>
        <v>20</v>
      </c>
      <c r="C80" s="8">
        <f>(L19*($E19/366))+(L20*($E20/366))</f>
        <v>0</v>
      </c>
      <c r="D80" s="8">
        <f>(M19*($E19/366))+(M20*($E20/366))</f>
        <v>80</v>
      </c>
      <c r="E80" s="69">
        <f t="shared" si="17"/>
        <v>100</v>
      </c>
      <c r="G80" s="1">
        <v>1996</v>
      </c>
      <c r="H80" s="989">
        <f>(O19/$R19*100*($E19/366))+(O20/$R20*100*($E20/366))</f>
        <v>24.861111111111107</v>
      </c>
      <c r="I80" s="989"/>
      <c r="J80" s="989">
        <f>(P19/$R19*100*($E19/366))+(P20/$R20*100*($E20/366))</f>
        <v>0</v>
      </c>
      <c r="K80" s="989"/>
      <c r="L80" s="989">
        <f>(Q19/$R19*100*($E19/366))+(Q20/$R20*100*($E20/366))</f>
        <v>75.138888888888886</v>
      </c>
      <c r="M80" s="989"/>
      <c r="N80" s="959">
        <f t="shared" si="18"/>
        <v>100</v>
      </c>
      <c r="O80" s="959"/>
      <c r="R80" s="1">
        <v>1996</v>
      </c>
      <c r="S80" s="8">
        <f>(O19*($E19/366))+(O20*($E20/366))</f>
        <v>17.899999999999999</v>
      </c>
      <c r="T80" s="8">
        <f>(P19*($E19/366))+(P20*($E20/366))</f>
        <v>0</v>
      </c>
      <c r="U80" s="8">
        <f>(Q19*($E19/366))+(Q20*($E20/366))</f>
        <v>54.1</v>
      </c>
      <c r="W80" s="7">
        <f t="shared" si="16"/>
        <v>72</v>
      </c>
    </row>
    <row r="81" spans="1:23" ht="9" customHeight="1">
      <c r="A81" s="1">
        <v>1997</v>
      </c>
      <c r="B81" s="8">
        <f>(K21*($E21/365))+(K22*($E22/365))</f>
        <v>20</v>
      </c>
      <c r="C81" s="8">
        <f>(L21*($E21/365))+(L22*($E22/365))</f>
        <v>0</v>
      </c>
      <c r="D81" s="8">
        <f>(M21*($E21/365))+(M22*($E22/365))</f>
        <v>80</v>
      </c>
      <c r="E81" s="69">
        <f t="shared" si="17"/>
        <v>100</v>
      </c>
      <c r="G81" s="1">
        <v>1997</v>
      </c>
      <c r="H81" s="989">
        <f>(O21/$R21*100*($E21/365))+(O22/$R22*100*($E22/365))</f>
        <v>24.861111111111107</v>
      </c>
      <c r="I81" s="989"/>
      <c r="J81" s="989">
        <f>(P21/$R21*100*($E21/365))+(P22/$R22*100*($E22/365))</f>
        <v>0</v>
      </c>
      <c r="K81" s="989"/>
      <c r="L81" s="989">
        <f>(Q21/$R21*100*($E21/365))+(Q22/$R22*100*($E22/365))</f>
        <v>75.138888888888886</v>
      </c>
      <c r="M81" s="989"/>
      <c r="N81" s="959">
        <f t="shared" si="18"/>
        <v>100</v>
      </c>
      <c r="O81" s="959"/>
      <c r="R81" s="1">
        <v>1997</v>
      </c>
      <c r="S81" s="8">
        <f>(O21*($E21/365))+(O22*($E22/365))</f>
        <v>17.899999999999999</v>
      </c>
      <c r="T81" s="8">
        <f>(P21*($E21/365))+(P22*($E22/365))</f>
        <v>0</v>
      </c>
      <c r="U81" s="8">
        <f>(Q21*($E21/365))+(Q22*($E22/365))</f>
        <v>54.1</v>
      </c>
      <c r="W81" s="7">
        <f t="shared" si="16"/>
        <v>72</v>
      </c>
    </row>
    <row r="82" spans="1:23" ht="9" customHeight="1">
      <c r="A82" s="1">
        <v>1998</v>
      </c>
      <c r="B82" s="8">
        <f>(K23*($E23/365))+(K24*($E24/365))</f>
        <v>48.421779670772409</v>
      </c>
      <c r="C82" s="8">
        <f>(L23*($E23/365))+(L24*($E24/365))</f>
        <v>0</v>
      </c>
      <c r="D82" s="8">
        <f>(M23*($E23/365))+(M24*($E24/365))</f>
        <v>51.578220329227577</v>
      </c>
      <c r="E82" s="69">
        <f t="shared" si="17"/>
        <v>99.999999999999986</v>
      </c>
      <c r="G82" s="1">
        <v>1998</v>
      </c>
      <c r="H82" s="989">
        <f>(O23/$R23*100*($E23/365))+(O24/$R24*100*($E24/365))</f>
        <v>50.673573991663147</v>
      </c>
      <c r="I82" s="989"/>
      <c r="J82" s="989">
        <f>(P23/$R23*100*($E23/365))+(P24/$R24*100*($E24/365))</f>
        <v>0</v>
      </c>
      <c r="K82" s="989"/>
      <c r="L82" s="989">
        <f>(Q23/$R23*100*($E23/365))+(Q24/$R24*100*($E24/365))</f>
        <v>49.32642600833686</v>
      </c>
      <c r="M82" s="989"/>
      <c r="N82" s="959">
        <f t="shared" si="18"/>
        <v>100</v>
      </c>
      <c r="O82" s="959"/>
      <c r="R82" s="1">
        <v>1998</v>
      </c>
      <c r="S82" s="8">
        <f>(O23*($E23/365))+(O24*($E24/365))</f>
        <v>30.062191780821919</v>
      </c>
      <c r="T82" s="8">
        <f>(P23*($E23/365))+(P24*($E24/365))</f>
        <v>0</v>
      </c>
      <c r="U82" s="8">
        <f>(Q23*($E23/365))+(Q24*($E24/365))</f>
        <v>33.649863013698635</v>
      </c>
      <c r="W82" s="7">
        <f t="shared" si="16"/>
        <v>63.712054794520554</v>
      </c>
    </row>
    <row r="83" spans="1:23" ht="9" customHeight="1">
      <c r="A83" s="1">
        <v>1999</v>
      </c>
      <c r="B83" s="8">
        <f>(K25*($E25/365))+(K26*($E26/365))</f>
        <v>77.777777777777786</v>
      </c>
      <c r="C83" s="8">
        <f>(L25*($E25/365))+(L26*($E26/365))</f>
        <v>0</v>
      </c>
      <c r="D83" s="8">
        <f>(M25*($E25/365))+(M26*($E26/365))</f>
        <v>22.222222222222221</v>
      </c>
      <c r="E83" s="69">
        <f t="shared" si="17"/>
        <v>100</v>
      </c>
      <c r="G83" s="1">
        <v>1999</v>
      </c>
      <c r="H83" s="989">
        <f>(O25/$R25*100*($E25/365))+(O26/$R26*100*($E26/365))</f>
        <v>77.495462794918339</v>
      </c>
      <c r="I83" s="989"/>
      <c r="J83" s="989">
        <f>(P25/$R25*100*($E25/365))+(P26/$R26*100*($E26/365))</f>
        <v>0</v>
      </c>
      <c r="K83" s="989"/>
      <c r="L83" s="989">
        <f>(Q25/$R25*100*($E25/365))+(Q26/$R26*100*($E26/365))</f>
        <v>22.504537205081672</v>
      </c>
      <c r="M83" s="989"/>
      <c r="N83" s="959">
        <f t="shared" si="18"/>
        <v>100.00000000000001</v>
      </c>
      <c r="O83" s="959"/>
      <c r="R83" s="1">
        <v>1999</v>
      </c>
      <c r="S83" s="8">
        <f>(O25*($E25/365))+(O26*($E26/365))</f>
        <v>42.7</v>
      </c>
      <c r="T83" s="8">
        <f>(P25*($E25/365))+(P26*($E26/365))</f>
        <v>0</v>
      </c>
      <c r="U83" s="8">
        <f>(Q25*($E25/365))+(Q26*($E26/365))</f>
        <v>12.4</v>
      </c>
      <c r="W83" s="7">
        <f t="shared" si="16"/>
        <v>55.1</v>
      </c>
    </row>
    <row r="84" spans="1:23" ht="9" customHeight="1">
      <c r="A84" s="1">
        <v>2000</v>
      </c>
      <c r="B84" s="8">
        <f>(K27*($E27/366))+(K28*($E28/366))</f>
        <v>77.777777777777786</v>
      </c>
      <c r="C84" s="8">
        <f>(L27*($E27/366))+(L28*($E28/366))</f>
        <v>0</v>
      </c>
      <c r="D84" s="8">
        <f>(M27*($E27/366))+(M28*($E28/366))</f>
        <v>22.222222222222221</v>
      </c>
      <c r="E84" s="69">
        <f t="shared" si="17"/>
        <v>100</v>
      </c>
      <c r="G84" s="1">
        <v>2000</v>
      </c>
      <c r="H84" s="989">
        <f>(O27/$R27*100*($E27/366))+(O28/$R28*100*($E28/366))</f>
        <v>77.495462794918339</v>
      </c>
      <c r="I84" s="989"/>
      <c r="J84" s="989">
        <f>(P27/$R27*100*($E27/366))+(P28/$R28*100*($E28/366))</f>
        <v>0</v>
      </c>
      <c r="K84" s="989"/>
      <c r="L84" s="989">
        <f>(Q27/$R27*100*($E27/366))+(Q28/$R28*100*($E28/366))</f>
        <v>22.504537205081672</v>
      </c>
      <c r="M84" s="989"/>
      <c r="N84" s="959">
        <f t="shared" si="18"/>
        <v>100.00000000000001</v>
      </c>
      <c r="O84" s="959"/>
      <c r="R84" s="1">
        <v>2000</v>
      </c>
      <c r="S84" s="8">
        <f>(O27*($E27/366))+(O28*($E28/366))</f>
        <v>42.7</v>
      </c>
      <c r="T84" s="8">
        <f>(P27*($E27/366))+(P28*($E28/366))</f>
        <v>0</v>
      </c>
      <c r="U84" s="8">
        <f>(Q27*($E27/366))+(Q28*($E28/366))</f>
        <v>12.4</v>
      </c>
      <c r="W84" s="7">
        <f t="shared" si="16"/>
        <v>55.1</v>
      </c>
    </row>
    <row r="85" spans="1:23" ht="9" customHeight="1">
      <c r="A85" s="1">
        <v>2001</v>
      </c>
      <c r="B85" s="8">
        <f>(K29*($E29/365))+(K30*($E30/365))</f>
        <v>77.777777777777786</v>
      </c>
      <c r="C85" s="8">
        <f>(L29*($E29/365))+(L30*($E30/365))</f>
        <v>0</v>
      </c>
      <c r="D85" s="8">
        <f>(M29*($E29/365))+(M30*($E30/365))</f>
        <v>22.222222222222221</v>
      </c>
      <c r="E85" s="69">
        <f t="shared" si="17"/>
        <v>100</v>
      </c>
      <c r="G85" s="1">
        <v>2001</v>
      </c>
      <c r="H85" s="989">
        <f>(O29/$R29*100*($E29/365))+(O30/$R30*100*($E30/365))</f>
        <v>77.495462794918339</v>
      </c>
      <c r="I85" s="989"/>
      <c r="J85" s="989">
        <f>(P29/$R29*100*($E29/365))+(P30/$R30*100*($E30/365))</f>
        <v>0</v>
      </c>
      <c r="K85" s="989"/>
      <c r="L85" s="989">
        <f>(Q29/$R29*100*($E29/365))+(Q30/$R30*100*($E30/365))</f>
        <v>22.504537205081672</v>
      </c>
      <c r="M85" s="989"/>
      <c r="N85" s="959">
        <f t="shared" si="18"/>
        <v>100.00000000000001</v>
      </c>
      <c r="O85" s="959"/>
      <c r="R85" s="1">
        <v>2001</v>
      </c>
      <c r="S85" s="8">
        <f>(O29*($E29/365))+(O30*($E30/365))</f>
        <v>42.7</v>
      </c>
      <c r="T85" s="8">
        <f>(P29*($E29/365))+(P30*($E30/365))</f>
        <v>0</v>
      </c>
      <c r="U85" s="8">
        <f>(Q29*($E29/365))+(Q30*($E30/365))</f>
        <v>12.4</v>
      </c>
      <c r="W85" s="7">
        <f t="shared" si="16"/>
        <v>55.1</v>
      </c>
    </row>
    <row r="86" spans="1:23" ht="9" customHeight="1">
      <c r="A86" s="1">
        <v>2002</v>
      </c>
      <c r="B86" s="8">
        <f>(K31*($E31/365))+(K32*($E32/365))</f>
        <v>47.111111111111114</v>
      </c>
      <c r="C86" s="8">
        <f>(L31*($E31/365))+(L32*($E32/365))</f>
        <v>0</v>
      </c>
      <c r="D86" s="8">
        <f>(M31*($E31/365))+(M32*($E32/365))</f>
        <v>52.888888888888886</v>
      </c>
      <c r="E86" s="69">
        <f t="shared" si="17"/>
        <v>100</v>
      </c>
      <c r="G86" s="1">
        <v>2002</v>
      </c>
      <c r="H86" s="989">
        <f>(O31/$R31*100*($E31/365))+(O32/$R32*100*($E32/365))</f>
        <v>37.080056462996581</v>
      </c>
      <c r="I86" s="989"/>
      <c r="J86" s="989">
        <f>(P31/$R31*100*($E31/365))+(P32/$R32*100*($E32/365))</f>
        <v>0</v>
      </c>
      <c r="K86" s="989"/>
      <c r="L86" s="989">
        <f>(Q31/$R31*100*($E31/365))+(Q32/$R32*100*($E32/365))</f>
        <v>62.919943537003427</v>
      </c>
      <c r="M86" s="989"/>
      <c r="N86" s="959">
        <f t="shared" si="18"/>
        <v>100</v>
      </c>
      <c r="O86" s="959"/>
      <c r="R86" s="1">
        <v>2002</v>
      </c>
      <c r="S86" s="8">
        <f>(O31*($E31/365))+(O32*($E32/365))</f>
        <v>20.200000000000003</v>
      </c>
      <c r="T86" s="8">
        <f>(P31*($E31/365))+(P32*($E32/365))</f>
        <v>0</v>
      </c>
      <c r="U86" s="8">
        <f>(Q31*($E31/365))+(Q32*($E32/365))</f>
        <v>32.620000000000005</v>
      </c>
      <c r="W86" s="7">
        <f t="shared" si="16"/>
        <v>52.820000000000007</v>
      </c>
    </row>
    <row r="87" spans="1:23" ht="9" customHeight="1">
      <c r="A87" s="1">
        <v>2003</v>
      </c>
      <c r="B87" s="8">
        <f>(K33*($E33/365))+(K34*($E34/365))</f>
        <v>24.681171098576414</v>
      </c>
      <c r="C87" s="8">
        <f>(L33*($E33/365))+(L34*($E34/365))</f>
        <v>0</v>
      </c>
      <c r="D87" s="8">
        <f>(M33*($E33/365))+(M34*($E34/365))</f>
        <v>75.318828901423572</v>
      </c>
      <c r="E87" s="69">
        <f t="shared" si="17"/>
        <v>99.999999999999986</v>
      </c>
      <c r="G87" s="1">
        <v>2003</v>
      </c>
      <c r="H87" s="989">
        <f>(O33/$R33*100*($E33/365))+(O34/$R34*100*($E34/365))</f>
        <v>10.1364522417154</v>
      </c>
      <c r="I87" s="989"/>
      <c r="J87" s="989">
        <f>(P33/$R33*100*($E33/365))+(P34/$R34*100*($E34/365))</f>
        <v>0</v>
      </c>
      <c r="K87" s="989"/>
      <c r="L87" s="989">
        <f>(Q33/$R33*100*($E33/365))+(Q34/$R34*100*($E34/365))</f>
        <v>89.863547758284597</v>
      </c>
      <c r="M87" s="989"/>
      <c r="N87" s="959">
        <f t="shared" si="18"/>
        <v>100</v>
      </c>
      <c r="O87" s="959"/>
      <c r="R87" s="1">
        <v>2003</v>
      </c>
      <c r="S87" s="8">
        <f>(O33*($E33/365))+(O34*($E34/365))</f>
        <v>5.1999999999999993</v>
      </c>
      <c r="T87" s="8">
        <f>(P33*($E33/365))+(P34*($E34/365))</f>
        <v>0</v>
      </c>
      <c r="U87" s="8">
        <f>(Q33*($E33/365))+(Q34*($E34/365))</f>
        <v>46.099999999999994</v>
      </c>
      <c r="W87" s="7">
        <f t="shared" si="16"/>
        <v>51.3</v>
      </c>
    </row>
    <row r="88" spans="1:23" ht="9" customHeight="1">
      <c r="A88" s="1">
        <v>2004</v>
      </c>
      <c r="B88" s="8">
        <f>(K35*($E35/366))+(K36*($E36/366))</f>
        <v>23.193685488767454</v>
      </c>
      <c r="C88" s="8">
        <f>(L35*($E35/366))+(L36*($E36/366))</f>
        <v>0</v>
      </c>
      <c r="D88" s="8">
        <f>(M35*($E35/366))+(M36*($E36/366))</f>
        <v>76.806314511232543</v>
      </c>
      <c r="E88" s="69">
        <f t="shared" si="17"/>
        <v>100</v>
      </c>
      <c r="G88" s="1">
        <v>2004</v>
      </c>
      <c r="H88" s="989">
        <f>(O35/$R35*100*($E35/366))+(O36/$R36*100*($E36/366))</f>
        <v>10.1364522417154</v>
      </c>
      <c r="I88" s="989"/>
      <c r="J88" s="989">
        <f>(P35/$R35*100*($E35/366))+(P36/$R36*100*($E36/366))</f>
        <v>0</v>
      </c>
      <c r="K88" s="989"/>
      <c r="L88" s="989">
        <f>(Q35/$R35*100*($E35/366))+(Q36/$R36*100*($E36/366))</f>
        <v>89.863547758284597</v>
      </c>
      <c r="M88" s="989"/>
      <c r="N88" s="959">
        <f t="shared" si="18"/>
        <v>100</v>
      </c>
      <c r="O88" s="959"/>
      <c r="R88" s="1">
        <v>2004</v>
      </c>
      <c r="S88" s="8">
        <f>(O35*($E35/366))+(O36*($E36/366))</f>
        <v>5.2</v>
      </c>
      <c r="T88" s="8">
        <f>(P35*($E35/366))+(P36*($E36/366))</f>
        <v>0</v>
      </c>
      <c r="U88" s="8">
        <f>(Q35*($E35/366))+(Q36*($E36/366))</f>
        <v>46.1</v>
      </c>
      <c r="W88" s="7">
        <f t="shared" si="16"/>
        <v>51.300000000000004</v>
      </c>
    </row>
    <row r="89" spans="1:23" ht="9" customHeight="1">
      <c r="A89" s="1">
        <v>2005</v>
      </c>
      <c r="B89" s="8">
        <f>(K37*($E37/365))+(K38*($E38/365))</f>
        <v>22.222222222222221</v>
      </c>
      <c r="C89" s="8">
        <f>(L37*($E37/365))+(L38*($E38/365))</f>
        <v>0</v>
      </c>
      <c r="D89" s="8">
        <f>(M37*($E37/365))+(M38*($E38/365))</f>
        <v>77.777777777777786</v>
      </c>
      <c r="E89" s="69">
        <f t="shared" si="17"/>
        <v>100</v>
      </c>
      <c r="G89" s="1">
        <v>2005</v>
      </c>
      <c r="H89" s="989">
        <f>(O37/$R37*100*($E37/365))+(O38/$R38*100*($E38/365))</f>
        <v>10.1364522417154</v>
      </c>
      <c r="I89" s="989"/>
      <c r="J89" s="989">
        <f>(P37/$R37*100*($E37/365))+(P38/$R38*100*($E38/365))</f>
        <v>0</v>
      </c>
      <c r="K89" s="989"/>
      <c r="L89" s="989">
        <f>(Q37/$R37*100*($E37/365))+(Q38/$R38*100*($E38/365))</f>
        <v>89.863547758284597</v>
      </c>
      <c r="M89" s="989"/>
      <c r="N89" s="959">
        <f t="shared" si="18"/>
        <v>100</v>
      </c>
      <c r="O89" s="959"/>
      <c r="R89" s="1">
        <v>2005</v>
      </c>
      <c r="S89" s="8">
        <f>(O37*($E37/365))+(O38*($E38/365))</f>
        <v>5.2</v>
      </c>
      <c r="T89" s="8">
        <f>(P37*($E37/365))+(P38*($E38/365))</f>
        <v>0</v>
      </c>
      <c r="U89" s="8">
        <f>(Q37*($E37/365))+(Q38*($E38/365))</f>
        <v>46.1</v>
      </c>
      <c r="W89" s="7">
        <f t="shared" si="16"/>
        <v>51.300000000000004</v>
      </c>
    </row>
    <row r="90" spans="1:23" ht="9" customHeight="1">
      <c r="A90" s="1">
        <v>2006</v>
      </c>
      <c r="B90" s="8">
        <f>(K39*($E39/365))+(K40*($E40/365))</f>
        <v>22.704601334738321</v>
      </c>
      <c r="C90" s="8">
        <f>(L39*($E39/365))+(L40*($E40/365))</f>
        <v>0</v>
      </c>
      <c r="D90" s="8">
        <f>(M39*($E39/365))+(M40*($E40/365))</f>
        <v>77.295398665261686</v>
      </c>
      <c r="E90" s="69">
        <f t="shared" si="17"/>
        <v>100</v>
      </c>
      <c r="G90" s="1">
        <v>2006</v>
      </c>
      <c r="H90" s="989">
        <f>(O39/$R39*100*($E39/365))+(O40/$R40*100*($E40/365))</f>
        <v>9.904105914318702</v>
      </c>
      <c r="I90" s="989"/>
      <c r="J90" s="989">
        <f>(P39/$R39*100*($E39/365))+(P40/$R40*100*($E40/365))</f>
        <v>0</v>
      </c>
      <c r="K90" s="989"/>
      <c r="L90" s="989">
        <f>(Q39/$R39*100*($E39/365))+(Q40/$R40*100*($E40/365))</f>
        <v>90.095894085681294</v>
      </c>
      <c r="M90" s="989"/>
      <c r="N90" s="959">
        <f t="shared" si="18"/>
        <v>100</v>
      </c>
      <c r="O90" s="959"/>
      <c r="R90" s="1">
        <v>2006</v>
      </c>
      <c r="S90" s="8">
        <f>(O39*($E39/365))+(O40*($E40/365))</f>
        <v>5.2564383561643835</v>
      </c>
      <c r="T90" s="8">
        <f>(P39*($E39/365))+(P40*($E40/365))</f>
        <v>0</v>
      </c>
      <c r="U90" s="8">
        <f>(Q39*($E39/365))+(Q40*($E40/365))</f>
        <v>47.849589041095896</v>
      </c>
      <c r="W90" s="7">
        <f t="shared" si="16"/>
        <v>53.106027397260277</v>
      </c>
    </row>
    <row r="91" spans="1:23" ht="9" customHeight="1">
      <c r="A91" s="1">
        <v>2007</v>
      </c>
      <c r="B91" s="8">
        <f>(K41*($E41/365))+(K42*($E42/365))</f>
        <v>21.525816649104321</v>
      </c>
      <c r="C91" s="8">
        <f>(L41*($E41/365))+(L42*($E42/365))</f>
        <v>0</v>
      </c>
      <c r="D91" s="8">
        <f>(M41*($E41/365))+(M42*($E42/365))</f>
        <v>78.474183350895686</v>
      </c>
      <c r="E91" s="69">
        <f t="shared" si="17"/>
        <v>100</v>
      </c>
      <c r="G91" s="1">
        <v>2007</v>
      </c>
      <c r="H91" s="989">
        <f>(O41/$R41*100*($E41/365))+(O42/$R42*100*($E42/365))</f>
        <v>9.7247706422018343</v>
      </c>
      <c r="I91" s="989"/>
      <c r="J91" s="989">
        <f>(P41/$R41*100*($E41/365))+(P42/$R42*100*($E42/365))</f>
        <v>0</v>
      </c>
      <c r="K91" s="989"/>
      <c r="L91" s="989">
        <f>(Q41/$R41*100*($E41/365))+(Q42/$R42*100*($E42/365))</f>
        <v>90.275229357798167</v>
      </c>
      <c r="M91" s="989"/>
      <c r="N91" s="959">
        <f t="shared" si="18"/>
        <v>100</v>
      </c>
      <c r="O91" s="959"/>
      <c r="R91" s="1">
        <v>2007</v>
      </c>
      <c r="S91" s="8">
        <f>(O41*($E41/365))+(O42*($E42/365))</f>
        <v>5.3000000000000007</v>
      </c>
      <c r="T91" s="8">
        <f>(P41*($E41/365))+(P42*($E42/365))</f>
        <v>0</v>
      </c>
      <c r="U91" s="8">
        <f>(Q41*($E41/365))+(Q42*($E42/365))</f>
        <v>49.2</v>
      </c>
      <c r="W91" s="7">
        <f t="shared" si="16"/>
        <v>54.5</v>
      </c>
    </row>
    <row r="92" spans="1:23" ht="9" customHeight="1">
      <c r="A92" s="1">
        <v>2008</v>
      </c>
      <c r="B92" s="8">
        <f>(K43*($E43/366))+(K44*($E44/366))+(K45*($E45/366))</f>
        <v>6.9555035128805622</v>
      </c>
      <c r="C92" s="8">
        <f>(L43*($E43/366))+(L44*($E44/366))+(L45*($E45/366))</f>
        <v>0</v>
      </c>
      <c r="D92" s="8">
        <f>(M43*($E43/366))+(M44*($E44/366))+(M45*($E45/366))</f>
        <v>93.044496487119432</v>
      </c>
      <c r="E92" s="69">
        <f t="shared" si="17"/>
        <v>100</v>
      </c>
      <c r="G92" s="1">
        <v>2008</v>
      </c>
      <c r="H92" s="989">
        <f>(O43/$R43*100*($E43/366))+(O44/$R44*100*($E44/366))+(O45/$R45*100*($E45/366))</f>
        <v>3.2415902140672781</v>
      </c>
      <c r="I92" s="989"/>
      <c r="J92" s="989">
        <f>(P43/$R43*100*($E43/366))+(P44/$R44*100*($E44/366))+(P45/$R45*100*($E45/366))</f>
        <v>0</v>
      </c>
      <c r="K92" s="989"/>
      <c r="L92" s="989">
        <f>(Q43/$R43*100*($E43/366))+(Q44/$R44*100*($E44/366))+(Q45/$R45*100*($E45/366))</f>
        <v>96.758409785932713</v>
      </c>
      <c r="M92" s="989"/>
      <c r="N92" s="959">
        <f t="shared" si="18"/>
        <v>99.999999999999986</v>
      </c>
      <c r="O92" s="959"/>
      <c r="R92" s="1">
        <v>2008</v>
      </c>
      <c r="S92" s="8">
        <f>(O43*($E43/366))+(O44*($E44/366))+(O45*($E45/366))</f>
        <v>1.7666666666666666</v>
      </c>
      <c r="T92" s="8">
        <f>(P43*($E43/366))+(P44*($E44/366))+(P45*($E45/366))</f>
        <v>0</v>
      </c>
      <c r="U92" s="8">
        <f>(Q43*($E43/366))+(Q44*($E44/366))+(Q45*($E45/366))</f>
        <v>49.2</v>
      </c>
      <c r="W92" s="7">
        <f t="shared" si="16"/>
        <v>50.966666666666669</v>
      </c>
    </row>
    <row r="93" spans="1:23" ht="9" customHeight="1">
      <c r="A93" s="1">
        <v>2009</v>
      </c>
      <c r="B93" s="8">
        <f>(K46*($E46/365))+(K47*($E47/365))</f>
        <v>0</v>
      </c>
      <c r="C93" s="8">
        <f>(L46*($E46/365))+(L47*($E47/365))</f>
        <v>0</v>
      </c>
      <c r="D93" s="8">
        <f>(M46*($E46/365))+(M47*($E47/365))</f>
        <v>100</v>
      </c>
      <c r="E93" s="69">
        <f t="shared" si="17"/>
        <v>100</v>
      </c>
      <c r="G93" s="1">
        <v>2009</v>
      </c>
      <c r="H93" s="989">
        <f>(O46/$R46*100*($E46/365))+(O47/$R47*100*($E47/365))</f>
        <v>0</v>
      </c>
      <c r="I93" s="989"/>
      <c r="J93" s="989">
        <f>(P46/$R46*100*($E46/365))+(P47/$R47*100*($E47/365))</f>
        <v>0</v>
      </c>
      <c r="K93" s="989"/>
      <c r="L93" s="989">
        <f>(Q46/$R46*100*($E46/365))+(Q47/$R47*100*($E47/365))</f>
        <v>100</v>
      </c>
      <c r="M93" s="989"/>
      <c r="N93" s="959">
        <f t="shared" si="18"/>
        <v>100</v>
      </c>
      <c r="O93" s="959"/>
      <c r="R93" s="1">
        <v>2009</v>
      </c>
      <c r="S93" s="8">
        <f>(O46*($E46/365))+(O47*($E47/365))</f>
        <v>0</v>
      </c>
      <c r="T93" s="8">
        <f>(P46*($E46/365))+(P47*($E47/365))</f>
        <v>0</v>
      </c>
      <c r="U93" s="8">
        <f>(Q46*($E46/365))+(Q47*($E47/365))</f>
        <v>49.2</v>
      </c>
      <c r="W93" s="7">
        <f t="shared" si="16"/>
        <v>49.2</v>
      </c>
    </row>
    <row r="94" spans="1:23" ht="9" customHeight="1">
      <c r="A94" s="1">
        <v>2010</v>
      </c>
      <c r="B94" s="8">
        <f>(K48*($E48/365))+(K49*($E49/365))</f>
        <v>41.61643835616438</v>
      </c>
      <c r="C94" s="8">
        <f>(L48*($E48/365))+(L49*($E49/365))</f>
        <v>0</v>
      </c>
      <c r="D94" s="8">
        <f>(M48*($E48/365))+(M49*($E49/365))</f>
        <v>40.547945205479451</v>
      </c>
      <c r="E94" s="69">
        <f t="shared" si="17"/>
        <v>82.164383561643831</v>
      </c>
      <c r="G94" s="1">
        <v>2010</v>
      </c>
      <c r="H94" s="989">
        <f>(O48/$R48*100*($E48/365))+(O49/$R49*100*($E49/365))</f>
        <v>59.452054794520549</v>
      </c>
      <c r="I94" s="989"/>
      <c r="J94" s="989">
        <f>(P48/$R48*100*($E48/365))+(P49/$R49*100*($E49/365))</f>
        <v>0</v>
      </c>
      <c r="K94" s="989"/>
      <c r="L94" s="989">
        <f>(Q48/$R48*100*($E48/365))+(Q49/$R49*100*($E49/365))</f>
        <v>40.547945205479451</v>
      </c>
      <c r="M94" s="989"/>
      <c r="N94" s="959">
        <f t="shared" si="18"/>
        <v>100</v>
      </c>
      <c r="O94" s="959"/>
      <c r="R94" s="1">
        <v>2010</v>
      </c>
      <c r="S94" s="8">
        <f>(O48*($E48/365))+(O49*($E49/365))</f>
        <v>40.48684931506849</v>
      </c>
      <c r="T94" s="8">
        <f>(P48*($E48/365))+(P49*($E49/365))</f>
        <v>0</v>
      </c>
      <c r="U94" s="8">
        <f>(Q48*($E48/365))+(Q49*($E49/365))</f>
        <v>19.949589041095891</v>
      </c>
      <c r="W94" s="7">
        <f t="shared" si="16"/>
        <v>60.436438356164381</v>
      </c>
    </row>
    <row r="95" spans="1:23" ht="9" customHeight="1">
      <c r="A95" s="1">
        <v>2011</v>
      </c>
      <c r="B95" s="8">
        <f>(K50*($E50/365))+(K51*($E51/365))</f>
        <v>69.843088418430881</v>
      </c>
      <c r="C95" s="8">
        <f>(L50*($E50/365))+(L51*($E51/365))</f>
        <v>0</v>
      </c>
      <c r="D95" s="8">
        <f>(M50*($E50/365))+(M51*($E51/365))</f>
        <v>0</v>
      </c>
      <c r="E95" s="69">
        <f t="shared" si="17"/>
        <v>69.843088418430881</v>
      </c>
      <c r="G95" s="1">
        <v>2011</v>
      </c>
      <c r="H95" s="989">
        <f>(O50/$R50*100*($E50/365))+(O51/$R51*100*($E51/365))</f>
        <v>100</v>
      </c>
      <c r="I95" s="989"/>
      <c r="J95" s="989">
        <f>(P50/$R50*100*($E50/365))+(P51/$R51*100*($E51/365))</f>
        <v>0</v>
      </c>
      <c r="K95" s="989"/>
      <c r="L95" s="989">
        <f>(Q50/$R50*100*($E50/365))+(Q51/$R51*100*($E51/365))</f>
        <v>0</v>
      </c>
      <c r="M95" s="989"/>
      <c r="N95" s="959">
        <f t="shared" si="18"/>
        <v>100</v>
      </c>
      <c r="O95" s="959"/>
      <c r="R95" s="1">
        <v>2011</v>
      </c>
      <c r="S95" s="8">
        <f>(O50*($E50/365))+(O51*($E51/365))</f>
        <v>68.099999999999994</v>
      </c>
      <c r="T95" s="8">
        <f>(P50*($E50/365))+(P51*($E51/365))</f>
        <v>0</v>
      </c>
      <c r="U95" s="8">
        <f>(Q50*($E50/365))+(Q51*($E51/365))</f>
        <v>0</v>
      </c>
      <c r="W95" s="7">
        <f t="shared" si="16"/>
        <v>68.099999999999994</v>
      </c>
    </row>
    <row r="96" spans="1:23" ht="9" customHeight="1">
      <c r="A96" s="1">
        <v>2012</v>
      </c>
      <c r="B96" s="8">
        <f>(K52*($E52/366))+(K53*($E53/366))+(K54*($E54/366))</f>
        <v>74.689518132141089</v>
      </c>
      <c r="C96" s="8">
        <f>(L52*($E52/366))+(L53*($E53/366))+(L54*($E54/366))</f>
        <v>0</v>
      </c>
      <c r="D96" s="8">
        <f>(M52*($E52/366))+(M53*($E53/366))+(M54*($E54/366))</f>
        <v>0</v>
      </c>
      <c r="E96" s="69">
        <f t="shared" ref="E96:E101" si="19">SUM(B96:D96)</f>
        <v>74.689518132141089</v>
      </c>
      <c r="G96" s="1">
        <v>2012</v>
      </c>
      <c r="H96" s="989">
        <f>(O52/$R52*100*($E52/366))+(O53/$R53*100*($E53/366))+(O54/$R54*100*($E54/366))</f>
        <v>100</v>
      </c>
      <c r="I96" s="989"/>
      <c r="J96" s="989">
        <f>(P52/$R52*100*($E52/366))+(P53/$R53*100*($E53/366))+(P54/$R54*100*($E54/366))</f>
        <v>0</v>
      </c>
      <c r="K96" s="989"/>
      <c r="L96" s="989">
        <f>(Q52/$R52*100*($E52/366))+(Q53/$R53*100*($E53/366))+(Q54/$R54*100*($E54/366))</f>
        <v>0</v>
      </c>
      <c r="M96" s="989"/>
      <c r="N96" s="959">
        <f t="shared" si="18"/>
        <v>100</v>
      </c>
      <c r="O96" s="959"/>
      <c r="R96" s="1">
        <v>2012</v>
      </c>
      <c r="S96" s="8">
        <f>(O52*($E52/366))+(O53*($E53/366))+(O54*($E54/366))</f>
        <v>68.099999999999994</v>
      </c>
      <c r="T96" s="8">
        <f>(P52*($E52/366))+(P53*($E53/366))+(P54*($E54/366))</f>
        <v>0</v>
      </c>
      <c r="U96" s="8">
        <f>(Q52*($E52/366))+(Q53*($E53/366))+(Q54*($E54/366))</f>
        <v>0</v>
      </c>
      <c r="W96" s="7">
        <f t="shared" ref="W96:W101" si="20">SUM(S96:U96)</f>
        <v>68.099999999999994</v>
      </c>
    </row>
    <row r="97" spans="1:23" ht="9" customHeight="1">
      <c r="A97" s="1">
        <v>2013</v>
      </c>
      <c r="B97" s="8">
        <f>(K55*($E55/365))+(K56*($E56/365))</f>
        <v>80.303860523038608</v>
      </c>
      <c r="C97" s="8">
        <f>(L55*($E55/365))+(L56*($E56/365))</f>
        <v>0</v>
      </c>
      <c r="D97" s="8">
        <f>(M55*($E55/365))+(M56*($E56/365))</f>
        <v>0</v>
      </c>
      <c r="E97" s="315">
        <f t="shared" si="19"/>
        <v>80.303860523038608</v>
      </c>
      <c r="G97" s="1">
        <v>2013</v>
      </c>
      <c r="H97" s="989">
        <f>(O55/$R55*100*($E55/365))+(O56/$R56*100*($E56/365))</f>
        <v>100</v>
      </c>
      <c r="I97" s="989"/>
      <c r="J97" s="989">
        <f>(P55/$R55*100*($E55/365))+(P56/$R56*100*($E56/365))</f>
        <v>0</v>
      </c>
      <c r="K97" s="989"/>
      <c r="L97" s="989">
        <f>(Q55/$R55*100*($E55/365))+(Q56/$R56*100*($E56/365))</f>
        <v>0</v>
      </c>
      <c r="M97" s="989"/>
      <c r="N97" s="959">
        <f t="shared" ref="N97:N102" si="21">SUM(H97:M97)</f>
        <v>100</v>
      </c>
      <c r="O97" s="959"/>
      <c r="R97" s="1">
        <v>2013</v>
      </c>
      <c r="S97" s="8">
        <f>(O55*($E55/365))+(O56*($E56/365))</f>
        <v>68.099999999999994</v>
      </c>
      <c r="T97" s="8">
        <f>(P55*($E55/365))+(P56*($E56/365))</f>
        <v>0</v>
      </c>
      <c r="U97" s="8">
        <f>(Q55*($E55/365))+(Q56*($E56/365))</f>
        <v>0</v>
      </c>
      <c r="W97" s="7">
        <f t="shared" si="20"/>
        <v>68.099999999999994</v>
      </c>
    </row>
    <row r="98" spans="1:23" ht="9" customHeight="1">
      <c r="A98" s="1">
        <v>2014</v>
      </c>
      <c r="B98" s="8">
        <f>(K57*($E57/365))+(K58*($E58/365))</f>
        <v>69.150684931506845</v>
      </c>
      <c r="C98" s="8">
        <f>(L57*($E57/365))+(L58*($E58/365))</f>
        <v>0</v>
      </c>
      <c r="D98" s="8">
        <f>(M57*($E57/365))+(M58*($E58/365))</f>
        <v>0</v>
      </c>
      <c r="E98" s="536">
        <f t="shared" si="19"/>
        <v>69.150684931506845</v>
      </c>
      <c r="G98" s="1">
        <v>2014</v>
      </c>
      <c r="H98" s="989">
        <f>(O57/$R57*100*($E57/365))+(O58/$R58*100*($E58/365))</f>
        <v>100</v>
      </c>
      <c r="I98" s="989"/>
      <c r="J98" s="989">
        <f>(P57/$R57*100*($E57/365))+(P58/$R58*100*($E58/365))</f>
        <v>0</v>
      </c>
      <c r="K98" s="989"/>
      <c r="L98" s="989">
        <f>(Q57/$R57*100*($E57/365))+(Q58/$R58*100*($E58/365))</f>
        <v>0</v>
      </c>
      <c r="M98" s="989"/>
      <c r="N98" s="959">
        <f t="shared" si="21"/>
        <v>100</v>
      </c>
      <c r="O98" s="959"/>
      <c r="R98" s="1">
        <v>2014</v>
      </c>
      <c r="S98" s="8">
        <f>(O57*($E57/365))+(O58*($E58/365))</f>
        <v>67.238082191780819</v>
      </c>
      <c r="T98" s="8">
        <f>(P57*($E57/365))+(P58*($E58/365))</f>
        <v>0</v>
      </c>
      <c r="U98" s="8">
        <f>(Q57*($E57/365))+(Q58*($E58/365))</f>
        <v>0</v>
      </c>
      <c r="W98" s="7">
        <f t="shared" si="20"/>
        <v>67.238082191780819</v>
      </c>
    </row>
    <row r="99" spans="1:23" s="728" customFormat="1" ht="9" customHeight="1">
      <c r="A99" s="728">
        <v>2015</v>
      </c>
      <c r="B99" s="720">
        <f>(K59*($E59/365))+(K60*($E60/365))</f>
        <v>72.727272727272734</v>
      </c>
      <c r="C99" s="720">
        <f>(L59*($E59/365))+(L60*($E60/365))</f>
        <v>0</v>
      </c>
      <c r="D99" s="720">
        <f>(M59*($E59/365))+(M60*($E60/365))</f>
        <v>0</v>
      </c>
      <c r="E99" s="721">
        <f t="shared" si="19"/>
        <v>72.727272727272734</v>
      </c>
      <c r="G99" s="728">
        <v>2015</v>
      </c>
      <c r="H99" s="989">
        <f>(O59/$R59*100*($E59/365))+(O60/$R60*100*($E60/365))</f>
        <v>100</v>
      </c>
      <c r="I99" s="989"/>
      <c r="J99" s="989">
        <f>(P59/$R59*100*($E59/365))+(P60/$R60*100*($E60/365))</f>
        <v>0</v>
      </c>
      <c r="K99" s="989"/>
      <c r="L99" s="989">
        <f>(Q59/$R59*100*($E59/365))+(Q60/$R60*100*($E60/365))</f>
        <v>0</v>
      </c>
      <c r="M99" s="989"/>
      <c r="N99" s="959">
        <f t="shared" si="21"/>
        <v>100</v>
      </c>
      <c r="O99" s="959"/>
      <c r="R99" s="728">
        <v>2015</v>
      </c>
      <c r="S99" s="720">
        <f>(O59*($E59/365))+(O60*($E60/365))</f>
        <v>66.8</v>
      </c>
      <c r="T99" s="720">
        <f>(P59*($E59/365))+(P60*($E60/365))</f>
        <v>0</v>
      </c>
      <c r="U99" s="720">
        <f>(Q59*($E59/365))+(Q60*($E60/365))</f>
        <v>0</v>
      </c>
      <c r="W99" s="724">
        <f t="shared" si="20"/>
        <v>66.8</v>
      </c>
    </row>
    <row r="100" spans="1:23" s="810" customFormat="1" ht="9" customHeight="1">
      <c r="A100" s="810">
        <v>2016</v>
      </c>
      <c r="B100" s="804">
        <f>(K61*($E61/366))+(K62*($E62/366))</f>
        <v>72.727272727272734</v>
      </c>
      <c r="C100" s="804">
        <f>(L61*($E61/366))+(L62*($E62/366))</f>
        <v>0</v>
      </c>
      <c r="D100" s="804">
        <f>(M61*($E61/366))+(M62*($E62/366))</f>
        <v>0</v>
      </c>
      <c r="E100" s="805">
        <f t="shared" si="19"/>
        <v>72.727272727272734</v>
      </c>
      <c r="G100" s="810">
        <v>2016</v>
      </c>
      <c r="H100" s="989">
        <f>(O61/$R61*100*($E61/366))+(O62/$R62*100*($E62/366))</f>
        <v>100</v>
      </c>
      <c r="I100" s="989"/>
      <c r="J100" s="989">
        <f>(P61/$R61*100*($E61/366))+(P62/$R62*100*($E62/366))</f>
        <v>0</v>
      </c>
      <c r="K100" s="989"/>
      <c r="L100" s="989">
        <f>(Q61/$R61*100*($E61/366))+(Q62/$R62*100*($E62/366))</f>
        <v>0</v>
      </c>
      <c r="M100" s="989"/>
      <c r="N100" s="959">
        <f t="shared" si="21"/>
        <v>100</v>
      </c>
      <c r="O100" s="959"/>
      <c r="R100" s="810">
        <v>2016</v>
      </c>
      <c r="S100" s="804">
        <f>(O61*($E61/366))+(O62*($E62/366))</f>
        <v>66.8</v>
      </c>
      <c r="T100" s="804">
        <f>(P61*($E61/366))+(P62*($E62/366))</f>
        <v>0</v>
      </c>
      <c r="U100" s="804">
        <f>(Q61*($E61/366))+(Q62*($E62/366))</f>
        <v>0</v>
      </c>
      <c r="W100" s="808">
        <f t="shared" si="20"/>
        <v>66.8</v>
      </c>
    </row>
    <row r="101" spans="1:23">
      <c r="A101" s="920">
        <v>2017</v>
      </c>
      <c r="B101" s="915">
        <f>(K63*($E63/365))+(K64*($E64/365))+(K65*($E65/365))</f>
        <v>75.532139093782945</v>
      </c>
      <c r="C101" s="915">
        <f>(L63*($E63/365))+(L64*($E64/365))+(L65*($E65/365))</f>
        <v>0</v>
      </c>
      <c r="D101" s="915">
        <f t="shared" ref="D101" si="22">(M63*($E63/365))+(M64*($E64/365))+(M65*($E65/365))</f>
        <v>0</v>
      </c>
      <c r="E101" s="916">
        <f t="shared" si="19"/>
        <v>75.532139093782945</v>
      </c>
      <c r="F101" s="920"/>
      <c r="G101" s="920">
        <v>2017</v>
      </c>
      <c r="H101" s="989">
        <f>(O63/$R63*100*($E63/365))+(O64/$R64*100*($E64/365))+(O65/$R65*100*($E65/365))</f>
        <v>100</v>
      </c>
      <c r="I101" s="989"/>
      <c r="J101" s="989">
        <f>(P63/$R63*100*($E63/365))+(P64/$R64*100*($E64/365))+(P65/$R65*100*($E65/365))</f>
        <v>0</v>
      </c>
      <c r="K101" s="989"/>
      <c r="L101" s="989">
        <f>(Q63/$R63*100*($E63/365))+(Q64/$R64*100*($E64/365))+(Q65/$R65*100*($E65/365))</f>
        <v>0</v>
      </c>
      <c r="M101" s="989"/>
      <c r="N101" s="959">
        <f t="shared" si="21"/>
        <v>100</v>
      </c>
      <c r="O101" s="959"/>
      <c r="P101" s="920"/>
      <c r="Q101" s="920"/>
      <c r="R101" s="920">
        <v>2017</v>
      </c>
      <c r="S101" s="915">
        <f>(O63*($E63/365))+(O64*($E64/365))+(O65*($E65/365))</f>
        <v>66.8</v>
      </c>
      <c r="T101" s="915">
        <f t="shared" ref="T101:U101" si="23">(P63*($E63/365))+(P64*($E64/365))+(P65*($E65/365))</f>
        <v>0</v>
      </c>
      <c r="U101" s="915">
        <f t="shared" si="23"/>
        <v>0</v>
      </c>
      <c r="V101" s="920"/>
      <c r="W101" s="917">
        <f t="shared" si="20"/>
        <v>66.8</v>
      </c>
    </row>
    <row r="102" spans="1:23">
      <c r="A102" s="939">
        <v>2018</v>
      </c>
      <c r="B102" s="930">
        <f>(K66*($E66/365))+(K67*($E67/365))</f>
        <v>76.923076923076934</v>
      </c>
      <c r="C102" s="930">
        <f t="shared" ref="C102:D102" si="24">(L66*($E66/365))+(L67*($E67/365))</f>
        <v>0</v>
      </c>
      <c r="D102" s="930">
        <f t="shared" si="24"/>
        <v>0</v>
      </c>
      <c r="E102" s="931">
        <f t="shared" ref="E102" si="25">SUM(B102:D102)</f>
        <v>76.923076923076934</v>
      </c>
      <c r="F102" s="939"/>
      <c r="G102" s="939">
        <v>2018</v>
      </c>
      <c r="H102" s="989">
        <f>(O66/$R66*100*($E66/365))+(O67/$R67*100*($E67/365))</f>
        <v>100</v>
      </c>
      <c r="I102" s="989"/>
      <c r="J102" s="989">
        <f>(P66/$R66*100*($E66/365))+(P67/$R67*100*($E67/365))</f>
        <v>0</v>
      </c>
      <c r="K102" s="989"/>
      <c r="L102" s="989">
        <f>(Q66/$R66*100*($E66/365))+(Q67/$R67*100*($E67/365))</f>
        <v>0</v>
      </c>
      <c r="M102" s="989"/>
      <c r="N102" s="959">
        <f t="shared" si="21"/>
        <v>100</v>
      </c>
      <c r="O102" s="959"/>
      <c r="P102" s="939"/>
      <c r="Q102" s="939"/>
      <c r="R102" s="939">
        <v>2018</v>
      </c>
      <c r="S102" s="930">
        <f>(O66*($E66/365))+(O67*($E67/365))</f>
        <v>66.175342465753417</v>
      </c>
      <c r="T102" s="930">
        <f t="shared" ref="T102:U102" si="26">(P66*($E66/365))+(P67*($E67/365))</f>
        <v>0</v>
      </c>
      <c r="U102" s="930">
        <f t="shared" si="26"/>
        <v>0</v>
      </c>
      <c r="V102" s="939"/>
      <c r="W102" s="935">
        <f t="shared" ref="W102" si="27">SUM(S102:U102)</f>
        <v>66.175342465753417</v>
      </c>
    </row>
  </sheetData>
  <mergeCells count="204">
    <mergeCell ref="C16:D16"/>
    <mergeCell ref="C17:D17"/>
    <mergeCell ref="C18:D18"/>
    <mergeCell ref="AT4:AW4"/>
    <mergeCell ref="H73:I73"/>
    <mergeCell ref="J73:K73"/>
    <mergeCell ref="L73:M73"/>
    <mergeCell ref="N73:O73"/>
    <mergeCell ref="C23:D23"/>
    <mergeCell ref="C25:D25"/>
    <mergeCell ref="C26:D26"/>
    <mergeCell ref="C27:D27"/>
    <mergeCell ref="C39:D39"/>
    <mergeCell ref="C28:D28"/>
    <mergeCell ref="C29:D29"/>
    <mergeCell ref="C30:D30"/>
    <mergeCell ref="C31:D31"/>
    <mergeCell ref="C32:D32"/>
    <mergeCell ref="C19:D19"/>
    <mergeCell ref="C20:D20"/>
    <mergeCell ref="C21:D21"/>
    <mergeCell ref="C22:D22"/>
    <mergeCell ref="C10:D10"/>
    <mergeCell ref="C11:D11"/>
    <mergeCell ref="N98:O98"/>
    <mergeCell ref="C24:D24"/>
    <mergeCell ref="H88:I88"/>
    <mergeCell ref="H89:I89"/>
    <mergeCell ref="H74:I74"/>
    <mergeCell ref="L74:M74"/>
    <mergeCell ref="N74:O74"/>
    <mergeCell ref="N82:O82"/>
    <mergeCell ref="N83:O83"/>
    <mergeCell ref="N80:O80"/>
    <mergeCell ref="N81:O81"/>
    <mergeCell ref="H83:I83"/>
    <mergeCell ref="H84:I84"/>
    <mergeCell ref="L76:M76"/>
    <mergeCell ref="L77:M77"/>
    <mergeCell ref="L78:M78"/>
    <mergeCell ref="L79:M79"/>
    <mergeCell ref="N75:O75"/>
    <mergeCell ref="H78:I78"/>
    <mergeCell ref="H85:I85"/>
    <mergeCell ref="H86:I86"/>
    <mergeCell ref="N77:O77"/>
    <mergeCell ref="C38:D38"/>
    <mergeCell ref="C43:D43"/>
    <mergeCell ref="AX4:BA4"/>
    <mergeCell ref="K4:N4"/>
    <mergeCell ref="O4:R4"/>
    <mergeCell ref="Z4:AC4"/>
    <mergeCell ref="AD4:AG4"/>
    <mergeCell ref="AH4:AK4"/>
    <mergeCell ref="AL4:AO4"/>
    <mergeCell ref="AP4:AS4"/>
    <mergeCell ref="V4:Y4"/>
    <mergeCell ref="S4:S5"/>
    <mergeCell ref="U4:U5"/>
    <mergeCell ref="T4:T5"/>
    <mergeCell ref="C12:D12"/>
    <mergeCell ref="C13:D13"/>
    <mergeCell ref="C6:D6"/>
    <mergeCell ref="C8:D8"/>
    <mergeCell ref="C9:D9"/>
    <mergeCell ref="C14:D14"/>
    <mergeCell ref="C15:D15"/>
    <mergeCell ref="G3:M3"/>
    <mergeCell ref="O3:Q3"/>
    <mergeCell ref="A4:A5"/>
    <mergeCell ref="B4:B5"/>
    <mergeCell ref="C4:D5"/>
    <mergeCell ref="E4:E5"/>
    <mergeCell ref="F4:F5"/>
    <mergeCell ref="G4:J4"/>
    <mergeCell ref="C7:D7"/>
    <mergeCell ref="R71:W71"/>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L88:M88"/>
    <mergeCell ref="L89:M89"/>
    <mergeCell ref="J88:K88"/>
    <mergeCell ref="J89:K89"/>
    <mergeCell ref="C46:D46"/>
    <mergeCell ref="C47:D47"/>
    <mergeCell ref="C48:D48"/>
    <mergeCell ref="C49:D49"/>
    <mergeCell ref="C50:D50"/>
    <mergeCell ref="J81:K81"/>
    <mergeCell ref="J82:K82"/>
    <mergeCell ref="C51:D51"/>
    <mergeCell ref="C53:D53"/>
    <mergeCell ref="C55:D55"/>
    <mergeCell ref="C52:D52"/>
    <mergeCell ref="C63:D63"/>
    <mergeCell ref="C64:D64"/>
    <mergeCell ref="C65:D65"/>
    <mergeCell ref="C62:D62"/>
    <mergeCell ref="C61:D61"/>
    <mergeCell ref="H77:I77"/>
    <mergeCell ref="H79:I79"/>
    <mergeCell ref="H80:I80"/>
    <mergeCell ref="H81:I81"/>
    <mergeCell ref="H87:I87"/>
    <mergeCell ref="L75:M75"/>
    <mergeCell ref="L80:M80"/>
    <mergeCell ref="H75:I75"/>
    <mergeCell ref="H76:I76"/>
    <mergeCell ref="N76:O76"/>
    <mergeCell ref="N84:O84"/>
    <mergeCell ref="N85:O85"/>
    <mergeCell ref="L81:M81"/>
    <mergeCell ref="J83:K83"/>
    <mergeCell ref="J84:K84"/>
    <mergeCell ref="L87:M87"/>
    <mergeCell ref="H82:I82"/>
    <mergeCell ref="J74:K74"/>
    <mergeCell ref="J75:K75"/>
    <mergeCell ref="J80:K80"/>
    <mergeCell ref="L82:M82"/>
    <mergeCell ref="L83:M83"/>
    <mergeCell ref="L84:M84"/>
    <mergeCell ref="L85:M85"/>
    <mergeCell ref="L86:M86"/>
    <mergeCell ref="J85:K85"/>
    <mergeCell ref="J86:K86"/>
    <mergeCell ref="J76:K76"/>
    <mergeCell ref="J77:K77"/>
    <mergeCell ref="J78:K78"/>
    <mergeCell ref="J79:K79"/>
    <mergeCell ref="L100:M100"/>
    <mergeCell ref="H96:I96"/>
    <mergeCell ref="L91:M91"/>
    <mergeCell ref="L92:M92"/>
    <mergeCell ref="J96:K96"/>
    <mergeCell ref="L95:M95"/>
    <mergeCell ref="L96:M96"/>
    <mergeCell ref="L90:M90"/>
    <mergeCell ref="H90:I90"/>
    <mergeCell ref="H91:I91"/>
    <mergeCell ref="H92:I92"/>
    <mergeCell ref="H93:I93"/>
    <mergeCell ref="N100:O100"/>
    <mergeCell ref="H97:I97"/>
    <mergeCell ref="J97:K97"/>
    <mergeCell ref="L97:M97"/>
    <mergeCell ref="L93:M93"/>
    <mergeCell ref="J91:K91"/>
    <mergeCell ref="J92:K92"/>
    <mergeCell ref="N95:O95"/>
    <mergeCell ref="N92:O92"/>
    <mergeCell ref="N93:O93"/>
    <mergeCell ref="H94:I94"/>
    <mergeCell ref="N97:O97"/>
    <mergeCell ref="N91:O91"/>
    <mergeCell ref="L94:M94"/>
    <mergeCell ref="H95:I95"/>
    <mergeCell ref="H99:I99"/>
    <mergeCell ref="J99:K99"/>
    <mergeCell ref="L99:M99"/>
    <mergeCell ref="N99:O99"/>
    <mergeCell ref="H98:I98"/>
    <mergeCell ref="J98:K98"/>
    <mergeCell ref="L98:M98"/>
    <mergeCell ref="H100:I100"/>
    <mergeCell ref="J100:K100"/>
    <mergeCell ref="N90:O90"/>
    <mergeCell ref="J90:K90"/>
    <mergeCell ref="N78:O78"/>
    <mergeCell ref="N79:O79"/>
    <mergeCell ref="N86:O86"/>
    <mergeCell ref="C66:D66"/>
    <mergeCell ref="C67:D67"/>
    <mergeCell ref="H102:I102"/>
    <mergeCell ref="J102:K102"/>
    <mergeCell ref="L102:M102"/>
    <mergeCell ref="N102:O102"/>
    <mergeCell ref="J101:K101"/>
    <mergeCell ref="L101:M101"/>
    <mergeCell ref="H101:I101"/>
    <mergeCell ref="N101:O101"/>
    <mergeCell ref="N96:O96"/>
    <mergeCell ref="J95:K95"/>
    <mergeCell ref="N94:O94"/>
    <mergeCell ref="J93:K93"/>
    <mergeCell ref="J94:K94"/>
    <mergeCell ref="N87:O87"/>
    <mergeCell ref="N88:O88"/>
    <mergeCell ref="N89:O89"/>
    <mergeCell ref="J87:K87"/>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A194"/>
  <sheetViews>
    <sheetView zoomScale="112" zoomScaleNormal="120" workbookViewId="0">
      <pane xSplit="1" ySplit="5" topLeftCell="B105" activePane="bottomRight" state="frozen"/>
      <selection pane="topRight" activeCell="B1" sqref="B1"/>
      <selection pane="bottomLeft" activeCell="A6" sqref="A6"/>
      <selection pane="bottomRight" activeCell="W194" sqref="W194"/>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33" width="5.6640625" style="1" customWidth="1"/>
    <col min="34" max="34" width="5.6640625" style="37" customWidth="1"/>
    <col min="35" max="53" width="5.6640625" style="1" customWidth="1"/>
    <col min="54" max="16384" width="10.6640625" style="1"/>
  </cols>
  <sheetData>
    <row r="1" spans="1:53" s="2" customFormat="1" ht="15" customHeight="1">
      <c r="B1" s="22" t="s">
        <v>14</v>
      </c>
      <c r="AH1" s="36"/>
    </row>
    <row r="2" spans="1:53" s="2" customFormat="1" ht="15" customHeight="1">
      <c r="B2" s="22" t="s">
        <v>57</v>
      </c>
      <c r="AH2" s="36"/>
    </row>
    <row r="3" spans="1:53" s="2" customFormat="1">
      <c r="G3" s="994"/>
      <c r="H3" s="994"/>
      <c r="I3" s="994"/>
      <c r="J3" s="994"/>
      <c r="K3" s="994"/>
      <c r="L3" s="994"/>
      <c r="M3" s="994"/>
      <c r="O3" s="994"/>
      <c r="P3" s="994"/>
      <c r="Q3" s="994"/>
      <c r="AH3" s="3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ht="9" customHeight="1">
      <c r="A6" s="263">
        <v>1959</v>
      </c>
      <c r="B6" s="252"/>
      <c r="C6" s="995" t="s">
        <v>1243</v>
      </c>
      <c r="D6" s="995"/>
      <c r="E6" s="257">
        <v>323</v>
      </c>
      <c r="G6" s="265"/>
      <c r="I6" s="257">
        <v>4</v>
      </c>
      <c r="J6" s="272">
        <v>4</v>
      </c>
      <c r="K6" s="248">
        <f t="shared" ref="K6:M8" si="0">G6/$J6*100</f>
        <v>0</v>
      </c>
      <c r="L6" s="248">
        <f t="shared" si="0"/>
        <v>0</v>
      </c>
      <c r="M6" s="248">
        <f t="shared" si="0"/>
        <v>100</v>
      </c>
      <c r="N6" s="267">
        <f>K6+L6+M6</f>
        <v>100</v>
      </c>
      <c r="O6" s="247"/>
      <c r="P6" s="248"/>
      <c r="Q6" s="248">
        <v>15</v>
      </c>
      <c r="R6" s="249">
        <f>O6+P6+Q6</f>
        <v>15</v>
      </c>
      <c r="S6" s="257">
        <v>4</v>
      </c>
      <c r="T6" s="278"/>
      <c r="V6" s="281" t="s">
        <v>112</v>
      </c>
      <c r="W6" s="257" t="s">
        <v>20</v>
      </c>
      <c r="X6" s="257" t="s">
        <v>12</v>
      </c>
      <c r="Y6" s="257">
        <v>15</v>
      </c>
      <c r="AD6" s="256"/>
      <c r="AG6" s="258"/>
      <c r="AH6" s="282"/>
      <c r="AL6" s="256"/>
      <c r="AO6" s="258"/>
      <c r="AP6" s="256"/>
      <c r="AS6" s="258"/>
      <c r="AW6" s="258"/>
      <c r="BA6" s="259"/>
    </row>
    <row r="7" spans="1:53" s="257" customFormat="1">
      <c r="A7" s="263">
        <v>1959</v>
      </c>
      <c r="B7" s="252">
        <v>21874</v>
      </c>
      <c r="C7" s="995" t="s">
        <v>282</v>
      </c>
      <c r="D7" s="995"/>
      <c r="E7" s="257">
        <f>365-E6</f>
        <v>42</v>
      </c>
      <c r="F7" s="257">
        <v>1</v>
      </c>
      <c r="G7" s="265">
        <v>4</v>
      </c>
      <c r="I7" s="257">
        <v>2</v>
      </c>
      <c r="J7" s="272">
        <v>6</v>
      </c>
      <c r="K7" s="248">
        <f t="shared" si="0"/>
        <v>66.666666666666657</v>
      </c>
      <c r="L7" s="248">
        <f t="shared" si="0"/>
        <v>0</v>
      </c>
      <c r="M7" s="248">
        <f t="shared" si="0"/>
        <v>33.333333333333329</v>
      </c>
      <c r="N7" s="267">
        <f>K7+L7+M7</f>
        <v>99.999999999999986</v>
      </c>
      <c r="O7" s="247">
        <v>40</v>
      </c>
      <c r="P7" s="248"/>
      <c r="Q7" s="248">
        <v>15</v>
      </c>
      <c r="R7" s="249">
        <f>O7+P7+Q7</f>
        <v>55</v>
      </c>
      <c r="S7" s="257">
        <v>2</v>
      </c>
      <c r="T7" s="251">
        <v>21849</v>
      </c>
      <c r="U7" s="252">
        <v>21874</v>
      </c>
      <c r="V7" s="256" t="s">
        <v>568</v>
      </c>
      <c r="W7" s="257" t="s">
        <v>74</v>
      </c>
      <c r="X7" s="257" t="s">
        <v>11</v>
      </c>
      <c r="Y7" s="258">
        <v>40</v>
      </c>
      <c r="Z7" s="257" t="s">
        <v>112</v>
      </c>
      <c r="AA7" s="257" t="s">
        <v>20</v>
      </c>
      <c r="AB7" s="257" t="s">
        <v>12</v>
      </c>
      <c r="AC7" s="257">
        <v>15</v>
      </c>
      <c r="AD7" s="256"/>
      <c r="AG7" s="258"/>
      <c r="AH7" s="282"/>
      <c r="AL7" s="256"/>
      <c r="AO7" s="258"/>
      <c r="AP7" s="256"/>
      <c r="AS7" s="258"/>
      <c r="AW7" s="258"/>
      <c r="BA7" s="259"/>
    </row>
    <row r="8" spans="1:53" s="73" customFormat="1">
      <c r="A8" s="102">
        <v>1960</v>
      </c>
      <c r="C8" s="988" t="s">
        <v>282</v>
      </c>
      <c r="D8" s="988"/>
      <c r="E8" s="73">
        <v>0</v>
      </c>
      <c r="G8" s="123">
        <v>4</v>
      </c>
      <c r="I8" s="73">
        <v>2</v>
      </c>
      <c r="J8" s="134">
        <v>6</v>
      </c>
      <c r="K8" s="92">
        <f t="shared" si="0"/>
        <v>66.666666666666657</v>
      </c>
      <c r="L8" s="92">
        <f t="shared" si="0"/>
        <v>0</v>
      </c>
      <c r="M8" s="92">
        <f t="shared" si="0"/>
        <v>33.333333333333329</v>
      </c>
      <c r="N8" s="125">
        <f>K8+L8+M8</f>
        <v>99.999999999999986</v>
      </c>
      <c r="O8" s="91">
        <v>40</v>
      </c>
      <c r="P8" s="92"/>
      <c r="Q8" s="92">
        <v>15</v>
      </c>
      <c r="R8" s="93">
        <f>O8+P8+Q8</f>
        <v>55</v>
      </c>
      <c r="S8" s="73">
        <v>2</v>
      </c>
      <c r="T8" s="81"/>
      <c r="V8" s="82" t="s">
        <v>568</v>
      </c>
      <c r="W8" s="73" t="s">
        <v>74</v>
      </c>
      <c r="X8" s="73" t="s">
        <v>11</v>
      </c>
      <c r="Y8" s="83">
        <v>40</v>
      </c>
      <c r="Z8" s="73" t="s">
        <v>112</v>
      </c>
      <c r="AA8" s="73" t="s">
        <v>20</v>
      </c>
      <c r="AB8" s="73" t="s">
        <v>12</v>
      </c>
      <c r="AC8" s="73">
        <v>15</v>
      </c>
      <c r="AD8" s="82"/>
      <c r="AG8" s="83"/>
      <c r="AH8" s="164"/>
      <c r="AL8" s="82"/>
      <c r="AO8" s="83"/>
      <c r="AP8" s="82"/>
      <c r="AS8" s="83"/>
      <c r="AW8" s="83"/>
      <c r="BA8" s="84"/>
    </row>
    <row r="9" spans="1:53" s="73" customFormat="1">
      <c r="A9" s="102">
        <v>1960</v>
      </c>
      <c r="B9" s="85"/>
      <c r="C9" s="988" t="s">
        <v>282</v>
      </c>
      <c r="D9" s="988"/>
      <c r="E9" s="73">
        <v>366</v>
      </c>
      <c r="G9" s="123">
        <v>4</v>
      </c>
      <c r="I9" s="73">
        <v>2</v>
      </c>
      <c r="J9" s="134">
        <v>6</v>
      </c>
      <c r="K9" s="92">
        <f t="shared" ref="K9:M43" si="1">G9/$J9*100</f>
        <v>66.666666666666657</v>
      </c>
      <c r="L9" s="92">
        <f t="shared" si="1"/>
        <v>0</v>
      </c>
      <c r="M9" s="92">
        <f t="shared" si="1"/>
        <v>33.333333333333329</v>
      </c>
      <c r="N9" s="125">
        <f t="shared" ref="N9:N72" si="2">K9+L9+M9</f>
        <v>99.999999999999986</v>
      </c>
      <c r="O9" s="91">
        <v>40</v>
      </c>
      <c r="P9" s="92"/>
      <c r="Q9" s="92">
        <v>15</v>
      </c>
      <c r="R9" s="93">
        <f t="shared" ref="R9:R73" si="3">O9+P9+Q9</f>
        <v>55</v>
      </c>
      <c r="S9" s="73">
        <v>2</v>
      </c>
      <c r="T9" s="81"/>
      <c r="V9" s="82" t="s">
        <v>568</v>
      </c>
      <c r="W9" s="73" t="s">
        <v>74</v>
      </c>
      <c r="X9" s="73" t="s">
        <v>11</v>
      </c>
      <c r="Y9" s="83">
        <v>40</v>
      </c>
      <c r="Z9" s="73" t="s">
        <v>112</v>
      </c>
      <c r="AA9" s="73" t="s">
        <v>20</v>
      </c>
      <c r="AB9" s="73" t="s">
        <v>12</v>
      </c>
      <c r="AC9" s="73">
        <v>15</v>
      </c>
      <c r="AD9" s="82"/>
      <c r="AG9" s="83"/>
      <c r="AH9" s="164"/>
      <c r="AL9" s="82"/>
      <c r="AO9" s="83"/>
      <c r="AP9" s="82"/>
      <c r="AS9" s="83"/>
      <c r="AW9" s="83"/>
      <c r="BA9" s="84"/>
    </row>
    <row r="10" spans="1:53" s="73" customFormat="1">
      <c r="A10" s="102">
        <v>1961</v>
      </c>
      <c r="B10" s="85"/>
      <c r="C10" s="988" t="s">
        <v>282</v>
      </c>
      <c r="D10" s="988"/>
      <c r="E10" s="73">
        <v>0</v>
      </c>
      <c r="G10" s="123">
        <v>4</v>
      </c>
      <c r="I10" s="73">
        <v>2</v>
      </c>
      <c r="J10" s="134">
        <v>6</v>
      </c>
      <c r="K10" s="92">
        <f t="shared" si="1"/>
        <v>66.666666666666657</v>
      </c>
      <c r="L10" s="92">
        <f t="shared" si="1"/>
        <v>0</v>
      </c>
      <c r="M10" s="92">
        <f t="shared" si="1"/>
        <v>33.333333333333329</v>
      </c>
      <c r="N10" s="125">
        <f t="shared" si="2"/>
        <v>99.999999999999986</v>
      </c>
      <c r="O10" s="91">
        <v>40</v>
      </c>
      <c r="P10" s="92"/>
      <c r="Q10" s="92">
        <v>15</v>
      </c>
      <c r="R10" s="93">
        <f t="shared" si="3"/>
        <v>55</v>
      </c>
      <c r="S10" s="73">
        <v>2</v>
      </c>
      <c r="T10" s="81"/>
      <c r="V10" s="82" t="s">
        <v>568</v>
      </c>
      <c r="W10" s="73" t="s">
        <v>74</v>
      </c>
      <c r="X10" s="73" t="s">
        <v>11</v>
      </c>
      <c r="Y10" s="83">
        <v>40</v>
      </c>
      <c r="Z10" s="73" t="s">
        <v>112</v>
      </c>
      <c r="AA10" s="73" t="s">
        <v>20</v>
      </c>
      <c r="AB10" s="73" t="s">
        <v>12</v>
      </c>
      <c r="AC10" s="73">
        <v>15</v>
      </c>
      <c r="AD10" s="82"/>
      <c r="AG10" s="83"/>
      <c r="AH10" s="164"/>
      <c r="AL10" s="82"/>
      <c r="AO10" s="83"/>
      <c r="AP10" s="82"/>
      <c r="AS10" s="83"/>
      <c r="AW10" s="83"/>
      <c r="BA10" s="84"/>
    </row>
    <row r="11" spans="1:53" s="73" customFormat="1">
      <c r="A11" s="102">
        <v>1961</v>
      </c>
      <c r="B11" s="85"/>
      <c r="C11" s="988" t="s">
        <v>282</v>
      </c>
      <c r="D11" s="988"/>
      <c r="E11" s="73">
        <v>365</v>
      </c>
      <c r="G11" s="123">
        <v>4</v>
      </c>
      <c r="I11" s="73">
        <v>2</v>
      </c>
      <c r="J11" s="134">
        <v>6</v>
      </c>
      <c r="K11" s="92">
        <f t="shared" si="1"/>
        <v>66.666666666666657</v>
      </c>
      <c r="L11" s="92">
        <f t="shared" si="1"/>
        <v>0</v>
      </c>
      <c r="M11" s="92">
        <f t="shared" si="1"/>
        <v>33.333333333333329</v>
      </c>
      <c r="N11" s="125">
        <f t="shared" si="2"/>
        <v>99.999999999999986</v>
      </c>
      <c r="O11" s="91">
        <v>40</v>
      </c>
      <c r="P11" s="92"/>
      <c r="Q11" s="92">
        <v>15</v>
      </c>
      <c r="R11" s="93">
        <f t="shared" si="3"/>
        <v>55</v>
      </c>
      <c r="S11" s="73">
        <v>2</v>
      </c>
      <c r="T11" s="81"/>
      <c r="V11" s="82" t="s">
        <v>568</v>
      </c>
      <c r="W11" s="73" t="s">
        <v>74</v>
      </c>
      <c r="X11" s="73" t="s">
        <v>11</v>
      </c>
      <c r="Y11" s="83">
        <v>40</v>
      </c>
      <c r="Z11" s="73" t="s">
        <v>112</v>
      </c>
      <c r="AA11" s="73" t="s">
        <v>20</v>
      </c>
      <c r="AB11" s="73" t="s">
        <v>12</v>
      </c>
      <c r="AC11" s="73">
        <v>15</v>
      </c>
      <c r="AD11" s="82"/>
      <c r="AG11" s="83"/>
      <c r="AH11" s="164"/>
      <c r="AL11" s="82"/>
      <c r="AO11" s="83"/>
      <c r="AP11" s="82"/>
      <c r="AS11" s="83"/>
      <c r="AW11" s="83"/>
      <c r="BA11" s="84"/>
    </row>
    <row r="12" spans="1:53" s="73" customFormat="1">
      <c r="A12" s="102">
        <v>1962</v>
      </c>
      <c r="B12" s="85"/>
      <c r="C12" s="988" t="s">
        <v>282</v>
      </c>
      <c r="D12" s="988"/>
      <c r="E12" s="73">
        <v>0</v>
      </c>
      <c r="G12" s="123">
        <v>4</v>
      </c>
      <c r="I12" s="73">
        <v>2</v>
      </c>
      <c r="J12" s="134">
        <v>6</v>
      </c>
      <c r="K12" s="92">
        <f t="shared" si="1"/>
        <v>66.666666666666657</v>
      </c>
      <c r="L12" s="92">
        <f t="shared" si="1"/>
        <v>0</v>
      </c>
      <c r="M12" s="92">
        <f t="shared" si="1"/>
        <v>33.333333333333329</v>
      </c>
      <c r="N12" s="125">
        <f t="shared" si="2"/>
        <v>99.999999999999986</v>
      </c>
      <c r="O12" s="91">
        <v>40</v>
      </c>
      <c r="P12" s="92"/>
      <c r="Q12" s="92">
        <v>15</v>
      </c>
      <c r="R12" s="93">
        <f t="shared" si="3"/>
        <v>55</v>
      </c>
      <c r="S12" s="73">
        <v>2</v>
      </c>
      <c r="T12" s="81"/>
      <c r="V12" s="82" t="s">
        <v>568</v>
      </c>
      <c r="W12" s="73" t="s">
        <v>74</v>
      </c>
      <c r="X12" s="73" t="s">
        <v>11</v>
      </c>
      <c r="Y12" s="83">
        <v>40</v>
      </c>
      <c r="Z12" s="73" t="s">
        <v>112</v>
      </c>
      <c r="AA12" s="73" t="s">
        <v>20</v>
      </c>
      <c r="AB12" s="73" t="s">
        <v>12</v>
      </c>
      <c r="AC12" s="73">
        <v>15</v>
      </c>
      <c r="AD12" s="82"/>
      <c r="AG12" s="83"/>
      <c r="AH12" s="164"/>
      <c r="AL12" s="82"/>
      <c r="AO12" s="83"/>
      <c r="AP12" s="82"/>
      <c r="AS12" s="83"/>
      <c r="AW12" s="83"/>
      <c r="BA12" s="84"/>
    </row>
    <row r="13" spans="1:53" s="73" customFormat="1">
      <c r="A13" s="102">
        <v>1962</v>
      </c>
      <c r="B13" s="85"/>
      <c r="C13" s="988" t="s">
        <v>282</v>
      </c>
      <c r="D13" s="988"/>
      <c r="E13" s="73">
        <v>365</v>
      </c>
      <c r="G13" s="123">
        <v>4</v>
      </c>
      <c r="I13" s="73">
        <v>2</v>
      </c>
      <c r="J13" s="134">
        <v>6</v>
      </c>
      <c r="K13" s="92">
        <f t="shared" si="1"/>
        <v>66.666666666666657</v>
      </c>
      <c r="L13" s="92">
        <f t="shared" si="1"/>
        <v>0</v>
      </c>
      <c r="M13" s="92">
        <f t="shared" si="1"/>
        <v>33.333333333333329</v>
      </c>
      <c r="N13" s="125">
        <f t="shared" si="2"/>
        <v>99.999999999999986</v>
      </c>
      <c r="O13" s="91">
        <v>40</v>
      </c>
      <c r="P13" s="92"/>
      <c r="Q13" s="92">
        <v>15</v>
      </c>
      <c r="R13" s="93">
        <f t="shared" si="3"/>
        <v>55</v>
      </c>
      <c r="S13" s="73">
        <v>2</v>
      </c>
      <c r="T13" s="81"/>
      <c r="V13" s="82" t="s">
        <v>568</v>
      </c>
      <c r="W13" s="73" t="s">
        <v>74</v>
      </c>
      <c r="X13" s="73" t="s">
        <v>11</v>
      </c>
      <c r="Y13" s="83">
        <v>40</v>
      </c>
      <c r="Z13" s="73" t="s">
        <v>112</v>
      </c>
      <c r="AA13" s="73" t="s">
        <v>20</v>
      </c>
      <c r="AB13" s="73" t="s">
        <v>12</v>
      </c>
      <c r="AC13" s="73">
        <v>15</v>
      </c>
      <c r="AD13" s="82"/>
      <c r="AG13" s="83"/>
      <c r="AH13" s="164"/>
      <c r="AL13" s="82"/>
      <c r="AO13" s="83"/>
      <c r="AP13" s="82"/>
      <c r="AS13" s="83"/>
      <c r="AW13" s="83"/>
      <c r="BA13" s="84"/>
    </row>
    <row r="14" spans="1:53" s="73" customFormat="1">
      <c r="A14" s="102">
        <v>1962.6</v>
      </c>
      <c r="B14" s="85"/>
      <c r="C14" s="988" t="s">
        <v>282</v>
      </c>
      <c r="D14" s="988"/>
      <c r="E14" s="73">
        <v>317</v>
      </c>
      <c r="G14" s="123">
        <v>4</v>
      </c>
      <c r="I14" s="73">
        <v>2</v>
      </c>
      <c r="J14" s="134">
        <v>6</v>
      </c>
      <c r="K14" s="92">
        <f t="shared" si="1"/>
        <v>66.666666666666657</v>
      </c>
      <c r="L14" s="92">
        <f t="shared" si="1"/>
        <v>0</v>
      </c>
      <c r="M14" s="92">
        <f t="shared" si="1"/>
        <v>33.333333333333329</v>
      </c>
      <c r="N14" s="125">
        <f t="shared" si="2"/>
        <v>99.999999999999986</v>
      </c>
      <c r="O14" s="91">
        <v>40</v>
      </c>
      <c r="P14" s="92"/>
      <c r="Q14" s="92">
        <v>15</v>
      </c>
      <c r="R14" s="93">
        <f t="shared" si="3"/>
        <v>55</v>
      </c>
      <c r="S14" s="73">
        <v>2</v>
      </c>
      <c r="T14" s="81"/>
      <c r="V14" s="82" t="s">
        <v>568</v>
      </c>
      <c r="W14" s="73" t="s">
        <v>74</v>
      </c>
      <c r="X14" s="73" t="s">
        <v>11</v>
      </c>
      <c r="Y14" s="83">
        <v>40</v>
      </c>
      <c r="Z14" s="73" t="s">
        <v>112</v>
      </c>
      <c r="AA14" s="73" t="s">
        <v>20</v>
      </c>
      <c r="AB14" s="73" t="s">
        <v>12</v>
      </c>
      <c r="AC14" s="73">
        <v>15</v>
      </c>
      <c r="AD14" s="82"/>
      <c r="AG14" s="83"/>
      <c r="AH14" s="164"/>
      <c r="AL14" s="82"/>
      <c r="AO14" s="83"/>
      <c r="AP14" s="82"/>
      <c r="AS14" s="83"/>
      <c r="AW14" s="83"/>
      <c r="BA14" s="84"/>
    </row>
    <row r="15" spans="1:53" s="334" customFormat="1">
      <c r="A15" s="386">
        <v>1963.05714285714</v>
      </c>
      <c r="B15" s="355">
        <v>23329</v>
      </c>
      <c r="C15" s="992" t="s">
        <v>283</v>
      </c>
      <c r="D15" s="992"/>
      <c r="E15" s="334">
        <f>365-E14</f>
        <v>48</v>
      </c>
      <c r="F15" s="334">
        <v>3</v>
      </c>
      <c r="G15" s="419">
        <v>4</v>
      </c>
      <c r="I15" s="334">
        <v>3</v>
      </c>
      <c r="J15" s="435">
        <v>7</v>
      </c>
      <c r="K15" s="384">
        <f t="shared" si="1"/>
        <v>57.142857142857139</v>
      </c>
      <c r="L15" s="384">
        <f t="shared" si="1"/>
        <v>0</v>
      </c>
      <c r="M15" s="384">
        <f t="shared" si="1"/>
        <v>42.857142857142854</v>
      </c>
      <c r="N15" s="421">
        <f t="shared" si="2"/>
        <v>100</v>
      </c>
      <c r="O15" s="383">
        <v>40</v>
      </c>
      <c r="P15" s="384"/>
      <c r="Q15" s="384">
        <v>13.3</v>
      </c>
      <c r="R15" s="385">
        <f t="shared" si="3"/>
        <v>53.3</v>
      </c>
      <c r="S15" s="334">
        <v>2</v>
      </c>
      <c r="T15" s="342">
        <v>23171</v>
      </c>
      <c r="U15" s="355">
        <v>23329</v>
      </c>
      <c r="V15" s="343" t="s">
        <v>568</v>
      </c>
      <c r="W15" s="334" t="s">
        <v>74</v>
      </c>
      <c r="X15" s="334" t="s">
        <v>11</v>
      </c>
      <c r="Y15" s="344">
        <v>40</v>
      </c>
      <c r="Z15" s="334" t="s">
        <v>112</v>
      </c>
      <c r="AA15" s="334" t="s">
        <v>20</v>
      </c>
      <c r="AB15" s="334" t="s">
        <v>12</v>
      </c>
      <c r="AC15" s="334">
        <v>13.3</v>
      </c>
      <c r="AD15" s="343"/>
      <c r="AG15" s="344"/>
      <c r="AH15" s="452"/>
      <c r="AL15" s="343"/>
      <c r="AO15" s="344"/>
      <c r="AP15" s="343"/>
      <c r="AS15" s="344"/>
      <c r="AW15" s="344"/>
      <c r="BA15" s="345"/>
    </row>
    <row r="16" spans="1:53" s="334" customFormat="1">
      <c r="A16" s="386">
        <v>1963.5142857142901</v>
      </c>
      <c r="B16" s="355"/>
      <c r="C16" s="992" t="s">
        <v>283</v>
      </c>
      <c r="D16" s="992"/>
      <c r="E16" s="334">
        <v>0</v>
      </c>
      <c r="G16" s="419">
        <v>4</v>
      </c>
      <c r="I16" s="334">
        <v>3</v>
      </c>
      <c r="J16" s="435">
        <v>7</v>
      </c>
      <c r="K16" s="384">
        <f t="shared" si="1"/>
        <v>57.142857142857139</v>
      </c>
      <c r="L16" s="384">
        <f t="shared" si="1"/>
        <v>0</v>
      </c>
      <c r="M16" s="384">
        <f t="shared" si="1"/>
        <v>42.857142857142854</v>
      </c>
      <c r="N16" s="421">
        <f t="shared" si="2"/>
        <v>100</v>
      </c>
      <c r="O16" s="383">
        <v>40</v>
      </c>
      <c r="P16" s="384"/>
      <c r="Q16" s="384">
        <v>13.3</v>
      </c>
      <c r="R16" s="385">
        <f t="shared" si="3"/>
        <v>53.3</v>
      </c>
      <c r="S16" s="334">
        <v>2</v>
      </c>
      <c r="T16" s="357"/>
      <c r="V16" s="343" t="s">
        <v>568</v>
      </c>
      <c r="W16" s="334" t="s">
        <v>74</v>
      </c>
      <c r="X16" s="334" t="s">
        <v>11</v>
      </c>
      <c r="Y16" s="344">
        <v>40</v>
      </c>
      <c r="Z16" s="334" t="s">
        <v>112</v>
      </c>
      <c r="AA16" s="334" t="s">
        <v>20</v>
      </c>
      <c r="AB16" s="334" t="s">
        <v>12</v>
      </c>
      <c r="AC16" s="334">
        <v>13.3</v>
      </c>
      <c r="AD16" s="343"/>
      <c r="AG16" s="344"/>
      <c r="AH16" s="452"/>
      <c r="AL16" s="343"/>
      <c r="AO16" s="344"/>
      <c r="AP16" s="343"/>
      <c r="AS16" s="344"/>
      <c r="AW16" s="344"/>
      <c r="BA16" s="345"/>
    </row>
    <row r="17" spans="1:53" s="334" customFormat="1">
      <c r="A17" s="386">
        <v>1963.9714285714299</v>
      </c>
      <c r="B17" s="355"/>
      <c r="C17" s="992" t="s">
        <v>283</v>
      </c>
      <c r="D17" s="992"/>
      <c r="E17" s="334">
        <v>366</v>
      </c>
      <c r="G17" s="419">
        <v>4</v>
      </c>
      <c r="I17" s="334">
        <v>3</v>
      </c>
      <c r="J17" s="435">
        <v>7</v>
      </c>
      <c r="K17" s="384">
        <f t="shared" si="1"/>
        <v>57.142857142857139</v>
      </c>
      <c r="L17" s="384">
        <f t="shared" si="1"/>
        <v>0</v>
      </c>
      <c r="M17" s="384">
        <f t="shared" si="1"/>
        <v>42.857142857142854</v>
      </c>
      <c r="N17" s="421">
        <f t="shared" si="2"/>
        <v>100</v>
      </c>
      <c r="O17" s="383">
        <v>40</v>
      </c>
      <c r="P17" s="384"/>
      <c r="Q17" s="384">
        <v>13.3</v>
      </c>
      <c r="R17" s="385">
        <f t="shared" si="3"/>
        <v>53.3</v>
      </c>
      <c r="S17" s="334">
        <v>2</v>
      </c>
      <c r="T17" s="357"/>
      <c r="V17" s="343" t="s">
        <v>568</v>
      </c>
      <c r="W17" s="334" t="s">
        <v>74</v>
      </c>
      <c r="X17" s="334" t="s">
        <v>11</v>
      </c>
      <c r="Y17" s="344">
        <v>40</v>
      </c>
      <c r="Z17" s="334" t="s">
        <v>112</v>
      </c>
      <c r="AA17" s="334" t="s">
        <v>20</v>
      </c>
      <c r="AB17" s="334" t="s">
        <v>12</v>
      </c>
      <c r="AC17" s="334">
        <v>13.3</v>
      </c>
      <c r="AD17" s="343"/>
      <c r="AG17" s="344"/>
      <c r="AH17" s="452"/>
      <c r="AL17" s="343"/>
      <c r="AO17" s="344"/>
      <c r="AP17" s="343"/>
      <c r="AS17" s="344"/>
      <c r="AW17" s="344"/>
      <c r="BA17" s="345"/>
    </row>
    <row r="18" spans="1:53" s="334" customFormat="1">
      <c r="A18" s="386">
        <v>1965</v>
      </c>
      <c r="B18" s="355"/>
      <c r="C18" s="992" t="s">
        <v>283</v>
      </c>
      <c r="D18" s="992"/>
      <c r="E18" s="334">
        <v>0</v>
      </c>
      <c r="G18" s="419">
        <v>4</v>
      </c>
      <c r="I18" s="334">
        <v>3</v>
      </c>
      <c r="J18" s="435">
        <v>7</v>
      </c>
      <c r="K18" s="384">
        <f t="shared" si="1"/>
        <v>57.142857142857139</v>
      </c>
      <c r="L18" s="384">
        <f t="shared" si="1"/>
        <v>0</v>
      </c>
      <c r="M18" s="384">
        <f t="shared" si="1"/>
        <v>42.857142857142854</v>
      </c>
      <c r="N18" s="421">
        <f t="shared" si="2"/>
        <v>100</v>
      </c>
      <c r="O18" s="383">
        <v>40</v>
      </c>
      <c r="P18" s="384"/>
      <c r="Q18" s="384">
        <v>13.3</v>
      </c>
      <c r="R18" s="385">
        <f t="shared" si="3"/>
        <v>53.3</v>
      </c>
      <c r="S18" s="334">
        <v>2</v>
      </c>
      <c r="T18" s="357"/>
      <c r="V18" s="343" t="s">
        <v>568</v>
      </c>
      <c r="W18" s="334" t="s">
        <v>74</v>
      </c>
      <c r="X18" s="334" t="s">
        <v>11</v>
      </c>
      <c r="Y18" s="344">
        <v>40</v>
      </c>
      <c r="Z18" s="334" t="s">
        <v>112</v>
      </c>
      <c r="AA18" s="334" t="s">
        <v>20</v>
      </c>
      <c r="AB18" s="334" t="s">
        <v>12</v>
      </c>
      <c r="AC18" s="334">
        <v>13.3</v>
      </c>
      <c r="AD18" s="343"/>
      <c r="AG18" s="344"/>
      <c r="AH18" s="452"/>
      <c r="AL18" s="343"/>
      <c r="AO18" s="344"/>
      <c r="AP18" s="343"/>
      <c r="AS18" s="344"/>
      <c r="AW18" s="344"/>
      <c r="BA18" s="345"/>
    </row>
    <row r="19" spans="1:53" s="334" customFormat="1">
      <c r="A19" s="386">
        <v>1964.88571428572</v>
      </c>
      <c r="B19" s="355"/>
      <c r="C19" s="992" t="s">
        <v>283</v>
      </c>
      <c r="D19" s="992"/>
      <c r="E19" s="334">
        <v>365</v>
      </c>
      <c r="G19" s="419">
        <v>4</v>
      </c>
      <c r="I19" s="334">
        <v>3</v>
      </c>
      <c r="J19" s="435">
        <v>7</v>
      </c>
      <c r="K19" s="384">
        <f t="shared" si="1"/>
        <v>57.142857142857139</v>
      </c>
      <c r="L19" s="384">
        <f t="shared" si="1"/>
        <v>0</v>
      </c>
      <c r="M19" s="384">
        <f t="shared" si="1"/>
        <v>42.857142857142854</v>
      </c>
      <c r="N19" s="421">
        <f t="shared" si="2"/>
        <v>100</v>
      </c>
      <c r="O19" s="383">
        <v>40</v>
      </c>
      <c r="P19" s="384"/>
      <c r="Q19" s="384">
        <v>13.3</v>
      </c>
      <c r="R19" s="385">
        <f t="shared" si="3"/>
        <v>53.3</v>
      </c>
      <c r="S19" s="334">
        <v>2</v>
      </c>
      <c r="T19" s="357"/>
      <c r="V19" s="343" t="s">
        <v>568</v>
      </c>
      <c r="W19" s="334" t="s">
        <v>74</v>
      </c>
      <c r="X19" s="334" t="s">
        <v>11</v>
      </c>
      <c r="Y19" s="344">
        <v>40</v>
      </c>
      <c r="Z19" s="334" t="s">
        <v>112</v>
      </c>
      <c r="AA19" s="334" t="s">
        <v>20</v>
      </c>
      <c r="AB19" s="334" t="s">
        <v>12</v>
      </c>
      <c r="AC19" s="334">
        <v>13.3</v>
      </c>
      <c r="AD19" s="343"/>
      <c r="AG19" s="344"/>
      <c r="AH19" s="452"/>
      <c r="AL19" s="343"/>
      <c r="AO19" s="344"/>
      <c r="AP19" s="343"/>
      <c r="AS19" s="344"/>
      <c r="AW19" s="344"/>
      <c r="BA19" s="345"/>
    </row>
    <row r="20" spans="1:53" s="334" customFormat="1">
      <c r="A20" s="386">
        <v>1966</v>
      </c>
      <c r="B20" s="355"/>
      <c r="C20" s="992" t="s">
        <v>283</v>
      </c>
      <c r="D20" s="992"/>
      <c r="E20" s="334">
        <v>0</v>
      </c>
      <c r="G20" s="419">
        <v>4</v>
      </c>
      <c r="I20" s="334">
        <v>3</v>
      </c>
      <c r="J20" s="435">
        <v>7</v>
      </c>
      <c r="K20" s="384">
        <f t="shared" si="1"/>
        <v>57.142857142857139</v>
      </c>
      <c r="L20" s="384">
        <f t="shared" si="1"/>
        <v>0</v>
      </c>
      <c r="M20" s="384">
        <f t="shared" si="1"/>
        <v>42.857142857142854</v>
      </c>
      <c r="N20" s="421">
        <f t="shared" si="2"/>
        <v>100</v>
      </c>
      <c r="O20" s="383">
        <v>40</v>
      </c>
      <c r="P20" s="384"/>
      <c r="Q20" s="384">
        <v>13.3</v>
      </c>
      <c r="R20" s="385">
        <f t="shared" si="3"/>
        <v>53.3</v>
      </c>
      <c r="S20" s="334">
        <v>2</v>
      </c>
      <c r="T20" s="357"/>
      <c r="V20" s="343" t="s">
        <v>568</v>
      </c>
      <c r="W20" s="334" t="s">
        <v>74</v>
      </c>
      <c r="X20" s="334" t="s">
        <v>11</v>
      </c>
      <c r="Y20" s="344">
        <v>40</v>
      </c>
      <c r="Z20" s="334" t="s">
        <v>112</v>
      </c>
      <c r="AA20" s="334" t="s">
        <v>20</v>
      </c>
      <c r="AB20" s="334" t="s">
        <v>12</v>
      </c>
      <c r="AC20" s="334">
        <v>13.3</v>
      </c>
      <c r="AD20" s="343"/>
      <c r="AG20" s="344"/>
      <c r="AH20" s="452"/>
      <c r="AL20" s="343"/>
      <c r="AO20" s="344"/>
      <c r="AP20" s="343"/>
      <c r="AS20" s="344"/>
      <c r="AW20" s="344"/>
      <c r="BA20" s="345"/>
    </row>
    <row r="21" spans="1:53" s="334" customFormat="1">
      <c r="A21" s="386">
        <v>1965.8</v>
      </c>
      <c r="B21" s="355"/>
      <c r="C21" s="992" t="s">
        <v>283</v>
      </c>
      <c r="D21" s="992"/>
      <c r="E21" s="334">
        <v>365</v>
      </c>
      <c r="G21" s="419">
        <v>4</v>
      </c>
      <c r="I21" s="334">
        <v>3</v>
      </c>
      <c r="J21" s="435">
        <v>7</v>
      </c>
      <c r="K21" s="384">
        <f t="shared" si="1"/>
        <v>57.142857142857139</v>
      </c>
      <c r="L21" s="384">
        <f t="shared" si="1"/>
        <v>0</v>
      </c>
      <c r="M21" s="384">
        <f t="shared" si="1"/>
        <v>42.857142857142854</v>
      </c>
      <c r="N21" s="421">
        <f t="shared" si="2"/>
        <v>100</v>
      </c>
      <c r="O21" s="383">
        <v>40</v>
      </c>
      <c r="P21" s="384"/>
      <c r="Q21" s="384">
        <v>13.3</v>
      </c>
      <c r="R21" s="385">
        <f t="shared" si="3"/>
        <v>53.3</v>
      </c>
      <c r="S21" s="334">
        <v>2</v>
      </c>
      <c r="T21" s="357"/>
      <c r="V21" s="343" t="s">
        <v>568</v>
      </c>
      <c r="W21" s="334" t="s">
        <v>74</v>
      </c>
      <c r="X21" s="334" t="s">
        <v>11</v>
      </c>
      <c r="Y21" s="344">
        <v>40</v>
      </c>
      <c r="Z21" s="334" t="s">
        <v>112</v>
      </c>
      <c r="AA21" s="334" t="s">
        <v>20</v>
      </c>
      <c r="AB21" s="334" t="s">
        <v>12</v>
      </c>
      <c r="AC21" s="334">
        <v>13.3</v>
      </c>
      <c r="AD21" s="343"/>
      <c r="AG21" s="344"/>
      <c r="AH21" s="452"/>
      <c r="AL21" s="343"/>
      <c r="AO21" s="344"/>
      <c r="AP21" s="343"/>
      <c r="AS21" s="344"/>
      <c r="AW21" s="344"/>
      <c r="BA21" s="345"/>
    </row>
    <row r="22" spans="1:53" s="334" customFormat="1">
      <c r="A22" s="386">
        <v>1967</v>
      </c>
      <c r="B22" s="355"/>
      <c r="C22" s="992" t="s">
        <v>283</v>
      </c>
      <c r="D22" s="992"/>
      <c r="E22" s="334">
        <v>162</v>
      </c>
      <c r="G22" s="419">
        <v>4</v>
      </c>
      <c r="I22" s="334">
        <v>3</v>
      </c>
      <c r="J22" s="435">
        <v>7</v>
      </c>
      <c r="K22" s="384">
        <f t="shared" si="1"/>
        <v>57.142857142857139</v>
      </c>
      <c r="L22" s="384">
        <f t="shared" si="1"/>
        <v>0</v>
      </c>
      <c r="M22" s="384">
        <f t="shared" si="1"/>
        <v>42.857142857142854</v>
      </c>
      <c r="N22" s="421">
        <f t="shared" si="2"/>
        <v>100</v>
      </c>
      <c r="O22" s="383">
        <v>40</v>
      </c>
      <c r="P22" s="384"/>
      <c r="Q22" s="384">
        <v>13.3</v>
      </c>
      <c r="R22" s="385">
        <f t="shared" si="3"/>
        <v>53.3</v>
      </c>
      <c r="S22" s="334">
        <v>2</v>
      </c>
      <c r="T22" s="357"/>
      <c r="V22" s="343" t="s">
        <v>568</v>
      </c>
      <c r="W22" s="334" t="s">
        <v>74</v>
      </c>
      <c r="X22" s="334" t="s">
        <v>11</v>
      </c>
      <c r="Y22" s="344">
        <v>40</v>
      </c>
      <c r="Z22" s="334" t="s">
        <v>112</v>
      </c>
      <c r="AA22" s="334" t="s">
        <v>20</v>
      </c>
      <c r="AB22" s="334" t="s">
        <v>12</v>
      </c>
      <c r="AC22" s="334">
        <v>13.3</v>
      </c>
      <c r="AD22" s="343"/>
      <c r="AG22" s="344"/>
      <c r="AH22" s="452"/>
      <c r="AL22" s="343"/>
      <c r="AO22" s="344"/>
      <c r="AP22" s="343"/>
      <c r="AS22" s="344"/>
      <c r="AW22" s="344"/>
      <c r="BA22" s="345"/>
    </row>
    <row r="23" spans="1:53" s="73" customFormat="1">
      <c r="A23" s="102">
        <v>1966.7142857142901</v>
      </c>
      <c r="B23" s="85">
        <v>24635</v>
      </c>
      <c r="C23" s="988" t="s">
        <v>284</v>
      </c>
      <c r="D23" s="988"/>
      <c r="E23" s="73">
        <f>365-E22</f>
        <v>203</v>
      </c>
      <c r="F23" s="73">
        <v>1</v>
      </c>
      <c r="G23" s="123">
        <v>4</v>
      </c>
      <c r="I23" s="73">
        <v>3</v>
      </c>
      <c r="J23" s="134">
        <v>7</v>
      </c>
      <c r="K23" s="92">
        <f t="shared" si="1"/>
        <v>57.142857142857139</v>
      </c>
      <c r="L23" s="92">
        <f t="shared" si="1"/>
        <v>0</v>
      </c>
      <c r="M23" s="92">
        <f t="shared" si="1"/>
        <v>42.857142857142854</v>
      </c>
      <c r="N23" s="125">
        <f t="shared" si="2"/>
        <v>100</v>
      </c>
      <c r="O23" s="91">
        <v>38.299999999999997</v>
      </c>
      <c r="P23" s="92"/>
      <c r="Q23" s="92">
        <v>15</v>
      </c>
      <c r="R23" s="93">
        <f t="shared" si="3"/>
        <v>53.3</v>
      </c>
      <c r="S23" s="73">
        <v>2</v>
      </c>
      <c r="T23" s="95">
        <v>24634</v>
      </c>
      <c r="U23" s="85">
        <v>24635</v>
      </c>
      <c r="V23" s="82" t="s">
        <v>568</v>
      </c>
      <c r="W23" s="73" t="s">
        <v>74</v>
      </c>
      <c r="X23" s="73" t="s">
        <v>11</v>
      </c>
      <c r="Y23" s="83">
        <v>38.299999999999997</v>
      </c>
      <c r="Z23" s="73" t="s">
        <v>112</v>
      </c>
      <c r="AA23" s="73" t="s">
        <v>20</v>
      </c>
      <c r="AB23" s="73" t="s">
        <v>12</v>
      </c>
      <c r="AC23" s="73">
        <v>15</v>
      </c>
      <c r="AD23" s="82"/>
      <c r="AG23" s="83"/>
      <c r="AH23" s="164"/>
      <c r="AL23" s="82"/>
      <c r="AO23" s="83"/>
      <c r="AP23" s="82"/>
      <c r="AS23" s="83"/>
      <c r="AW23" s="83"/>
      <c r="BA23" s="84"/>
    </row>
    <row r="24" spans="1:53" s="73" customFormat="1">
      <c r="A24" s="102">
        <v>1968</v>
      </c>
      <c r="B24" s="85"/>
      <c r="C24" s="988" t="s">
        <v>284</v>
      </c>
      <c r="D24" s="988"/>
      <c r="E24" s="73">
        <v>0</v>
      </c>
      <c r="G24" s="123">
        <v>4</v>
      </c>
      <c r="I24" s="73">
        <v>3</v>
      </c>
      <c r="J24" s="134">
        <v>7</v>
      </c>
      <c r="K24" s="92">
        <f t="shared" si="1"/>
        <v>57.142857142857139</v>
      </c>
      <c r="L24" s="92">
        <f t="shared" si="1"/>
        <v>0</v>
      </c>
      <c r="M24" s="92">
        <f t="shared" si="1"/>
        <v>42.857142857142854</v>
      </c>
      <c r="N24" s="125">
        <f t="shared" si="2"/>
        <v>100</v>
      </c>
      <c r="O24" s="91">
        <v>38.299999999999997</v>
      </c>
      <c r="P24" s="92"/>
      <c r="Q24" s="92">
        <v>15</v>
      </c>
      <c r="R24" s="93">
        <f t="shared" si="3"/>
        <v>53.3</v>
      </c>
      <c r="S24" s="73">
        <v>2</v>
      </c>
      <c r="T24" s="81"/>
      <c r="V24" s="82" t="s">
        <v>568</v>
      </c>
      <c r="W24" s="73" t="s">
        <v>74</v>
      </c>
      <c r="X24" s="73" t="s">
        <v>11</v>
      </c>
      <c r="Y24" s="83">
        <v>38.299999999999997</v>
      </c>
      <c r="Z24" s="73" t="s">
        <v>112</v>
      </c>
      <c r="AA24" s="73" t="s">
        <v>20</v>
      </c>
      <c r="AB24" s="73" t="s">
        <v>12</v>
      </c>
      <c r="AC24" s="73">
        <v>15</v>
      </c>
      <c r="AD24" s="82"/>
      <c r="AG24" s="83"/>
      <c r="AH24" s="164"/>
      <c r="AL24" s="82"/>
      <c r="AO24" s="83"/>
      <c r="AP24" s="82"/>
      <c r="AS24" s="83"/>
      <c r="AW24" s="83"/>
      <c r="BA24" s="84"/>
    </row>
    <row r="25" spans="1:53" s="73" customFormat="1">
      <c r="A25" s="102">
        <v>1967.62857142857</v>
      </c>
      <c r="B25" s="85"/>
      <c r="C25" s="988" t="s">
        <v>284</v>
      </c>
      <c r="D25" s="988"/>
      <c r="E25" s="73">
        <v>366</v>
      </c>
      <c r="G25" s="123">
        <v>4</v>
      </c>
      <c r="I25" s="73">
        <v>3</v>
      </c>
      <c r="J25" s="134">
        <v>7</v>
      </c>
      <c r="K25" s="92">
        <f t="shared" si="1"/>
        <v>57.142857142857139</v>
      </c>
      <c r="L25" s="92">
        <f t="shared" si="1"/>
        <v>0</v>
      </c>
      <c r="M25" s="92">
        <f t="shared" si="1"/>
        <v>42.857142857142854</v>
      </c>
      <c r="N25" s="125">
        <f t="shared" si="2"/>
        <v>100</v>
      </c>
      <c r="O25" s="91">
        <v>38.299999999999997</v>
      </c>
      <c r="P25" s="92"/>
      <c r="Q25" s="92">
        <v>15</v>
      </c>
      <c r="R25" s="93">
        <f t="shared" si="3"/>
        <v>53.3</v>
      </c>
      <c r="S25" s="73">
        <v>2</v>
      </c>
      <c r="T25" s="81"/>
      <c r="V25" s="82" t="s">
        <v>568</v>
      </c>
      <c r="W25" s="73" t="s">
        <v>74</v>
      </c>
      <c r="X25" s="73" t="s">
        <v>11</v>
      </c>
      <c r="Y25" s="83">
        <v>38.299999999999997</v>
      </c>
      <c r="Z25" s="73" t="s">
        <v>112</v>
      </c>
      <c r="AA25" s="73" t="s">
        <v>20</v>
      </c>
      <c r="AB25" s="73" t="s">
        <v>12</v>
      </c>
      <c r="AC25" s="73">
        <v>15</v>
      </c>
      <c r="AD25" s="82"/>
      <c r="AG25" s="83"/>
      <c r="AH25" s="164"/>
      <c r="AL25" s="82"/>
      <c r="AO25" s="83"/>
      <c r="AP25" s="82"/>
      <c r="AS25" s="83"/>
      <c r="AW25" s="83"/>
      <c r="BA25" s="84"/>
    </row>
    <row r="26" spans="1:53" s="73" customFormat="1">
      <c r="A26" s="102">
        <v>1969</v>
      </c>
      <c r="B26" s="85"/>
      <c r="C26" s="988" t="s">
        <v>284</v>
      </c>
      <c r="D26" s="988"/>
      <c r="E26" s="73">
        <v>0</v>
      </c>
      <c r="G26" s="123">
        <v>4</v>
      </c>
      <c r="I26" s="73">
        <v>3</v>
      </c>
      <c r="J26" s="134">
        <v>7</v>
      </c>
      <c r="K26" s="92">
        <f t="shared" si="1"/>
        <v>57.142857142857139</v>
      </c>
      <c r="L26" s="92">
        <f t="shared" si="1"/>
        <v>0</v>
      </c>
      <c r="M26" s="92">
        <f t="shared" si="1"/>
        <v>42.857142857142854</v>
      </c>
      <c r="N26" s="125">
        <f t="shared" si="2"/>
        <v>100</v>
      </c>
      <c r="O26" s="91">
        <v>38.299999999999997</v>
      </c>
      <c r="P26" s="92"/>
      <c r="Q26" s="92">
        <v>15</v>
      </c>
      <c r="R26" s="93">
        <f t="shared" si="3"/>
        <v>53.3</v>
      </c>
      <c r="S26" s="73">
        <v>2</v>
      </c>
      <c r="T26" s="81"/>
      <c r="V26" s="82" t="s">
        <v>568</v>
      </c>
      <c r="W26" s="73" t="s">
        <v>74</v>
      </c>
      <c r="X26" s="73" t="s">
        <v>11</v>
      </c>
      <c r="Y26" s="83">
        <v>38.299999999999997</v>
      </c>
      <c r="Z26" s="73" t="s">
        <v>112</v>
      </c>
      <c r="AA26" s="73" t="s">
        <v>20</v>
      </c>
      <c r="AB26" s="73" t="s">
        <v>12</v>
      </c>
      <c r="AC26" s="73">
        <v>15</v>
      </c>
      <c r="AD26" s="82"/>
      <c r="AG26" s="83"/>
      <c r="AH26" s="164"/>
      <c r="AL26" s="82"/>
      <c r="AO26" s="83"/>
      <c r="AP26" s="82"/>
      <c r="AS26" s="83"/>
      <c r="AW26" s="83"/>
      <c r="BA26" s="84"/>
    </row>
    <row r="27" spans="1:53" s="73" customFormat="1">
      <c r="A27" s="102">
        <v>1968.5428571428599</v>
      </c>
      <c r="B27" s="85"/>
      <c r="C27" s="988" t="s">
        <v>284</v>
      </c>
      <c r="D27" s="988"/>
      <c r="E27" s="73">
        <v>365</v>
      </c>
      <c r="G27" s="123">
        <v>4</v>
      </c>
      <c r="I27" s="73">
        <v>3</v>
      </c>
      <c r="J27" s="134">
        <v>7</v>
      </c>
      <c r="K27" s="92">
        <f t="shared" si="1"/>
        <v>57.142857142857139</v>
      </c>
      <c r="L27" s="92">
        <f t="shared" si="1"/>
        <v>0</v>
      </c>
      <c r="M27" s="92">
        <f t="shared" si="1"/>
        <v>42.857142857142854</v>
      </c>
      <c r="N27" s="125">
        <f t="shared" si="2"/>
        <v>100</v>
      </c>
      <c r="O27" s="91">
        <v>38.299999999999997</v>
      </c>
      <c r="P27" s="92"/>
      <c r="Q27" s="92">
        <v>15</v>
      </c>
      <c r="R27" s="93">
        <f t="shared" si="3"/>
        <v>53.3</v>
      </c>
      <c r="S27" s="73">
        <v>2</v>
      </c>
      <c r="T27" s="81"/>
      <c r="V27" s="82" t="s">
        <v>568</v>
      </c>
      <c r="W27" s="73" t="s">
        <v>74</v>
      </c>
      <c r="X27" s="73" t="s">
        <v>11</v>
      </c>
      <c r="Y27" s="83">
        <v>38.299999999999997</v>
      </c>
      <c r="Z27" s="73" t="s">
        <v>112</v>
      </c>
      <c r="AA27" s="73" t="s">
        <v>20</v>
      </c>
      <c r="AB27" s="73" t="s">
        <v>12</v>
      </c>
      <c r="AC27" s="73">
        <v>15</v>
      </c>
      <c r="AD27" s="82"/>
      <c r="AG27" s="83"/>
      <c r="AH27" s="164"/>
      <c r="AL27" s="82"/>
      <c r="AO27" s="83"/>
      <c r="AP27" s="82"/>
      <c r="AS27" s="83"/>
      <c r="AW27" s="83"/>
      <c r="BA27" s="84"/>
    </row>
    <row r="28" spans="1:53" s="73" customFormat="1">
      <c r="A28" s="102">
        <v>1970</v>
      </c>
      <c r="B28" s="85"/>
      <c r="C28" s="988" t="s">
        <v>284</v>
      </c>
      <c r="D28" s="988"/>
      <c r="E28" s="73">
        <v>282</v>
      </c>
      <c r="G28" s="123">
        <v>4</v>
      </c>
      <c r="I28" s="73">
        <v>3</v>
      </c>
      <c r="J28" s="134">
        <v>7</v>
      </c>
      <c r="K28" s="92">
        <f t="shared" si="1"/>
        <v>57.142857142857139</v>
      </c>
      <c r="L28" s="92">
        <f t="shared" si="1"/>
        <v>0</v>
      </c>
      <c r="M28" s="92">
        <f t="shared" si="1"/>
        <v>42.857142857142854</v>
      </c>
      <c r="N28" s="125">
        <f t="shared" si="2"/>
        <v>100</v>
      </c>
      <c r="O28" s="91">
        <v>38.299999999999997</v>
      </c>
      <c r="P28" s="92"/>
      <c r="Q28" s="92">
        <v>15</v>
      </c>
      <c r="R28" s="93">
        <f t="shared" si="3"/>
        <v>53.3</v>
      </c>
      <c r="S28" s="73">
        <v>2</v>
      </c>
      <c r="T28" s="81"/>
      <c r="V28" s="82" t="s">
        <v>568</v>
      </c>
      <c r="W28" s="73" t="s">
        <v>74</v>
      </c>
      <c r="X28" s="73" t="s">
        <v>11</v>
      </c>
      <c r="Y28" s="83">
        <v>38.299999999999997</v>
      </c>
      <c r="Z28" s="73" t="s">
        <v>112</v>
      </c>
      <c r="AA28" s="73" t="s">
        <v>20</v>
      </c>
      <c r="AB28" s="73" t="s">
        <v>12</v>
      </c>
      <c r="AC28" s="73">
        <v>15</v>
      </c>
      <c r="AD28" s="82"/>
      <c r="AG28" s="83"/>
      <c r="AH28" s="164"/>
      <c r="AL28" s="82"/>
      <c r="AO28" s="83"/>
      <c r="AP28" s="82"/>
      <c r="AS28" s="83"/>
      <c r="AW28" s="83"/>
      <c r="BA28" s="84"/>
    </row>
    <row r="29" spans="1:53" s="334" customFormat="1">
      <c r="A29" s="386">
        <v>1970</v>
      </c>
      <c r="B29" s="355">
        <v>25851</v>
      </c>
      <c r="C29" s="992" t="s">
        <v>285</v>
      </c>
      <c r="D29" s="992"/>
      <c r="E29" s="334">
        <f>365-E28</f>
        <v>83</v>
      </c>
      <c r="F29" s="334">
        <v>3</v>
      </c>
      <c r="G29" s="419">
        <v>4</v>
      </c>
      <c r="I29" s="334">
        <v>3</v>
      </c>
      <c r="J29" s="435">
        <v>7</v>
      </c>
      <c r="K29" s="384">
        <f t="shared" si="1"/>
        <v>57.142857142857139</v>
      </c>
      <c r="L29" s="384">
        <f t="shared" si="1"/>
        <v>0</v>
      </c>
      <c r="M29" s="384">
        <f t="shared" si="1"/>
        <v>42.857142857142854</v>
      </c>
      <c r="N29" s="421">
        <f t="shared" si="2"/>
        <v>100</v>
      </c>
      <c r="O29" s="383">
        <v>38.299999999999997</v>
      </c>
      <c r="P29" s="384"/>
      <c r="Q29" s="384">
        <v>15</v>
      </c>
      <c r="R29" s="385">
        <f t="shared" si="3"/>
        <v>53.3</v>
      </c>
      <c r="S29" s="334">
        <v>2</v>
      </c>
      <c r="T29" s="357"/>
      <c r="U29" s="355">
        <v>25851</v>
      </c>
      <c r="V29" s="343" t="s">
        <v>568</v>
      </c>
      <c r="W29" s="334" t="s">
        <v>74</v>
      </c>
      <c r="X29" s="334" t="s">
        <v>11</v>
      </c>
      <c r="Y29" s="344">
        <v>38.299999999999997</v>
      </c>
      <c r="Z29" s="334" t="s">
        <v>112</v>
      </c>
      <c r="AA29" s="334" t="s">
        <v>20</v>
      </c>
      <c r="AB29" s="334" t="s">
        <v>12</v>
      </c>
      <c r="AC29" s="334">
        <v>15</v>
      </c>
      <c r="AD29" s="343"/>
      <c r="AG29" s="344"/>
      <c r="AH29" s="452"/>
      <c r="AL29" s="343"/>
      <c r="AO29" s="344"/>
      <c r="AP29" s="343"/>
      <c r="AS29" s="344"/>
      <c r="AW29" s="344"/>
      <c r="BA29" s="345"/>
    </row>
    <row r="30" spans="1:53" s="334" customFormat="1">
      <c r="A30" s="386">
        <v>1971</v>
      </c>
      <c r="B30" s="355"/>
      <c r="C30" s="992" t="s">
        <v>285</v>
      </c>
      <c r="D30" s="992"/>
      <c r="E30" s="334">
        <v>164</v>
      </c>
      <c r="G30" s="419">
        <v>4</v>
      </c>
      <c r="I30" s="334">
        <v>3</v>
      </c>
      <c r="J30" s="435">
        <v>7</v>
      </c>
      <c r="K30" s="384">
        <f t="shared" si="1"/>
        <v>57.142857142857139</v>
      </c>
      <c r="L30" s="384">
        <f t="shared" si="1"/>
        <v>0</v>
      </c>
      <c r="M30" s="384">
        <f t="shared" si="1"/>
        <v>42.857142857142854</v>
      </c>
      <c r="N30" s="421">
        <f t="shared" si="2"/>
        <v>100</v>
      </c>
      <c r="O30" s="383">
        <v>38.299999999999997</v>
      </c>
      <c r="P30" s="384"/>
      <c r="Q30" s="384">
        <v>15</v>
      </c>
      <c r="R30" s="385">
        <f t="shared" si="3"/>
        <v>53.3</v>
      </c>
      <c r="S30" s="334">
        <v>2</v>
      </c>
      <c r="T30" s="357"/>
      <c r="V30" s="343" t="s">
        <v>568</v>
      </c>
      <c r="W30" s="334" t="s">
        <v>74</v>
      </c>
      <c r="X30" s="334" t="s">
        <v>11</v>
      </c>
      <c r="Y30" s="344">
        <v>38.299999999999997</v>
      </c>
      <c r="Z30" s="334" t="s">
        <v>112</v>
      </c>
      <c r="AA30" s="334" t="s">
        <v>20</v>
      </c>
      <c r="AB30" s="334" t="s">
        <v>12</v>
      </c>
      <c r="AC30" s="334">
        <v>15</v>
      </c>
      <c r="AD30" s="343"/>
      <c r="AG30" s="344"/>
      <c r="AH30" s="452"/>
      <c r="AL30" s="343"/>
      <c r="AO30" s="344"/>
      <c r="AP30" s="343"/>
      <c r="AS30" s="344"/>
      <c r="AW30" s="344"/>
      <c r="BA30" s="345"/>
    </row>
    <row r="31" spans="1:53" s="73" customFormat="1">
      <c r="A31" s="102">
        <v>1971</v>
      </c>
      <c r="B31" s="85">
        <v>26098</v>
      </c>
      <c r="C31" s="988" t="s">
        <v>1178</v>
      </c>
      <c r="D31" s="988"/>
      <c r="E31" s="73">
        <f>365-E30</f>
        <v>201</v>
      </c>
      <c r="F31" s="73">
        <v>1</v>
      </c>
      <c r="G31" s="123"/>
      <c r="H31" s="73">
        <v>5</v>
      </c>
      <c r="I31" s="73">
        <v>2</v>
      </c>
      <c r="J31" s="134">
        <v>7</v>
      </c>
      <c r="K31" s="92">
        <f t="shared" si="1"/>
        <v>0</v>
      </c>
      <c r="L31" s="92">
        <f t="shared" si="1"/>
        <v>71.428571428571431</v>
      </c>
      <c r="M31" s="92">
        <f t="shared" si="1"/>
        <v>28.571428571428569</v>
      </c>
      <c r="N31" s="125">
        <f t="shared" si="2"/>
        <v>100</v>
      </c>
      <c r="O31" s="91"/>
      <c r="P31" s="92">
        <v>36.6</v>
      </c>
      <c r="Q31" s="92">
        <v>16.7</v>
      </c>
      <c r="R31" s="93">
        <f t="shared" si="3"/>
        <v>53.3</v>
      </c>
      <c r="S31" s="73">
        <v>2</v>
      </c>
      <c r="T31" s="95">
        <v>26097</v>
      </c>
      <c r="U31" s="85">
        <v>26098</v>
      </c>
      <c r="V31" s="82" t="s">
        <v>486</v>
      </c>
      <c r="W31" s="73" t="s">
        <v>286</v>
      </c>
      <c r="X31" s="73" t="s">
        <v>18</v>
      </c>
      <c r="Y31" s="83">
        <v>28.3</v>
      </c>
      <c r="Z31" s="73" t="s">
        <v>569</v>
      </c>
      <c r="AA31" s="73" t="s">
        <v>114</v>
      </c>
      <c r="AB31" s="73" t="s">
        <v>12</v>
      </c>
      <c r="AC31" s="73">
        <v>16.7</v>
      </c>
      <c r="AD31" s="82" t="s">
        <v>572</v>
      </c>
      <c r="AE31" s="73" t="s">
        <v>22</v>
      </c>
      <c r="AF31" s="73" t="s">
        <v>18</v>
      </c>
      <c r="AG31" s="83">
        <v>8.3000000000000007</v>
      </c>
      <c r="AH31" s="164"/>
      <c r="AL31" s="82"/>
      <c r="AO31" s="83"/>
      <c r="AP31" s="82"/>
      <c r="AS31" s="83"/>
      <c r="AW31" s="83"/>
      <c r="BA31" s="84"/>
    </row>
    <row r="32" spans="1:53" s="73" customFormat="1">
      <c r="A32" s="102">
        <v>1972</v>
      </c>
      <c r="B32" s="85"/>
      <c r="C32" s="988" t="s">
        <v>1178</v>
      </c>
      <c r="D32" s="988"/>
      <c r="E32" s="73">
        <v>0</v>
      </c>
      <c r="G32" s="123"/>
      <c r="H32" s="73">
        <v>5</v>
      </c>
      <c r="I32" s="73">
        <v>2</v>
      </c>
      <c r="J32" s="134">
        <v>7</v>
      </c>
      <c r="K32" s="92">
        <f t="shared" si="1"/>
        <v>0</v>
      </c>
      <c r="L32" s="92">
        <f t="shared" si="1"/>
        <v>71.428571428571431</v>
      </c>
      <c r="M32" s="92">
        <f t="shared" si="1"/>
        <v>28.571428571428569</v>
      </c>
      <c r="N32" s="125">
        <f t="shared" si="2"/>
        <v>100</v>
      </c>
      <c r="O32" s="91"/>
      <c r="P32" s="92">
        <v>36.6</v>
      </c>
      <c r="Q32" s="92">
        <v>16.7</v>
      </c>
      <c r="R32" s="93">
        <f t="shared" si="3"/>
        <v>53.3</v>
      </c>
      <c r="S32" s="73">
        <v>2</v>
      </c>
      <c r="T32" s="81"/>
      <c r="V32" s="82" t="s">
        <v>486</v>
      </c>
      <c r="W32" s="73" t="s">
        <v>286</v>
      </c>
      <c r="X32" s="73" t="s">
        <v>18</v>
      </c>
      <c r="Y32" s="83">
        <v>28.3</v>
      </c>
      <c r="Z32" s="73" t="s">
        <v>569</v>
      </c>
      <c r="AA32" s="73" t="s">
        <v>114</v>
      </c>
      <c r="AB32" s="73" t="s">
        <v>12</v>
      </c>
      <c r="AC32" s="73">
        <v>16.7</v>
      </c>
      <c r="AD32" s="82" t="s">
        <v>572</v>
      </c>
      <c r="AE32" s="73" t="s">
        <v>22</v>
      </c>
      <c r="AF32" s="73" t="s">
        <v>18</v>
      </c>
      <c r="AG32" s="83">
        <v>8.3000000000000007</v>
      </c>
      <c r="AH32" s="164"/>
      <c r="AL32" s="82"/>
      <c r="AO32" s="83"/>
      <c r="AP32" s="82"/>
      <c r="AS32" s="83"/>
      <c r="AW32" s="83"/>
      <c r="BA32" s="84"/>
    </row>
    <row r="33" spans="1:53" s="73" customFormat="1">
      <c r="A33" s="102">
        <v>1972</v>
      </c>
      <c r="B33" s="85"/>
      <c r="C33" s="988" t="s">
        <v>1178</v>
      </c>
      <c r="D33" s="988"/>
      <c r="E33" s="73">
        <v>366</v>
      </c>
      <c r="G33" s="123"/>
      <c r="H33" s="73">
        <v>5</v>
      </c>
      <c r="I33" s="73">
        <v>2</v>
      </c>
      <c r="J33" s="134">
        <v>7</v>
      </c>
      <c r="K33" s="92">
        <f t="shared" si="1"/>
        <v>0</v>
      </c>
      <c r="L33" s="92">
        <f t="shared" si="1"/>
        <v>71.428571428571431</v>
      </c>
      <c r="M33" s="92">
        <f t="shared" si="1"/>
        <v>28.571428571428569</v>
      </c>
      <c r="N33" s="125">
        <f t="shared" si="2"/>
        <v>100</v>
      </c>
      <c r="O33" s="91"/>
      <c r="P33" s="92">
        <v>36.6</v>
      </c>
      <c r="Q33" s="92">
        <v>16.7</v>
      </c>
      <c r="R33" s="93">
        <f t="shared" si="3"/>
        <v>53.3</v>
      </c>
      <c r="S33" s="73">
        <v>2</v>
      </c>
      <c r="T33" s="81"/>
      <c r="V33" s="82" t="s">
        <v>486</v>
      </c>
      <c r="W33" s="73" t="s">
        <v>286</v>
      </c>
      <c r="X33" s="73" t="s">
        <v>18</v>
      </c>
      <c r="Y33" s="83">
        <v>28.3</v>
      </c>
      <c r="Z33" s="73" t="s">
        <v>569</v>
      </c>
      <c r="AA33" s="73" t="s">
        <v>114</v>
      </c>
      <c r="AB33" s="73" t="s">
        <v>12</v>
      </c>
      <c r="AC33" s="73">
        <v>16.7</v>
      </c>
      <c r="AD33" s="82" t="s">
        <v>572</v>
      </c>
      <c r="AE33" s="73" t="s">
        <v>22</v>
      </c>
      <c r="AF33" s="73" t="s">
        <v>18</v>
      </c>
      <c r="AG33" s="83">
        <v>8.3000000000000007</v>
      </c>
      <c r="AH33" s="164"/>
      <c r="AL33" s="82"/>
      <c r="AO33" s="83"/>
      <c r="AP33" s="82"/>
      <c r="AS33" s="83"/>
      <c r="AW33" s="83"/>
      <c r="BA33" s="84"/>
    </row>
    <row r="34" spans="1:53" s="73" customFormat="1">
      <c r="A34" s="102">
        <v>1973</v>
      </c>
      <c r="B34" s="85"/>
      <c r="C34" s="988" t="s">
        <v>1178</v>
      </c>
      <c r="D34" s="988"/>
      <c r="E34" s="73">
        <v>0</v>
      </c>
      <c r="G34" s="123"/>
      <c r="H34" s="73">
        <v>5</v>
      </c>
      <c r="I34" s="73">
        <v>2</v>
      </c>
      <c r="J34" s="134">
        <v>7</v>
      </c>
      <c r="K34" s="92">
        <f t="shared" si="1"/>
        <v>0</v>
      </c>
      <c r="L34" s="92">
        <f t="shared" si="1"/>
        <v>71.428571428571431</v>
      </c>
      <c r="M34" s="92">
        <f t="shared" si="1"/>
        <v>28.571428571428569</v>
      </c>
      <c r="N34" s="125">
        <f t="shared" si="2"/>
        <v>100</v>
      </c>
      <c r="O34" s="91"/>
      <c r="P34" s="92">
        <v>36.6</v>
      </c>
      <c r="Q34" s="92">
        <v>16.7</v>
      </c>
      <c r="R34" s="93">
        <f t="shared" si="3"/>
        <v>53.3</v>
      </c>
      <c r="S34" s="73">
        <v>2</v>
      </c>
      <c r="T34" s="81"/>
      <c r="V34" s="82" t="s">
        <v>486</v>
      </c>
      <c r="W34" s="73" t="s">
        <v>286</v>
      </c>
      <c r="X34" s="73" t="s">
        <v>18</v>
      </c>
      <c r="Y34" s="83">
        <v>28.3</v>
      </c>
      <c r="Z34" s="73" t="s">
        <v>569</v>
      </c>
      <c r="AA34" s="73" t="s">
        <v>114</v>
      </c>
      <c r="AB34" s="73" t="s">
        <v>12</v>
      </c>
      <c r="AC34" s="73">
        <v>16.7</v>
      </c>
      <c r="AD34" s="82" t="s">
        <v>572</v>
      </c>
      <c r="AE34" s="73" t="s">
        <v>22</v>
      </c>
      <c r="AF34" s="73" t="s">
        <v>18</v>
      </c>
      <c r="AG34" s="83">
        <v>8.3000000000000007</v>
      </c>
      <c r="AH34" s="164"/>
      <c r="AL34" s="82"/>
      <c r="AO34" s="83"/>
      <c r="AP34" s="82"/>
      <c r="AS34" s="83"/>
      <c r="AW34" s="83"/>
      <c r="BA34" s="84"/>
    </row>
    <row r="35" spans="1:53" s="73" customFormat="1">
      <c r="A35" s="102">
        <v>1973</v>
      </c>
      <c r="B35" s="85"/>
      <c r="C35" s="988" t="s">
        <v>1178</v>
      </c>
      <c r="D35" s="988"/>
      <c r="E35" s="73">
        <v>365</v>
      </c>
      <c r="G35" s="123"/>
      <c r="H35" s="73">
        <v>5</v>
      </c>
      <c r="I35" s="73">
        <v>2</v>
      </c>
      <c r="J35" s="134">
        <v>7</v>
      </c>
      <c r="K35" s="92">
        <f t="shared" si="1"/>
        <v>0</v>
      </c>
      <c r="L35" s="92">
        <f t="shared" si="1"/>
        <v>71.428571428571431</v>
      </c>
      <c r="M35" s="92">
        <f t="shared" si="1"/>
        <v>28.571428571428569</v>
      </c>
      <c r="N35" s="125">
        <f t="shared" si="2"/>
        <v>100</v>
      </c>
      <c r="O35" s="91"/>
      <c r="P35" s="92">
        <v>36.6</v>
      </c>
      <c r="Q35" s="92">
        <v>16.7</v>
      </c>
      <c r="R35" s="93">
        <f t="shared" si="3"/>
        <v>53.3</v>
      </c>
      <c r="S35" s="73">
        <v>2</v>
      </c>
      <c r="T35" s="81"/>
      <c r="V35" s="82" t="s">
        <v>486</v>
      </c>
      <c r="W35" s="73" t="s">
        <v>286</v>
      </c>
      <c r="X35" s="73" t="s">
        <v>18</v>
      </c>
      <c r="Y35" s="83">
        <v>28.3</v>
      </c>
      <c r="Z35" s="73" t="s">
        <v>569</v>
      </c>
      <c r="AA35" s="73" t="s">
        <v>114</v>
      </c>
      <c r="AB35" s="73" t="s">
        <v>12</v>
      </c>
      <c r="AC35" s="73">
        <v>16.7</v>
      </c>
      <c r="AD35" s="82" t="s">
        <v>572</v>
      </c>
      <c r="AE35" s="73" t="s">
        <v>22</v>
      </c>
      <c r="AF35" s="73" t="s">
        <v>18</v>
      </c>
      <c r="AG35" s="83">
        <v>8.3000000000000007</v>
      </c>
      <c r="AH35" s="164"/>
      <c r="AL35" s="82"/>
      <c r="AO35" s="83"/>
      <c r="AP35" s="82"/>
      <c r="AS35" s="83"/>
      <c r="AW35" s="83"/>
      <c r="BA35" s="84"/>
    </row>
    <row r="36" spans="1:53" s="73" customFormat="1">
      <c r="A36" s="102">
        <v>1974</v>
      </c>
      <c r="B36" s="85"/>
      <c r="C36" s="988" t="s">
        <v>1178</v>
      </c>
      <c r="D36" s="988"/>
      <c r="E36" s="73">
        <v>240</v>
      </c>
      <c r="G36" s="123"/>
      <c r="H36" s="73">
        <v>5</v>
      </c>
      <c r="I36" s="73">
        <v>2</v>
      </c>
      <c r="J36" s="134">
        <v>7</v>
      </c>
      <c r="K36" s="92">
        <f t="shared" si="1"/>
        <v>0</v>
      </c>
      <c r="L36" s="92">
        <f t="shared" si="1"/>
        <v>71.428571428571431</v>
      </c>
      <c r="M36" s="92">
        <f t="shared" si="1"/>
        <v>28.571428571428569</v>
      </c>
      <c r="N36" s="125">
        <f t="shared" si="2"/>
        <v>100</v>
      </c>
      <c r="O36" s="91"/>
      <c r="P36" s="92">
        <v>36.6</v>
      </c>
      <c r="Q36" s="92">
        <v>16.7</v>
      </c>
      <c r="R36" s="93">
        <f t="shared" si="3"/>
        <v>53.3</v>
      </c>
      <c r="S36" s="73">
        <v>2</v>
      </c>
      <c r="T36" s="81"/>
      <c r="V36" s="82" t="s">
        <v>486</v>
      </c>
      <c r="W36" s="73" t="s">
        <v>286</v>
      </c>
      <c r="X36" s="73" t="s">
        <v>18</v>
      </c>
      <c r="Y36" s="83">
        <v>28.3</v>
      </c>
      <c r="Z36" s="73" t="s">
        <v>569</v>
      </c>
      <c r="AA36" s="73" t="s">
        <v>114</v>
      </c>
      <c r="AB36" s="73" t="s">
        <v>12</v>
      </c>
      <c r="AC36" s="73">
        <v>16.7</v>
      </c>
      <c r="AD36" s="82" t="s">
        <v>572</v>
      </c>
      <c r="AE36" s="73" t="s">
        <v>22</v>
      </c>
      <c r="AF36" s="73" t="s">
        <v>18</v>
      </c>
      <c r="AG36" s="83">
        <v>8.3000000000000007</v>
      </c>
      <c r="AH36" s="164"/>
      <c r="AL36" s="82"/>
      <c r="AO36" s="83"/>
      <c r="AP36" s="82"/>
      <c r="AS36" s="83"/>
      <c r="AW36" s="83"/>
      <c r="BA36" s="84"/>
    </row>
    <row r="37" spans="1:53" s="334" customFormat="1">
      <c r="A37" s="386">
        <v>1974</v>
      </c>
      <c r="B37" s="355">
        <v>27270</v>
      </c>
      <c r="C37" s="992" t="s">
        <v>1179</v>
      </c>
      <c r="D37" s="992"/>
      <c r="E37" s="334">
        <f>365-E36</f>
        <v>125</v>
      </c>
      <c r="F37" s="334">
        <v>4</v>
      </c>
      <c r="G37" s="419">
        <v>4</v>
      </c>
      <c r="H37" s="334">
        <v>4</v>
      </c>
      <c r="J37" s="435">
        <v>8</v>
      </c>
      <c r="K37" s="384">
        <f t="shared" si="1"/>
        <v>50</v>
      </c>
      <c r="L37" s="384">
        <f t="shared" si="1"/>
        <v>50</v>
      </c>
      <c r="M37" s="384">
        <f t="shared" si="1"/>
        <v>0</v>
      </c>
      <c r="N37" s="421">
        <f t="shared" si="2"/>
        <v>100</v>
      </c>
      <c r="O37" s="383">
        <v>41.7</v>
      </c>
      <c r="P37" s="384">
        <v>28.3</v>
      </c>
      <c r="Q37" s="384"/>
      <c r="R37" s="385">
        <f t="shared" si="3"/>
        <v>70</v>
      </c>
      <c r="S37" s="334">
        <v>2</v>
      </c>
      <c r="T37" s="342">
        <v>27210</v>
      </c>
      <c r="U37" s="355">
        <v>27270</v>
      </c>
      <c r="V37" s="343" t="s">
        <v>568</v>
      </c>
      <c r="W37" s="334" t="s">
        <v>74</v>
      </c>
      <c r="X37" s="334" t="s">
        <v>11</v>
      </c>
      <c r="Y37" s="344">
        <v>41.7</v>
      </c>
      <c r="Z37" s="343" t="s">
        <v>486</v>
      </c>
      <c r="AA37" s="334" t="s">
        <v>286</v>
      </c>
      <c r="AB37" s="334" t="s">
        <v>18</v>
      </c>
      <c r="AC37" s="334">
        <v>28.3</v>
      </c>
      <c r="AD37" s="343"/>
      <c r="AG37" s="344"/>
      <c r="AH37" s="452"/>
      <c r="AL37" s="343"/>
      <c r="AO37" s="344"/>
      <c r="AP37" s="343"/>
      <c r="AS37" s="344"/>
      <c r="AW37" s="344"/>
      <c r="BA37" s="345"/>
    </row>
    <row r="38" spans="1:53" s="334" customFormat="1">
      <c r="A38" s="386">
        <v>1975</v>
      </c>
      <c r="B38" s="355"/>
      <c r="C38" s="992" t="s">
        <v>1179</v>
      </c>
      <c r="D38" s="992"/>
      <c r="E38" s="334">
        <v>0</v>
      </c>
      <c r="G38" s="419">
        <v>4</v>
      </c>
      <c r="H38" s="334">
        <v>4</v>
      </c>
      <c r="J38" s="435">
        <v>8</v>
      </c>
      <c r="K38" s="384">
        <f t="shared" si="1"/>
        <v>50</v>
      </c>
      <c r="L38" s="384">
        <f t="shared" si="1"/>
        <v>50</v>
      </c>
      <c r="M38" s="384">
        <f t="shared" si="1"/>
        <v>0</v>
      </c>
      <c r="N38" s="421">
        <f t="shared" si="2"/>
        <v>100</v>
      </c>
      <c r="O38" s="383">
        <v>41.7</v>
      </c>
      <c r="P38" s="384">
        <v>28.3</v>
      </c>
      <c r="Q38" s="384"/>
      <c r="R38" s="385">
        <f t="shared" si="3"/>
        <v>70</v>
      </c>
      <c r="S38" s="334">
        <v>2</v>
      </c>
      <c r="T38" s="357"/>
      <c r="V38" s="343" t="s">
        <v>568</v>
      </c>
      <c r="W38" s="334" t="s">
        <v>74</v>
      </c>
      <c r="X38" s="334" t="s">
        <v>11</v>
      </c>
      <c r="Y38" s="344">
        <v>41.7</v>
      </c>
      <c r="Z38" s="343" t="s">
        <v>486</v>
      </c>
      <c r="AA38" s="334" t="s">
        <v>286</v>
      </c>
      <c r="AB38" s="334" t="s">
        <v>18</v>
      </c>
      <c r="AC38" s="334">
        <v>28.3</v>
      </c>
      <c r="AD38" s="343"/>
      <c r="AG38" s="344"/>
      <c r="AH38" s="452"/>
      <c r="AL38" s="343"/>
      <c r="AO38" s="344"/>
      <c r="AP38" s="343"/>
      <c r="AS38" s="344"/>
      <c r="AW38" s="344"/>
      <c r="BA38" s="345"/>
    </row>
    <row r="39" spans="1:53" s="334" customFormat="1">
      <c r="A39" s="386">
        <v>1975</v>
      </c>
      <c r="B39" s="355"/>
      <c r="C39" s="992" t="s">
        <v>1179</v>
      </c>
      <c r="D39" s="992"/>
      <c r="E39" s="334">
        <v>365</v>
      </c>
      <c r="G39" s="419">
        <v>4</v>
      </c>
      <c r="H39" s="334">
        <v>4</v>
      </c>
      <c r="J39" s="435">
        <v>8</v>
      </c>
      <c r="K39" s="384">
        <f t="shared" si="1"/>
        <v>50</v>
      </c>
      <c r="L39" s="384">
        <f t="shared" si="1"/>
        <v>50</v>
      </c>
      <c r="M39" s="384">
        <f t="shared" si="1"/>
        <v>0</v>
      </c>
      <c r="N39" s="421">
        <f t="shared" si="2"/>
        <v>100</v>
      </c>
      <c r="O39" s="383">
        <v>41.7</v>
      </c>
      <c r="P39" s="384">
        <v>28.3</v>
      </c>
      <c r="Q39" s="384"/>
      <c r="R39" s="385">
        <f t="shared" si="3"/>
        <v>70</v>
      </c>
      <c r="S39" s="334">
        <v>2</v>
      </c>
      <c r="T39" s="357"/>
      <c r="V39" s="343" t="s">
        <v>568</v>
      </c>
      <c r="W39" s="334" t="s">
        <v>74</v>
      </c>
      <c r="X39" s="334" t="s">
        <v>11</v>
      </c>
      <c r="Y39" s="344">
        <v>41.7</v>
      </c>
      <c r="Z39" s="343" t="s">
        <v>486</v>
      </c>
      <c r="AA39" s="334" t="s">
        <v>286</v>
      </c>
      <c r="AB39" s="334" t="s">
        <v>18</v>
      </c>
      <c r="AC39" s="334">
        <v>28.3</v>
      </c>
      <c r="AD39" s="343"/>
      <c r="AG39" s="344"/>
      <c r="AH39" s="452"/>
      <c r="AL39" s="343"/>
      <c r="AO39" s="344"/>
      <c r="AP39" s="343"/>
      <c r="AS39" s="344"/>
      <c r="AW39" s="344"/>
      <c r="BA39" s="345"/>
    </row>
    <row r="40" spans="1:53" s="334" customFormat="1">
      <c r="A40" s="386">
        <v>1976</v>
      </c>
      <c r="B40" s="355"/>
      <c r="C40" s="992" t="s">
        <v>1179</v>
      </c>
      <c r="D40" s="992"/>
      <c r="E40" s="334">
        <v>0</v>
      </c>
      <c r="G40" s="419">
        <v>4</v>
      </c>
      <c r="H40" s="334">
        <v>4</v>
      </c>
      <c r="J40" s="435">
        <v>8</v>
      </c>
      <c r="K40" s="384">
        <f t="shared" si="1"/>
        <v>50</v>
      </c>
      <c r="L40" s="384">
        <f t="shared" si="1"/>
        <v>50</v>
      </c>
      <c r="M40" s="384">
        <f t="shared" si="1"/>
        <v>0</v>
      </c>
      <c r="N40" s="421">
        <f t="shared" si="2"/>
        <v>100</v>
      </c>
      <c r="O40" s="383">
        <v>41.7</v>
      </c>
      <c r="P40" s="384">
        <v>28.3</v>
      </c>
      <c r="Q40" s="384"/>
      <c r="R40" s="385">
        <f t="shared" si="3"/>
        <v>70</v>
      </c>
      <c r="S40" s="334">
        <v>2</v>
      </c>
      <c r="T40" s="357"/>
      <c r="V40" s="343" t="s">
        <v>568</v>
      </c>
      <c r="W40" s="334" t="s">
        <v>74</v>
      </c>
      <c r="X40" s="334" t="s">
        <v>11</v>
      </c>
      <c r="Y40" s="344">
        <v>41.7</v>
      </c>
      <c r="Z40" s="343" t="s">
        <v>486</v>
      </c>
      <c r="AA40" s="334" t="s">
        <v>286</v>
      </c>
      <c r="AB40" s="334" t="s">
        <v>18</v>
      </c>
      <c r="AC40" s="334">
        <v>28.3</v>
      </c>
      <c r="AD40" s="343"/>
      <c r="AG40" s="344"/>
      <c r="AH40" s="452"/>
      <c r="AL40" s="343"/>
      <c r="AO40" s="344"/>
      <c r="AP40" s="343"/>
      <c r="AS40" s="344"/>
      <c r="AW40" s="344"/>
      <c r="BA40" s="345"/>
    </row>
    <row r="41" spans="1:53" s="334" customFormat="1">
      <c r="A41" s="386">
        <v>1976</v>
      </c>
      <c r="B41" s="355"/>
      <c r="C41" s="992" t="s">
        <v>1179</v>
      </c>
      <c r="D41" s="992"/>
      <c r="E41" s="334">
        <v>366</v>
      </c>
      <c r="G41" s="419">
        <v>4</v>
      </c>
      <c r="H41" s="334">
        <v>4</v>
      </c>
      <c r="J41" s="435">
        <v>8</v>
      </c>
      <c r="K41" s="384">
        <f t="shared" si="1"/>
        <v>50</v>
      </c>
      <c r="L41" s="384">
        <f t="shared" si="1"/>
        <v>50</v>
      </c>
      <c r="M41" s="384">
        <f t="shared" si="1"/>
        <v>0</v>
      </c>
      <c r="N41" s="421">
        <f t="shared" si="2"/>
        <v>100</v>
      </c>
      <c r="O41" s="383">
        <v>41.7</v>
      </c>
      <c r="P41" s="384">
        <v>28.3</v>
      </c>
      <c r="Q41" s="384"/>
      <c r="R41" s="385">
        <f t="shared" si="3"/>
        <v>70</v>
      </c>
      <c r="S41" s="334">
        <v>2</v>
      </c>
      <c r="T41" s="357"/>
      <c r="V41" s="343" t="s">
        <v>568</v>
      </c>
      <c r="W41" s="334" t="s">
        <v>74</v>
      </c>
      <c r="X41" s="334" t="s">
        <v>11</v>
      </c>
      <c r="Y41" s="344">
        <v>41.7</v>
      </c>
      <c r="Z41" s="343" t="s">
        <v>486</v>
      </c>
      <c r="AA41" s="334" t="s">
        <v>286</v>
      </c>
      <c r="AB41" s="334" t="s">
        <v>18</v>
      </c>
      <c r="AC41" s="334">
        <v>28.3</v>
      </c>
      <c r="AD41" s="343"/>
      <c r="AG41" s="344"/>
      <c r="AH41" s="452"/>
      <c r="AL41" s="343"/>
      <c r="AO41" s="344"/>
      <c r="AP41" s="343"/>
      <c r="AS41" s="344"/>
      <c r="AW41" s="344"/>
      <c r="BA41" s="345"/>
    </row>
    <row r="42" spans="1:53" s="334" customFormat="1">
      <c r="A42" s="386">
        <v>1977</v>
      </c>
      <c r="B42" s="355"/>
      <c r="C42" s="992" t="s">
        <v>1179</v>
      </c>
      <c r="D42" s="992"/>
      <c r="E42" s="334">
        <v>0</v>
      </c>
      <c r="G42" s="419">
        <v>4</v>
      </c>
      <c r="H42" s="334">
        <v>4</v>
      </c>
      <c r="J42" s="435">
        <v>8</v>
      </c>
      <c r="K42" s="384">
        <f t="shared" si="1"/>
        <v>50</v>
      </c>
      <c r="L42" s="384">
        <f t="shared" si="1"/>
        <v>50</v>
      </c>
      <c r="M42" s="384">
        <f t="shared" si="1"/>
        <v>0</v>
      </c>
      <c r="N42" s="421">
        <f t="shared" si="2"/>
        <v>100</v>
      </c>
      <c r="O42" s="383">
        <v>41.7</v>
      </c>
      <c r="P42" s="384">
        <v>28.3</v>
      </c>
      <c r="Q42" s="384"/>
      <c r="R42" s="385">
        <f t="shared" si="3"/>
        <v>70</v>
      </c>
      <c r="S42" s="334">
        <v>2</v>
      </c>
      <c r="T42" s="357"/>
      <c r="V42" s="343" t="s">
        <v>568</v>
      </c>
      <c r="W42" s="334" t="s">
        <v>74</v>
      </c>
      <c r="X42" s="334" t="s">
        <v>11</v>
      </c>
      <c r="Y42" s="344">
        <v>41.7</v>
      </c>
      <c r="Z42" s="343" t="s">
        <v>486</v>
      </c>
      <c r="AA42" s="334" t="s">
        <v>286</v>
      </c>
      <c r="AB42" s="334" t="s">
        <v>18</v>
      </c>
      <c r="AC42" s="334">
        <v>28.3</v>
      </c>
      <c r="AD42" s="343"/>
      <c r="AG42" s="344"/>
      <c r="AH42" s="452"/>
      <c r="AL42" s="343"/>
      <c r="AO42" s="344"/>
      <c r="AP42" s="343"/>
      <c r="AS42" s="344"/>
      <c r="AW42" s="344"/>
      <c r="BA42" s="345"/>
    </row>
    <row r="43" spans="1:53" s="334" customFormat="1">
      <c r="A43" s="386">
        <v>1977</v>
      </c>
      <c r="B43" s="355"/>
      <c r="C43" s="992" t="s">
        <v>1179</v>
      </c>
      <c r="D43" s="992"/>
      <c r="E43" s="334">
        <v>365</v>
      </c>
      <c r="G43" s="419">
        <v>4</v>
      </c>
      <c r="H43" s="334">
        <v>4</v>
      </c>
      <c r="J43" s="435">
        <v>8</v>
      </c>
      <c r="K43" s="384">
        <f t="shared" si="1"/>
        <v>50</v>
      </c>
      <c r="L43" s="384">
        <f t="shared" si="1"/>
        <v>50</v>
      </c>
      <c r="M43" s="384">
        <f t="shared" si="1"/>
        <v>0</v>
      </c>
      <c r="N43" s="421">
        <f t="shared" si="2"/>
        <v>100</v>
      </c>
      <c r="O43" s="383">
        <v>41.7</v>
      </c>
      <c r="P43" s="384">
        <v>28.3</v>
      </c>
      <c r="Q43" s="384"/>
      <c r="R43" s="385">
        <f t="shared" si="3"/>
        <v>70</v>
      </c>
      <c r="S43" s="334">
        <v>2</v>
      </c>
      <c r="T43" s="357"/>
      <c r="V43" s="343" t="s">
        <v>568</v>
      </c>
      <c r="W43" s="334" t="s">
        <v>74</v>
      </c>
      <c r="X43" s="334" t="s">
        <v>11</v>
      </c>
      <c r="Y43" s="344">
        <v>41.7</v>
      </c>
      <c r="Z43" s="343" t="s">
        <v>486</v>
      </c>
      <c r="AA43" s="334" t="s">
        <v>286</v>
      </c>
      <c r="AB43" s="334" t="s">
        <v>18</v>
      </c>
      <c r="AC43" s="334">
        <v>28.3</v>
      </c>
      <c r="AD43" s="343"/>
      <c r="AG43" s="344"/>
      <c r="AH43" s="452"/>
      <c r="AL43" s="343"/>
      <c r="AO43" s="344"/>
      <c r="AP43" s="343"/>
      <c r="AS43" s="344"/>
      <c r="AW43" s="344"/>
      <c r="BA43" s="345"/>
    </row>
    <row r="44" spans="1:53" s="334" customFormat="1">
      <c r="A44" s="386">
        <v>1978</v>
      </c>
      <c r="B44" s="355"/>
      <c r="C44" s="992" t="s">
        <v>1179</v>
      </c>
      <c r="D44" s="992"/>
      <c r="E44" s="334">
        <v>242</v>
      </c>
      <c r="G44" s="419">
        <v>4</v>
      </c>
      <c r="H44" s="334">
        <v>4</v>
      </c>
      <c r="J44" s="435">
        <v>8</v>
      </c>
      <c r="K44" s="384">
        <f t="shared" ref="K44:M71" si="4">G44/$J44*100</f>
        <v>50</v>
      </c>
      <c r="L44" s="384">
        <f t="shared" si="4"/>
        <v>50</v>
      </c>
      <c r="M44" s="384">
        <f t="shared" si="4"/>
        <v>0</v>
      </c>
      <c r="N44" s="421">
        <f t="shared" si="2"/>
        <v>100</v>
      </c>
      <c r="O44" s="383">
        <v>41.7</v>
      </c>
      <c r="P44" s="384">
        <v>28.3</v>
      </c>
      <c r="Q44" s="384"/>
      <c r="R44" s="385">
        <f t="shared" si="3"/>
        <v>70</v>
      </c>
      <c r="S44" s="334">
        <v>2</v>
      </c>
      <c r="T44" s="357"/>
      <c r="V44" s="343" t="s">
        <v>568</v>
      </c>
      <c r="W44" s="334" t="s">
        <v>74</v>
      </c>
      <c r="X44" s="334" t="s">
        <v>11</v>
      </c>
      <c r="Y44" s="344">
        <v>41.7</v>
      </c>
      <c r="Z44" s="343" t="s">
        <v>486</v>
      </c>
      <c r="AA44" s="334" t="s">
        <v>286</v>
      </c>
      <c r="AB44" s="334" t="s">
        <v>18</v>
      </c>
      <c r="AC44" s="334">
        <v>28.3</v>
      </c>
      <c r="AD44" s="343"/>
      <c r="AG44" s="344"/>
      <c r="AH44" s="452"/>
      <c r="AL44" s="343"/>
      <c r="AO44" s="344"/>
      <c r="AP44" s="343"/>
      <c r="AS44" s="344"/>
      <c r="AW44" s="344"/>
      <c r="BA44" s="345"/>
    </row>
    <row r="45" spans="1:53" s="73" customFormat="1">
      <c r="A45" s="102">
        <v>1978</v>
      </c>
      <c r="B45" s="85">
        <v>28733</v>
      </c>
      <c r="C45" s="988" t="s">
        <v>1180</v>
      </c>
      <c r="D45" s="988"/>
      <c r="E45" s="73">
        <f>365-E44</f>
        <v>123</v>
      </c>
      <c r="F45" s="73">
        <v>1</v>
      </c>
      <c r="G45" s="123"/>
      <c r="H45" s="73">
        <v>3</v>
      </c>
      <c r="I45" s="73">
        <v>6</v>
      </c>
      <c r="J45" s="134">
        <v>9</v>
      </c>
      <c r="K45" s="92">
        <f t="shared" si="4"/>
        <v>0</v>
      </c>
      <c r="L45" s="92">
        <f t="shared" si="4"/>
        <v>33.333333333333329</v>
      </c>
      <c r="M45" s="92">
        <f t="shared" si="4"/>
        <v>66.666666666666657</v>
      </c>
      <c r="N45" s="125">
        <f t="shared" si="2"/>
        <v>99.999999999999986</v>
      </c>
      <c r="O45" s="91"/>
      <c r="P45" s="92">
        <v>20</v>
      </c>
      <c r="Q45" s="92">
        <v>46.6</v>
      </c>
      <c r="R45" s="93">
        <f t="shared" si="3"/>
        <v>66.599999999999994</v>
      </c>
      <c r="S45" s="73">
        <v>2</v>
      </c>
      <c r="T45" s="95">
        <v>28666</v>
      </c>
      <c r="U45" s="85">
        <v>28733</v>
      </c>
      <c r="V45" s="82" t="s">
        <v>486</v>
      </c>
      <c r="W45" s="73" t="s">
        <v>286</v>
      </c>
      <c r="X45" s="73" t="s">
        <v>18</v>
      </c>
      <c r="Y45" s="83">
        <v>20</v>
      </c>
      <c r="Z45" s="73" t="s">
        <v>112</v>
      </c>
      <c r="AA45" s="73" t="s">
        <v>20</v>
      </c>
      <c r="AB45" s="73" t="s">
        <v>12</v>
      </c>
      <c r="AC45" s="73">
        <v>23.3</v>
      </c>
      <c r="AD45" s="82" t="s">
        <v>569</v>
      </c>
      <c r="AE45" s="73" t="s">
        <v>114</v>
      </c>
      <c r="AF45" s="73" t="s">
        <v>12</v>
      </c>
      <c r="AG45" s="83">
        <v>23.3</v>
      </c>
      <c r="AH45" s="164"/>
      <c r="AL45" s="82"/>
      <c r="AO45" s="83"/>
      <c r="AP45" s="82"/>
      <c r="AS45" s="83"/>
      <c r="AW45" s="83"/>
      <c r="BA45" s="84"/>
    </row>
    <row r="46" spans="1:53" s="73" customFormat="1">
      <c r="A46" s="102">
        <v>1979</v>
      </c>
      <c r="B46" s="85"/>
      <c r="C46" s="988" t="s">
        <v>1180</v>
      </c>
      <c r="D46" s="988"/>
      <c r="E46" s="73">
        <v>287</v>
      </c>
      <c r="G46" s="123"/>
      <c r="H46" s="73">
        <v>3</v>
      </c>
      <c r="I46" s="73">
        <v>6</v>
      </c>
      <c r="J46" s="134">
        <v>9</v>
      </c>
      <c r="K46" s="92">
        <f t="shared" si="4"/>
        <v>0</v>
      </c>
      <c r="L46" s="92">
        <f t="shared" si="4"/>
        <v>33.333333333333329</v>
      </c>
      <c r="M46" s="92">
        <f t="shared" si="4"/>
        <v>66.666666666666657</v>
      </c>
      <c r="N46" s="125">
        <f t="shared" si="2"/>
        <v>99.999999999999986</v>
      </c>
      <c r="O46" s="91"/>
      <c r="P46" s="92">
        <v>20</v>
      </c>
      <c r="Q46" s="92">
        <v>46.6</v>
      </c>
      <c r="R46" s="93">
        <f t="shared" si="3"/>
        <v>66.599999999999994</v>
      </c>
      <c r="S46" s="73">
        <v>2</v>
      </c>
      <c r="T46" s="81"/>
      <c r="V46" s="82" t="s">
        <v>486</v>
      </c>
      <c r="W46" s="73" t="s">
        <v>286</v>
      </c>
      <c r="X46" s="73" t="s">
        <v>18</v>
      </c>
      <c r="Y46" s="83">
        <v>20</v>
      </c>
      <c r="Z46" s="73" t="s">
        <v>112</v>
      </c>
      <c r="AA46" s="73" t="s">
        <v>20</v>
      </c>
      <c r="AB46" s="73" t="s">
        <v>12</v>
      </c>
      <c r="AC46" s="73">
        <v>23.3</v>
      </c>
      <c r="AD46" s="82" t="s">
        <v>569</v>
      </c>
      <c r="AE46" s="73" t="s">
        <v>114</v>
      </c>
      <c r="AF46" s="73" t="s">
        <v>12</v>
      </c>
      <c r="AG46" s="83">
        <v>23.3</v>
      </c>
      <c r="AH46" s="164"/>
      <c r="AL46" s="82"/>
      <c r="AO46" s="83"/>
      <c r="AP46" s="82"/>
      <c r="AS46" s="83"/>
      <c r="AW46" s="83"/>
      <c r="BA46" s="84"/>
    </row>
    <row r="47" spans="1:53" s="334" customFormat="1">
      <c r="A47" s="386">
        <v>1979</v>
      </c>
      <c r="B47" s="355">
        <v>29143</v>
      </c>
      <c r="C47" s="992" t="s">
        <v>287</v>
      </c>
      <c r="D47" s="992"/>
      <c r="E47" s="334">
        <f>365-E46</f>
        <v>78</v>
      </c>
      <c r="F47" s="334">
        <v>4</v>
      </c>
      <c r="G47" s="419"/>
      <c r="I47" s="334">
        <v>6</v>
      </c>
      <c r="J47" s="435">
        <v>6</v>
      </c>
      <c r="K47" s="384">
        <f t="shared" si="4"/>
        <v>0</v>
      </c>
      <c r="L47" s="384">
        <f t="shared" si="4"/>
        <v>0</v>
      </c>
      <c r="M47" s="384">
        <f t="shared" si="4"/>
        <v>100</v>
      </c>
      <c r="N47" s="421">
        <f t="shared" si="2"/>
        <v>100</v>
      </c>
      <c r="O47" s="383"/>
      <c r="P47" s="384"/>
      <c r="Q47" s="384">
        <v>23.3</v>
      </c>
      <c r="R47" s="385">
        <f t="shared" si="3"/>
        <v>23.3</v>
      </c>
      <c r="S47" s="334">
        <v>4</v>
      </c>
      <c r="T47" s="342"/>
      <c r="U47" s="355">
        <v>29143</v>
      </c>
      <c r="V47" s="343" t="s">
        <v>112</v>
      </c>
      <c r="W47" s="334" t="s">
        <v>20</v>
      </c>
      <c r="X47" s="334" t="s">
        <v>12</v>
      </c>
      <c r="Y47" s="344">
        <v>23.3</v>
      </c>
      <c r="AD47" s="343"/>
      <c r="AG47" s="344"/>
      <c r="AH47" s="452"/>
      <c r="AL47" s="343"/>
      <c r="AO47" s="344"/>
      <c r="AP47" s="343"/>
      <c r="AS47" s="344"/>
      <c r="AW47" s="344"/>
      <c r="BA47" s="345"/>
    </row>
    <row r="48" spans="1:53" s="334" customFormat="1">
      <c r="A48" s="386">
        <v>1980</v>
      </c>
      <c r="B48" s="355"/>
      <c r="C48" s="992" t="s">
        <v>287</v>
      </c>
      <c r="D48" s="992"/>
      <c r="E48" s="334">
        <v>38</v>
      </c>
      <c r="G48" s="419"/>
      <c r="I48" s="334">
        <v>6</v>
      </c>
      <c r="J48" s="435">
        <v>6</v>
      </c>
      <c r="K48" s="384">
        <f t="shared" si="4"/>
        <v>0</v>
      </c>
      <c r="L48" s="384">
        <f t="shared" si="4"/>
        <v>0</v>
      </c>
      <c r="M48" s="384">
        <f t="shared" si="4"/>
        <v>100</v>
      </c>
      <c r="N48" s="421">
        <f t="shared" si="2"/>
        <v>100</v>
      </c>
      <c r="O48" s="383"/>
      <c r="P48" s="384"/>
      <c r="Q48" s="384">
        <v>23.3</v>
      </c>
      <c r="R48" s="385">
        <f t="shared" si="3"/>
        <v>23.3</v>
      </c>
      <c r="S48" s="334">
        <v>4</v>
      </c>
      <c r="T48" s="342">
        <v>29191</v>
      </c>
      <c r="V48" s="343" t="s">
        <v>112</v>
      </c>
      <c r="W48" s="334" t="s">
        <v>20</v>
      </c>
      <c r="X48" s="334" t="s">
        <v>12</v>
      </c>
      <c r="Y48" s="344">
        <v>23.3</v>
      </c>
      <c r="AD48" s="343"/>
      <c r="AG48" s="344"/>
      <c r="AH48" s="452"/>
      <c r="AL48" s="343"/>
      <c r="AO48" s="344"/>
      <c r="AP48" s="343"/>
      <c r="AS48" s="344"/>
      <c r="AW48" s="344"/>
      <c r="BA48" s="345"/>
    </row>
    <row r="49" spans="1:53" s="73" customFormat="1">
      <c r="A49" s="102">
        <v>1980</v>
      </c>
      <c r="B49" s="85">
        <v>29259</v>
      </c>
      <c r="C49" s="988" t="s">
        <v>288</v>
      </c>
      <c r="D49" s="988"/>
      <c r="E49" s="73">
        <f>366-E48</f>
        <v>328</v>
      </c>
      <c r="F49" s="73">
        <v>1</v>
      </c>
      <c r="G49" s="123">
        <v>4</v>
      </c>
      <c r="H49" s="73">
        <v>3</v>
      </c>
      <c r="I49" s="73">
        <v>3</v>
      </c>
      <c r="J49" s="134">
        <v>10</v>
      </c>
      <c r="K49" s="92">
        <f t="shared" si="4"/>
        <v>40</v>
      </c>
      <c r="L49" s="92">
        <f t="shared" si="4"/>
        <v>30</v>
      </c>
      <c r="M49" s="92">
        <f t="shared" si="4"/>
        <v>30</v>
      </c>
      <c r="N49" s="125">
        <f t="shared" si="2"/>
        <v>100</v>
      </c>
      <c r="O49" s="91">
        <v>35</v>
      </c>
      <c r="P49" s="92">
        <v>28.3</v>
      </c>
      <c r="Q49" s="92">
        <v>18.3</v>
      </c>
      <c r="R49" s="93">
        <f t="shared" si="3"/>
        <v>81.599999999999994</v>
      </c>
      <c r="S49" s="73">
        <v>3</v>
      </c>
      <c r="T49" s="81"/>
      <c r="U49" s="85">
        <v>29259</v>
      </c>
      <c r="V49" s="82" t="s">
        <v>486</v>
      </c>
      <c r="W49" s="73" t="s">
        <v>286</v>
      </c>
      <c r="X49" s="73" t="s">
        <v>18</v>
      </c>
      <c r="Y49" s="83">
        <v>28.3</v>
      </c>
      <c r="Z49" s="82" t="s">
        <v>568</v>
      </c>
      <c r="AA49" s="73" t="s">
        <v>74</v>
      </c>
      <c r="AB49" s="73" t="s">
        <v>11</v>
      </c>
      <c r="AC49" s="73">
        <v>35</v>
      </c>
      <c r="AD49" s="82" t="s">
        <v>569</v>
      </c>
      <c r="AE49" s="73" t="s">
        <v>114</v>
      </c>
      <c r="AF49" s="73" t="s">
        <v>12</v>
      </c>
      <c r="AG49" s="83">
        <v>18.3</v>
      </c>
      <c r="AH49" s="164"/>
      <c r="AL49" s="82"/>
      <c r="AO49" s="83"/>
      <c r="AP49" s="82"/>
      <c r="AS49" s="83"/>
      <c r="AW49" s="83"/>
      <c r="BA49" s="84"/>
    </row>
    <row r="50" spans="1:53" s="73" customFormat="1">
      <c r="A50" s="102">
        <v>1981</v>
      </c>
      <c r="B50" s="85"/>
      <c r="C50" s="988" t="s">
        <v>288</v>
      </c>
      <c r="D50" s="988"/>
      <c r="E50" s="73">
        <v>0</v>
      </c>
      <c r="G50" s="123">
        <v>4</v>
      </c>
      <c r="H50" s="73">
        <v>3</v>
      </c>
      <c r="I50" s="73">
        <v>3</v>
      </c>
      <c r="J50" s="134">
        <v>10</v>
      </c>
      <c r="K50" s="92">
        <f t="shared" si="4"/>
        <v>40</v>
      </c>
      <c r="L50" s="92">
        <f t="shared" si="4"/>
        <v>30</v>
      </c>
      <c r="M50" s="92">
        <f t="shared" si="4"/>
        <v>30</v>
      </c>
      <c r="N50" s="125">
        <f t="shared" si="2"/>
        <v>100</v>
      </c>
      <c r="O50" s="91">
        <v>35</v>
      </c>
      <c r="P50" s="92">
        <v>28.3</v>
      </c>
      <c r="Q50" s="92">
        <v>18.3</v>
      </c>
      <c r="R50" s="93">
        <f t="shared" si="3"/>
        <v>81.599999999999994</v>
      </c>
      <c r="S50" s="73">
        <v>3</v>
      </c>
      <c r="T50" s="81"/>
      <c r="V50" s="82" t="s">
        <v>486</v>
      </c>
      <c r="W50" s="73" t="s">
        <v>286</v>
      </c>
      <c r="X50" s="73" t="s">
        <v>18</v>
      </c>
      <c r="Y50" s="83">
        <v>28.3</v>
      </c>
      <c r="Z50" s="82" t="s">
        <v>568</v>
      </c>
      <c r="AA50" s="73" t="s">
        <v>74</v>
      </c>
      <c r="AB50" s="73" t="s">
        <v>11</v>
      </c>
      <c r="AC50" s="73">
        <v>35</v>
      </c>
      <c r="AD50" s="82" t="s">
        <v>569</v>
      </c>
      <c r="AE50" s="73" t="s">
        <v>114</v>
      </c>
      <c r="AF50" s="73" t="s">
        <v>12</v>
      </c>
      <c r="AG50" s="83">
        <v>18.3</v>
      </c>
      <c r="AH50" s="164"/>
      <c r="AL50" s="82"/>
      <c r="AO50" s="83"/>
      <c r="AP50" s="82"/>
      <c r="AS50" s="83"/>
      <c r="AW50" s="83"/>
      <c r="BA50" s="84"/>
    </row>
    <row r="51" spans="1:53" s="73" customFormat="1">
      <c r="A51" s="102">
        <v>1981</v>
      </c>
      <c r="B51" s="85"/>
      <c r="C51" s="988" t="s">
        <v>288</v>
      </c>
      <c r="D51" s="988"/>
      <c r="E51" s="73">
        <v>365</v>
      </c>
      <c r="G51" s="123">
        <v>4</v>
      </c>
      <c r="H51" s="73">
        <v>3</v>
      </c>
      <c r="I51" s="73">
        <v>3</v>
      </c>
      <c r="J51" s="134">
        <v>10</v>
      </c>
      <c r="K51" s="92">
        <f t="shared" si="4"/>
        <v>40</v>
      </c>
      <c r="L51" s="92">
        <f t="shared" si="4"/>
        <v>30</v>
      </c>
      <c r="M51" s="92">
        <f t="shared" si="4"/>
        <v>30</v>
      </c>
      <c r="N51" s="125">
        <f t="shared" si="2"/>
        <v>100</v>
      </c>
      <c r="O51" s="91">
        <v>35</v>
      </c>
      <c r="P51" s="92">
        <v>28.3</v>
      </c>
      <c r="Q51" s="92">
        <v>18.3</v>
      </c>
      <c r="R51" s="93">
        <f t="shared" si="3"/>
        <v>81.599999999999994</v>
      </c>
      <c r="S51" s="73">
        <v>3</v>
      </c>
      <c r="T51" s="81"/>
      <c r="V51" s="82" t="s">
        <v>486</v>
      </c>
      <c r="W51" s="73" t="s">
        <v>286</v>
      </c>
      <c r="X51" s="73" t="s">
        <v>18</v>
      </c>
      <c r="Y51" s="83">
        <v>28.3</v>
      </c>
      <c r="Z51" s="82" t="s">
        <v>568</v>
      </c>
      <c r="AA51" s="73" t="s">
        <v>74</v>
      </c>
      <c r="AB51" s="73" t="s">
        <v>11</v>
      </c>
      <c r="AC51" s="73">
        <v>35</v>
      </c>
      <c r="AD51" s="82" t="s">
        <v>569</v>
      </c>
      <c r="AE51" s="73" t="s">
        <v>114</v>
      </c>
      <c r="AF51" s="73" t="s">
        <v>12</v>
      </c>
      <c r="AG51" s="83">
        <v>18.3</v>
      </c>
      <c r="AH51" s="164"/>
      <c r="AL51" s="82"/>
      <c r="AO51" s="83"/>
      <c r="AP51" s="82"/>
      <c r="AS51" s="83"/>
      <c r="AW51" s="83"/>
      <c r="BA51" s="84"/>
    </row>
    <row r="52" spans="1:53" s="73" customFormat="1">
      <c r="A52" s="102">
        <v>1982</v>
      </c>
      <c r="B52" s="85"/>
      <c r="C52" s="988" t="s">
        <v>288</v>
      </c>
      <c r="D52" s="988"/>
      <c r="E52" s="73">
        <v>0</v>
      </c>
      <c r="G52" s="123">
        <v>4</v>
      </c>
      <c r="H52" s="73">
        <v>3</v>
      </c>
      <c r="I52" s="73">
        <v>3</v>
      </c>
      <c r="J52" s="134">
        <v>10</v>
      </c>
      <c r="K52" s="92">
        <f t="shared" si="4"/>
        <v>40</v>
      </c>
      <c r="L52" s="92">
        <f t="shared" si="4"/>
        <v>30</v>
      </c>
      <c r="M52" s="92">
        <f t="shared" si="4"/>
        <v>30</v>
      </c>
      <c r="N52" s="125">
        <f t="shared" si="2"/>
        <v>100</v>
      </c>
      <c r="O52" s="91">
        <v>35</v>
      </c>
      <c r="P52" s="92">
        <v>28.3</v>
      </c>
      <c r="Q52" s="92">
        <v>18.3</v>
      </c>
      <c r="R52" s="93">
        <f t="shared" si="3"/>
        <v>81.599999999999994</v>
      </c>
      <c r="S52" s="73">
        <v>3</v>
      </c>
      <c r="T52" s="81"/>
      <c r="V52" s="82" t="s">
        <v>486</v>
      </c>
      <c r="W52" s="73" t="s">
        <v>286</v>
      </c>
      <c r="X52" s="73" t="s">
        <v>18</v>
      </c>
      <c r="Y52" s="83">
        <v>28.3</v>
      </c>
      <c r="Z52" s="82" t="s">
        <v>568</v>
      </c>
      <c r="AA52" s="73" t="s">
        <v>74</v>
      </c>
      <c r="AB52" s="73" t="s">
        <v>11</v>
      </c>
      <c r="AC52" s="73">
        <v>35</v>
      </c>
      <c r="AD52" s="82" t="s">
        <v>569</v>
      </c>
      <c r="AE52" s="73" t="s">
        <v>114</v>
      </c>
      <c r="AF52" s="73" t="s">
        <v>12</v>
      </c>
      <c r="AG52" s="83">
        <v>18.3</v>
      </c>
      <c r="AH52" s="164"/>
      <c r="AL52" s="82"/>
      <c r="AO52" s="83"/>
      <c r="AP52" s="82"/>
      <c r="AS52" s="83"/>
      <c r="AW52" s="83"/>
      <c r="BA52" s="84"/>
    </row>
    <row r="53" spans="1:53" s="73" customFormat="1">
      <c r="A53" s="102">
        <v>1982</v>
      </c>
      <c r="B53" s="85"/>
      <c r="C53" s="988" t="s">
        <v>288</v>
      </c>
      <c r="D53" s="988"/>
      <c r="E53" s="73">
        <v>365</v>
      </c>
      <c r="G53" s="123">
        <v>4</v>
      </c>
      <c r="H53" s="73">
        <v>3</v>
      </c>
      <c r="I53" s="73">
        <v>3</v>
      </c>
      <c r="J53" s="134">
        <v>10</v>
      </c>
      <c r="K53" s="92">
        <f t="shared" si="4"/>
        <v>40</v>
      </c>
      <c r="L53" s="92">
        <f t="shared" si="4"/>
        <v>30</v>
      </c>
      <c r="M53" s="92">
        <f t="shared" si="4"/>
        <v>30</v>
      </c>
      <c r="N53" s="125">
        <f t="shared" si="2"/>
        <v>100</v>
      </c>
      <c r="O53" s="91">
        <v>35</v>
      </c>
      <c r="P53" s="92">
        <v>28.3</v>
      </c>
      <c r="Q53" s="92">
        <v>18.3</v>
      </c>
      <c r="R53" s="93">
        <f t="shared" si="3"/>
        <v>81.599999999999994</v>
      </c>
      <c r="S53" s="73">
        <v>3</v>
      </c>
      <c r="T53" s="81"/>
      <c r="V53" s="82" t="s">
        <v>486</v>
      </c>
      <c r="W53" s="73" t="s">
        <v>286</v>
      </c>
      <c r="X53" s="73" t="s">
        <v>18</v>
      </c>
      <c r="Y53" s="83">
        <v>28.3</v>
      </c>
      <c r="Z53" s="82" t="s">
        <v>568</v>
      </c>
      <c r="AA53" s="73" t="s">
        <v>74</v>
      </c>
      <c r="AB53" s="73" t="s">
        <v>11</v>
      </c>
      <c r="AC53" s="73">
        <v>35</v>
      </c>
      <c r="AD53" s="82" t="s">
        <v>569</v>
      </c>
      <c r="AE53" s="73" t="s">
        <v>114</v>
      </c>
      <c r="AF53" s="73" t="s">
        <v>12</v>
      </c>
      <c r="AG53" s="83">
        <v>18.3</v>
      </c>
      <c r="AH53" s="164"/>
      <c r="AL53" s="82"/>
      <c r="AO53" s="83"/>
      <c r="AP53" s="82"/>
      <c r="AS53" s="83"/>
      <c r="AW53" s="83"/>
      <c r="BA53" s="84"/>
    </row>
    <row r="54" spans="1:53" s="73" customFormat="1">
      <c r="A54" s="102">
        <v>1983</v>
      </c>
      <c r="B54" s="85"/>
      <c r="C54" s="988" t="s">
        <v>288</v>
      </c>
      <c r="D54" s="988"/>
      <c r="E54" s="73">
        <v>145</v>
      </c>
      <c r="G54" s="123">
        <v>4</v>
      </c>
      <c r="H54" s="73">
        <v>3</v>
      </c>
      <c r="I54" s="73">
        <v>3</v>
      </c>
      <c r="J54" s="134">
        <v>10</v>
      </c>
      <c r="K54" s="92">
        <f t="shared" si="4"/>
        <v>40</v>
      </c>
      <c r="L54" s="92">
        <f t="shared" si="4"/>
        <v>30</v>
      </c>
      <c r="M54" s="92">
        <f t="shared" si="4"/>
        <v>30</v>
      </c>
      <c r="N54" s="125">
        <f t="shared" si="2"/>
        <v>100</v>
      </c>
      <c r="O54" s="91">
        <v>35</v>
      </c>
      <c r="P54" s="92">
        <v>28.3</v>
      </c>
      <c r="Q54" s="92">
        <v>18.3</v>
      </c>
      <c r="R54" s="93">
        <f t="shared" si="3"/>
        <v>81.599999999999994</v>
      </c>
      <c r="S54" s="73">
        <v>3</v>
      </c>
      <c r="T54" s="81"/>
      <c r="V54" s="82" t="s">
        <v>486</v>
      </c>
      <c r="W54" s="73" t="s">
        <v>286</v>
      </c>
      <c r="X54" s="73" t="s">
        <v>18</v>
      </c>
      <c r="Y54" s="83">
        <v>28.3</v>
      </c>
      <c r="Z54" s="82" t="s">
        <v>568</v>
      </c>
      <c r="AA54" s="73" t="s">
        <v>74</v>
      </c>
      <c r="AB54" s="73" t="s">
        <v>11</v>
      </c>
      <c r="AC54" s="73">
        <v>35</v>
      </c>
      <c r="AD54" s="82" t="s">
        <v>569</v>
      </c>
      <c r="AE54" s="73" t="s">
        <v>114</v>
      </c>
      <c r="AF54" s="73" t="s">
        <v>12</v>
      </c>
      <c r="AG54" s="83">
        <v>18.3</v>
      </c>
      <c r="AH54" s="164"/>
      <c r="AL54" s="82"/>
      <c r="AO54" s="83"/>
      <c r="AP54" s="82"/>
      <c r="AS54" s="83"/>
      <c r="AW54" s="83"/>
      <c r="BA54" s="84"/>
    </row>
    <row r="55" spans="1:53" s="334" customFormat="1">
      <c r="A55" s="386">
        <v>1983</v>
      </c>
      <c r="B55" s="355">
        <v>30462</v>
      </c>
      <c r="C55" s="992" t="s">
        <v>289</v>
      </c>
      <c r="D55" s="992"/>
      <c r="E55" s="334">
        <f>365-E54</f>
        <v>220</v>
      </c>
      <c r="F55" s="334">
        <v>5</v>
      </c>
      <c r="G55" s="419">
        <v>6</v>
      </c>
      <c r="H55" s="334">
        <v>4</v>
      </c>
      <c r="J55" s="435">
        <v>10</v>
      </c>
      <c r="K55" s="384">
        <f t="shared" si="4"/>
        <v>60</v>
      </c>
      <c r="L55" s="384">
        <f t="shared" si="4"/>
        <v>40</v>
      </c>
      <c r="M55" s="384">
        <f t="shared" si="4"/>
        <v>0</v>
      </c>
      <c r="N55" s="421">
        <f t="shared" si="2"/>
        <v>100</v>
      </c>
      <c r="O55" s="383">
        <v>38.299999999999997</v>
      </c>
      <c r="P55" s="384">
        <v>23.3</v>
      </c>
      <c r="Q55" s="384"/>
      <c r="R55" s="385">
        <f t="shared" si="3"/>
        <v>61.599999999999994</v>
      </c>
      <c r="S55" s="334">
        <v>2</v>
      </c>
      <c r="T55" s="342">
        <v>30429</v>
      </c>
      <c r="U55" s="355">
        <v>30462</v>
      </c>
      <c r="V55" s="343" t="s">
        <v>486</v>
      </c>
      <c r="W55" s="334" t="s">
        <v>286</v>
      </c>
      <c r="X55" s="334" t="s">
        <v>18</v>
      </c>
      <c r="Y55" s="344">
        <v>23.3</v>
      </c>
      <c r="Z55" s="343" t="s">
        <v>568</v>
      </c>
      <c r="AA55" s="334" t="s">
        <v>74</v>
      </c>
      <c r="AB55" s="334" t="s">
        <v>11</v>
      </c>
      <c r="AC55" s="334">
        <v>38.299999999999997</v>
      </c>
      <c r="AD55" s="343"/>
      <c r="AG55" s="344"/>
      <c r="AH55" s="452"/>
      <c r="AL55" s="343"/>
      <c r="AO55" s="344"/>
      <c r="AP55" s="343"/>
      <c r="AS55" s="344"/>
      <c r="AW55" s="344"/>
      <c r="BA55" s="345"/>
    </row>
    <row r="56" spans="1:53" s="334" customFormat="1">
      <c r="A56" s="386">
        <v>1984</v>
      </c>
      <c r="B56" s="355"/>
      <c r="C56" s="992" t="s">
        <v>289</v>
      </c>
      <c r="D56" s="992"/>
      <c r="E56" s="334">
        <v>0</v>
      </c>
      <c r="G56" s="419">
        <v>6</v>
      </c>
      <c r="H56" s="334">
        <v>4</v>
      </c>
      <c r="J56" s="435">
        <v>10</v>
      </c>
      <c r="K56" s="384">
        <f t="shared" si="4"/>
        <v>60</v>
      </c>
      <c r="L56" s="384">
        <f t="shared" si="4"/>
        <v>40</v>
      </c>
      <c r="M56" s="384">
        <f t="shared" si="4"/>
        <v>0</v>
      </c>
      <c r="N56" s="421">
        <f t="shared" si="2"/>
        <v>100</v>
      </c>
      <c r="O56" s="383">
        <v>38.299999999999997</v>
      </c>
      <c r="P56" s="384">
        <v>23.3</v>
      </c>
      <c r="Q56" s="384"/>
      <c r="R56" s="385">
        <f t="shared" si="3"/>
        <v>61.599999999999994</v>
      </c>
      <c r="S56" s="334">
        <v>2</v>
      </c>
      <c r="T56" s="357"/>
      <c r="V56" s="343" t="s">
        <v>486</v>
      </c>
      <c r="W56" s="334" t="s">
        <v>286</v>
      </c>
      <c r="X56" s="334" t="s">
        <v>18</v>
      </c>
      <c r="Y56" s="344">
        <v>23.3</v>
      </c>
      <c r="Z56" s="343" t="s">
        <v>568</v>
      </c>
      <c r="AA56" s="334" t="s">
        <v>74</v>
      </c>
      <c r="AB56" s="334" t="s">
        <v>11</v>
      </c>
      <c r="AC56" s="334">
        <v>38.299999999999997</v>
      </c>
      <c r="AD56" s="343"/>
      <c r="AG56" s="344"/>
      <c r="AH56" s="452"/>
      <c r="AL56" s="343"/>
      <c r="AO56" s="344"/>
      <c r="AP56" s="343"/>
      <c r="AS56" s="344"/>
      <c r="AW56" s="344"/>
      <c r="BA56" s="345"/>
    </row>
    <row r="57" spans="1:53" s="334" customFormat="1">
      <c r="A57" s="386">
        <v>1984</v>
      </c>
      <c r="B57" s="355"/>
      <c r="C57" s="992" t="s">
        <v>289</v>
      </c>
      <c r="D57" s="992"/>
      <c r="E57" s="334">
        <v>366</v>
      </c>
      <c r="G57" s="419">
        <v>6</v>
      </c>
      <c r="H57" s="334">
        <v>4</v>
      </c>
      <c r="J57" s="435">
        <v>10</v>
      </c>
      <c r="K57" s="384">
        <f t="shared" si="4"/>
        <v>60</v>
      </c>
      <c r="L57" s="384">
        <f t="shared" si="4"/>
        <v>40</v>
      </c>
      <c r="M57" s="384">
        <f t="shared" si="4"/>
        <v>0</v>
      </c>
      <c r="N57" s="421">
        <f t="shared" si="2"/>
        <v>100</v>
      </c>
      <c r="O57" s="383">
        <v>38.299999999999997</v>
      </c>
      <c r="P57" s="384">
        <v>23.3</v>
      </c>
      <c r="Q57" s="384"/>
      <c r="R57" s="385">
        <f t="shared" si="3"/>
        <v>61.599999999999994</v>
      </c>
      <c r="S57" s="334">
        <v>2</v>
      </c>
      <c r="T57" s="357"/>
      <c r="V57" s="343" t="s">
        <v>486</v>
      </c>
      <c r="W57" s="334" t="s">
        <v>286</v>
      </c>
      <c r="X57" s="334" t="s">
        <v>18</v>
      </c>
      <c r="Y57" s="344">
        <v>23.3</v>
      </c>
      <c r="Z57" s="343" t="s">
        <v>568</v>
      </c>
      <c r="AA57" s="334" t="s">
        <v>74</v>
      </c>
      <c r="AB57" s="334" t="s">
        <v>11</v>
      </c>
      <c r="AC57" s="334">
        <v>38.299999999999997</v>
      </c>
      <c r="AD57" s="343"/>
      <c r="AG57" s="344"/>
      <c r="AH57" s="452"/>
      <c r="AL57" s="343"/>
      <c r="AO57" s="344"/>
      <c r="AP57" s="343"/>
      <c r="AS57" s="344"/>
      <c r="AW57" s="344"/>
      <c r="BA57" s="345"/>
    </row>
    <row r="58" spans="1:53" s="334" customFormat="1">
      <c r="A58" s="386">
        <v>1985</v>
      </c>
      <c r="B58" s="355"/>
      <c r="C58" s="992" t="s">
        <v>289</v>
      </c>
      <c r="D58" s="992"/>
      <c r="E58" s="334">
        <v>0</v>
      </c>
      <c r="G58" s="419">
        <v>6</v>
      </c>
      <c r="H58" s="334">
        <v>4</v>
      </c>
      <c r="J58" s="435">
        <v>10</v>
      </c>
      <c r="K58" s="384">
        <f t="shared" si="4"/>
        <v>60</v>
      </c>
      <c r="L58" s="384">
        <f t="shared" si="4"/>
        <v>40</v>
      </c>
      <c r="M58" s="384">
        <f t="shared" si="4"/>
        <v>0</v>
      </c>
      <c r="N58" s="421">
        <f t="shared" si="2"/>
        <v>100</v>
      </c>
      <c r="O58" s="383">
        <v>38.299999999999997</v>
      </c>
      <c r="P58" s="384">
        <v>23.3</v>
      </c>
      <c r="Q58" s="384"/>
      <c r="R58" s="385">
        <f t="shared" si="3"/>
        <v>61.599999999999994</v>
      </c>
      <c r="S58" s="334">
        <v>2</v>
      </c>
      <c r="T58" s="357"/>
      <c r="V58" s="343" t="s">
        <v>486</v>
      </c>
      <c r="W58" s="334" t="s">
        <v>286</v>
      </c>
      <c r="X58" s="334" t="s">
        <v>18</v>
      </c>
      <c r="Y58" s="344">
        <v>23.3</v>
      </c>
      <c r="Z58" s="343" t="s">
        <v>568</v>
      </c>
      <c r="AA58" s="334" t="s">
        <v>74</v>
      </c>
      <c r="AB58" s="334" t="s">
        <v>11</v>
      </c>
      <c r="AC58" s="334">
        <v>38.299999999999997</v>
      </c>
      <c r="AD58" s="343"/>
      <c r="AG58" s="344"/>
      <c r="AH58" s="452"/>
      <c r="AL58" s="343"/>
      <c r="AO58" s="344"/>
      <c r="AP58" s="343"/>
      <c r="AS58" s="344"/>
      <c r="AW58" s="344"/>
      <c r="BA58" s="345"/>
    </row>
    <row r="59" spans="1:53" s="334" customFormat="1">
      <c r="A59" s="386">
        <v>1985</v>
      </c>
      <c r="B59" s="355"/>
      <c r="C59" s="992" t="s">
        <v>289</v>
      </c>
      <c r="D59" s="992"/>
      <c r="E59" s="334">
        <v>365</v>
      </c>
      <c r="G59" s="419">
        <v>6</v>
      </c>
      <c r="H59" s="334">
        <v>4</v>
      </c>
      <c r="J59" s="435">
        <v>10</v>
      </c>
      <c r="K59" s="384">
        <f t="shared" si="4"/>
        <v>60</v>
      </c>
      <c r="L59" s="384">
        <f t="shared" si="4"/>
        <v>40</v>
      </c>
      <c r="M59" s="384">
        <f t="shared" si="4"/>
        <v>0</v>
      </c>
      <c r="N59" s="421">
        <f t="shared" si="2"/>
        <v>100</v>
      </c>
      <c r="O59" s="383">
        <v>38.299999999999997</v>
      </c>
      <c r="P59" s="384">
        <v>23.3</v>
      </c>
      <c r="Q59" s="384"/>
      <c r="R59" s="385">
        <f t="shared" si="3"/>
        <v>61.599999999999994</v>
      </c>
      <c r="S59" s="334">
        <v>2</v>
      </c>
      <c r="T59" s="357"/>
      <c r="V59" s="343" t="s">
        <v>486</v>
      </c>
      <c r="W59" s="334" t="s">
        <v>286</v>
      </c>
      <c r="X59" s="334" t="s">
        <v>18</v>
      </c>
      <c r="Y59" s="344">
        <v>23.3</v>
      </c>
      <c r="Z59" s="343" t="s">
        <v>568</v>
      </c>
      <c r="AA59" s="334" t="s">
        <v>74</v>
      </c>
      <c r="AB59" s="334" t="s">
        <v>11</v>
      </c>
      <c r="AC59" s="334">
        <v>38.299999999999997</v>
      </c>
      <c r="AD59" s="343"/>
      <c r="AG59" s="344"/>
      <c r="AH59" s="452"/>
      <c r="AL59" s="343"/>
      <c r="AO59" s="344"/>
      <c r="AP59" s="343"/>
      <c r="AS59" s="344"/>
      <c r="AW59" s="344"/>
      <c r="BA59" s="345"/>
    </row>
    <row r="60" spans="1:53" s="334" customFormat="1">
      <c r="A60" s="386">
        <v>1986</v>
      </c>
      <c r="B60" s="355"/>
      <c r="C60" s="992" t="s">
        <v>289</v>
      </c>
      <c r="D60" s="992"/>
      <c r="E60" s="334">
        <v>0</v>
      </c>
      <c r="G60" s="419">
        <v>6</v>
      </c>
      <c r="H60" s="334">
        <v>4</v>
      </c>
      <c r="J60" s="435">
        <v>10</v>
      </c>
      <c r="K60" s="384">
        <f t="shared" si="4"/>
        <v>60</v>
      </c>
      <c r="L60" s="384">
        <f t="shared" si="4"/>
        <v>40</v>
      </c>
      <c r="M60" s="384">
        <f t="shared" si="4"/>
        <v>0</v>
      </c>
      <c r="N60" s="421">
        <f t="shared" si="2"/>
        <v>100</v>
      </c>
      <c r="O60" s="383">
        <v>38.299999999999997</v>
      </c>
      <c r="P60" s="384">
        <v>23.3</v>
      </c>
      <c r="Q60" s="384"/>
      <c r="R60" s="385">
        <f t="shared" si="3"/>
        <v>61.599999999999994</v>
      </c>
      <c r="S60" s="334">
        <v>2</v>
      </c>
      <c r="T60" s="357"/>
      <c r="V60" s="343" t="s">
        <v>486</v>
      </c>
      <c r="W60" s="334" t="s">
        <v>286</v>
      </c>
      <c r="X60" s="334" t="s">
        <v>18</v>
      </c>
      <c r="Y60" s="344">
        <v>23.3</v>
      </c>
      <c r="Z60" s="343" t="s">
        <v>568</v>
      </c>
      <c r="AA60" s="334" t="s">
        <v>74</v>
      </c>
      <c r="AB60" s="334" t="s">
        <v>11</v>
      </c>
      <c r="AC60" s="334">
        <v>38.299999999999997</v>
      </c>
      <c r="AD60" s="343"/>
      <c r="AG60" s="344"/>
      <c r="AH60" s="452"/>
      <c r="AL60" s="343"/>
      <c r="AO60" s="344"/>
      <c r="AP60" s="343"/>
      <c r="AS60" s="344"/>
      <c r="AW60" s="344"/>
      <c r="BA60" s="345"/>
    </row>
    <row r="61" spans="1:53" s="334" customFormat="1">
      <c r="A61" s="386">
        <v>1986</v>
      </c>
      <c r="B61" s="355"/>
      <c r="C61" s="992" t="s">
        <v>289</v>
      </c>
      <c r="D61" s="992"/>
      <c r="E61" s="334">
        <v>365</v>
      </c>
      <c r="G61" s="419">
        <v>6</v>
      </c>
      <c r="H61" s="334">
        <v>4</v>
      </c>
      <c r="J61" s="435">
        <v>10</v>
      </c>
      <c r="K61" s="384">
        <f t="shared" si="4"/>
        <v>60</v>
      </c>
      <c r="L61" s="384">
        <f t="shared" si="4"/>
        <v>40</v>
      </c>
      <c r="M61" s="384">
        <f t="shared" si="4"/>
        <v>0</v>
      </c>
      <c r="N61" s="421">
        <f t="shared" si="2"/>
        <v>100</v>
      </c>
      <c r="O61" s="383">
        <v>38.299999999999997</v>
      </c>
      <c r="P61" s="384">
        <v>23.3</v>
      </c>
      <c r="Q61" s="384"/>
      <c r="R61" s="385">
        <f t="shared" si="3"/>
        <v>61.599999999999994</v>
      </c>
      <c r="S61" s="334">
        <v>2</v>
      </c>
      <c r="T61" s="357"/>
      <c r="V61" s="343" t="s">
        <v>486</v>
      </c>
      <c r="W61" s="334" t="s">
        <v>286</v>
      </c>
      <c r="X61" s="334" t="s">
        <v>18</v>
      </c>
      <c r="Y61" s="344">
        <v>23.3</v>
      </c>
      <c r="Z61" s="343" t="s">
        <v>568</v>
      </c>
      <c r="AA61" s="334" t="s">
        <v>74</v>
      </c>
      <c r="AB61" s="334" t="s">
        <v>11</v>
      </c>
      <c r="AC61" s="334">
        <v>38.299999999999997</v>
      </c>
      <c r="AD61" s="343"/>
      <c r="AG61" s="344"/>
      <c r="AH61" s="452"/>
      <c r="AL61" s="343"/>
      <c r="AO61" s="344"/>
      <c r="AP61" s="343"/>
      <c r="AS61" s="344"/>
      <c r="AW61" s="344"/>
      <c r="BA61" s="345"/>
    </row>
    <row r="62" spans="1:53" s="334" customFormat="1">
      <c r="A62" s="386">
        <v>1987</v>
      </c>
      <c r="B62" s="355"/>
      <c r="C62" s="992" t="s">
        <v>289</v>
      </c>
      <c r="D62" s="992"/>
      <c r="E62" s="334">
        <v>188</v>
      </c>
      <c r="G62" s="419">
        <v>6</v>
      </c>
      <c r="H62" s="334">
        <v>4</v>
      </c>
      <c r="J62" s="435">
        <v>10</v>
      </c>
      <c r="K62" s="384">
        <f t="shared" si="4"/>
        <v>60</v>
      </c>
      <c r="L62" s="384">
        <f t="shared" si="4"/>
        <v>40</v>
      </c>
      <c r="M62" s="384">
        <f t="shared" si="4"/>
        <v>0</v>
      </c>
      <c r="N62" s="421">
        <f t="shared" si="2"/>
        <v>100</v>
      </c>
      <c r="O62" s="383">
        <v>38.299999999999997</v>
      </c>
      <c r="P62" s="384">
        <v>23.3</v>
      </c>
      <c r="Q62" s="384"/>
      <c r="R62" s="385">
        <f t="shared" si="3"/>
        <v>61.599999999999994</v>
      </c>
      <c r="S62" s="334">
        <v>2</v>
      </c>
      <c r="T62" s="357"/>
      <c r="V62" s="343" t="s">
        <v>486</v>
      </c>
      <c r="W62" s="334" t="s">
        <v>286</v>
      </c>
      <c r="X62" s="334" t="s">
        <v>18</v>
      </c>
      <c r="Y62" s="344">
        <v>23.3</v>
      </c>
      <c r="Z62" s="343" t="s">
        <v>568</v>
      </c>
      <c r="AA62" s="334" t="s">
        <v>74</v>
      </c>
      <c r="AB62" s="334" t="s">
        <v>11</v>
      </c>
      <c r="AC62" s="334">
        <v>38.299999999999997</v>
      </c>
      <c r="AD62" s="343"/>
      <c r="AG62" s="344"/>
      <c r="AH62" s="452"/>
      <c r="AL62" s="343"/>
      <c r="AO62" s="344"/>
      <c r="AP62" s="343"/>
      <c r="AS62" s="344"/>
      <c r="AW62" s="344"/>
      <c r="BA62" s="345"/>
    </row>
    <row r="63" spans="1:53" s="73" customFormat="1">
      <c r="A63" s="102">
        <v>1987</v>
      </c>
      <c r="B63" s="85">
        <v>31966</v>
      </c>
      <c r="C63" s="988" t="s">
        <v>1181</v>
      </c>
      <c r="D63" s="988"/>
      <c r="E63" s="73">
        <f>365-E62</f>
        <v>177</v>
      </c>
      <c r="F63" s="73">
        <v>1</v>
      </c>
      <c r="G63" s="123">
        <v>4</v>
      </c>
      <c r="H63" s="73">
        <v>4</v>
      </c>
      <c r="I63" s="73">
        <v>3</v>
      </c>
      <c r="J63" s="134">
        <v>11</v>
      </c>
      <c r="K63" s="92">
        <f t="shared" si="4"/>
        <v>36.363636363636367</v>
      </c>
      <c r="L63" s="92">
        <f t="shared" si="4"/>
        <v>36.363636363636367</v>
      </c>
      <c r="M63" s="92">
        <f t="shared" si="4"/>
        <v>27.27272727272727</v>
      </c>
      <c r="N63" s="125">
        <f t="shared" si="2"/>
        <v>100</v>
      </c>
      <c r="O63" s="91">
        <v>28.6</v>
      </c>
      <c r="P63" s="92">
        <v>20.6</v>
      </c>
      <c r="Q63" s="92">
        <v>15.8</v>
      </c>
      <c r="R63" s="93">
        <f t="shared" si="3"/>
        <v>65</v>
      </c>
      <c r="S63" s="73">
        <v>2</v>
      </c>
      <c r="T63" s="95">
        <v>31892</v>
      </c>
      <c r="U63" s="85">
        <v>31966</v>
      </c>
      <c r="V63" s="82" t="s">
        <v>486</v>
      </c>
      <c r="W63" s="73" t="s">
        <v>286</v>
      </c>
      <c r="X63" s="73" t="s">
        <v>18</v>
      </c>
      <c r="Y63" s="83">
        <v>20.6</v>
      </c>
      <c r="Z63" s="82" t="s">
        <v>568</v>
      </c>
      <c r="AA63" s="73" t="s">
        <v>74</v>
      </c>
      <c r="AB63" s="73" t="s">
        <v>11</v>
      </c>
      <c r="AC63" s="73">
        <v>28.6</v>
      </c>
      <c r="AD63" s="82" t="s">
        <v>112</v>
      </c>
      <c r="AE63" s="73" t="s">
        <v>20</v>
      </c>
      <c r="AF63" s="73" t="s">
        <v>12</v>
      </c>
      <c r="AG63" s="83">
        <v>15.8</v>
      </c>
      <c r="AH63" s="164"/>
      <c r="AL63" s="82"/>
      <c r="AO63" s="83"/>
      <c r="AP63" s="82"/>
      <c r="AS63" s="83"/>
      <c r="AW63" s="83"/>
      <c r="BA63" s="84"/>
    </row>
    <row r="64" spans="1:53" s="73" customFormat="1">
      <c r="A64" s="102">
        <v>1988</v>
      </c>
      <c r="B64" s="85"/>
      <c r="C64" s="988" t="s">
        <v>1181</v>
      </c>
      <c r="D64" s="988"/>
      <c r="E64" s="73">
        <v>272</v>
      </c>
      <c r="G64" s="123">
        <v>4</v>
      </c>
      <c r="H64" s="73">
        <v>4</v>
      </c>
      <c r="I64" s="73">
        <v>3</v>
      </c>
      <c r="J64" s="134">
        <v>11</v>
      </c>
      <c r="K64" s="92">
        <f t="shared" si="4"/>
        <v>36.363636363636367</v>
      </c>
      <c r="L64" s="92">
        <f t="shared" si="4"/>
        <v>36.363636363636367</v>
      </c>
      <c r="M64" s="92">
        <f t="shared" si="4"/>
        <v>27.27272727272727</v>
      </c>
      <c r="N64" s="125">
        <f t="shared" si="2"/>
        <v>100</v>
      </c>
      <c r="O64" s="91">
        <v>28.6</v>
      </c>
      <c r="P64" s="92">
        <v>20.6</v>
      </c>
      <c r="Q64" s="92">
        <v>15.8</v>
      </c>
      <c r="R64" s="93">
        <f t="shared" si="3"/>
        <v>65</v>
      </c>
      <c r="S64" s="73">
        <v>2</v>
      </c>
      <c r="T64" s="81"/>
      <c r="V64" s="82" t="s">
        <v>486</v>
      </c>
      <c r="W64" s="73" t="s">
        <v>286</v>
      </c>
      <c r="X64" s="73" t="s">
        <v>18</v>
      </c>
      <c r="Y64" s="83">
        <v>20.6</v>
      </c>
      <c r="Z64" s="82" t="s">
        <v>568</v>
      </c>
      <c r="AA64" s="73" t="s">
        <v>74</v>
      </c>
      <c r="AB64" s="73" t="s">
        <v>11</v>
      </c>
      <c r="AC64" s="73">
        <v>28.6</v>
      </c>
      <c r="AD64" s="82" t="s">
        <v>112</v>
      </c>
      <c r="AE64" s="73" t="s">
        <v>20</v>
      </c>
      <c r="AF64" s="73" t="s">
        <v>12</v>
      </c>
      <c r="AG64" s="83">
        <v>15.8</v>
      </c>
      <c r="AH64" s="164"/>
      <c r="AL64" s="82"/>
      <c r="AO64" s="83"/>
      <c r="AP64" s="82"/>
      <c r="AS64" s="83"/>
      <c r="AW64" s="83"/>
      <c r="BA64" s="84"/>
    </row>
    <row r="65" spans="1:53" s="334" customFormat="1">
      <c r="A65" s="386">
        <v>1988</v>
      </c>
      <c r="B65" s="355">
        <v>32415</v>
      </c>
      <c r="C65" s="992" t="s">
        <v>290</v>
      </c>
      <c r="D65" s="992"/>
      <c r="E65" s="334">
        <f>366-E64</f>
        <v>94</v>
      </c>
      <c r="F65" s="334">
        <v>5</v>
      </c>
      <c r="G65" s="419"/>
      <c r="H65" s="334">
        <v>3</v>
      </c>
      <c r="I65" s="334">
        <v>6</v>
      </c>
      <c r="J65" s="435">
        <v>9</v>
      </c>
      <c r="K65" s="384">
        <f t="shared" si="4"/>
        <v>0</v>
      </c>
      <c r="L65" s="384">
        <f t="shared" si="4"/>
        <v>33.333333333333329</v>
      </c>
      <c r="M65" s="384">
        <f t="shared" si="4"/>
        <v>66.666666666666657</v>
      </c>
      <c r="N65" s="421">
        <f t="shared" si="2"/>
        <v>99.999999999999986</v>
      </c>
      <c r="O65" s="383"/>
      <c r="P65" s="384">
        <v>20.6</v>
      </c>
      <c r="Q65" s="384">
        <v>28.5</v>
      </c>
      <c r="R65" s="385">
        <f t="shared" si="3"/>
        <v>49.1</v>
      </c>
      <c r="S65" s="334">
        <v>5</v>
      </c>
      <c r="T65" s="357"/>
      <c r="U65" s="355">
        <v>32415</v>
      </c>
      <c r="V65" s="343" t="s">
        <v>486</v>
      </c>
      <c r="W65" s="334" t="s">
        <v>286</v>
      </c>
      <c r="X65" s="334" t="s">
        <v>18</v>
      </c>
      <c r="Y65" s="344">
        <v>20.6</v>
      </c>
      <c r="Z65" s="334" t="s">
        <v>112</v>
      </c>
      <c r="AA65" s="334" t="s">
        <v>20</v>
      </c>
      <c r="AB65" s="334" t="s">
        <v>12</v>
      </c>
      <c r="AC65" s="334">
        <v>15.8</v>
      </c>
      <c r="AD65" s="343" t="s">
        <v>569</v>
      </c>
      <c r="AE65" s="334" t="s">
        <v>114</v>
      </c>
      <c r="AF65" s="334" t="s">
        <v>12</v>
      </c>
      <c r="AG65" s="344">
        <v>12.7</v>
      </c>
      <c r="AH65" s="452"/>
      <c r="AL65" s="343"/>
      <c r="AO65" s="344"/>
      <c r="AP65" s="343"/>
      <c r="AS65" s="344"/>
      <c r="AW65" s="344"/>
      <c r="BA65" s="345"/>
    </row>
    <row r="66" spans="1:53" s="334" customFormat="1">
      <c r="A66" s="386">
        <v>1989</v>
      </c>
      <c r="B66" s="355"/>
      <c r="C66" s="992" t="s">
        <v>290</v>
      </c>
      <c r="D66" s="992"/>
      <c r="E66" s="334">
        <v>270</v>
      </c>
      <c r="G66" s="419"/>
      <c r="H66" s="334">
        <v>3</v>
      </c>
      <c r="I66" s="334">
        <v>6</v>
      </c>
      <c r="J66" s="435">
        <v>9</v>
      </c>
      <c r="K66" s="384">
        <f t="shared" si="4"/>
        <v>0</v>
      </c>
      <c r="L66" s="384">
        <f t="shared" si="4"/>
        <v>33.333333333333329</v>
      </c>
      <c r="M66" s="384">
        <f t="shared" si="4"/>
        <v>66.666666666666657</v>
      </c>
      <c r="N66" s="421">
        <f t="shared" si="2"/>
        <v>99.999999999999986</v>
      </c>
      <c r="O66" s="383"/>
      <c r="P66" s="384">
        <v>20.6</v>
      </c>
      <c r="Q66" s="384">
        <v>28.5</v>
      </c>
      <c r="R66" s="385">
        <f t="shared" si="3"/>
        <v>49.1</v>
      </c>
      <c r="S66" s="334">
        <v>5</v>
      </c>
      <c r="T66" s="357"/>
      <c r="V66" s="343" t="s">
        <v>486</v>
      </c>
      <c r="W66" s="334" t="s">
        <v>286</v>
      </c>
      <c r="X66" s="334" t="s">
        <v>18</v>
      </c>
      <c r="Y66" s="344">
        <v>20.6</v>
      </c>
      <c r="Z66" s="334" t="s">
        <v>112</v>
      </c>
      <c r="AA66" s="334" t="s">
        <v>20</v>
      </c>
      <c r="AB66" s="334" t="s">
        <v>12</v>
      </c>
      <c r="AC66" s="334">
        <v>15.8</v>
      </c>
      <c r="AD66" s="343" t="s">
        <v>569</v>
      </c>
      <c r="AE66" s="334" t="s">
        <v>114</v>
      </c>
      <c r="AF66" s="334" t="s">
        <v>12</v>
      </c>
      <c r="AG66" s="344">
        <v>12.7</v>
      </c>
      <c r="AH66" s="452"/>
      <c r="AL66" s="343"/>
      <c r="AO66" s="344"/>
      <c r="AP66" s="343"/>
      <c r="AS66" s="344"/>
      <c r="AW66" s="344"/>
      <c r="BA66" s="345"/>
    </row>
    <row r="67" spans="1:53" s="73" customFormat="1">
      <c r="A67" s="102">
        <v>1989</v>
      </c>
      <c r="B67" s="85">
        <v>32779</v>
      </c>
      <c r="C67" s="988" t="s">
        <v>291</v>
      </c>
      <c r="D67" s="988"/>
      <c r="E67" s="73">
        <f>365-E66</f>
        <v>95</v>
      </c>
      <c r="F67" s="73">
        <v>7</v>
      </c>
      <c r="G67" s="123">
        <v>2</v>
      </c>
      <c r="H67" s="73">
        <v>3</v>
      </c>
      <c r="I67" s="73">
        <v>6</v>
      </c>
      <c r="J67" s="134">
        <v>11</v>
      </c>
      <c r="K67" s="92">
        <f t="shared" si="4"/>
        <v>18.181818181818183</v>
      </c>
      <c r="L67" s="92">
        <f t="shared" si="4"/>
        <v>27.27272727272727</v>
      </c>
      <c r="M67" s="92">
        <f t="shared" si="4"/>
        <v>54.54545454545454</v>
      </c>
      <c r="N67" s="125">
        <f t="shared" si="2"/>
        <v>100</v>
      </c>
      <c r="O67" s="91">
        <v>11.1</v>
      </c>
      <c r="P67" s="92">
        <v>20.6</v>
      </c>
      <c r="Q67" s="92">
        <v>28.5</v>
      </c>
      <c r="R67" s="93">
        <f t="shared" si="3"/>
        <v>60.2</v>
      </c>
      <c r="S67" s="73">
        <v>2</v>
      </c>
      <c r="T67" s="81"/>
      <c r="U67" s="85">
        <v>32779</v>
      </c>
      <c r="V67" s="82" t="s">
        <v>486</v>
      </c>
      <c r="W67" s="73" t="s">
        <v>286</v>
      </c>
      <c r="X67" s="73" t="s">
        <v>18</v>
      </c>
      <c r="Y67" s="83">
        <v>20.6</v>
      </c>
      <c r="Z67" s="73" t="s">
        <v>112</v>
      </c>
      <c r="AA67" s="73" t="s">
        <v>20</v>
      </c>
      <c r="AB67" s="73" t="s">
        <v>12</v>
      </c>
      <c r="AC67" s="73">
        <v>15.8</v>
      </c>
      <c r="AD67" s="82" t="s">
        <v>511</v>
      </c>
      <c r="AE67" s="73" t="s">
        <v>118</v>
      </c>
      <c r="AF67" s="73" t="s">
        <v>11</v>
      </c>
      <c r="AG67" s="83">
        <v>11.1</v>
      </c>
      <c r="AH67" s="73" t="s">
        <v>569</v>
      </c>
      <c r="AI67" s="73" t="s">
        <v>114</v>
      </c>
      <c r="AJ67" s="73" t="s">
        <v>12</v>
      </c>
      <c r="AK67" s="73">
        <v>12.7</v>
      </c>
      <c r="AL67" s="82"/>
      <c r="AO67" s="83"/>
      <c r="AP67" s="82"/>
      <c r="AS67" s="83"/>
      <c r="AW67" s="83"/>
      <c r="BA67" s="84"/>
    </row>
    <row r="68" spans="1:53" s="151" customFormat="1">
      <c r="A68" s="151">
        <v>1990</v>
      </c>
      <c r="C68" s="1032" t="s">
        <v>291</v>
      </c>
      <c r="D68" s="1032"/>
      <c r="E68" s="151">
        <v>0</v>
      </c>
      <c r="G68" s="165">
        <v>2</v>
      </c>
      <c r="H68" s="151">
        <v>3</v>
      </c>
      <c r="I68" s="151">
        <v>6</v>
      </c>
      <c r="J68" s="166">
        <v>11</v>
      </c>
      <c r="K68" s="167">
        <f t="shared" si="4"/>
        <v>18.181818181818183</v>
      </c>
      <c r="L68" s="167">
        <f t="shared" si="4"/>
        <v>27.27272727272727</v>
      </c>
      <c r="M68" s="167">
        <f t="shared" si="4"/>
        <v>54.54545454545454</v>
      </c>
      <c r="N68" s="168">
        <f t="shared" si="2"/>
        <v>100</v>
      </c>
      <c r="O68" s="169">
        <v>11.1</v>
      </c>
      <c r="P68" s="167">
        <v>20.6</v>
      </c>
      <c r="Q68" s="167">
        <v>28.5</v>
      </c>
      <c r="R68" s="170">
        <f t="shared" si="3"/>
        <v>60.2</v>
      </c>
      <c r="S68" s="151">
        <v>2</v>
      </c>
      <c r="T68" s="171"/>
      <c r="V68" s="172" t="s">
        <v>486</v>
      </c>
      <c r="W68" s="151" t="s">
        <v>286</v>
      </c>
      <c r="X68" s="151" t="s">
        <v>18</v>
      </c>
      <c r="Y68" s="173">
        <v>20.6</v>
      </c>
      <c r="Z68" s="151" t="s">
        <v>112</v>
      </c>
      <c r="AA68" s="151" t="s">
        <v>20</v>
      </c>
      <c r="AB68" s="151" t="s">
        <v>12</v>
      </c>
      <c r="AC68" s="151">
        <v>15.8</v>
      </c>
      <c r="AD68" s="172" t="s">
        <v>511</v>
      </c>
      <c r="AE68" s="151" t="s">
        <v>118</v>
      </c>
      <c r="AF68" s="151" t="s">
        <v>11</v>
      </c>
      <c r="AG68" s="173">
        <v>11.1</v>
      </c>
      <c r="AH68" s="151" t="s">
        <v>569</v>
      </c>
      <c r="AI68" s="151" t="s">
        <v>114</v>
      </c>
      <c r="AJ68" s="151" t="s">
        <v>12</v>
      </c>
      <c r="AK68" s="151">
        <v>12.7</v>
      </c>
      <c r="AL68" s="172"/>
      <c r="AO68" s="173"/>
      <c r="AP68" s="172"/>
      <c r="AS68" s="173"/>
      <c r="AW68" s="173"/>
      <c r="BA68" s="174"/>
    </row>
    <row r="69" spans="1:53" s="73" customFormat="1">
      <c r="A69" s="73">
        <v>1990</v>
      </c>
      <c r="C69" s="988" t="s">
        <v>291</v>
      </c>
      <c r="D69" s="988"/>
      <c r="E69" s="73">
        <f>365-E68</f>
        <v>365</v>
      </c>
      <c r="G69" s="123">
        <v>2</v>
      </c>
      <c r="H69" s="73">
        <v>3</v>
      </c>
      <c r="I69" s="73">
        <v>6</v>
      </c>
      <c r="J69" s="134">
        <v>11</v>
      </c>
      <c r="K69" s="92">
        <f t="shared" si="4"/>
        <v>18.181818181818183</v>
      </c>
      <c r="L69" s="92">
        <f t="shared" si="4"/>
        <v>27.27272727272727</v>
      </c>
      <c r="M69" s="92">
        <f t="shared" si="4"/>
        <v>54.54545454545454</v>
      </c>
      <c r="N69" s="125">
        <f t="shared" si="2"/>
        <v>100</v>
      </c>
      <c r="O69" s="91">
        <v>11.1</v>
      </c>
      <c r="P69" s="92">
        <v>20.6</v>
      </c>
      <c r="Q69" s="92">
        <v>28.5</v>
      </c>
      <c r="R69" s="93">
        <f t="shared" si="3"/>
        <v>60.2</v>
      </c>
      <c r="S69" s="73">
        <v>2</v>
      </c>
      <c r="T69" s="81"/>
      <c r="V69" s="82" t="s">
        <v>486</v>
      </c>
      <c r="W69" s="73" t="s">
        <v>286</v>
      </c>
      <c r="X69" s="73" t="s">
        <v>18</v>
      </c>
      <c r="Y69" s="83">
        <v>20.6</v>
      </c>
      <c r="Z69" s="73" t="s">
        <v>112</v>
      </c>
      <c r="AA69" s="73" t="s">
        <v>20</v>
      </c>
      <c r="AB69" s="73" t="s">
        <v>12</v>
      </c>
      <c r="AC69" s="73">
        <v>15.8</v>
      </c>
      <c r="AD69" s="82" t="s">
        <v>511</v>
      </c>
      <c r="AE69" s="73" t="s">
        <v>118</v>
      </c>
      <c r="AF69" s="73" t="s">
        <v>11</v>
      </c>
      <c r="AG69" s="83">
        <v>11.1</v>
      </c>
      <c r="AH69" s="73" t="s">
        <v>569</v>
      </c>
      <c r="AI69" s="73" t="s">
        <v>114</v>
      </c>
      <c r="AJ69" s="73" t="s">
        <v>12</v>
      </c>
      <c r="AK69" s="73">
        <v>12.7</v>
      </c>
      <c r="AL69" s="82"/>
      <c r="AO69" s="83"/>
      <c r="AP69" s="82"/>
      <c r="AS69" s="83"/>
      <c r="AW69" s="83"/>
      <c r="BA69" s="84"/>
    </row>
    <row r="70" spans="1:53" s="73" customFormat="1">
      <c r="A70" s="73">
        <v>1991</v>
      </c>
      <c r="C70" s="988" t="s">
        <v>291</v>
      </c>
      <c r="D70" s="988"/>
      <c r="E70" s="73">
        <v>119</v>
      </c>
      <c r="G70" s="123">
        <v>2</v>
      </c>
      <c r="H70" s="73">
        <v>3</v>
      </c>
      <c r="I70" s="73">
        <v>6</v>
      </c>
      <c r="J70" s="134">
        <v>11</v>
      </c>
      <c r="K70" s="92">
        <f t="shared" si="4"/>
        <v>18.181818181818183</v>
      </c>
      <c r="L70" s="92">
        <f t="shared" si="4"/>
        <v>27.27272727272727</v>
      </c>
      <c r="M70" s="92">
        <f t="shared" si="4"/>
        <v>54.54545454545454</v>
      </c>
      <c r="N70" s="125">
        <f t="shared" si="2"/>
        <v>100</v>
      </c>
      <c r="O70" s="91">
        <v>11.1</v>
      </c>
      <c r="P70" s="92">
        <v>20.6</v>
      </c>
      <c r="Q70" s="92">
        <v>28.5</v>
      </c>
      <c r="R70" s="93">
        <f t="shared" si="3"/>
        <v>60.2</v>
      </c>
      <c r="S70" s="73">
        <v>2</v>
      </c>
      <c r="T70" s="81"/>
      <c r="V70" s="82" t="s">
        <v>486</v>
      </c>
      <c r="W70" s="73" t="s">
        <v>286</v>
      </c>
      <c r="X70" s="73" t="s">
        <v>18</v>
      </c>
      <c r="Y70" s="83">
        <v>20.6</v>
      </c>
      <c r="Z70" s="73" t="s">
        <v>112</v>
      </c>
      <c r="AA70" s="73" t="s">
        <v>20</v>
      </c>
      <c r="AB70" s="73" t="s">
        <v>12</v>
      </c>
      <c r="AC70" s="73">
        <v>15.8</v>
      </c>
      <c r="AD70" s="82" t="s">
        <v>511</v>
      </c>
      <c r="AE70" s="73" t="s">
        <v>118</v>
      </c>
      <c r="AF70" s="73" t="s">
        <v>11</v>
      </c>
      <c r="AG70" s="83">
        <v>11.1</v>
      </c>
      <c r="AH70" s="73" t="s">
        <v>569</v>
      </c>
      <c r="AI70" s="73" t="s">
        <v>114</v>
      </c>
      <c r="AJ70" s="73" t="s">
        <v>12</v>
      </c>
      <c r="AK70" s="73">
        <v>12.7</v>
      </c>
      <c r="AL70" s="82"/>
      <c r="AO70" s="83"/>
      <c r="AP70" s="82"/>
      <c r="AS70" s="83"/>
      <c r="AW70" s="83"/>
      <c r="BA70" s="84"/>
    </row>
    <row r="71" spans="1:53" s="334" customFormat="1">
      <c r="A71" s="334">
        <v>1991</v>
      </c>
      <c r="B71" s="355">
        <v>33358</v>
      </c>
      <c r="C71" s="992" t="s">
        <v>292</v>
      </c>
      <c r="D71" s="992"/>
      <c r="E71" s="334">
        <f>365-E70</f>
        <v>246</v>
      </c>
      <c r="F71" s="334">
        <v>1</v>
      </c>
      <c r="G71" s="419">
        <v>5</v>
      </c>
      <c r="I71" s="334">
        <v>5</v>
      </c>
      <c r="J71" s="435">
        <v>10</v>
      </c>
      <c r="K71" s="384">
        <f t="shared" si="4"/>
        <v>50</v>
      </c>
      <c r="L71" s="384">
        <f t="shared" si="4"/>
        <v>0</v>
      </c>
      <c r="M71" s="384">
        <f t="shared" si="4"/>
        <v>50</v>
      </c>
      <c r="N71" s="421">
        <f t="shared" si="2"/>
        <v>100</v>
      </c>
      <c r="O71" s="383">
        <v>41.3</v>
      </c>
      <c r="P71" s="384"/>
      <c r="Q71" s="384">
        <v>15.9</v>
      </c>
      <c r="R71" s="385">
        <f t="shared" si="3"/>
        <v>57.199999999999996</v>
      </c>
      <c r="S71" s="334">
        <v>2</v>
      </c>
      <c r="T71" s="342">
        <v>33348</v>
      </c>
      <c r="U71" s="355">
        <v>33358</v>
      </c>
      <c r="V71" s="343" t="s">
        <v>568</v>
      </c>
      <c r="W71" s="334" t="s">
        <v>74</v>
      </c>
      <c r="X71" s="334" t="s">
        <v>11</v>
      </c>
      <c r="Y71" s="344">
        <v>41.3</v>
      </c>
      <c r="Z71" s="334" t="s">
        <v>112</v>
      </c>
      <c r="AA71" s="334" t="s">
        <v>20</v>
      </c>
      <c r="AB71" s="334" t="s">
        <v>12</v>
      </c>
      <c r="AC71" s="334">
        <v>15.9</v>
      </c>
      <c r="AD71" s="343"/>
      <c r="AG71" s="344"/>
      <c r="AH71" s="452"/>
      <c r="AL71" s="343"/>
      <c r="AO71" s="344"/>
      <c r="AP71" s="343"/>
      <c r="AS71" s="344"/>
      <c r="AW71" s="344"/>
      <c r="BA71" s="345"/>
    </row>
    <row r="72" spans="1:53" s="334" customFormat="1">
      <c r="A72" s="334">
        <v>1992</v>
      </c>
      <c r="C72" s="992" t="s">
        <v>292</v>
      </c>
      <c r="D72" s="992"/>
      <c r="E72" s="334">
        <v>0</v>
      </c>
      <c r="G72" s="419">
        <v>5</v>
      </c>
      <c r="I72" s="334">
        <v>5</v>
      </c>
      <c r="J72" s="435">
        <v>10</v>
      </c>
      <c r="K72" s="384">
        <f t="shared" ref="K72:M115" si="5">G72/$J72*100</f>
        <v>50</v>
      </c>
      <c r="L72" s="384">
        <f t="shared" si="5"/>
        <v>0</v>
      </c>
      <c r="M72" s="384">
        <f t="shared" si="5"/>
        <v>50</v>
      </c>
      <c r="N72" s="421">
        <f t="shared" si="2"/>
        <v>100</v>
      </c>
      <c r="O72" s="383">
        <v>41.3</v>
      </c>
      <c r="P72" s="384"/>
      <c r="Q72" s="384">
        <v>15.9</v>
      </c>
      <c r="R72" s="385">
        <f t="shared" si="3"/>
        <v>57.199999999999996</v>
      </c>
      <c r="S72" s="334">
        <v>2</v>
      </c>
      <c r="T72" s="357"/>
      <c r="V72" s="343" t="s">
        <v>568</v>
      </c>
      <c r="W72" s="334" t="s">
        <v>74</v>
      </c>
      <c r="X72" s="334" t="s">
        <v>11</v>
      </c>
      <c r="Y72" s="344">
        <v>41.3</v>
      </c>
      <c r="Z72" s="334" t="s">
        <v>112</v>
      </c>
      <c r="AA72" s="334" t="s">
        <v>20</v>
      </c>
      <c r="AB72" s="334" t="s">
        <v>12</v>
      </c>
      <c r="AC72" s="334">
        <v>15.9</v>
      </c>
      <c r="AD72" s="343"/>
      <c r="AG72" s="344"/>
      <c r="AH72" s="452"/>
      <c r="AL72" s="343"/>
      <c r="AO72" s="344"/>
      <c r="AP72" s="343"/>
      <c r="AS72" s="344"/>
      <c r="AW72" s="344"/>
      <c r="BA72" s="345"/>
    </row>
    <row r="73" spans="1:53" s="334" customFormat="1">
      <c r="A73" s="334">
        <v>1992</v>
      </c>
      <c r="C73" s="992" t="s">
        <v>292</v>
      </c>
      <c r="D73" s="992"/>
      <c r="E73" s="334">
        <v>366</v>
      </c>
      <c r="G73" s="419">
        <v>5</v>
      </c>
      <c r="I73" s="334">
        <v>5</v>
      </c>
      <c r="J73" s="435">
        <v>10</v>
      </c>
      <c r="K73" s="384">
        <f t="shared" si="5"/>
        <v>50</v>
      </c>
      <c r="L73" s="384">
        <f t="shared" si="5"/>
        <v>0</v>
      </c>
      <c r="M73" s="384">
        <f t="shared" si="5"/>
        <v>50</v>
      </c>
      <c r="N73" s="421">
        <f t="shared" ref="N73:N115" si="6">K73+L73+M73</f>
        <v>100</v>
      </c>
      <c r="O73" s="383">
        <v>41.3</v>
      </c>
      <c r="P73" s="384"/>
      <c r="Q73" s="384">
        <v>15.9</v>
      </c>
      <c r="R73" s="385">
        <f t="shared" si="3"/>
        <v>57.199999999999996</v>
      </c>
      <c r="S73" s="334">
        <v>2</v>
      </c>
      <c r="T73" s="357"/>
      <c r="V73" s="343" t="s">
        <v>568</v>
      </c>
      <c r="W73" s="334" t="s">
        <v>74</v>
      </c>
      <c r="X73" s="334" t="s">
        <v>11</v>
      </c>
      <c r="Y73" s="344">
        <v>41.3</v>
      </c>
      <c r="Z73" s="334" t="s">
        <v>112</v>
      </c>
      <c r="AA73" s="334" t="s">
        <v>20</v>
      </c>
      <c r="AB73" s="334" t="s">
        <v>12</v>
      </c>
      <c r="AC73" s="334">
        <v>15.9</v>
      </c>
      <c r="AD73" s="343"/>
      <c r="AG73" s="344"/>
      <c r="AH73" s="452"/>
      <c r="AL73" s="343"/>
      <c r="AO73" s="344"/>
      <c r="AP73" s="343"/>
      <c r="AS73" s="344"/>
      <c r="AW73" s="344"/>
      <c r="BA73" s="345"/>
    </row>
    <row r="74" spans="1:53" s="334" customFormat="1">
      <c r="A74" s="334">
        <v>1993</v>
      </c>
      <c r="C74" s="992" t="s">
        <v>292</v>
      </c>
      <c r="D74" s="992"/>
      <c r="E74" s="334">
        <v>0</v>
      </c>
      <c r="G74" s="419">
        <v>5</v>
      </c>
      <c r="I74" s="334">
        <v>5</v>
      </c>
      <c r="J74" s="435">
        <v>10</v>
      </c>
      <c r="K74" s="384">
        <f t="shared" si="5"/>
        <v>50</v>
      </c>
      <c r="L74" s="384">
        <f t="shared" si="5"/>
        <v>0</v>
      </c>
      <c r="M74" s="384">
        <f t="shared" si="5"/>
        <v>50</v>
      </c>
      <c r="N74" s="421">
        <f t="shared" si="6"/>
        <v>100</v>
      </c>
      <c r="O74" s="383">
        <v>41.3</v>
      </c>
      <c r="P74" s="384"/>
      <c r="Q74" s="384">
        <v>15.9</v>
      </c>
      <c r="R74" s="385">
        <f t="shared" ref="R74:R114" si="7">O74+P74+Q74</f>
        <v>57.199999999999996</v>
      </c>
      <c r="S74" s="334">
        <v>2</v>
      </c>
      <c r="T74" s="357"/>
      <c r="V74" s="343" t="s">
        <v>568</v>
      </c>
      <c r="W74" s="334" t="s">
        <v>74</v>
      </c>
      <c r="X74" s="334" t="s">
        <v>11</v>
      </c>
      <c r="Y74" s="344">
        <v>41.3</v>
      </c>
      <c r="Z74" s="334" t="s">
        <v>112</v>
      </c>
      <c r="AA74" s="334" t="s">
        <v>20</v>
      </c>
      <c r="AB74" s="334" t="s">
        <v>12</v>
      </c>
      <c r="AC74" s="334">
        <v>15.9</v>
      </c>
      <c r="AD74" s="343"/>
      <c r="AG74" s="344"/>
      <c r="AH74" s="452"/>
      <c r="AL74" s="343"/>
      <c r="AO74" s="344"/>
      <c r="AP74" s="343"/>
      <c r="AS74" s="344"/>
      <c r="AW74" s="344"/>
      <c r="BA74" s="345"/>
    </row>
    <row r="75" spans="1:53" s="334" customFormat="1">
      <c r="A75" s="334">
        <v>1993</v>
      </c>
      <c r="C75" s="992" t="s">
        <v>292</v>
      </c>
      <c r="D75" s="992"/>
      <c r="E75" s="334">
        <f>365-E74</f>
        <v>365</v>
      </c>
      <c r="G75" s="419">
        <v>5</v>
      </c>
      <c r="I75" s="334">
        <v>5</v>
      </c>
      <c r="J75" s="435">
        <v>10</v>
      </c>
      <c r="K75" s="384">
        <f t="shared" si="5"/>
        <v>50</v>
      </c>
      <c r="L75" s="384">
        <f t="shared" si="5"/>
        <v>0</v>
      </c>
      <c r="M75" s="384">
        <f t="shared" si="5"/>
        <v>50</v>
      </c>
      <c r="N75" s="421">
        <f t="shared" si="6"/>
        <v>100</v>
      </c>
      <c r="O75" s="383">
        <v>41.3</v>
      </c>
      <c r="P75" s="384"/>
      <c r="Q75" s="384">
        <v>15.9</v>
      </c>
      <c r="R75" s="385">
        <f t="shared" si="7"/>
        <v>57.199999999999996</v>
      </c>
      <c r="S75" s="334">
        <v>2</v>
      </c>
      <c r="T75" s="357"/>
      <c r="V75" s="343" t="s">
        <v>568</v>
      </c>
      <c r="W75" s="334" t="s">
        <v>74</v>
      </c>
      <c r="X75" s="334" t="s">
        <v>11</v>
      </c>
      <c r="Y75" s="344">
        <v>41.3</v>
      </c>
      <c r="Z75" s="334" t="s">
        <v>112</v>
      </c>
      <c r="AA75" s="334" t="s">
        <v>20</v>
      </c>
      <c r="AB75" s="334" t="s">
        <v>12</v>
      </c>
      <c r="AC75" s="334">
        <v>15.9</v>
      </c>
      <c r="AD75" s="343"/>
      <c r="AG75" s="344"/>
      <c r="AH75" s="452"/>
      <c r="AL75" s="343"/>
      <c r="AO75" s="344"/>
      <c r="AP75" s="343"/>
      <c r="AS75" s="344"/>
      <c r="AW75" s="344"/>
      <c r="BA75" s="345"/>
    </row>
    <row r="76" spans="1:53" s="334" customFormat="1">
      <c r="A76" s="334">
        <v>1994</v>
      </c>
      <c r="C76" s="992" t="s">
        <v>292</v>
      </c>
      <c r="D76" s="992"/>
      <c r="E76" s="334">
        <v>174</v>
      </c>
      <c r="G76" s="419">
        <v>5</v>
      </c>
      <c r="I76" s="334">
        <v>5</v>
      </c>
      <c r="J76" s="435">
        <v>10</v>
      </c>
      <c r="K76" s="384">
        <f t="shared" si="5"/>
        <v>50</v>
      </c>
      <c r="L76" s="384">
        <f t="shared" si="5"/>
        <v>0</v>
      </c>
      <c r="M76" s="384">
        <f t="shared" si="5"/>
        <v>50</v>
      </c>
      <c r="N76" s="421">
        <f t="shared" si="6"/>
        <v>100</v>
      </c>
      <c r="O76" s="383">
        <v>41.3</v>
      </c>
      <c r="P76" s="384"/>
      <c r="Q76" s="384">
        <v>15.9</v>
      </c>
      <c r="R76" s="385">
        <f t="shared" si="7"/>
        <v>57.199999999999996</v>
      </c>
      <c r="S76" s="334">
        <v>2</v>
      </c>
      <c r="T76" s="357"/>
      <c r="V76" s="343" t="s">
        <v>568</v>
      </c>
      <c r="W76" s="334" t="s">
        <v>74</v>
      </c>
      <c r="X76" s="334" t="s">
        <v>11</v>
      </c>
      <c r="Y76" s="344">
        <v>41.3</v>
      </c>
      <c r="Z76" s="334" t="s">
        <v>112</v>
      </c>
      <c r="AA76" s="334" t="s">
        <v>20</v>
      </c>
      <c r="AB76" s="334" t="s">
        <v>12</v>
      </c>
      <c r="AC76" s="334">
        <v>15.9</v>
      </c>
      <c r="AD76" s="343"/>
      <c r="AG76" s="344"/>
      <c r="AH76" s="452"/>
      <c r="AL76" s="343"/>
      <c r="AO76" s="344"/>
      <c r="AP76" s="343"/>
      <c r="AS76" s="344"/>
      <c r="AW76" s="344"/>
      <c r="BA76" s="345"/>
    </row>
    <row r="77" spans="1:53" s="334" customFormat="1">
      <c r="A77" s="334">
        <v>1994</v>
      </c>
      <c r="B77" s="445">
        <v>34509</v>
      </c>
      <c r="C77" s="992" t="s">
        <v>292</v>
      </c>
      <c r="D77" s="992"/>
      <c r="E77" s="334">
        <f>365-E76</f>
        <v>191</v>
      </c>
      <c r="F77" s="441">
        <v>0</v>
      </c>
      <c r="G77" s="419">
        <v>5</v>
      </c>
      <c r="I77" s="334">
        <v>4</v>
      </c>
      <c r="J77" s="435">
        <v>9</v>
      </c>
      <c r="K77" s="384">
        <f t="shared" si="5"/>
        <v>55.555555555555557</v>
      </c>
      <c r="L77" s="384">
        <f t="shared" si="5"/>
        <v>0</v>
      </c>
      <c r="M77" s="384">
        <f t="shared" si="5"/>
        <v>44.444444444444443</v>
      </c>
      <c r="N77" s="421">
        <f t="shared" si="6"/>
        <v>100</v>
      </c>
      <c r="O77" s="383">
        <v>41.3</v>
      </c>
      <c r="P77" s="384"/>
      <c r="Q77" s="384">
        <v>15.9</v>
      </c>
      <c r="R77" s="385">
        <f t="shared" si="7"/>
        <v>57.199999999999996</v>
      </c>
      <c r="S77" s="334">
        <v>2</v>
      </c>
      <c r="T77" s="357"/>
      <c r="V77" s="343" t="s">
        <v>568</v>
      </c>
      <c r="W77" s="334" t="s">
        <v>74</v>
      </c>
      <c r="X77" s="334" t="s">
        <v>11</v>
      </c>
      <c r="Y77" s="344">
        <v>41.3</v>
      </c>
      <c r="Z77" s="334" t="s">
        <v>112</v>
      </c>
      <c r="AA77" s="334" t="s">
        <v>20</v>
      </c>
      <c r="AB77" s="334" t="s">
        <v>12</v>
      </c>
      <c r="AC77" s="334">
        <v>15.9</v>
      </c>
      <c r="AD77" s="343"/>
      <c r="AG77" s="344"/>
      <c r="AH77" s="452"/>
      <c r="AL77" s="343"/>
      <c r="AO77" s="344"/>
      <c r="AP77" s="343"/>
      <c r="AS77" s="344"/>
      <c r="AW77" s="344"/>
      <c r="BA77" s="345"/>
    </row>
    <row r="78" spans="1:53" s="334" customFormat="1">
      <c r="A78" s="334">
        <v>1995</v>
      </c>
      <c r="C78" s="992" t="s">
        <v>292</v>
      </c>
      <c r="D78" s="992"/>
      <c r="E78" s="334">
        <v>112</v>
      </c>
      <c r="G78" s="419">
        <v>5</v>
      </c>
      <c r="I78" s="334">
        <v>4</v>
      </c>
      <c r="J78" s="435">
        <v>9</v>
      </c>
      <c r="K78" s="384">
        <f t="shared" si="5"/>
        <v>55.555555555555557</v>
      </c>
      <c r="L78" s="384">
        <f t="shared" si="5"/>
        <v>0</v>
      </c>
      <c r="M78" s="384">
        <f t="shared" si="5"/>
        <v>44.444444444444443</v>
      </c>
      <c r="N78" s="421">
        <f t="shared" si="6"/>
        <v>100</v>
      </c>
      <c r="O78" s="383">
        <v>41.3</v>
      </c>
      <c r="P78" s="384"/>
      <c r="Q78" s="384">
        <v>15.9</v>
      </c>
      <c r="R78" s="385">
        <f t="shared" si="7"/>
        <v>57.199999999999996</v>
      </c>
      <c r="S78" s="334">
        <v>2</v>
      </c>
      <c r="T78" s="357"/>
      <c r="V78" s="343" t="s">
        <v>568</v>
      </c>
      <c r="W78" s="334" t="s">
        <v>74</v>
      </c>
      <c r="X78" s="334" t="s">
        <v>11</v>
      </c>
      <c r="Y78" s="344">
        <v>41.3</v>
      </c>
      <c r="Z78" s="334" t="s">
        <v>112</v>
      </c>
      <c r="AA78" s="334" t="s">
        <v>20</v>
      </c>
      <c r="AB78" s="334" t="s">
        <v>12</v>
      </c>
      <c r="AC78" s="334">
        <v>15.9</v>
      </c>
      <c r="AD78" s="343"/>
      <c r="AG78" s="344"/>
      <c r="AH78" s="452"/>
      <c r="AL78" s="343"/>
      <c r="AO78" s="344"/>
      <c r="AP78" s="343"/>
      <c r="AS78" s="344"/>
      <c r="AW78" s="344"/>
      <c r="BA78" s="345"/>
    </row>
    <row r="79" spans="1:53" s="73" customFormat="1">
      <c r="A79" s="73">
        <v>1995</v>
      </c>
      <c r="B79" s="85">
        <v>34812</v>
      </c>
      <c r="C79" s="988" t="s">
        <v>293</v>
      </c>
      <c r="D79" s="988"/>
      <c r="E79" s="73">
        <f>365-E78</f>
        <v>253</v>
      </c>
      <c r="F79" s="73">
        <v>1</v>
      </c>
      <c r="G79" s="123">
        <v>5</v>
      </c>
      <c r="H79" s="73">
        <v>5</v>
      </c>
      <c r="J79" s="134">
        <v>10</v>
      </c>
      <c r="K79" s="92">
        <f t="shared" si="5"/>
        <v>50</v>
      </c>
      <c r="L79" s="92">
        <f t="shared" si="5"/>
        <v>50</v>
      </c>
      <c r="M79" s="92">
        <f t="shared" si="5"/>
        <v>0</v>
      </c>
      <c r="N79" s="125">
        <f t="shared" si="6"/>
        <v>100</v>
      </c>
      <c r="O79" s="91">
        <v>39.700000000000003</v>
      </c>
      <c r="P79" s="92">
        <v>23.8</v>
      </c>
      <c r="Q79" s="92"/>
      <c r="R79" s="93">
        <f t="shared" si="7"/>
        <v>63.5</v>
      </c>
      <c r="S79" s="73">
        <v>2</v>
      </c>
      <c r="T79" s="95">
        <v>34797</v>
      </c>
      <c r="U79" s="85">
        <v>34812</v>
      </c>
      <c r="V79" s="82" t="s">
        <v>568</v>
      </c>
      <c r="W79" s="73" t="s">
        <v>74</v>
      </c>
      <c r="X79" s="73" t="s">
        <v>11</v>
      </c>
      <c r="Y79" s="83">
        <v>39.700000000000003</v>
      </c>
      <c r="Z79" s="82" t="s">
        <v>486</v>
      </c>
      <c r="AA79" s="73" t="s">
        <v>286</v>
      </c>
      <c r="AB79" s="73" t="s">
        <v>18</v>
      </c>
      <c r="AC79" s="73">
        <v>23.8</v>
      </c>
      <c r="AD79" s="82"/>
      <c r="AG79" s="83"/>
      <c r="AH79" s="164"/>
      <c r="AL79" s="82"/>
      <c r="AO79" s="83"/>
      <c r="AP79" s="82"/>
      <c r="AS79" s="83"/>
      <c r="AW79" s="83"/>
      <c r="BA79" s="84"/>
    </row>
    <row r="80" spans="1:53" s="73" customFormat="1">
      <c r="A80" s="73">
        <v>1996</v>
      </c>
      <c r="C80" s="988" t="s">
        <v>293</v>
      </c>
      <c r="D80" s="988"/>
      <c r="E80" s="73">
        <v>0</v>
      </c>
      <c r="G80" s="123">
        <v>5</v>
      </c>
      <c r="H80" s="73">
        <v>5</v>
      </c>
      <c r="J80" s="134">
        <v>10</v>
      </c>
      <c r="K80" s="92">
        <f t="shared" si="5"/>
        <v>50</v>
      </c>
      <c r="L80" s="92">
        <f t="shared" si="5"/>
        <v>50</v>
      </c>
      <c r="M80" s="92">
        <f t="shared" si="5"/>
        <v>0</v>
      </c>
      <c r="N80" s="125">
        <f t="shared" si="6"/>
        <v>100</v>
      </c>
      <c r="O80" s="91">
        <v>39.700000000000003</v>
      </c>
      <c r="P80" s="92">
        <v>23.8</v>
      </c>
      <c r="Q80" s="92"/>
      <c r="R80" s="93">
        <f t="shared" si="7"/>
        <v>63.5</v>
      </c>
      <c r="S80" s="73">
        <v>2</v>
      </c>
      <c r="T80" s="81"/>
      <c r="V80" s="82" t="s">
        <v>568</v>
      </c>
      <c r="W80" s="73" t="s">
        <v>74</v>
      </c>
      <c r="X80" s="73" t="s">
        <v>11</v>
      </c>
      <c r="Y80" s="83">
        <v>39.700000000000003</v>
      </c>
      <c r="Z80" s="82" t="s">
        <v>486</v>
      </c>
      <c r="AA80" s="73" t="s">
        <v>286</v>
      </c>
      <c r="AB80" s="73" t="s">
        <v>18</v>
      </c>
      <c r="AC80" s="73">
        <v>23.8</v>
      </c>
      <c r="AD80" s="82"/>
      <c r="AG80" s="83"/>
      <c r="AH80" s="164"/>
      <c r="AL80" s="82"/>
      <c r="AO80" s="83"/>
      <c r="AP80" s="82"/>
      <c r="AS80" s="83"/>
      <c r="AW80" s="83"/>
      <c r="BA80" s="84"/>
    </row>
    <row r="81" spans="1:53" s="73" customFormat="1">
      <c r="A81" s="73">
        <v>1996</v>
      </c>
      <c r="C81" s="988" t="s">
        <v>293</v>
      </c>
      <c r="D81" s="988"/>
      <c r="E81" s="73">
        <v>366</v>
      </c>
      <c r="G81" s="123">
        <v>5</v>
      </c>
      <c r="H81" s="73">
        <v>5</v>
      </c>
      <c r="J81" s="134">
        <v>10</v>
      </c>
      <c r="K81" s="92">
        <f t="shared" si="5"/>
        <v>50</v>
      </c>
      <c r="L81" s="92">
        <f t="shared" si="5"/>
        <v>50</v>
      </c>
      <c r="M81" s="92">
        <f t="shared" si="5"/>
        <v>0</v>
      </c>
      <c r="N81" s="125">
        <f t="shared" si="6"/>
        <v>100</v>
      </c>
      <c r="O81" s="91">
        <v>39.700000000000003</v>
      </c>
      <c r="P81" s="92">
        <v>23.8</v>
      </c>
      <c r="Q81" s="92"/>
      <c r="R81" s="93">
        <f t="shared" si="7"/>
        <v>63.5</v>
      </c>
      <c r="S81" s="73">
        <v>2</v>
      </c>
      <c r="T81" s="81"/>
      <c r="V81" s="82" t="s">
        <v>568</v>
      </c>
      <c r="W81" s="73" t="s">
        <v>74</v>
      </c>
      <c r="X81" s="73" t="s">
        <v>11</v>
      </c>
      <c r="Y81" s="83">
        <v>39.700000000000003</v>
      </c>
      <c r="Z81" s="82" t="s">
        <v>486</v>
      </c>
      <c r="AA81" s="73" t="s">
        <v>286</v>
      </c>
      <c r="AB81" s="73" t="s">
        <v>18</v>
      </c>
      <c r="AC81" s="73">
        <v>23.8</v>
      </c>
      <c r="AD81" s="82"/>
      <c r="AG81" s="83"/>
      <c r="AH81" s="164"/>
      <c r="AL81" s="82"/>
      <c r="AO81" s="83"/>
      <c r="AP81" s="82"/>
      <c r="AS81" s="83"/>
      <c r="AW81" s="83"/>
      <c r="BA81" s="84"/>
    </row>
    <row r="82" spans="1:53" s="73" customFormat="1">
      <c r="A82" s="73">
        <v>1997</v>
      </c>
      <c r="C82" s="988" t="s">
        <v>293</v>
      </c>
      <c r="D82" s="988"/>
      <c r="E82" s="73">
        <v>0</v>
      </c>
      <c r="G82" s="123">
        <v>5</v>
      </c>
      <c r="H82" s="73">
        <v>5</v>
      </c>
      <c r="J82" s="134">
        <v>10</v>
      </c>
      <c r="K82" s="92">
        <f t="shared" si="5"/>
        <v>50</v>
      </c>
      <c r="L82" s="92">
        <f t="shared" si="5"/>
        <v>50</v>
      </c>
      <c r="M82" s="92">
        <f t="shared" si="5"/>
        <v>0</v>
      </c>
      <c r="N82" s="125">
        <f t="shared" si="6"/>
        <v>100</v>
      </c>
      <c r="O82" s="91">
        <v>39.700000000000003</v>
      </c>
      <c r="P82" s="92">
        <v>23.8</v>
      </c>
      <c r="Q82" s="92"/>
      <c r="R82" s="93">
        <f t="shared" si="7"/>
        <v>63.5</v>
      </c>
      <c r="S82" s="73">
        <v>2</v>
      </c>
      <c r="T82" s="81"/>
      <c r="V82" s="82" t="s">
        <v>568</v>
      </c>
      <c r="W82" s="73" t="s">
        <v>74</v>
      </c>
      <c r="X82" s="73" t="s">
        <v>11</v>
      </c>
      <c r="Y82" s="83">
        <v>39.700000000000003</v>
      </c>
      <c r="Z82" s="82" t="s">
        <v>486</v>
      </c>
      <c r="AA82" s="73" t="s">
        <v>286</v>
      </c>
      <c r="AB82" s="73" t="s">
        <v>18</v>
      </c>
      <c r="AC82" s="73">
        <v>23.8</v>
      </c>
      <c r="AD82" s="82"/>
      <c r="AG82" s="83"/>
      <c r="AH82" s="164"/>
      <c r="AL82" s="82"/>
      <c r="AO82" s="83"/>
      <c r="AP82" s="82"/>
      <c r="AS82" s="83"/>
      <c r="AW82" s="83"/>
      <c r="BA82" s="84"/>
    </row>
    <row r="83" spans="1:53" s="73" customFormat="1">
      <c r="A83" s="73">
        <v>1997</v>
      </c>
      <c r="C83" s="988" t="s">
        <v>293</v>
      </c>
      <c r="D83" s="988"/>
      <c r="E83" s="73">
        <f>365-E82</f>
        <v>365</v>
      </c>
      <c r="G83" s="123">
        <v>5</v>
      </c>
      <c r="H83" s="73">
        <v>5</v>
      </c>
      <c r="J83" s="134">
        <v>10</v>
      </c>
      <c r="K83" s="92">
        <f t="shared" si="5"/>
        <v>50</v>
      </c>
      <c r="L83" s="92">
        <f t="shared" si="5"/>
        <v>50</v>
      </c>
      <c r="M83" s="92">
        <f t="shared" si="5"/>
        <v>0</v>
      </c>
      <c r="N83" s="125">
        <f t="shared" si="6"/>
        <v>100</v>
      </c>
      <c r="O83" s="91">
        <v>39.700000000000003</v>
      </c>
      <c r="P83" s="92">
        <v>23.8</v>
      </c>
      <c r="Q83" s="92"/>
      <c r="R83" s="93">
        <f t="shared" si="7"/>
        <v>63.5</v>
      </c>
      <c r="S83" s="73">
        <v>2</v>
      </c>
      <c r="T83" s="81"/>
      <c r="V83" s="82" t="s">
        <v>568</v>
      </c>
      <c r="W83" s="73" t="s">
        <v>74</v>
      </c>
      <c r="X83" s="73" t="s">
        <v>11</v>
      </c>
      <c r="Y83" s="83">
        <v>39.700000000000003</v>
      </c>
      <c r="Z83" s="82" t="s">
        <v>486</v>
      </c>
      <c r="AA83" s="73" t="s">
        <v>286</v>
      </c>
      <c r="AB83" s="73" t="s">
        <v>18</v>
      </c>
      <c r="AC83" s="73">
        <v>23.8</v>
      </c>
      <c r="AD83" s="82"/>
      <c r="AG83" s="83"/>
      <c r="AH83" s="164"/>
      <c r="AL83" s="82"/>
      <c r="AO83" s="83"/>
      <c r="AP83" s="82"/>
      <c r="AS83" s="83"/>
      <c r="AW83" s="83"/>
      <c r="BA83" s="84"/>
    </row>
    <row r="84" spans="1:53" s="73" customFormat="1">
      <c r="A84" s="73">
        <v>1998</v>
      </c>
      <c r="C84" s="988" t="s">
        <v>293</v>
      </c>
      <c r="D84" s="988"/>
      <c r="E84" s="73">
        <v>0</v>
      </c>
      <c r="G84" s="123">
        <v>5</v>
      </c>
      <c r="H84" s="73">
        <v>5</v>
      </c>
      <c r="J84" s="134">
        <v>10</v>
      </c>
      <c r="K84" s="92">
        <f t="shared" si="5"/>
        <v>50</v>
      </c>
      <c r="L84" s="92">
        <f t="shared" si="5"/>
        <v>50</v>
      </c>
      <c r="M84" s="92">
        <f t="shared" si="5"/>
        <v>0</v>
      </c>
      <c r="N84" s="125">
        <f t="shared" si="6"/>
        <v>100</v>
      </c>
      <c r="O84" s="91">
        <v>39.700000000000003</v>
      </c>
      <c r="P84" s="92">
        <v>23.8</v>
      </c>
      <c r="Q84" s="92"/>
      <c r="R84" s="93">
        <f t="shared" si="7"/>
        <v>63.5</v>
      </c>
      <c r="S84" s="73">
        <v>2</v>
      </c>
      <c r="T84" s="81"/>
      <c r="V84" s="82" t="s">
        <v>568</v>
      </c>
      <c r="W84" s="73" t="s">
        <v>74</v>
      </c>
      <c r="X84" s="73" t="s">
        <v>11</v>
      </c>
      <c r="Y84" s="83">
        <v>39.700000000000003</v>
      </c>
      <c r="Z84" s="82" t="s">
        <v>486</v>
      </c>
      <c r="AA84" s="73" t="s">
        <v>286</v>
      </c>
      <c r="AB84" s="73" t="s">
        <v>18</v>
      </c>
      <c r="AC84" s="73">
        <v>23.8</v>
      </c>
      <c r="AD84" s="82"/>
      <c r="AG84" s="83"/>
      <c r="AH84" s="164"/>
      <c r="AL84" s="82"/>
      <c r="AO84" s="83"/>
      <c r="AP84" s="82"/>
      <c r="AS84" s="83"/>
      <c r="AW84" s="83"/>
      <c r="BA84" s="84"/>
    </row>
    <row r="85" spans="1:53" s="73" customFormat="1">
      <c r="A85" s="73">
        <v>1998</v>
      </c>
      <c r="C85" s="988" t="s">
        <v>293</v>
      </c>
      <c r="D85" s="988"/>
      <c r="E85" s="73">
        <f>365-E84</f>
        <v>365</v>
      </c>
      <c r="G85" s="123">
        <v>5</v>
      </c>
      <c r="H85" s="73">
        <v>5</v>
      </c>
      <c r="J85" s="134">
        <v>10</v>
      </c>
      <c r="K85" s="92">
        <f t="shared" si="5"/>
        <v>50</v>
      </c>
      <c r="L85" s="92">
        <f t="shared" si="5"/>
        <v>50</v>
      </c>
      <c r="M85" s="92">
        <f t="shared" si="5"/>
        <v>0</v>
      </c>
      <c r="N85" s="125">
        <f t="shared" si="6"/>
        <v>100</v>
      </c>
      <c r="O85" s="91">
        <v>39.700000000000003</v>
      </c>
      <c r="P85" s="92">
        <v>23.8</v>
      </c>
      <c r="Q85" s="92"/>
      <c r="R85" s="93">
        <f t="shared" si="7"/>
        <v>63.5</v>
      </c>
      <c r="S85" s="73">
        <v>2</v>
      </c>
      <c r="T85" s="81"/>
      <c r="V85" s="82" t="s">
        <v>568</v>
      </c>
      <c r="W85" s="73" t="s">
        <v>74</v>
      </c>
      <c r="X85" s="73" t="s">
        <v>11</v>
      </c>
      <c r="Y85" s="83">
        <v>39.700000000000003</v>
      </c>
      <c r="Z85" s="82" t="s">
        <v>486</v>
      </c>
      <c r="AA85" s="73" t="s">
        <v>286</v>
      </c>
      <c r="AB85" s="73" t="s">
        <v>18</v>
      </c>
      <c r="AC85" s="73">
        <v>23.8</v>
      </c>
      <c r="AD85" s="82"/>
      <c r="AG85" s="83"/>
      <c r="AH85" s="164"/>
      <c r="AL85" s="82"/>
      <c r="AO85" s="83"/>
      <c r="AP85" s="82"/>
      <c r="AS85" s="83"/>
      <c r="AW85" s="83"/>
      <c r="BA85" s="84"/>
    </row>
    <row r="86" spans="1:53" s="73" customFormat="1">
      <c r="A86" s="73">
        <v>1999</v>
      </c>
      <c r="C86" s="988" t="s">
        <v>293</v>
      </c>
      <c r="D86" s="988"/>
      <c r="E86" s="73">
        <v>147</v>
      </c>
      <c r="G86" s="123">
        <v>5</v>
      </c>
      <c r="H86" s="73">
        <v>5</v>
      </c>
      <c r="J86" s="134">
        <v>10</v>
      </c>
      <c r="K86" s="92">
        <f t="shared" si="5"/>
        <v>50</v>
      </c>
      <c r="L86" s="92">
        <f t="shared" si="5"/>
        <v>50</v>
      </c>
      <c r="M86" s="92">
        <f t="shared" si="5"/>
        <v>0</v>
      </c>
      <c r="N86" s="125">
        <f t="shared" si="6"/>
        <v>100</v>
      </c>
      <c r="O86" s="91">
        <v>39.700000000000003</v>
      </c>
      <c r="P86" s="92">
        <v>23.8</v>
      </c>
      <c r="Q86" s="92"/>
      <c r="R86" s="93">
        <f t="shared" si="7"/>
        <v>63.5</v>
      </c>
      <c r="S86" s="73">
        <v>2</v>
      </c>
      <c r="T86" s="81"/>
      <c r="V86" s="82" t="s">
        <v>568</v>
      </c>
      <c r="W86" s="73" t="s">
        <v>74</v>
      </c>
      <c r="X86" s="73" t="s">
        <v>11</v>
      </c>
      <c r="Y86" s="83">
        <v>39.700000000000003</v>
      </c>
      <c r="Z86" s="82" t="s">
        <v>486</v>
      </c>
      <c r="AA86" s="73" t="s">
        <v>286</v>
      </c>
      <c r="AB86" s="73" t="s">
        <v>18</v>
      </c>
      <c r="AC86" s="73">
        <v>23.8</v>
      </c>
      <c r="AD86" s="82"/>
      <c r="AG86" s="83"/>
      <c r="AH86" s="164"/>
      <c r="AL86" s="82"/>
      <c r="AO86" s="83"/>
      <c r="AP86" s="82"/>
      <c r="AS86" s="83"/>
      <c r="AW86" s="83"/>
      <c r="BA86" s="84"/>
    </row>
    <row r="87" spans="1:53" s="334" customFormat="1">
      <c r="A87" s="334">
        <v>1999</v>
      </c>
      <c r="B87" s="355">
        <v>36308</v>
      </c>
      <c r="C87" s="992" t="s">
        <v>294</v>
      </c>
      <c r="D87" s="992"/>
      <c r="E87" s="334">
        <f>365-E86</f>
        <v>218</v>
      </c>
      <c r="F87" s="334">
        <v>1</v>
      </c>
      <c r="G87" s="419">
        <v>6</v>
      </c>
      <c r="H87" s="334">
        <v>6</v>
      </c>
      <c r="J87" s="435">
        <v>12</v>
      </c>
      <c r="K87" s="384">
        <f t="shared" si="5"/>
        <v>50</v>
      </c>
      <c r="L87" s="384">
        <f t="shared" si="5"/>
        <v>50</v>
      </c>
      <c r="M87" s="384">
        <f t="shared" si="5"/>
        <v>0</v>
      </c>
      <c r="N87" s="421">
        <f t="shared" si="6"/>
        <v>100</v>
      </c>
      <c r="O87" s="383">
        <v>41.3</v>
      </c>
      <c r="P87" s="384">
        <v>19</v>
      </c>
      <c r="Q87" s="384"/>
      <c r="R87" s="385">
        <f t="shared" si="7"/>
        <v>60.3</v>
      </c>
      <c r="S87" s="334">
        <v>2</v>
      </c>
      <c r="T87" s="342">
        <v>36288</v>
      </c>
      <c r="U87" s="355">
        <v>36308</v>
      </c>
      <c r="V87" s="343" t="s">
        <v>568</v>
      </c>
      <c r="W87" s="334" t="s">
        <v>74</v>
      </c>
      <c r="X87" s="334" t="s">
        <v>11</v>
      </c>
      <c r="Y87" s="344">
        <v>41.3</v>
      </c>
      <c r="Z87" s="343" t="s">
        <v>486</v>
      </c>
      <c r="AA87" s="334" t="s">
        <v>286</v>
      </c>
      <c r="AB87" s="334" t="s">
        <v>18</v>
      </c>
      <c r="AC87" s="334">
        <v>19</v>
      </c>
      <c r="AD87" s="343"/>
      <c r="AG87" s="344"/>
      <c r="AH87" s="452"/>
      <c r="AL87" s="343"/>
      <c r="AO87" s="344"/>
      <c r="AP87" s="343"/>
      <c r="AS87" s="344"/>
      <c r="AW87" s="344"/>
      <c r="BA87" s="345"/>
    </row>
    <row r="88" spans="1:53" s="334" customFormat="1">
      <c r="A88" s="334">
        <v>2000</v>
      </c>
      <c r="C88" s="992" t="s">
        <v>294</v>
      </c>
      <c r="D88" s="992"/>
      <c r="E88" s="334">
        <v>0</v>
      </c>
      <c r="G88" s="419">
        <v>6</v>
      </c>
      <c r="H88" s="334">
        <v>6</v>
      </c>
      <c r="J88" s="435">
        <v>12</v>
      </c>
      <c r="K88" s="384">
        <f t="shared" si="5"/>
        <v>50</v>
      </c>
      <c r="L88" s="384">
        <f t="shared" si="5"/>
        <v>50</v>
      </c>
      <c r="M88" s="384">
        <f t="shared" si="5"/>
        <v>0</v>
      </c>
      <c r="N88" s="421">
        <f t="shared" si="6"/>
        <v>100</v>
      </c>
      <c r="O88" s="383">
        <v>41.3</v>
      </c>
      <c r="P88" s="384">
        <v>19</v>
      </c>
      <c r="Q88" s="384"/>
      <c r="R88" s="385">
        <f t="shared" si="7"/>
        <v>60.3</v>
      </c>
      <c r="S88" s="334">
        <v>2</v>
      </c>
      <c r="T88" s="357"/>
      <c r="V88" s="343" t="s">
        <v>568</v>
      </c>
      <c r="W88" s="334" t="s">
        <v>74</v>
      </c>
      <c r="X88" s="334" t="s">
        <v>11</v>
      </c>
      <c r="Y88" s="344">
        <v>41.3</v>
      </c>
      <c r="Z88" s="343" t="s">
        <v>486</v>
      </c>
      <c r="AA88" s="334" t="s">
        <v>286</v>
      </c>
      <c r="AB88" s="334" t="s">
        <v>18</v>
      </c>
      <c r="AC88" s="334">
        <v>19</v>
      </c>
      <c r="AD88" s="343"/>
      <c r="AG88" s="344"/>
      <c r="AH88" s="452"/>
      <c r="AL88" s="343"/>
      <c r="AO88" s="344"/>
      <c r="AP88" s="343"/>
      <c r="AS88" s="344"/>
      <c r="AW88" s="344"/>
      <c r="BA88" s="345"/>
    </row>
    <row r="89" spans="1:53" s="334" customFormat="1">
      <c r="A89" s="334">
        <v>2000</v>
      </c>
      <c r="C89" s="992" t="s">
        <v>294</v>
      </c>
      <c r="D89" s="992"/>
      <c r="E89" s="334">
        <v>366</v>
      </c>
      <c r="G89" s="419">
        <v>6</v>
      </c>
      <c r="H89" s="334">
        <v>6</v>
      </c>
      <c r="J89" s="435">
        <v>12</v>
      </c>
      <c r="K89" s="384">
        <f t="shared" si="5"/>
        <v>50</v>
      </c>
      <c r="L89" s="384">
        <f t="shared" si="5"/>
        <v>50</v>
      </c>
      <c r="M89" s="384">
        <f t="shared" si="5"/>
        <v>0</v>
      </c>
      <c r="N89" s="421">
        <f t="shared" si="6"/>
        <v>100</v>
      </c>
      <c r="O89" s="383">
        <v>41.3</v>
      </c>
      <c r="P89" s="384">
        <v>19</v>
      </c>
      <c r="Q89" s="384"/>
      <c r="R89" s="385">
        <f t="shared" si="7"/>
        <v>60.3</v>
      </c>
      <c r="S89" s="334">
        <v>2</v>
      </c>
      <c r="T89" s="357"/>
      <c r="V89" s="343" t="s">
        <v>568</v>
      </c>
      <c r="W89" s="334" t="s">
        <v>74</v>
      </c>
      <c r="X89" s="334" t="s">
        <v>11</v>
      </c>
      <c r="Y89" s="344">
        <v>41.3</v>
      </c>
      <c r="Z89" s="343" t="s">
        <v>486</v>
      </c>
      <c r="AA89" s="334" t="s">
        <v>286</v>
      </c>
      <c r="AB89" s="334" t="s">
        <v>18</v>
      </c>
      <c r="AC89" s="334">
        <v>19</v>
      </c>
      <c r="AD89" s="343"/>
      <c r="AG89" s="344"/>
      <c r="AH89" s="452"/>
      <c r="AL89" s="343"/>
      <c r="AO89" s="344"/>
      <c r="AP89" s="343"/>
      <c r="AS89" s="344"/>
      <c r="AW89" s="344"/>
      <c r="BA89" s="345"/>
    </row>
    <row r="90" spans="1:53" s="334" customFormat="1">
      <c r="A90" s="334">
        <v>2001</v>
      </c>
      <c r="C90" s="992" t="s">
        <v>294</v>
      </c>
      <c r="D90" s="992"/>
      <c r="E90" s="334">
        <v>0</v>
      </c>
      <c r="G90" s="419">
        <v>6</v>
      </c>
      <c r="H90" s="334">
        <v>6</v>
      </c>
      <c r="J90" s="435">
        <v>12</v>
      </c>
      <c r="K90" s="384">
        <f t="shared" si="5"/>
        <v>50</v>
      </c>
      <c r="L90" s="384">
        <f t="shared" si="5"/>
        <v>50</v>
      </c>
      <c r="M90" s="384">
        <f t="shared" si="5"/>
        <v>0</v>
      </c>
      <c r="N90" s="421">
        <f t="shared" si="6"/>
        <v>100</v>
      </c>
      <c r="O90" s="383">
        <v>41.3</v>
      </c>
      <c r="P90" s="384">
        <v>19</v>
      </c>
      <c r="Q90" s="384"/>
      <c r="R90" s="385">
        <f t="shared" si="7"/>
        <v>60.3</v>
      </c>
      <c r="S90" s="334">
        <v>2</v>
      </c>
      <c r="T90" s="357"/>
      <c r="V90" s="343" t="s">
        <v>568</v>
      </c>
      <c r="W90" s="334" t="s">
        <v>74</v>
      </c>
      <c r="X90" s="334" t="s">
        <v>11</v>
      </c>
      <c r="Y90" s="344">
        <v>41.3</v>
      </c>
      <c r="Z90" s="343" t="s">
        <v>486</v>
      </c>
      <c r="AA90" s="334" t="s">
        <v>286</v>
      </c>
      <c r="AB90" s="334" t="s">
        <v>18</v>
      </c>
      <c r="AC90" s="334">
        <v>19</v>
      </c>
      <c r="AD90" s="343"/>
      <c r="AG90" s="344"/>
      <c r="AH90" s="452"/>
      <c r="AL90" s="343"/>
      <c r="AO90" s="344"/>
      <c r="AP90" s="343"/>
      <c r="AS90" s="344"/>
      <c r="AW90" s="344"/>
      <c r="BA90" s="345"/>
    </row>
    <row r="91" spans="1:53" s="334" customFormat="1">
      <c r="A91" s="334">
        <v>2001</v>
      </c>
      <c r="C91" s="992" t="s">
        <v>294</v>
      </c>
      <c r="D91" s="992"/>
      <c r="E91" s="334">
        <f>365-E90</f>
        <v>365</v>
      </c>
      <c r="G91" s="419">
        <v>6</v>
      </c>
      <c r="H91" s="334">
        <v>6</v>
      </c>
      <c r="J91" s="435">
        <v>12</v>
      </c>
      <c r="K91" s="384">
        <f t="shared" si="5"/>
        <v>50</v>
      </c>
      <c r="L91" s="384">
        <f t="shared" si="5"/>
        <v>50</v>
      </c>
      <c r="M91" s="384">
        <f t="shared" si="5"/>
        <v>0</v>
      </c>
      <c r="N91" s="421">
        <f t="shared" si="6"/>
        <v>100</v>
      </c>
      <c r="O91" s="383">
        <v>41.3</v>
      </c>
      <c r="P91" s="384">
        <v>19</v>
      </c>
      <c r="Q91" s="384"/>
      <c r="R91" s="385">
        <f t="shared" si="7"/>
        <v>60.3</v>
      </c>
      <c r="S91" s="334">
        <v>2</v>
      </c>
      <c r="T91" s="357"/>
      <c r="V91" s="343" t="s">
        <v>568</v>
      </c>
      <c r="W91" s="334" t="s">
        <v>74</v>
      </c>
      <c r="X91" s="334" t="s">
        <v>11</v>
      </c>
      <c r="Y91" s="344">
        <v>41.3</v>
      </c>
      <c r="Z91" s="343" t="s">
        <v>486</v>
      </c>
      <c r="AA91" s="334" t="s">
        <v>286</v>
      </c>
      <c r="AB91" s="334" t="s">
        <v>18</v>
      </c>
      <c r="AC91" s="334">
        <v>19</v>
      </c>
      <c r="AD91" s="343"/>
      <c r="AG91" s="344"/>
      <c r="AH91" s="452"/>
      <c r="AL91" s="343"/>
      <c r="AO91" s="344"/>
      <c r="AP91" s="343"/>
      <c r="AS91" s="344"/>
      <c r="AW91" s="344"/>
      <c r="BA91" s="345"/>
    </row>
    <row r="92" spans="1:53" s="334" customFormat="1">
      <c r="A92" s="334">
        <v>2002</v>
      </c>
      <c r="C92" s="992" t="s">
        <v>294</v>
      </c>
      <c r="D92" s="992"/>
      <c r="E92" s="334">
        <v>0</v>
      </c>
      <c r="G92" s="419">
        <v>6</v>
      </c>
      <c r="H92" s="334">
        <v>6</v>
      </c>
      <c r="J92" s="435">
        <v>12</v>
      </c>
      <c r="K92" s="384">
        <f t="shared" si="5"/>
        <v>50</v>
      </c>
      <c r="L92" s="384">
        <f t="shared" si="5"/>
        <v>50</v>
      </c>
      <c r="M92" s="384">
        <f t="shared" si="5"/>
        <v>0</v>
      </c>
      <c r="N92" s="421">
        <f t="shared" si="6"/>
        <v>100</v>
      </c>
      <c r="O92" s="383">
        <v>41.3</v>
      </c>
      <c r="P92" s="384">
        <v>19</v>
      </c>
      <c r="Q92" s="384"/>
      <c r="R92" s="385">
        <f t="shared" si="7"/>
        <v>60.3</v>
      </c>
      <c r="S92" s="334">
        <v>2</v>
      </c>
      <c r="T92" s="357"/>
      <c r="V92" s="343" t="s">
        <v>568</v>
      </c>
      <c r="W92" s="334" t="s">
        <v>74</v>
      </c>
      <c r="X92" s="334" t="s">
        <v>11</v>
      </c>
      <c r="Y92" s="344">
        <v>41.3</v>
      </c>
      <c r="Z92" s="343" t="s">
        <v>486</v>
      </c>
      <c r="AA92" s="334" t="s">
        <v>286</v>
      </c>
      <c r="AB92" s="334" t="s">
        <v>18</v>
      </c>
      <c r="AC92" s="334">
        <v>19</v>
      </c>
      <c r="AD92" s="343"/>
      <c r="AG92" s="344"/>
      <c r="AH92" s="452"/>
      <c r="AL92" s="343"/>
      <c r="AO92" s="344"/>
      <c r="AP92" s="343"/>
      <c r="AS92" s="344"/>
      <c r="AW92" s="344"/>
      <c r="BA92" s="345"/>
    </row>
    <row r="93" spans="1:53" s="334" customFormat="1">
      <c r="A93" s="334">
        <v>2002</v>
      </c>
      <c r="C93" s="992" t="s">
        <v>294</v>
      </c>
      <c r="D93" s="992"/>
      <c r="E93" s="334">
        <f>365-E92</f>
        <v>365</v>
      </c>
      <c r="G93" s="419">
        <v>6</v>
      </c>
      <c r="H93" s="334">
        <v>6</v>
      </c>
      <c r="J93" s="435">
        <v>12</v>
      </c>
      <c r="K93" s="384">
        <f t="shared" si="5"/>
        <v>50</v>
      </c>
      <c r="L93" s="384">
        <f t="shared" si="5"/>
        <v>50</v>
      </c>
      <c r="M93" s="384">
        <f t="shared" si="5"/>
        <v>0</v>
      </c>
      <c r="N93" s="421">
        <f t="shared" si="6"/>
        <v>100</v>
      </c>
      <c r="O93" s="383">
        <v>41.3</v>
      </c>
      <c r="P93" s="384">
        <v>19</v>
      </c>
      <c r="Q93" s="384"/>
      <c r="R93" s="385">
        <f t="shared" si="7"/>
        <v>60.3</v>
      </c>
      <c r="S93" s="334">
        <v>2</v>
      </c>
      <c r="T93" s="357"/>
      <c r="V93" s="343" t="s">
        <v>568</v>
      </c>
      <c r="W93" s="334" t="s">
        <v>74</v>
      </c>
      <c r="X93" s="334" t="s">
        <v>11</v>
      </c>
      <c r="Y93" s="344">
        <v>41.3</v>
      </c>
      <c r="Z93" s="343" t="s">
        <v>486</v>
      </c>
      <c r="AA93" s="334" t="s">
        <v>286</v>
      </c>
      <c r="AB93" s="334" t="s">
        <v>18</v>
      </c>
      <c r="AC93" s="334">
        <v>19</v>
      </c>
      <c r="AD93" s="343"/>
      <c r="AG93" s="344"/>
      <c r="AH93" s="452"/>
      <c r="AL93" s="343"/>
      <c r="AO93" s="344"/>
      <c r="AP93" s="343"/>
      <c r="AS93" s="344"/>
      <c r="AW93" s="344"/>
      <c r="BA93" s="345"/>
    </row>
    <row r="94" spans="1:53" s="334" customFormat="1">
      <c r="A94" s="334">
        <v>2003</v>
      </c>
      <c r="C94" s="992" t="s">
        <v>294</v>
      </c>
      <c r="D94" s="992"/>
      <c r="E94" s="334">
        <v>142</v>
      </c>
      <c r="G94" s="419">
        <v>6</v>
      </c>
      <c r="H94" s="334">
        <v>6</v>
      </c>
      <c r="J94" s="435">
        <v>12</v>
      </c>
      <c r="K94" s="384">
        <f t="shared" si="5"/>
        <v>50</v>
      </c>
      <c r="L94" s="384">
        <f t="shared" si="5"/>
        <v>50</v>
      </c>
      <c r="M94" s="384">
        <f t="shared" si="5"/>
        <v>0</v>
      </c>
      <c r="N94" s="421">
        <f t="shared" si="6"/>
        <v>100</v>
      </c>
      <c r="O94" s="383">
        <v>41.3</v>
      </c>
      <c r="P94" s="384">
        <v>19</v>
      </c>
      <c r="Q94" s="384"/>
      <c r="R94" s="385">
        <f t="shared" si="7"/>
        <v>60.3</v>
      </c>
      <c r="S94" s="334">
        <v>2</v>
      </c>
      <c r="T94" s="357"/>
      <c r="V94" s="343" t="s">
        <v>568</v>
      </c>
      <c r="W94" s="334" t="s">
        <v>74</v>
      </c>
      <c r="X94" s="334" t="s">
        <v>11</v>
      </c>
      <c r="Y94" s="344">
        <v>41.3</v>
      </c>
      <c r="Z94" s="343" t="s">
        <v>486</v>
      </c>
      <c r="AA94" s="334" t="s">
        <v>286</v>
      </c>
      <c r="AB94" s="334" t="s">
        <v>18</v>
      </c>
      <c r="AC94" s="334">
        <v>19</v>
      </c>
      <c r="AD94" s="343"/>
      <c r="AG94" s="344"/>
      <c r="AH94" s="452"/>
      <c r="AL94" s="343"/>
      <c r="AO94" s="344"/>
      <c r="AP94" s="343"/>
      <c r="AS94" s="344"/>
      <c r="AW94" s="344"/>
      <c r="BA94" s="345"/>
    </row>
    <row r="95" spans="1:53" s="73" customFormat="1">
      <c r="A95" s="73">
        <v>2003</v>
      </c>
      <c r="B95" s="85">
        <v>37764</v>
      </c>
      <c r="C95" s="988" t="s">
        <v>295</v>
      </c>
      <c r="D95" s="988"/>
      <c r="E95" s="73">
        <f>365-E94</f>
        <v>223</v>
      </c>
      <c r="F95" s="73">
        <v>1</v>
      </c>
      <c r="G95" s="123">
        <v>6</v>
      </c>
      <c r="H95" s="73">
        <v>6</v>
      </c>
      <c r="J95" s="134">
        <v>12</v>
      </c>
      <c r="K95" s="92">
        <f t="shared" si="5"/>
        <v>50</v>
      </c>
      <c r="L95" s="92">
        <f t="shared" si="5"/>
        <v>50</v>
      </c>
      <c r="M95" s="92">
        <f t="shared" si="5"/>
        <v>0</v>
      </c>
      <c r="N95" s="125">
        <f t="shared" si="6"/>
        <v>100</v>
      </c>
      <c r="O95" s="91">
        <v>34.9</v>
      </c>
      <c r="P95" s="92">
        <v>19</v>
      </c>
      <c r="Q95" s="92"/>
      <c r="R95" s="93">
        <f t="shared" si="7"/>
        <v>53.9</v>
      </c>
      <c r="S95" s="73">
        <v>2</v>
      </c>
      <c r="T95" s="95">
        <v>37751</v>
      </c>
      <c r="U95" s="85">
        <v>37764</v>
      </c>
      <c r="V95" s="82" t="s">
        <v>568</v>
      </c>
      <c r="W95" s="73" t="s">
        <v>74</v>
      </c>
      <c r="X95" s="73" t="s">
        <v>11</v>
      </c>
      <c r="Y95" s="83">
        <v>34.9</v>
      </c>
      <c r="Z95" s="82" t="s">
        <v>486</v>
      </c>
      <c r="AA95" s="73" t="s">
        <v>286</v>
      </c>
      <c r="AB95" s="73" t="s">
        <v>18</v>
      </c>
      <c r="AC95" s="73">
        <v>19</v>
      </c>
      <c r="AD95" s="82"/>
      <c r="AG95" s="83"/>
      <c r="AH95" s="164"/>
      <c r="AL95" s="82"/>
      <c r="AO95" s="83"/>
      <c r="AP95" s="82"/>
      <c r="AS95" s="83"/>
      <c r="AW95" s="83"/>
      <c r="BA95" s="84"/>
    </row>
    <row r="96" spans="1:53" s="73" customFormat="1">
      <c r="A96" s="73">
        <v>2004</v>
      </c>
      <c r="C96" s="988" t="s">
        <v>295</v>
      </c>
      <c r="D96" s="988"/>
      <c r="E96" s="73">
        <v>258</v>
      </c>
      <c r="G96" s="123">
        <v>6</v>
      </c>
      <c r="H96" s="73">
        <v>6</v>
      </c>
      <c r="J96" s="134">
        <v>12</v>
      </c>
      <c r="K96" s="92">
        <f t="shared" si="5"/>
        <v>50</v>
      </c>
      <c r="L96" s="92">
        <f t="shared" si="5"/>
        <v>50</v>
      </c>
      <c r="M96" s="92">
        <f t="shared" si="5"/>
        <v>0</v>
      </c>
      <c r="N96" s="125">
        <f t="shared" si="6"/>
        <v>100</v>
      </c>
      <c r="O96" s="91">
        <v>34.9</v>
      </c>
      <c r="P96" s="92">
        <v>19</v>
      </c>
      <c r="Q96" s="92"/>
      <c r="R96" s="93">
        <f t="shared" si="7"/>
        <v>53.9</v>
      </c>
      <c r="S96" s="73">
        <v>2</v>
      </c>
      <c r="T96" s="81"/>
      <c r="V96" s="82" t="s">
        <v>568</v>
      </c>
      <c r="W96" s="73" t="s">
        <v>74</v>
      </c>
      <c r="X96" s="73" t="s">
        <v>11</v>
      </c>
      <c r="Y96" s="83">
        <v>34.9</v>
      </c>
      <c r="Z96" s="82" t="s">
        <v>486</v>
      </c>
      <c r="AA96" s="73" t="s">
        <v>286</v>
      </c>
      <c r="AB96" s="73" t="s">
        <v>18</v>
      </c>
      <c r="AC96" s="73">
        <v>19</v>
      </c>
      <c r="AD96" s="82"/>
      <c r="AG96" s="83"/>
      <c r="AH96" s="164"/>
      <c r="AL96" s="82"/>
      <c r="AO96" s="83"/>
      <c r="AP96" s="82"/>
      <c r="AS96" s="83"/>
      <c r="AW96" s="83"/>
      <c r="BA96" s="84"/>
    </row>
    <row r="97" spans="1:53" s="334" customFormat="1">
      <c r="A97" s="334">
        <v>2004</v>
      </c>
      <c r="B97" s="355">
        <v>38245</v>
      </c>
      <c r="C97" s="992" t="s">
        <v>1182</v>
      </c>
      <c r="D97" s="992"/>
      <c r="E97" s="334">
        <f>366-E96</f>
        <v>108</v>
      </c>
      <c r="F97" s="334">
        <v>2</v>
      </c>
      <c r="G97" s="419">
        <v>7</v>
      </c>
      <c r="H97" s="334">
        <v>5</v>
      </c>
      <c r="J97" s="435">
        <v>12</v>
      </c>
      <c r="K97" s="384">
        <f t="shared" si="5"/>
        <v>58.333333333333336</v>
      </c>
      <c r="L97" s="384">
        <f t="shared" si="5"/>
        <v>41.666666666666671</v>
      </c>
      <c r="M97" s="384">
        <f t="shared" si="5"/>
        <v>0</v>
      </c>
      <c r="N97" s="421">
        <f t="shared" si="6"/>
        <v>100</v>
      </c>
      <c r="O97" s="383">
        <v>34.9</v>
      </c>
      <c r="P97" s="384">
        <v>19</v>
      </c>
      <c r="Q97" s="384"/>
      <c r="R97" s="385">
        <f t="shared" si="7"/>
        <v>53.9</v>
      </c>
      <c r="S97" s="334">
        <v>2</v>
      </c>
      <c r="T97" s="357"/>
      <c r="U97" s="355">
        <v>38245</v>
      </c>
      <c r="V97" s="343" t="s">
        <v>568</v>
      </c>
      <c r="W97" s="334" t="s">
        <v>74</v>
      </c>
      <c r="X97" s="334" t="s">
        <v>11</v>
      </c>
      <c r="Y97" s="344">
        <v>34.9</v>
      </c>
      <c r="Z97" s="343" t="s">
        <v>486</v>
      </c>
      <c r="AA97" s="334" t="s">
        <v>286</v>
      </c>
      <c r="AB97" s="334" t="s">
        <v>18</v>
      </c>
      <c r="AC97" s="334">
        <v>19</v>
      </c>
      <c r="AD97" s="343"/>
      <c r="AG97" s="344"/>
      <c r="AH97" s="452"/>
      <c r="AL97" s="343"/>
      <c r="AO97" s="344"/>
      <c r="AP97" s="343"/>
      <c r="AS97" s="344"/>
      <c r="AW97" s="344"/>
      <c r="BA97" s="345"/>
    </row>
    <row r="98" spans="1:53" s="334" customFormat="1">
      <c r="A98" s="334">
        <v>2005</v>
      </c>
      <c r="C98" s="992" t="s">
        <v>1182</v>
      </c>
      <c r="D98" s="992"/>
      <c r="E98" s="334">
        <v>0</v>
      </c>
      <c r="G98" s="419">
        <v>7</v>
      </c>
      <c r="H98" s="334">
        <v>5</v>
      </c>
      <c r="J98" s="435">
        <v>12</v>
      </c>
      <c r="K98" s="384">
        <f t="shared" si="5"/>
        <v>58.333333333333336</v>
      </c>
      <c r="L98" s="384">
        <f t="shared" si="5"/>
        <v>41.666666666666671</v>
      </c>
      <c r="M98" s="384">
        <f t="shared" si="5"/>
        <v>0</v>
      </c>
      <c r="N98" s="421">
        <f t="shared" si="6"/>
        <v>100</v>
      </c>
      <c r="O98" s="383">
        <v>34.9</v>
      </c>
      <c r="P98" s="384">
        <v>19</v>
      </c>
      <c r="Q98" s="384"/>
      <c r="R98" s="385">
        <f t="shared" si="7"/>
        <v>53.9</v>
      </c>
      <c r="S98" s="334">
        <v>2</v>
      </c>
      <c r="T98" s="357"/>
      <c r="V98" s="343" t="s">
        <v>568</v>
      </c>
      <c r="W98" s="334" t="s">
        <v>74</v>
      </c>
      <c r="X98" s="334" t="s">
        <v>11</v>
      </c>
      <c r="Y98" s="344">
        <v>34.9</v>
      </c>
      <c r="Z98" s="343" t="s">
        <v>486</v>
      </c>
      <c r="AA98" s="334" t="s">
        <v>286</v>
      </c>
      <c r="AB98" s="334" t="s">
        <v>18</v>
      </c>
      <c r="AC98" s="334">
        <v>19</v>
      </c>
      <c r="AD98" s="343"/>
      <c r="AG98" s="344"/>
      <c r="AH98" s="452"/>
      <c r="AL98" s="343"/>
      <c r="AO98" s="344"/>
      <c r="AP98" s="343"/>
      <c r="AS98" s="344"/>
      <c r="AW98" s="344"/>
      <c r="BA98" s="345"/>
    </row>
    <row r="99" spans="1:53" s="334" customFormat="1">
      <c r="A99" s="334">
        <v>2005</v>
      </c>
      <c r="C99" s="992" t="s">
        <v>1182</v>
      </c>
      <c r="D99" s="992"/>
      <c r="E99" s="334">
        <v>365</v>
      </c>
      <c r="G99" s="419">
        <v>7</v>
      </c>
      <c r="H99" s="334">
        <v>5</v>
      </c>
      <c r="J99" s="435">
        <v>12</v>
      </c>
      <c r="K99" s="384">
        <f t="shared" si="5"/>
        <v>58.333333333333336</v>
      </c>
      <c r="L99" s="384">
        <f t="shared" si="5"/>
        <v>41.666666666666671</v>
      </c>
      <c r="M99" s="384">
        <f t="shared" si="5"/>
        <v>0</v>
      </c>
      <c r="N99" s="421">
        <f t="shared" si="6"/>
        <v>100</v>
      </c>
      <c r="O99" s="383">
        <v>34.9</v>
      </c>
      <c r="P99" s="384">
        <v>19</v>
      </c>
      <c r="Q99" s="384"/>
      <c r="R99" s="385">
        <f t="shared" si="7"/>
        <v>53.9</v>
      </c>
      <c r="S99" s="334">
        <v>2</v>
      </c>
      <c r="T99" s="357"/>
      <c r="V99" s="343" t="s">
        <v>568</v>
      </c>
      <c r="W99" s="334" t="s">
        <v>74</v>
      </c>
      <c r="X99" s="334" t="s">
        <v>11</v>
      </c>
      <c r="Y99" s="344">
        <v>34.9</v>
      </c>
      <c r="Z99" s="343" t="s">
        <v>486</v>
      </c>
      <c r="AA99" s="334" t="s">
        <v>286</v>
      </c>
      <c r="AB99" s="334" t="s">
        <v>18</v>
      </c>
      <c r="AC99" s="334">
        <v>19</v>
      </c>
      <c r="AD99" s="343"/>
      <c r="AG99" s="344"/>
      <c r="AH99" s="452"/>
      <c r="AL99" s="343"/>
      <c r="AO99" s="344"/>
      <c r="AP99" s="343"/>
      <c r="AS99" s="344"/>
      <c r="AW99" s="344"/>
      <c r="BA99" s="345"/>
    </row>
    <row r="100" spans="1:53" s="334" customFormat="1">
      <c r="A100" s="334">
        <v>2006</v>
      </c>
      <c r="C100" s="992" t="s">
        <v>1182</v>
      </c>
      <c r="D100" s="992"/>
      <c r="E100" s="334">
        <v>165</v>
      </c>
      <c r="G100" s="419">
        <v>7</v>
      </c>
      <c r="H100" s="334">
        <v>5</v>
      </c>
      <c r="J100" s="435">
        <v>12</v>
      </c>
      <c r="K100" s="384">
        <f t="shared" si="5"/>
        <v>58.333333333333336</v>
      </c>
      <c r="L100" s="384">
        <f t="shared" si="5"/>
        <v>41.666666666666671</v>
      </c>
      <c r="M100" s="384">
        <f t="shared" si="5"/>
        <v>0</v>
      </c>
      <c r="N100" s="421">
        <f t="shared" si="6"/>
        <v>100</v>
      </c>
      <c r="O100" s="383">
        <v>34.9</v>
      </c>
      <c r="P100" s="384">
        <v>19</v>
      </c>
      <c r="Q100" s="384"/>
      <c r="R100" s="385">
        <f t="shared" si="7"/>
        <v>53.9</v>
      </c>
      <c r="S100" s="334">
        <v>2</v>
      </c>
      <c r="T100" s="357"/>
      <c r="V100" s="343" t="s">
        <v>568</v>
      </c>
      <c r="W100" s="334" t="s">
        <v>74</v>
      </c>
      <c r="X100" s="334" t="s">
        <v>11</v>
      </c>
      <c r="Y100" s="344">
        <v>34.9</v>
      </c>
      <c r="Z100" s="343" t="s">
        <v>486</v>
      </c>
      <c r="AA100" s="334" t="s">
        <v>286</v>
      </c>
      <c r="AB100" s="334" t="s">
        <v>18</v>
      </c>
      <c r="AC100" s="334">
        <v>19</v>
      </c>
      <c r="AD100" s="343"/>
      <c r="AG100" s="344"/>
      <c r="AH100" s="452"/>
      <c r="AL100" s="343"/>
      <c r="AO100" s="344"/>
      <c r="AP100" s="343"/>
      <c r="AS100" s="344"/>
      <c r="AW100" s="344"/>
      <c r="BA100" s="345"/>
    </row>
    <row r="101" spans="1:53" s="73" customFormat="1">
      <c r="A101" s="73">
        <v>2006</v>
      </c>
      <c r="B101" s="85">
        <v>38883</v>
      </c>
      <c r="C101" s="988" t="s">
        <v>296</v>
      </c>
      <c r="D101" s="988"/>
      <c r="E101" s="73">
        <f>365-E100</f>
        <v>200</v>
      </c>
      <c r="F101" s="73">
        <v>2</v>
      </c>
      <c r="G101" s="123">
        <v>6</v>
      </c>
      <c r="H101" s="73">
        <v>6</v>
      </c>
      <c r="J101" s="134">
        <v>12</v>
      </c>
      <c r="K101" s="92">
        <f t="shared" si="5"/>
        <v>50</v>
      </c>
      <c r="L101" s="92">
        <f t="shared" si="5"/>
        <v>50</v>
      </c>
      <c r="M101" s="92">
        <f t="shared" si="5"/>
        <v>0</v>
      </c>
      <c r="N101" s="125">
        <f t="shared" si="6"/>
        <v>100</v>
      </c>
      <c r="O101" s="91">
        <v>36.5</v>
      </c>
      <c r="P101" s="92">
        <v>19</v>
      </c>
      <c r="Q101" s="92"/>
      <c r="R101" s="93">
        <f t="shared" si="7"/>
        <v>55.5</v>
      </c>
      <c r="S101" s="73">
        <v>2</v>
      </c>
      <c r="T101" s="81"/>
      <c r="U101" s="85">
        <v>38883</v>
      </c>
      <c r="V101" s="82" t="s">
        <v>568</v>
      </c>
      <c r="W101" s="73" t="s">
        <v>74</v>
      </c>
      <c r="X101" s="73" t="s">
        <v>11</v>
      </c>
      <c r="Y101" s="83">
        <v>34.9</v>
      </c>
      <c r="Z101" s="82" t="s">
        <v>486</v>
      </c>
      <c r="AA101" s="73" t="s">
        <v>286</v>
      </c>
      <c r="AB101" s="73" t="s">
        <v>18</v>
      </c>
      <c r="AC101" s="73">
        <v>19</v>
      </c>
      <c r="AD101" s="82"/>
      <c r="AG101" s="83"/>
      <c r="AH101" s="164"/>
      <c r="AL101" s="82"/>
      <c r="AO101" s="83"/>
      <c r="AP101" s="82"/>
      <c r="AS101" s="83"/>
      <c r="AW101" s="83"/>
      <c r="BA101" s="84"/>
    </row>
    <row r="102" spans="1:53" s="73" customFormat="1">
      <c r="A102" s="73">
        <v>2007</v>
      </c>
      <c r="C102" s="988" t="s">
        <v>296</v>
      </c>
      <c r="D102" s="988"/>
      <c r="E102" s="73">
        <v>143</v>
      </c>
      <c r="G102" s="123">
        <v>6</v>
      </c>
      <c r="H102" s="73">
        <v>6</v>
      </c>
      <c r="J102" s="134">
        <v>12</v>
      </c>
      <c r="K102" s="92">
        <f t="shared" si="5"/>
        <v>50</v>
      </c>
      <c r="L102" s="92">
        <f t="shared" si="5"/>
        <v>50</v>
      </c>
      <c r="M102" s="92">
        <f t="shared" si="5"/>
        <v>0</v>
      </c>
      <c r="N102" s="125">
        <f t="shared" si="6"/>
        <v>100</v>
      </c>
      <c r="O102" s="91">
        <v>36.5</v>
      </c>
      <c r="P102" s="92">
        <v>19</v>
      </c>
      <c r="Q102" s="92"/>
      <c r="R102" s="93">
        <f t="shared" si="7"/>
        <v>55.5</v>
      </c>
      <c r="S102" s="73">
        <v>2</v>
      </c>
      <c r="T102" s="81"/>
      <c r="V102" s="82" t="s">
        <v>568</v>
      </c>
      <c r="W102" s="73" t="s">
        <v>74</v>
      </c>
      <c r="X102" s="73" t="s">
        <v>11</v>
      </c>
      <c r="Y102" s="83">
        <v>34.9</v>
      </c>
      <c r="Z102" s="82" t="s">
        <v>486</v>
      </c>
      <c r="AA102" s="73" t="s">
        <v>286</v>
      </c>
      <c r="AB102" s="73" t="s">
        <v>18</v>
      </c>
      <c r="AC102" s="73">
        <v>19</v>
      </c>
      <c r="AD102" s="82"/>
      <c r="AG102" s="83"/>
      <c r="AH102" s="164"/>
      <c r="AL102" s="82"/>
      <c r="AO102" s="83"/>
      <c r="AP102" s="82"/>
      <c r="AS102" s="83"/>
      <c r="AW102" s="83"/>
      <c r="BA102" s="84"/>
    </row>
    <row r="103" spans="1:53" s="334" customFormat="1">
      <c r="A103" s="334">
        <v>2007</v>
      </c>
      <c r="B103" s="355">
        <v>39226</v>
      </c>
      <c r="C103" s="992" t="s">
        <v>297</v>
      </c>
      <c r="D103" s="992"/>
      <c r="E103" s="334">
        <v>222</v>
      </c>
      <c r="F103" s="334">
        <v>1</v>
      </c>
      <c r="G103" s="419">
        <v>6</v>
      </c>
      <c r="I103" s="334">
        <v>6</v>
      </c>
      <c r="J103" s="435">
        <v>12</v>
      </c>
      <c r="K103" s="384">
        <f t="shared" si="5"/>
        <v>50</v>
      </c>
      <c r="L103" s="384">
        <f t="shared" si="5"/>
        <v>0</v>
      </c>
      <c r="M103" s="384">
        <f t="shared" si="5"/>
        <v>50</v>
      </c>
      <c r="N103" s="421">
        <f t="shared" si="6"/>
        <v>100</v>
      </c>
      <c r="O103" s="383">
        <v>39.700000000000003</v>
      </c>
      <c r="P103" s="384"/>
      <c r="Q103" s="384">
        <v>28.6</v>
      </c>
      <c r="R103" s="385">
        <f t="shared" si="7"/>
        <v>68.300000000000011</v>
      </c>
      <c r="S103" s="334">
        <v>2</v>
      </c>
      <c r="T103" s="342">
        <v>39214</v>
      </c>
      <c r="U103" s="355">
        <v>39226</v>
      </c>
      <c r="V103" s="343" t="s">
        <v>568</v>
      </c>
      <c r="W103" s="334" t="s">
        <v>74</v>
      </c>
      <c r="X103" s="334" t="s">
        <v>11</v>
      </c>
      <c r="Y103" s="344">
        <v>39.700000000000003</v>
      </c>
      <c r="Z103" s="343" t="s">
        <v>570</v>
      </c>
      <c r="AA103" s="334" t="s">
        <v>116</v>
      </c>
      <c r="AB103" s="334" t="s">
        <v>12</v>
      </c>
      <c r="AC103" s="334">
        <v>28.6</v>
      </c>
      <c r="AD103" s="343"/>
      <c r="AG103" s="344"/>
      <c r="AH103" s="452"/>
      <c r="AL103" s="343"/>
      <c r="AO103" s="344"/>
      <c r="AP103" s="343"/>
      <c r="AS103" s="344"/>
      <c r="AW103" s="344"/>
      <c r="BA103" s="345"/>
    </row>
    <row r="104" spans="1:53" s="334" customFormat="1">
      <c r="A104" s="334">
        <v>2008</v>
      </c>
      <c r="C104" s="992" t="s">
        <v>297</v>
      </c>
      <c r="D104" s="992"/>
      <c r="E104" s="334">
        <v>0</v>
      </c>
      <c r="G104" s="419">
        <v>6</v>
      </c>
      <c r="I104" s="334">
        <v>6</v>
      </c>
      <c r="J104" s="435">
        <v>12</v>
      </c>
      <c r="K104" s="384">
        <f t="shared" si="5"/>
        <v>50</v>
      </c>
      <c r="L104" s="384">
        <f t="shared" si="5"/>
        <v>0</v>
      </c>
      <c r="M104" s="384">
        <f t="shared" si="5"/>
        <v>50</v>
      </c>
      <c r="N104" s="421">
        <f t="shared" si="6"/>
        <v>100</v>
      </c>
      <c r="O104" s="383">
        <v>39.700000000000003</v>
      </c>
      <c r="P104" s="384"/>
      <c r="Q104" s="384">
        <v>28.6</v>
      </c>
      <c r="R104" s="385">
        <f t="shared" si="7"/>
        <v>68.300000000000011</v>
      </c>
      <c r="S104" s="334">
        <v>2</v>
      </c>
      <c r="T104" s="357"/>
      <c r="V104" s="343" t="s">
        <v>568</v>
      </c>
      <c r="W104" s="334" t="s">
        <v>74</v>
      </c>
      <c r="X104" s="334" t="s">
        <v>11</v>
      </c>
      <c r="Y104" s="344">
        <v>39.700000000000003</v>
      </c>
      <c r="Z104" s="334" t="s">
        <v>570</v>
      </c>
      <c r="AA104" s="334" t="s">
        <v>116</v>
      </c>
      <c r="AB104" s="334" t="s">
        <v>12</v>
      </c>
      <c r="AC104" s="334">
        <v>28.6</v>
      </c>
      <c r="AD104" s="343"/>
      <c r="AG104" s="344"/>
      <c r="AH104" s="452"/>
      <c r="AL104" s="343"/>
      <c r="AO104" s="344"/>
      <c r="AP104" s="343"/>
      <c r="AS104" s="344"/>
      <c r="AW104" s="344"/>
      <c r="BA104" s="345"/>
    </row>
    <row r="105" spans="1:53" s="334" customFormat="1">
      <c r="A105" s="334">
        <v>2008</v>
      </c>
      <c r="C105" s="992" t="s">
        <v>297</v>
      </c>
      <c r="D105" s="992"/>
      <c r="E105" s="334">
        <v>366</v>
      </c>
      <c r="G105" s="419">
        <v>6</v>
      </c>
      <c r="I105" s="334">
        <v>6</v>
      </c>
      <c r="J105" s="435">
        <v>12</v>
      </c>
      <c r="K105" s="384">
        <f t="shared" si="5"/>
        <v>50</v>
      </c>
      <c r="L105" s="384">
        <f t="shared" si="5"/>
        <v>0</v>
      </c>
      <c r="M105" s="384">
        <f t="shared" si="5"/>
        <v>50</v>
      </c>
      <c r="N105" s="421">
        <f t="shared" si="6"/>
        <v>100</v>
      </c>
      <c r="O105" s="383">
        <v>39.700000000000003</v>
      </c>
      <c r="P105" s="384"/>
      <c r="Q105" s="384">
        <v>28.6</v>
      </c>
      <c r="R105" s="385">
        <f t="shared" si="7"/>
        <v>68.300000000000011</v>
      </c>
      <c r="S105" s="334">
        <v>2</v>
      </c>
      <c r="T105" s="357"/>
      <c r="V105" s="343" t="s">
        <v>568</v>
      </c>
      <c r="W105" s="334" t="s">
        <v>74</v>
      </c>
      <c r="X105" s="334" t="s">
        <v>11</v>
      </c>
      <c r="Y105" s="344">
        <v>39.700000000000003</v>
      </c>
      <c r="Z105" s="334" t="s">
        <v>570</v>
      </c>
      <c r="AA105" s="334" t="s">
        <v>116</v>
      </c>
      <c r="AB105" s="334" t="s">
        <v>12</v>
      </c>
      <c r="AC105" s="334">
        <v>28.6</v>
      </c>
      <c r="AD105" s="343"/>
      <c r="AG105" s="344"/>
      <c r="AH105" s="452"/>
      <c r="AL105" s="343"/>
      <c r="AO105" s="344"/>
      <c r="AP105" s="343"/>
      <c r="AS105" s="344"/>
      <c r="AW105" s="344"/>
      <c r="BA105" s="345"/>
    </row>
    <row r="106" spans="1:53" s="334" customFormat="1">
      <c r="A106" s="334">
        <v>2009</v>
      </c>
      <c r="C106" s="992" t="s">
        <v>297</v>
      </c>
      <c r="D106" s="992"/>
      <c r="E106" s="334">
        <v>31</v>
      </c>
      <c r="G106" s="419">
        <v>6</v>
      </c>
      <c r="I106" s="334">
        <v>6</v>
      </c>
      <c r="J106" s="435">
        <v>12</v>
      </c>
      <c r="K106" s="384">
        <f t="shared" si="5"/>
        <v>50</v>
      </c>
      <c r="L106" s="384">
        <f t="shared" si="5"/>
        <v>0</v>
      </c>
      <c r="M106" s="384">
        <f t="shared" si="5"/>
        <v>50</v>
      </c>
      <c r="N106" s="421">
        <f t="shared" si="6"/>
        <v>100</v>
      </c>
      <c r="O106" s="383">
        <v>39.700000000000003</v>
      </c>
      <c r="P106" s="384"/>
      <c r="Q106" s="384">
        <v>28.6</v>
      </c>
      <c r="R106" s="385">
        <f t="shared" si="7"/>
        <v>68.300000000000011</v>
      </c>
      <c r="S106" s="334">
        <v>2</v>
      </c>
      <c r="T106" s="357"/>
      <c r="V106" s="343" t="s">
        <v>568</v>
      </c>
      <c r="W106" s="334" t="s">
        <v>74</v>
      </c>
      <c r="X106" s="334" t="s">
        <v>11</v>
      </c>
      <c r="Y106" s="344">
        <v>39.700000000000003</v>
      </c>
      <c r="Z106" s="334" t="s">
        <v>570</v>
      </c>
      <c r="AA106" s="334" t="s">
        <v>116</v>
      </c>
      <c r="AB106" s="334" t="s">
        <v>12</v>
      </c>
      <c r="AC106" s="334">
        <v>28.6</v>
      </c>
      <c r="AD106" s="343"/>
      <c r="AG106" s="344"/>
      <c r="AH106" s="452"/>
      <c r="AL106" s="343"/>
      <c r="AO106" s="344"/>
      <c r="AP106" s="343"/>
      <c r="AS106" s="344"/>
      <c r="AW106" s="344"/>
      <c r="BA106" s="345"/>
    </row>
    <row r="107" spans="1:53" s="73" customFormat="1">
      <c r="A107" s="73">
        <v>2009</v>
      </c>
      <c r="B107" s="85">
        <v>39845</v>
      </c>
      <c r="C107" s="988" t="s">
        <v>1183</v>
      </c>
      <c r="D107" s="988"/>
      <c r="E107" s="73">
        <v>98</v>
      </c>
      <c r="F107" s="73">
        <v>2</v>
      </c>
      <c r="G107" s="123"/>
      <c r="I107" s="73">
        <v>8</v>
      </c>
      <c r="J107" s="134">
        <v>10</v>
      </c>
      <c r="K107" s="92">
        <f t="shared" si="5"/>
        <v>0</v>
      </c>
      <c r="L107" s="92">
        <f t="shared" si="5"/>
        <v>0</v>
      </c>
      <c r="M107" s="92">
        <f t="shared" si="5"/>
        <v>80</v>
      </c>
      <c r="N107" s="125">
        <f t="shared" si="6"/>
        <v>80</v>
      </c>
      <c r="O107" s="91"/>
      <c r="P107" s="92"/>
      <c r="Q107" s="92">
        <v>42.9</v>
      </c>
      <c r="R107" s="93">
        <f t="shared" si="7"/>
        <v>42.9</v>
      </c>
      <c r="S107" s="73">
        <v>5</v>
      </c>
      <c r="T107" s="81"/>
      <c r="U107" s="85">
        <v>39845</v>
      </c>
      <c r="V107" s="82" t="s">
        <v>570</v>
      </c>
      <c r="W107" s="73" t="s">
        <v>116</v>
      </c>
      <c r="X107" s="73" t="s">
        <v>12</v>
      </c>
      <c r="Y107" s="83">
        <v>28.6</v>
      </c>
      <c r="Z107" s="73" t="s">
        <v>571</v>
      </c>
      <c r="AA107" s="73" t="s">
        <v>114</v>
      </c>
      <c r="AB107" s="73" t="s">
        <v>12</v>
      </c>
      <c r="AC107" s="73">
        <v>14.3</v>
      </c>
      <c r="AD107" s="82"/>
      <c r="AG107" s="83"/>
      <c r="AH107" s="164"/>
      <c r="AL107" s="82"/>
      <c r="AO107" s="83"/>
      <c r="AP107" s="82"/>
      <c r="AS107" s="83"/>
      <c r="AW107" s="83"/>
      <c r="BA107" s="84"/>
    </row>
    <row r="108" spans="1:53" s="334" customFormat="1">
      <c r="A108" s="334">
        <v>2009</v>
      </c>
      <c r="B108" s="355">
        <v>39943</v>
      </c>
      <c r="C108" s="992" t="s">
        <v>1184</v>
      </c>
      <c r="D108" s="992"/>
      <c r="E108" s="334">
        <f>365-E106-E107</f>
        <v>236</v>
      </c>
      <c r="F108" s="334">
        <v>1</v>
      </c>
      <c r="G108" s="419"/>
      <c r="I108" s="334">
        <v>10</v>
      </c>
      <c r="J108" s="435">
        <v>12</v>
      </c>
      <c r="K108" s="384">
        <f t="shared" si="5"/>
        <v>0</v>
      </c>
      <c r="L108" s="384">
        <f t="shared" si="5"/>
        <v>0</v>
      </c>
      <c r="M108" s="384">
        <f t="shared" si="5"/>
        <v>83.333333333333343</v>
      </c>
      <c r="N108" s="421">
        <f t="shared" si="6"/>
        <v>83.333333333333343</v>
      </c>
      <c r="O108" s="383"/>
      <c r="P108" s="384"/>
      <c r="Q108" s="384">
        <v>53.9</v>
      </c>
      <c r="R108" s="385">
        <f t="shared" si="7"/>
        <v>53.9</v>
      </c>
      <c r="S108" s="334">
        <v>2</v>
      </c>
      <c r="T108" s="342">
        <v>39928</v>
      </c>
      <c r="U108" s="355">
        <v>39943</v>
      </c>
      <c r="V108" s="343" t="s">
        <v>570</v>
      </c>
      <c r="W108" s="334" t="s">
        <v>116</v>
      </c>
      <c r="X108" s="334" t="s">
        <v>12</v>
      </c>
      <c r="Y108" s="344">
        <v>31.7</v>
      </c>
      <c r="Z108" s="334" t="s">
        <v>571</v>
      </c>
      <c r="AA108" s="334" t="s">
        <v>114</v>
      </c>
      <c r="AB108" s="334" t="s">
        <v>12</v>
      </c>
      <c r="AC108" s="334">
        <v>22.2</v>
      </c>
      <c r="AD108" s="343"/>
      <c r="AG108" s="344"/>
      <c r="AH108" s="452"/>
      <c r="AL108" s="343"/>
      <c r="AO108" s="344"/>
      <c r="AP108" s="343"/>
      <c r="AS108" s="344"/>
      <c r="AW108" s="344"/>
      <c r="BA108" s="345"/>
    </row>
    <row r="109" spans="1:53" s="334" customFormat="1">
      <c r="A109" s="334">
        <v>2010</v>
      </c>
      <c r="C109" s="992" t="s">
        <v>1184</v>
      </c>
      <c r="D109" s="992"/>
      <c r="E109" s="334">
        <v>244</v>
      </c>
      <c r="G109" s="419"/>
      <c r="I109" s="334">
        <v>10</v>
      </c>
      <c r="J109" s="435">
        <v>12</v>
      </c>
      <c r="K109" s="384">
        <f t="shared" si="5"/>
        <v>0</v>
      </c>
      <c r="L109" s="384">
        <f t="shared" si="5"/>
        <v>0</v>
      </c>
      <c r="M109" s="384">
        <f t="shared" si="5"/>
        <v>83.333333333333343</v>
      </c>
      <c r="N109" s="421">
        <f t="shared" si="6"/>
        <v>83.333333333333343</v>
      </c>
      <c r="O109" s="383"/>
      <c r="P109" s="384"/>
      <c r="Q109" s="384">
        <v>53.9</v>
      </c>
      <c r="R109" s="385">
        <f t="shared" si="7"/>
        <v>53.9</v>
      </c>
      <c r="S109" s="334">
        <v>2</v>
      </c>
      <c r="T109" s="357"/>
      <c r="V109" s="343" t="s">
        <v>570</v>
      </c>
      <c r="W109" s="334" t="s">
        <v>116</v>
      </c>
      <c r="X109" s="334" t="s">
        <v>12</v>
      </c>
      <c r="Y109" s="344">
        <v>31.7</v>
      </c>
      <c r="Z109" s="334" t="s">
        <v>571</v>
      </c>
      <c r="AA109" s="334" t="s">
        <v>114</v>
      </c>
      <c r="AB109" s="334" t="s">
        <v>12</v>
      </c>
      <c r="AC109" s="334">
        <v>22.2</v>
      </c>
      <c r="AD109" s="343"/>
      <c r="AG109" s="344"/>
      <c r="AH109" s="452"/>
      <c r="AL109" s="343"/>
      <c r="AO109" s="344"/>
      <c r="AP109" s="343"/>
      <c r="AS109" s="344"/>
      <c r="AW109" s="344"/>
      <c r="BA109" s="345"/>
    </row>
    <row r="110" spans="1:53" s="334" customFormat="1">
      <c r="A110" s="334">
        <v>2010</v>
      </c>
      <c r="B110" s="445">
        <v>40423</v>
      </c>
      <c r="C110" s="992" t="s">
        <v>1184</v>
      </c>
      <c r="D110" s="992"/>
      <c r="E110" s="334">
        <f>365-E109</f>
        <v>121</v>
      </c>
      <c r="F110" s="441">
        <v>0</v>
      </c>
      <c r="G110" s="419"/>
      <c r="I110" s="334">
        <v>10</v>
      </c>
      <c r="J110" s="435">
        <v>10</v>
      </c>
      <c r="K110" s="384">
        <f t="shared" si="5"/>
        <v>0</v>
      </c>
      <c r="L110" s="384">
        <f t="shared" si="5"/>
        <v>0</v>
      </c>
      <c r="M110" s="384">
        <f t="shared" si="5"/>
        <v>100</v>
      </c>
      <c r="N110" s="421">
        <f t="shared" si="6"/>
        <v>100</v>
      </c>
      <c r="O110" s="383"/>
      <c r="P110" s="384"/>
      <c r="Q110" s="384">
        <v>53.9</v>
      </c>
      <c r="R110" s="385">
        <f t="shared" si="7"/>
        <v>53.9</v>
      </c>
      <c r="S110" s="334">
        <v>2</v>
      </c>
      <c r="T110" s="357"/>
      <c r="V110" s="343" t="s">
        <v>570</v>
      </c>
      <c r="W110" s="334" t="s">
        <v>116</v>
      </c>
      <c r="X110" s="334" t="s">
        <v>12</v>
      </c>
      <c r="Y110" s="344">
        <v>31.7</v>
      </c>
      <c r="Z110" s="334" t="s">
        <v>571</v>
      </c>
      <c r="AA110" s="334" t="s">
        <v>114</v>
      </c>
      <c r="AB110" s="334" t="s">
        <v>12</v>
      </c>
      <c r="AC110" s="334">
        <v>22.2</v>
      </c>
      <c r="AD110" s="343"/>
      <c r="AG110" s="344"/>
      <c r="AH110" s="452"/>
      <c r="AL110" s="343"/>
      <c r="AO110" s="344"/>
      <c r="AP110" s="343"/>
      <c r="AS110" s="344"/>
      <c r="AW110" s="344"/>
      <c r="BA110" s="345"/>
    </row>
    <row r="111" spans="1:53" s="334" customFormat="1">
      <c r="A111" s="334">
        <v>2011</v>
      </c>
      <c r="B111" s="445"/>
      <c r="C111" s="992" t="s">
        <v>1184</v>
      </c>
      <c r="D111" s="992"/>
      <c r="E111" s="334">
        <v>364</v>
      </c>
      <c r="F111" s="441"/>
      <c r="G111" s="419"/>
      <c r="I111" s="334">
        <v>10</v>
      </c>
      <c r="J111" s="435">
        <v>10</v>
      </c>
      <c r="K111" s="384">
        <f t="shared" si="5"/>
        <v>0</v>
      </c>
      <c r="L111" s="384">
        <f t="shared" si="5"/>
        <v>0</v>
      </c>
      <c r="M111" s="384">
        <f t="shared" si="5"/>
        <v>100</v>
      </c>
      <c r="N111" s="421">
        <f t="shared" si="6"/>
        <v>100</v>
      </c>
      <c r="O111" s="383"/>
      <c r="P111" s="384"/>
      <c r="Q111" s="384">
        <v>53.9</v>
      </c>
      <c r="R111" s="385">
        <f t="shared" si="7"/>
        <v>53.9</v>
      </c>
      <c r="S111" s="334">
        <v>2</v>
      </c>
      <c r="T111" s="357"/>
      <c r="V111" s="343" t="s">
        <v>570</v>
      </c>
      <c r="W111" s="334" t="s">
        <v>116</v>
      </c>
      <c r="X111" s="334" t="s">
        <v>12</v>
      </c>
      <c r="Y111" s="344">
        <v>31.7</v>
      </c>
      <c r="Z111" s="334" t="s">
        <v>571</v>
      </c>
      <c r="AA111" s="334" t="s">
        <v>114</v>
      </c>
      <c r="AB111" s="334" t="s">
        <v>12</v>
      </c>
      <c r="AC111" s="334">
        <v>22.2</v>
      </c>
      <c r="AD111" s="343"/>
      <c r="AG111" s="344"/>
      <c r="AH111" s="452"/>
      <c r="AL111" s="343"/>
      <c r="AO111" s="344"/>
      <c r="AP111" s="343"/>
      <c r="AS111" s="344"/>
      <c r="AW111" s="344"/>
      <c r="BA111" s="345"/>
    </row>
    <row r="112" spans="1:53" s="334" customFormat="1">
      <c r="A112" s="334">
        <v>2011</v>
      </c>
      <c r="B112" s="445">
        <v>40908</v>
      </c>
      <c r="C112" s="992" t="s">
        <v>1184</v>
      </c>
      <c r="D112" s="992"/>
      <c r="E112" s="334">
        <f>365-E111</f>
        <v>1</v>
      </c>
      <c r="F112" s="441">
        <v>0</v>
      </c>
      <c r="G112" s="419"/>
      <c r="I112" s="334">
        <v>9</v>
      </c>
      <c r="J112" s="435">
        <v>9</v>
      </c>
      <c r="K112" s="384">
        <f t="shared" si="5"/>
        <v>0</v>
      </c>
      <c r="L112" s="384">
        <f t="shared" si="5"/>
        <v>0</v>
      </c>
      <c r="M112" s="384">
        <f t="shared" si="5"/>
        <v>100</v>
      </c>
      <c r="N112" s="421">
        <f t="shared" si="6"/>
        <v>100</v>
      </c>
      <c r="O112" s="383"/>
      <c r="P112" s="384"/>
      <c r="Q112" s="384">
        <v>53.9</v>
      </c>
      <c r="R112" s="385">
        <f t="shared" si="7"/>
        <v>53.9</v>
      </c>
      <c r="S112" s="334">
        <v>2</v>
      </c>
      <c r="T112" s="357"/>
      <c r="V112" s="343" t="s">
        <v>570</v>
      </c>
      <c r="W112" s="334" t="s">
        <v>116</v>
      </c>
      <c r="X112" s="334" t="s">
        <v>12</v>
      </c>
      <c r="Y112" s="344">
        <v>31.7</v>
      </c>
      <c r="Z112" s="334" t="s">
        <v>571</v>
      </c>
      <c r="AA112" s="334" t="s">
        <v>114</v>
      </c>
      <c r="AB112" s="334" t="s">
        <v>12</v>
      </c>
      <c r="AC112" s="334">
        <v>22.2</v>
      </c>
      <c r="AD112" s="343"/>
      <c r="AG112" s="344"/>
      <c r="AH112" s="452"/>
      <c r="AL112" s="343"/>
      <c r="AO112" s="344"/>
      <c r="AP112" s="343"/>
      <c r="AS112" s="344"/>
      <c r="AW112" s="344"/>
      <c r="BA112" s="345"/>
    </row>
    <row r="113" spans="1:53" s="334" customFormat="1">
      <c r="A113" s="334">
        <v>2012</v>
      </c>
      <c r="C113" s="992" t="s">
        <v>1184</v>
      </c>
      <c r="D113" s="992"/>
      <c r="E113" s="334">
        <v>0</v>
      </c>
      <c r="G113" s="419"/>
      <c r="I113" s="334">
        <v>9</v>
      </c>
      <c r="J113" s="435">
        <v>9</v>
      </c>
      <c r="K113" s="384">
        <f t="shared" si="5"/>
        <v>0</v>
      </c>
      <c r="L113" s="384">
        <f t="shared" si="5"/>
        <v>0</v>
      </c>
      <c r="M113" s="384">
        <f t="shared" si="5"/>
        <v>100</v>
      </c>
      <c r="N113" s="421">
        <f t="shared" si="6"/>
        <v>100</v>
      </c>
      <c r="O113" s="383"/>
      <c r="P113" s="384"/>
      <c r="Q113" s="384">
        <v>53.9</v>
      </c>
      <c r="R113" s="385">
        <f t="shared" si="7"/>
        <v>53.9</v>
      </c>
      <c r="S113" s="334">
        <v>2</v>
      </c>
      <c r="T113" s="357"/>
      <c r="V113" s="343" t="s">
        <v>570</v>
      </c>
      <c r="W113" s="334" t="s">
        <v>116</v>
      </c>
      <c r="X113" s="334" t="s">
        <v>12</v>
      </c>
      <c r="Y113" s="344">
        <v>31.7</v>
      </c>
      <c r="Z113" s="334" t="s">
        <v>571</v>
      </c>
      <c r="AA113" s="334" t="s">
        <v>114</v>
      </c>
      <c r="AB113" s="334" t="s">
        <v>12</v>
      </c>
      <c r="AC113" s="334">
        <v>22.2</v>
      </c>
      <c r="AD113" s="343"/>
      <c r="AG113" s="344"/>
      <c r="AH113" s="452"/>
      <c r="AL113" s="343"/>
      <c r="AO113" s="344"/>
      <c r="AP113" s="343"/>
      <c r="AS113" s="344"/>
      <c r="AW113" s="344"/>
      <c r="BA113" s="345"/>
    </row>
    <row r="114" spans="1:53" s="334" customFormat="1">
      <c r="A114" s="334">
        <v>2012</v>
      </c>
      <c r="C114" s="992" t="s">
        <v>1184</v>
      </c>
      <c r="D114" s="992"/>
      <c r="E114" s="334">
        <v>366</v>
      </c>
      <c r="G114" s="419"/>
      <c r="I114" s="334">
        <v>9</v>
      </c>
      <c r="J114" s="435">
        <v>9</v>
      </c>
      <c r="K114" s="384">
        <f t="shared" si="5"/>
        <v>0</v>
      </c>
      <c r="L114" s="384">
        <f t="shared" si="5"/>
        <v>0</v>
      </c>
      <c r="M114" s="384">
        <f t="shared" si="5"/>
        <v>100</v>
      </c>
      <c r="N114" s="421">
        <f t="shared" si="6"/>
        <v>100</v>
      </c>
      <c r="O114" s="383"/>
      <c r="P114" s="384"/>
      <c r="Q114" s="384">
        <v>53.9</v>
      </c>
      <c r="R114" s="385">
        <f t="shared" si="7"/>
        <v>53.9</v>
      </c>
      <c r="S114" s="334">
        <v>2</v>
      </c>
      <c r="T114" s="357"/>
      <c r="V114" s="343" t="s">
        <v>570</v>
      </c>
      <c r="W114" s="334" t="s">
        <v>116</v>
      </c>
      <c r="X114" s="334" t="s">
        <v>12</v>
      </c>
      <c r="Y114" s="344">
        <v>31.7</v>
      </c>
      <c r="Z114" s="334" t="s">
        <v>571</v>
      </c>
      <c r="AA114" s="334" t="s">
        <v>114</v>
      </c>
      <c r="AB114" s="334" t="s">
        <v>12</v>
      </c>
      <c r="AC114" s="334">
        <v>22.2</v>
      </c>
      <c r="AD114" s="343"/>
      <c r="AG114" s="344"/>
      <c r="AH114" s="452"/>
      <c r="AL114" s="343"/>
      <c r="AO114" s="344"/>
      <c r="AP114" s="343"/>
      <c r="AS114" s="344"/>
      <c r="AW114" s="344"/>
      <c r="BA114" s="345"/>
    </row>
    <row r="115" spans="1:53" s="334" customFormat="1">
      <c r="A115" s="334">
        <v>2013</v>
      </c>
      <c r="C115" s="992" t="s">
        <v>1184</v>
      </c>
      <c r="D115" s="992"/>
      <c r="E115" s="334">
        <v>142</v>
      </c>
      <c r="G115" s="419"/>
      <c r="I115" s="334">
        <v>9</v>
      </c>
      <c r="J115" s="435">
        <v>9</v>
      </c>
      <c r="K115" s="384">
        <f t="shared" si="5"/>
        <v>0</v>
      </c>
      <c r="L115" s="384">
        <f t="shared" si="5"/>
        <v>0</v>
      </c>
      <c r="M115" s="384">
        <f t="shared" si="5"/>
        <v>100</v>
      </c>
      <c r="N115" s="421">
        <f t="shared" si="6"/>
        <v>100</v>
      </c>
      <c r="O115" s="383"/>
      <c r="P115" s="384"/>
      <c r="Q115" s="384">
        <v>53.9</v>
      </c>
      <c r="R115" s="385">
        <f>O115+P115+Q115</f>
        <v>53.9</v>
      </c>
      <c r="S115" s="334">
        <v>2</v>
      </c>
      <c r="T115" s="357"/>
      <c r="V115" s="343" t="s">
        <v>570</v>
      </c>
      <c r="W115" s="334" t="s">
        <v>307</v>
      </c>
      <c r="X115" s="334" t="s">
        <v>12</v>
      </c>
      <c r="Y115" s="344">
        <v>31.7</v>
      </c>
      <c r="Z115" s="334" t="s">
        <v>571</v>
      </c>
      <c r="AA115" s="334" t="s">
        <v>114</v>
      </c>
      <c r="AB115" s="334" t="s">
        <v>12</v>
      </c>
      <c r="AC115" s="334">
        <v>22.2</v>
      </c>
      <c r="AD115" s="343"/>
      <c r="AG115" s="344"/>
      <c r="AH115" s="452"/>
      <c r="AL115" s="343"/>
      <c r="AO115" s="344"/>
      <c r="AP115" s="343"/>
      <c r="AS115" s="344"/>
      <c r="AW115" s="344"/>
      <c r="BA115" s="345"/>
    </row>
    <row r="116" spans="1:53" s="321" customFormat="1">
      <c r="A116" s="321">
        <v>2013</v>
      </c>
      <c r="B116" s="320">
        <v>41417</v>
      </c>
      <c r="C116" s="988" t="s">
        <v>1256</v>
      </c>
      <c r="D116" s="988"/>
      <c r="E116" s="321">
        <f>365-E115</f>
        <v>223</v>
      </c>
      <c r="F116" s="321">
        <v>1</v>
      </c>
      <c r="G116" s="123">
        <v>5</v>
      </c>
      <c r="H116" s="321">
        <v>4</v>
      </c>
      <c r="J116" s="134">
        <v>9</v>
      </c>
      <c r="K116" s="92">
        <f t="shared" ref="K116:M118" si="8">G116/$J116*100</f>
        <v>55.555555555555557</v>
      </c>
      <c r="L116" s="92">
        <f t="shared" si="8"/>
        <v>44.444444444444443</v>
      </c>
      <c r="M116" s="92">
        <f t="shared" si="8"/>
        <v>0</v>
      </c>
      <c r="N116" s="125">
        <f>K116+L116+M116</f>
        <v>100</v>
      </c>
      <c r="O116" s="91">
        <v>30.2</v>
      </c>
      <c r="P116" s="92">
        <v>30.2</v>
      </c>
      <c r="Q116" s="92"/>
      <c r="R116" s="93">
        <f>O116+P116+Q116</f>
        <v>60.4</v>
      </c>
      <c r="S116" s="321">
        <v>2</v>
      </c>
      <c r="T116" s="95">
        <v>41391</v>
      </c>
      <c r="U116" s="320">
        <v>41417</v>
      </c>
      <c r="V116" s="82" t="s">
        <v>486</v>
      </c>
      <c r="W116" s="321" t="s">
        <v>286</v>
      </c>
      <c r="X116" s="321" t="s">
        <v>18</v>
      </c>
      <c r="Y116" s="83">
        <v>30.2</v>
      </c>
      <c r="Z116" s="321" t="s">
        <v>568</v>
      </c>
      <c r="AA116" s="321" t="s">
        <v>74</v>
      </c>
      <c r="AB116" s="321" t="s">
        <v>11</v>
      </c>
      <c r="AC116" s="321">
        <v>30.2</v>
      </c>
      <c r="AD116" s="82"/>
      <c r="AG116" s="83"/>
      <c r="AH116" s="164"/>
      <c r="AL116" s="82"/>
      <c r="AO116" s="83"/>
      <c r="AP116" s="82"/>
      <c r="AS116" s="83"/>
      <c r="AW116" s="83"/>
      <c r="BA116" s="84"/>
    </row>
    <row r="117" spans="1:53" s="537" customFormat="1">
      <c r="A117" s="537">
        <v>2014</v>
      </c>
      <c r="B117" s="483"/>
      <c r="C117" s="988" t="s">
        <v>1256</v>
      </c>
      <c r="D117" s="988"/>
      <c r="E117" s="537">
        <v>364</v>
      </c>
      <c r="F117" s="484"/>
      <c r="G117" s="480">
        <v>5</v>
      </c>
      <c r="H117" s="537">
        <v>4</v>
      </c>
      <c r="J117" s="482">
        <v>9</v>
      </c>
      <c r="K117" s="477">
        <f t="shared" si="8"/>
        <v>55.555555555555557</v>
      </c>
      <c r="L117" s="477">
        <f t="shared" si="8"/>
        <v>44.444444444444443</v>
      </c>
      <c r="M117" s="477">
        <f t="shared" si="8"/>
        <v>0</v>
      </c>
      <c r="N117" s="481">
        <f>K117+L117+M117</f>
        <v>100</v>
      </c>
      <c r="O117" s="476">
        <v>30.2</v>
      </c>
      <c r="P117" s="477">
        <v>30.2</v>
      </c>
      <c r="Q117" s="477"/>
      <c r="R117" s="478">
        <f>O117+P117+Q117</f>
        <v>60.4</v>
      </c>
      <c r="S117" s="537">
        <v>2</v>
      </c>
      <c r="T117" s="479"/>
      <c r="U117" s="534"/>
      <c r="V117" s="472" t="s">
        <v>486</v>
      </c>
      <c r="W117" s="537" t="s">
        <v>286</v>
      </c>
      <c r="X117" s="537" t="s">
        <v>18</v>
      </c>
      <c r="Y117" s="473">
        <v>30.2</v>
      </c>
      <c r="Z117" s="537" t="s">
        <v>568</v>
      </c>
      <c r="AA117" s="537" t="s">
        <v>74</v>
      </c>
      <c r="AB117" s="537" t="s">
        <v>11</v>
      </c>
      <c r="AC117" s="537">
        <v>30.2</v>
      </c>
      <c r="AD117" s="472"/>
      <c r="AG117" s="473"/>
      <c r="AH117" s="164"/>
      <c r="AL117" s="472"/>
      <c r="AO117" s="473"/>
      <c r="AP117" s="472"/>
      <c r="AS117" s="473"/>
      <c r="AW117" s="473"/>
      <c r="BA117" s="474"/>
    </row>
    <row r="118" spans="1:53" s="537" customFormat="1">
      <c r="A118" s="537">
        <v>2014</v>
      </c>
      <c r="B118" s="483">
        <v>42004</v>
      </c>
      <c r="C118" s="988" t="s">
        <v>1256</v>
      </c>
      <c r="D118" s="988"/>
      <c r="E118" s="537">
        <v>1</v>
      </c>
      <c r="F118" s="484">
        <v>0</v>
      </c>
      <c r="G118" s="480">
        <v>5</v>
      </c>
      <c r="H118" s="537">
        <v>5</v>
      </c>
      <c r="J118" s="482">
        <v>10</v>
      </c>
      <c r="K118" s="477">
        <f t="shared" si="8"/>
        <v>50</v>
      </c>
      <c r="L118" s="477">
        <f t="shared" si="8"/>
        <v>50</v>
      </c>
      <c r="M118" s="477">
        <f t="shared" si="8"/>
        <v>0</v>
      </c>
      <c r="N118" s="481">
        <f>K118+L118+M118</f>
        <v>100</v>
      </c>
      <c r="O118" s="476">
        <v>30.2</v>
      </c>
      <c r="P118" s="477">
        <v>30.2</v>
      </c>
      <c r="Q118" s="477"/>
      <c r="R118" s="478">
        <f>O118+P118+Q118</f>
        <v>60.4</v>
      </c>
      <c r="S118" s="537">
        <v>2</v>
      </c>
      <c r="T118" s="479"/>
      <c r="U118" s="534"/>
      <c r="V118" s="472" t="s">
        <v>486</v>
      </c>
      <c r="W118" s="537" t="s">
        <v>286</v>
      </c>
      <c r="X118" s="537" t="s">
        <v>18</v>
      </c>
      <c r="Y118" s="473">
        <v>30.2</v>
      </c>
      <c r="Z118" s="537" t="s">
        <v>568</v>
      </c>
      <c r="AA118" s="537" t="s">
        <v>74</v>
      </c>
      <c r="AB118" s="537" t="s">
        <v>11</v>
      </c>
      <c r="AC118" s="537">
        <v>30.2</v>
      </c>
      <c r="AD118" s="472"/>
      <c r="AG118" s="473"/>
      <c r="AH118" s="164"/>
      <c r="AL118" s="472"/>
      <c r="AO118" s="473"/>
      <c r="AP118" s="472"/>
      <c r="AS118" s="473"/>
      <c r="AW118" s="473"/>
      <c r="BA118" s="474"/>
    </row>
    <row r="119" spans="1:53" s="722" customFormat="1">
      <c r="A119" s="722">
        <v>2015</v>
      </c>
      <c r="B119" s="599"/>
      <c r="C119" s="988" t="s">
        <v>1256</v>
      </c>
      <c r="D119" s="988"/>
      <c r="E119" s="722">
        <v>0</v>
      </c>
      <c r="F119" s="600"/>
      <c r="G119" s="596">
        <v>5</v>
      </c>
      <c r="H119" s="722">
        <v>5</v>
      </c>
      <c r="J119" s="598">
        <v>10</v>
      </c>
      <c r="K119" s="593">
        <f t="shared" ref="K119:K121" si="9">G119/$J119*100</f>
        <v>50</v>
      </c>
      <c r="L119" s="593">
        <f t="shared" ref="L119:L121" si="10">H119/$J119*100</f>
        <v>50</v>
      </c>
      <c r="M119" s="593">
        <f t="shared" ref="M119:M121" si="11">I119/$J119*100</f>
        <v>0</v>
      </c>
      <c r="N119" s="597">
        <f t="shared" ref="N119:N121" si="12">K119+L119+M119</f>
        <v>100</v>
      </c>
      <c r="O119" s="592">
        <v>30.2</v>
      </c>
      <c r="P119" s="593">
        <v>30.2</v>
      </c>
      <c r="Q119" s="593"/>
      <c r="R119" s="594">
        <f t="shared" ref="R119:R120" si="13">O119+P119+Q119</f>
        <v>60.4</v>
      </c>
      <c r="S119" s="722">
        <v>2</v>
      </c>
      <c r="T119" s="595"/>
      <c r="U119" s="718"/>
      <c r="V119" s="588" t="s">
        <v>486</v>
      </c>
      <c r="W119" s="722" t="s">
        <v>286</v>
      </c>
      <c r="X119" s="722" t="s">
        <v>18</v>
      </c>
      <c r="Y119" s="589">
        <v>30.2</v>
      </c>
      <c r="Z119" s="722" t="s">
        <v>568</v>
      </c>
      <c r="AA119" s="722" t="s">
        <v>74</v>
      </c>
      <c r="AB119" s="722" t="s">
        <v>11</v>
      </c>
      <c r="AC119" s="722">
        <v>30.2</v>
      </c>
      <c r="AD119" s="588"/>
      <c r="AG119" s="589"/>
      <c r="AH119" s="164"/>
      <c r="AL119" s="588"/>
      <c r="AO119" s="589"/>
      <c r="AP119" s="588"/>
      <c r="AS119" s="589"/>
      <c r="AW119" s="589"/>
      <c r="BA119" s="590"/>
    </row>
    <row r="120" spans="1:53" s="722" customFormat="1">
      <c r="A120" s="722">
        <v>2015</v>
      </c>
      <c r="B120" s="599"/>
      <c r="C120" s="988" t="s">
        <v>1256</v>
      </c>
      <c r="D120" s="988"/>
      <c r="E120" s="722">
        <v>365</v>
      </c>
      <c r="F120" s="600"/>
      <c r="G120" s="596">
        <v>5</v>
      </c>
      <c r="H120" s="722">
        <v>5</v>
      </c>
      <c r="J120" s="598">
        <v>10</v>
      </c>
      <c r="K120" s="593">
        <f t="shared" si="9"/>
        <v>50</v>
      </c>
      <c r="L120" s="593">
        <f t="shared" si="10"/>
        <v>50</v>
      </c>
      <c r="M120" s="593">
        <f t="shared" si="11"/>
        <v>0</v>
      </c>
      <c r="N120" s="597">
        <f t="shared" si="12"/>
        <v>100</v>
      </c>
      <c r="O120" s="592">
        <v>30.2</v>
      </c>
      <c r="P120" s="593">
        <v>30.2</v>
      </c>
      <c r="Q120" s="593"/>
      <c r="R120" s="594">
        <f t="shared" si="13"/>
        <v>60.4</v>
      </c>
      <c r="S120" s="722">
        <v>2</v>
      </c>
      <c r="T120" s="595"/>
      <c r="U120" s="718"/>
      <c r="V120" s="588" t="s">
        <v>486</v>
      </c>
      <c r="W120" s="722" t="s">
        <v>286</v>
      </c>
      <c r="X120" s="722" t="s">
        <v>18</v>
      </c>
      <c r="Y120" s="589">
        <v>30.2</v>
      </c>
      <c r="Z120" s="722" t="s">
        <v>568</v>
      </c>
      <c r="AA120" s="722" t="s">
        <v>74</v>
      </c>
      <c r="AB120" s="722" t="s">
        <v>11</v>
      </c>
      <c r="AC120" s="722">
        <v>30.2</v>
      </c>
      <c r="AD120" s="588"/>
      <c r="AG120" s="589"/>
      <c r="AH120" s="164"/>
      <c r="AL120" s="588"/>
      <c r="AO120" s="589"/>
      <c r="AP120" s="588"/>
      <c r="AS120" s="589"/>
      <c r="AW120" s="589"/>
      <c r="BA120" s="590"/>
    </row>
    <row r="121" spans="1:53" s="813" customFormat="1">
      <c r="A121" s="813">
        <v>2016</v>
      </c>
      <c r="B121" s="599"/>
      <c r="C121" s="988" t="s">
        <v>1256</v>
      </c>
      <c r="D121" s="988"/>
      <c r="E121" s="813">
        <v>97</v>
      </c>
      <c r="F121" s="600"/>
      <c r="G121" s="596">
        <v>5</v>
      </c>
      <c r="H121" s="813">
        <v>5</v>
      </c>
      <c r="J121" s="598">
        <v>10</v>
      </c>
      <c r="K121" s="593">
        <f t="shared" si="9"/>
        <v>50</v>
      </c>
      <c r="L121" s="593">
        <f t="shared" si="10"/>
        <v>50</v>
      </c>
      <c r="M121" s="593">
        <f t="shared" si="11"/>
        <v>0</v>
      </c>
      <c r="N121" s="597">
        <f t="shared" si="12"/>
        <v>100</v>
      </c>
      <c r="O121" s="592">
        <v>30.2</v>
      </c>
      <c r="P121" s="593">
        <v>30.2</v>
      </c>
      <c r="Q121" s="593"/>
      <c r="R121" s="594">
        <f t="shared" ref="R121" si="14">O121+P121+Q121</f>
        <v>60.4</v>
      </c>
      <c r="S121" s="575">
        <v>2</v>
      </c>
      <c r="T121" s="575"/>
      <c r="V121" s="588" t="s">
        <v>486</v>
      </c>
      <c r="W121" s="813" t="s">
        <v>286</v>
      </c>
      <c r="X121" s="813" t="s">
        <v>18</v>
      </c>
      <c r="Y121" s="589">
        <v>30.2</v>
      </c>
      <c r="Z121" s="813" t="s">
        <v>568</v>
      </c>
      <c r="AA121" s="813" t="s">
        <v>74</v>
      </c>
      <c r="AB121" s="813" t="s">
        <v>11</v>
      </c>
      <c r="AC121" s="813">
        <v>30.2</v>
      </c>
      <c r="AD121" s="588"/>
      <c r="AG121" s="589"/>
      <c r="AH121" s="164"/>
      <c r="AL121" s="588"/>
      <c r="AO121" s="589"/>
      <c r="AP121" s="588"/>
      <c r="AS121" s="589"/>
      <c r="AW121" s="589"/>
      <c r="BA121" s="590"/>
    </row>
    <row r="122" spans="1:53" s="812" customFormat="1">
      <c r="A122" s="812">
        <v>2016</v>
      </c>
      <c r="B122" s="811">
        <v>42467</v>
      </c>
      <c r="C122" s="992" t="s">
        <v>1356</v>
      </c>
      <c r="D122" s="992"/>
      <c r="E122" s="812">
        <v>269</v>
      </c>
      <c r="F122" s="636">
        <v>1</v>
      </c>
      <c r="G122" s="812">
        <v>5</v>
      </c>
      <c r="H122" s="812">
        <v>5</v>
      </c>
      <c r="J122" s="644">
        <v>10</v>
      </c>
      <c r="K122" s="640">
        <f t="shared" ref="K122:K125" si="15">G122/$J122*100</f>
        <v>50</v>
      </c>
      <c r="L122" s="640">
        <f t="shared" ref="L122:L125" si="16">H122/$J122*100</f>
        <v>50</v>
      </c>
      <c r="M122" s="640">
        <f t="shared" ref="M122:M124" si="17">I122/$J122*100</f>
        <v>0</v>
      </c>
      <c r="N122" s="643">
        <f t="shared" ref="N122:N124" si="18">K122+L122+M122</f>
        <v>100</v>
      </c>
      <c r="O122" s="639">
        <v>33.299999999999997</v>
      </c>
      <c r="P122" s="640">
        <v>12.7</v>
      </c>
      <c r="Q122" s="640"/>
      <c r="R122" s="641">
        <f t="shared" ref="R122:R125" si="19">O122+P122+Q122</f>
        <v>46</v>
      </c>
      <c r="S122" s="812">
        <v>6</v>
      </c>
      <c r="T122" s="487"/>
      <c r="U122" s="811">
        <v>42467</v>
      </c>
      <c r="V122" s="634" t="s">
        <v>486</v>
      </c>
      <c r="W122" s="812" t="s">
        <v>286</v>
      </c>
      <c r="X122" s="812" t="s">
        <v>18</v>
      </c>
      <c r="Y122" s="635">
        <v>30.2</v>
      </c>
      <c r="Z122" s="812" t="s">
        <v>568</v>
      </c>
      <c r="AA122" s="812" t="s">
        <v>74</v>
      </c>
      <c r="AB122" s="812" t="s">
        <v>11</v>
      </c>
      <c r="AC122" s="812">
        <v>30.2</v>
      </c>
      <c r="AD122" s="634"/>
      <c r="AG122" s="635"/>
      <c r="AH122" s="452"/>
    </row>
    <row r="123" spans="1:53" s="895" customFormat="1">
      <c r="A123" s="895">
        <v>2017</v>
      </c>
      <c r="B123" s="893"/>
      <c r="C123" s="992" t="s">
        <v>1356</v>
      </c>
      <c r="D123" s="992"/>
      <c r="E123" s="895">
        <v>10</v>
      </c>
      <c r="F123" s="636"/>
      <c r="G123" s="895">
        <v>5</v>
      </c>
      <c r="H123" s="895">
        <v>5</v>
      </c>
      <c r="J123" s="644">
        <v>10</v>
      </c>
      <c r="K123" s="640">
        <f t="shared" si="15"/>
        <v>50</v>
      </c>
      <c r="L123" s="640">
        <f t="shared" si="16"/>
        <v>50</v>
      </c>
      <c r="M123" s="640">
        <f t="shared" si="17"/>
        <v>0</v>
      </c>
      <c r="N123" s="643">
        <f t="shared" si="18"/>
        <v>100</v>
      </c>
      <c r="O123" s="639">
        <v>33.299999999999997</v>
      </c>
      <c r="P123" s="640">
        <v>12.7</v>
      </c>
      <c r="Q123" s="640"/>
      <c r="R123" s="641">
        <f t="shared" si="19"/>
        <v>46</v>
      </c>
      <c r="S123" s="895">
        <v>6</v>
      </c>
      <c r="T123" s="487"/>
      <c r="U123" s="893"/>
      <c r="V123" s="634" t="s">
        <v>486</v>
      </c>
      <c r="W123" s="895" t="s">
        <v>286</v>
      </c>
      <c r="X123" s="895" t="s">
        <v>18</v>
      </c>
      <c r="Y123" s="635">
        <v>30.2</v>
      </c>
      <c r="Z123" s="895" t="s">
        <v>568</v>
      </c>
      <c r="AA123" s="895" t="s">
        <v>74</v>
      </c>
      <c r="AB123" s="895" t="s">
        <v>11</v>
      </c>
      <c r="AC123" s="895">
        <v>30.2</v>
      </c>
      <c r="AD123" s="634"/>
      <c r="AG123" s="635"/>
      <c r="AH123" s="452"/>
    </row>
    <row r="124" spans="1:53" s="896" customFormat="1">
      <c r="A124" s="896">
        <v>2017</v>
      </c>
      <c r="B124" s="894">
        <v>42746</v>
      </c>
      <c r="C124" s="988" t="s">
        <v>283</v>
      </c>
      <c r="D124" s="988"/>
      <c r="E124" s="896">
        <v>323</v>
      </c>
      <c r="F124" s="590">
        <v>1</v>
      </c>
      <c r="G124" s="896">
        <v>11</v>
      </c>
      <c r="J124" s="598">
        <v>11</v>
      </c>
      <c r="K124" s="593">
        <f t="shared" si="15"/>
        <v>100</v>
      </c>
      <c r="L124" s="593">
        <f t="shared" si="16"/>
        <v>0</v>
      </c>
      <c r="M124" s="593">
        <f t="shared" si="17"/>
        <v>0</v>
      </c>
      <c r="N124" s="597">
        <f t="shared" si="18"/>
        <v>100</v>
      </c>
      <c r="O124" s="592">
        <v>50.7</v>
      </c>
      <c r="P124" s="593"/>
      <c r="Q124" s="593"/>
      <c r="R124" s="594">
        <f t="shared" si="19"/>
        <v>50.7</v>
      </c>
      <c r="S124" s="896">
        <v>3</v>
      </c>
      <c r="T124" s="595">
        <v>42671</v>
      </c>
      <c r="U124" s="894">
        <v>42746</v>
      </c>
      <c r="V124" s="588" t="s">
        <v>568</v>
      </c>
      <c r="W124" s="896" t="s">
        <v>74</v>
      </c>
      <c r="X124" s="896" t="s">
        <v>11</v>
      </c>
      <c r="Y124" s="589">
        <v>33.299999999999997</v>
      </c>
      <c r="Z124" s="896" t="s">
        <v>414</v>
      </c>
      <c r="AA124" s="896" t="s">
        <v>76</v>
      </c>
      <c r="AB124" s="924" t="s">
        <v>11</v>
      </c>
      <c r="AC124" s="896">
        <v>11.1</v>
      </c>
      <c r="AD124" s="588" t="s">
        <v>1389</v>
      </c>
      <c r="AE124" s="896" t="s">
        <v>88</v>
      </c>
      <c r="AF124" s="924" t="s">
        <v>11</v>
      </c>
      <c r="AG124" s="589">
        <v>6.3</v>
      </c>
      <c r="AH124" s="164"/>
    </row>
    <row r="125" spans="1:53" s="895" customFormat="1">
      <c r="A125" s="895">
        <v>2017</v>
      </c>
      <c r="B125" s="893">
        <v>43069</v>
      </c>
      <c r="C125" s="992" t="s">
        <v>1390</v>
      </c>
      <c r="D125" s="992"/>
      <c r="E125" s="895">
        <v>32</v>
      </c>
      <c r="F125" s="636">
        <v>1</v>
      </c>
      <c r="G125" s="895">
        <v>5</v>
      </c>
      <c r="H125" s="895">
        <v>3</v>
      </c>
      <c r="I125" s="895">
        <v>3</v>
      </c>
      <c r="J125" s="644">
        <v>11</v>
      </c>
      <c r="K125" s="640">
        <f t="shared" si="15"/>
        <v>45.454545454545453</v>
      </c>
      <c r="L125" s="640">
        <f t="shared" si="16"/>
        <v>27.27272727272727</v>
      </c>
      <c r="M125" s="640">
        <f t="shared" ref="M125" si="20">I125/$J125*100</f>
        <v>27.27272727272727</v>
      </c>
      <c r="N125" s="643">
        <f t="shared" ref="N125" si="21">K125+L125+M125</f>
        <v>99.999999999999986</v>
      </c>
      <c r="O125" s="639">
        <v>25.4</v>
      </c>
      <c r="P125" s="640">
        <v>12.7</v>
      </c>
      <c r="Q125" s="640">
        <v>17.5</v>
      </c>
      <c r="R125" s="641">
        <f t="shared" si="19"/>
        <v>55.599999999999994</v>
      </c>
      <c r="S125" s="895">
        <v>2</v>
      </c>
      <c r="T125" s="487">
        <v>43036</v>
      </c>
      <c r="U125" s="893">
        <v>43069</v>
      </c>
      <c r="V125" s="634" t="s">
        <v>568</v>
      </c>
      <c r="W125" s="895" t="s">
        <v>74</v>
      </c>
      <c r="X125" s="895" t="s">
        <v>11</v>
      </c>
      <c r="Y125" s="635">
        <v>25.4</v>
      </c>
      <c r="Z125" s="895" t="s">
        <v>571</v>
      </c>
      <c r="AA125" s="895" t="s">
        <v>114</v>
      </c>
      <c r="AB125" s="895" t="s">
        <v>12</v>
      </c>
      <c r="AC125" s="895">
        <v>17.5</v>
      </c>
      <c r="AD125" s="634" t="s">
        <v>486</v>
      </c>
      <c r="AE125" s="895" t="s">
        <v>75</v>
      </c>
      <c r="AF125" s="895" t="s">
        <v>18</v>
      </c>
      <c r="AG125" s="635">
        <v>12.7</v>
      </c>
      <c r="AH125" s="452"/>
    </row>
    <row r="126" spans="1:53" s="932" customFormat="1">
      <c r="A126" s="932">
        <v>2018</v>
      </c>
      <c r="B126" s="928"/>
      <c r="C126" s="992" t="s">
        <v>1390</v>
      </c>
      <c r="D126" s="992"/>
      <c r="E126" s="932">
        <v>0</v>
      </c>
      <c r="F126" s="636"/>
      <c r="G126" s="932">
        <v>5</v>
      </c>
      <c r="H126" s="932">
        <v>3</v>
      </c>
      <c r="I126" s="932">
        <v>3</v>
      </c>
      <c r="J126" s="644">
        <v>11</v>
      </c>
      <c r="K126" s="640">
        <f t="shared" ref="K126:K127" si="22">G126/$J126*100</f>
        <v>45.454545454545453</v>
      </c>
      <c r="L126" s="640">
        <f t="shared" ref="L126:L127" si="23">H126/$J126*100</f>
        <v>27.27272727272727</v>
      </c>
      <c r="M126" s="640">
        <f t="shared" ref="M126:M127" si="24">I126/$J126*100</f>
        <v>27.27272727272727</v>
      </c>
      <c r="N126" s="643">
        <f t="shared" ref="N126:N127" si="25">K126+L126+M126</f>
        <v>99.999999999999986</v>
      </c>
      <c r="O126" s="639">
        <v>25.4</v>
      </c>
      <c r="P126" s="640">
        <v>12.7</v>
      </c>
      <c r="Q126" s="640">
        <v>17.5</v>
      </c>
      <c r="R126" s="641">
        <f t="shared" ref="R126:R127" si="26">O126+P126+Q126</f>
        <v>55.599999999999994</v>
      </c>
      <c r="S126" s="932">
        <v>2</v>
      </c>
      <c r="T126" s="487"/>
      <c r="U126" s="928"/>
      <c r="V126" s="634" t="s">
        <v>568</v>
      </c>
      <c r="W126" s="932" t="s">
        <v>74</v>
      </c>
      <c r="X126" s="932" t="s">
        <v>11</v>
      </c>
      <c r="Y126" s="635">
        <v>25.4</v>
      </c>
      <c r="Z126" s="932" t="s">
        <v>571</v>
      </c>
      <c r="AA126" s="932" t="s">
        <v>114</v>
      </c>
      <c r="AB126" s="932" t="s">
        <v>12</v>
      </c>
      <c r="AC126" s="932">
        <v>17.5</v>
      </c>
      <c r="AD126" s="634" t="s">
        <v>486</v>
      </c>
      <c r="AE126" s="932" t="s">
        <v>75</v>
      </c>
      <c r="AF126" s="932" t="s">
        <v>18</v>
      </c>
      <c r="AG126" s="635">
        <v>12.7</v>
      </c>
      <c r="AH126" s="452"/>
    </row>
    <row r="127" spans="1:53" s="932" customFormat="1">
      <c r="A127" s="932">
        <v>2018</v>
      </c>
      <c r="B127" s="928"/>
      <c r="C127" s="992" t="s">
        <v>1390</v>
      </c>
      <c r="D127" s="992"/>
      <c r="E127" s="932">
        <v>365</v>
      </c>
      <c r="F127" s="636"/>
      <c r="G127" s="932">
        <v>5</v>
      </c>
      <c r="H127" s="932">
        <v>3</v>
      </c>
      <c r="I127" s="932">
        <v>3</v>
      </c>
      <c r="J127" s="644">
        <v>11</v>
      </c>
      <c r="K127" s="640">
        <f t="shared" si="22"/>
        <v>45.454545454545453</v>
      </c>
      <c r="L127" s="640">
        <f t="shared" si="23"/>
        <v>27.27272727272727</v>
      </c>
      <c r="M127" s="640">
        <f t="shared" si="24"/>
        <v>27.27272727272727</v>
      </c>
      <c r="N127" s="643">
        <f t="shared" si="25"/>
        <v>99.999999999999986</v>
      </c>
      <c r="O127" s="639">
        <v>25.4</v>
      </c>
      <c r="P127" s="640">
        <v>12.7</v>
      </c>
      <c r="Q127" s="640">
        <v>17.5</v>
      </c>
      <c r="R127" s="641">
        <f t="shared" si="26"/>
        <v>55.599999999999994</v>
      </c>
      <c r="S127" s="932">
        <v>2</v>
      </c>
      <c r="T127" s="487"/>
      <c r="U127" s="928"/>
      <c r="V127" s="634" t="s">
        <v>568</v>
      </c>
      <c r="W127" s="932" t="s">
        <v>74</v>
      </c>
      <c r="X127" s="932" t="s">
        <v>11</v>
      </c>
      <c r="Y127" s="635">
        <v>25.4</v>
      </c>
      <c r="Z127" s="932" t="s">
        <v>571</v>
      </c>
      <c r="AA127" s="932" t="s">
        <v>114</v>
      </c>
      <c r="AB127" s="932" t="s">
        <v>12</v>
      </c>
      <c r="AC127" s="932">
        <v>17.5</v>
      </c>
      <c r="AD127" s="634" t="s">
        <v>486</v>
      </c>
      <c r="AE127" s="932" t="s">
        <v>75</v>
      </c>
      <c r="AF127" s="932" t="s">
        <v>18</v>
      </c>
      <c r="AG127" s="635">
        <v>12.7</v>
      </c>
      <c r="AH127" s="452"/>
    </row>
    <row r="128" spans="1:53">
      <c r="C128" s="1029"/>
      <c r="D128" s="1029"/>
      <c r="I128" s="17"/>
    </row>
    <row r="129" spans="1:34">
      <c r="C129" s="1029"/>
      <c r="D129" s="1029"/>
      <c r="I129" s="17"/>
    </row>
    <row r="130" spans="1:34" s="2" customFormat="1" ht="18" customHeight="1">
      <c r="B130" s="22" t="s">
        <v>1278</v>
      </c>
    </row>
    <row r="131" spans="1:34" s="2" customFormat="1" ht="8.25" customHeight="1">
      <c r="B131" s="22"/>
    </row>
    <row r="132" spans="1:34" s="364" customFormat="1" ht="9" customHeight="1">
      <c r="A132" s="362"/>
      <c r="B132" s="363" t="s">
        <v>1229</v>
      </c>
      <c r="C132" s="363"/>
      <c r="D132" s="363"/>
      <c r="E132" s="363"/>
      <c r="F132" s="363"/>
      <c r="G132" s="363" t="s">
        <v>1230</v>
      </c>
      <c r="H132" s="363"/>
      <c r="I132" s="363"/>
      <c r="J132" s="363"/>
      <c r="K132" s="363"/>
      <c r="L132" s="363"/>
      <c r="M132" s="363"/>
      <c r="N132" s="363"/>
      <c r="R132" s="982" t="s">
        <v>1231</v>
      </c>
      <c r="S132" s="982"/>
      <c r="T132" s="982"/>
      <c r="U132" s="982"/>
      <c r="V132" s="982"/>
      <c r="W132" s="982"/>
      <c r="X132" s="365"/>
      <c r="Y132" s="365"/>
      <c r="AA132" s="365"/>
      <c r="AB132" s="365"/>
      <c r="AC132" s="365"/>
      <c r="AD132" s="365"/>
    </row>
    <row r="133" spans="1:34" s="369" customFormat="1" ht="9" customHeight="1">
      <c r="A133" s="366"/>
      <c r="B133" s="367" t="s">
        <v>1233</v>
      </c>
      <c r="C133" s="368"/>
      <c r="D133" s="368"/>
      <c r="E133" s="368"/>
      <c r="F133" s="368"/>
      <c r="G133" s="367" t="s">
        <v>1232</v>
      </c>
      <c r="H133" s="368"/>
      <c r="I133" s="368"/>
      <c r="J133" s="368"/>
      <c r="K133" s="368"/>
      <c r="L133" s="368"/>
      <c r="M133" s="368"/>
      <c r="N133" s="368"/>
      <c r="R133" s="370" t="s">
        <v>1234</v>
      </c>
      <c r="S133" s="371"/>
      <c r="T133" s="372"/>
      <c r="U133" s="372"/>
      <c r="V133" s="372"/>
      <c r="W133" s="370" t="s">
        <v>1235</v>
      </c>
      <c r="X133" s="372"/>
      <c r="Y133" s="372"/>
      <c r="AA133" s="372"/>
      <c r="AB133" s="372"/>
      <c r="AC133" s="372"/>
      <c r="AD133" s="372"/>
    </row>
    <row r="134" spans="1:34" s="351" customFormat="1" ht="12" customHeight="1">
      <c r="A134" s="373" t="s">
        <v>3</v>
      </c>
      <c r="B134" s="374" t="s">
        <v>8</v>
      </c>
      <c r="C134" s="374" t="s">
        <v>9</v>
      </c>
      <c r="D134" s="374" t="s">
        <v>10</v>
      </c>
      <c r="E134" s="375" t="s">
        <v>1209</v>
      </c>
      <c r="F134" s="374"/>
      <c r="G134" s="351" t="s">
        <v>3</v>
      </c>
      <c r="H134" s="983" t="s">
        <v>0</v>
      </c>
      <c r="I134" s="983"/>
      <c r="J134" s="983" t="s">
        <v>1</v>
      </c>
      <c r="K134" s="983"/>
      <c r="L134" s="983" t="s">
        <v>2</v>
      </c>
      <c r="M134" s="983"/>
      <c r="N134" s="984" t="s">
        <v>1209</v>
      </c>
      <c r="O134" s="984"/>
      <c r="P134" s="376"/>
      <c r="Q134" s="376"/>
      <c r="R134" s="377" t="s">
        <v>3</v>
      </c>
      <c r="S134" s="378" t="s">
        <v>136</v>
      </c>
      <c r="T134" s="376" t="s">
        <v>134</v>
      </c>
      <c r="U134" s="374" t="s">
        <v>135</v>
      </c>
      <c r="V134" s="376"/>
      <c r="W134" s="379" t="s">
        <v>26</v>
      </c>
    </row>
    <row r="135" spans="1:34" s="273" customFormat="1">
      <c r="A135" s="273">
        <v>1959</v>
      </c>
      <c r="B135" s="274">
        <f>K6*($E6/365)+K7*($E7/365)</f>
        <v>7.6712328767123275</v>
      </c>
      <c r="C135" s="274">
        <f>L6*($E6/365)+L7*($E7/365)</f>
        <v>0</v>
      </c>
      <c r="D135" s="274">
        <f>M6*($E6/365)+M7*($E7/365)</f>
        <v>92.328767123287676</v>
      </c>
      <c r="E135" s="276">
        <f>B135+C135+D135</f>
        <v>100</v>
      </c>
      <c r="G135" s="273">
        <v>1959</v>
      </c>
      <c r="H135" s="991">
        <f>(O6/$R6*100*($E6/365))+(O7/$R7*100*($E7/365))</f>
        <v>8.3686176836861783</v>
      </c>
      <c r="I135" s="991"/>
      <c r="J135" s="991">
        <f>(P6/$R6*100*($E6/365))+(P7/$R7*100*($E7/365))</f>
        <v>0</v>
      </c>
      <c r="K135" s="991"/>
      <c r="L135" s="991">
        <f>(Q6/$R6*100*($E6/365))+(Q7/$R7*100*($E7/365))</f>
        <v>91.631382316313818</v>
      </c>
      <c r="M135" s="991"/>
      <c r="N135" s="993">
        <f>H135+J135+L135</f>
        <v>100</v>
      </c>
      <c r="O135" s="993"/>
      <c r="R135" s="273">
        <v>1959</v>
      </c>
      <c r="S135" s="274">
        <f>(O6*($E6/365)) + (O7*($E7/365))</f>
        <v>4.602739726027397</v>
      </c>
      <c r="T135" s="274">
        <f>(P6*($E6/365)) + (P7*($E7/365))</f>
        <v>0</v>
      </c>
      <c r="U135" s="274">
        <f>(Q6*($E6/365)) + (Q7*($E7/365))</f>
        <v>15.000000000000002</v>
      </c>
      <c r="V135" s="274"/>
      <c r="W135" s="274">
        <f>S135+T135+U135</f>
        <v>19.602739726027398</v>
      </c>
      <c r="AH135" s="280"/>
    </row>
    <row r="136" spans="1:34">
      <c r="A136" s="1">
        <v>1960</v>
      </c>
      <c r="B136" s="7">
        <f>K8*($E8/366)+K9*($E9/366)</f>
        <v>66.666666666666657</v>
      </c>
      <c r="C136" s="7">
        <f>L8*($E8/366)+L9*($E9/366)</f>
        <v>0</v>
      </c>
      <c r="D136" s="7">
        <f>M8*($E8/366)+M9*($E9/366)</f>
        <v>33.333333333333329</v>
      </c>
      <c r="E136" s="51">
        <f>B136+C136+D136</f>
        <v>99.999999999999986</v>
      </c>
      <c r="G136" s="1">
        <v>1960</v>
      </c>
      <c r="H136" s="989">
        <f>(O8*100*($E8/366)/($O8+$P8+$Q8))+(O9*100*($E9/366)/($O9+$P9+$Q9))</f>
        <v>72.727272727272734</v>
      </c>
      <c r="I136" s="989"/>
      <c r="J136" s="989">
        <f>(P8*100*($E8/366)/($O8+$P8+$Q8))+(P9*100*($E9/366)/($O9+$P9+$Q9))</f>
        <v>0</v>
      </c>
      <c r="K136" s="989"/>
      <c r="L136" s="989">
        <f>(Q8*100*($E8/366)/($O8+$P8+$Q8))+(Q9*100*($E9/366)/($O9+$P9+$Q9))</f>
        <v>27.272727272727273</v>
      </c>
      <c r="M136" s="989"/>
      <c r="N136" s="990">
        <f>H136+J136+L136</f>
        <v>100</v>
      </c>
      <c r="O136" s="990"/>
      <c r="R136" s="1">
        <v>1960</v>
      </c>
      <c r="S136" s="7">
        <f>(O8*($E8/366)) + (O9*($E9/366))</f>
        <v>40</v>
      </c>
      <c r="T136" s="7">
        <f>(P8*($E8/366)) + (P9*($E9/366))</f>
        <v>0</v>
      </c>
      <c r="U136" s="7">
        <f>(Q8*($E8/366)) + (Q9*($E9/366))</f>
        <v>15</v>
      </c>
      <c r="V136" s="7"/>
      <c r="W136" s="7">
        <f>S136+T136+U136</f>
        <v>55</v>
      </c>
    </row>
    <row r="137" spans="1:34">
      <c r="A137" s="1">
        <v>1961</v>
      </c>
      <c r="B137" s="7">
        <f>K10*($E10/365)+K11*($E11/365)</f>
        <v>66.666666666666657</v>
      </c>
      <c r="C137" s="7">
        <f>L10*($E10/365)+L11*($E11/365)</f>
        <v>0</v>
      </c>
      <c r="D137" s="7">
        <f>M10*($E10/365)+M11*($E11/365)</f>
        <v>33.333333333333329</v>
      </c>
      <c r="E137" s="51">
        <f t="shared" ref="E137:E189" si="27">B137+C137+D137</f>
        <v>99.999999999999986</v>
      </c>
      <c r="G137" s="1">
        <v>1961</v>
      </c>
      <c r="H137" s="989">
        <f>(O10*100*($E10/365)/($O10+$P10+$Q10))+(O11*100*($E11/365)/($O11+$P11+$Q11))</f>
        <v>72.727272727272734</v>
      </c>
      <c r="I137" s="989"/>
      <c r="J137" s="989">
        <f>(P10*100*($E10/365)/($O10+$P10+$Q10))+(P11*100*($E11/365)/($O11+$P11+$Q11))</f>
        <v>0</v>
      </c>
      <c r="K137" s="989"/>
      <c r="L137" s="989">
        <f>(Q10*100*($E10/365)/($O10+$P10+$Q10))+(Q11*100*($E11/365)/($O11+$P11+$Q11))</f>
        <v>27.272727272727273</v>
      </c>
      <c r="M137" s="989"/>
      <c r="N137" s="990">
        <f>H137+J137+L137</f>
        <v>100</v>
      </c>
      <c r="O137" s="990"/>
      <c r="R137" s="1">
        <v>1961</v>
      </c>
      <c r="S137" s="7">
        <f>(O10*($E10/365)) + (O11*($E11/365))</f>
        <v>40</v>
      </c>
      <c r="T137" s="7">
        <f>(P10*($E10/365)) + (P11*($E11/365))</f>
        <v>0</v>
      </c>
      <c r="U137" s="7">
        <f>(Q10*($E10/365)) + (Q11*($E11/365))</f>
        <v>15</v>
      </c>
      <c r="V137" s="7"/>
      <c r="W137" s="7">
        <f t="shared" ref="W137:W189" si="28">S137+T137+U137</f>
        <v>55</v>
      </c>
    </row>
    <row r="138" spans="1:34">
      <c r="A138" s="1">
        <v>1962</v>
      </c>
      <c r="B138" s="7">
        <f>K12*($E12/365)+K13*($E13/365)</f>
        <v>66.666666666666657</v>
      </c>
      <c r="C138" s="7">
        <f>L12*($E12/365)+L13*($E13/365)</f>
        <v>0</v>
      </c>
      <c r="D138" s="7">
        <f>M12*($E12/365)+M13*($E13/365)</f>
        <v>33.333333333333329</v>
      </c>
      <c r="E138" s="51">
        <f t="shared" si="27"/>
        <v>99.999999999999986</v>
      </c>
      <c r="F138" s="2"/>
      <c r="G138" s="2">
        <v>1962</v>
      </c>
      <c r="H138" s="989">
        <f>(O12*100*($E12/365)/($O12+$P12+$Q12))+(O13*100*($E13/365)/($O13+$P13+$Q13))</f>
        <v>72.727272727272734</v>
      </c>
      <c r="I138" s="989"/>
      <c r="J138" s="989">
        <f>(P12*100*($E12/365)/($O12+$P12+$Q12))+(P13*100*($E13/365)/($O13+$P13+$Q13))</f>
        <v>0</v>
      </c>
      <c r="K138" s="989"/>
      <c r="L138" s="989">
        <f>(Q12*100*($E12/365)/($O12+$P12+$Q12))+(Q13*100*($E13/365)/($O13+$P13+$Q13))</f>
        <v>27.272727272727273</v>
      </c>
      <c r="M138" s="989"/>
      <c r="N138" s="990">
        <f t="shared" ref="N138:N188" si="29">H138+J138+L138</f>
        <v>100</v>
      </c>
      <c r="O138" s="990"/>
      <c r="R138" s="2">
        <v>1962</v>
      </c>
      <c r="S138" s="7">
        <f>(O12*($E12/365)) + (O13*($E13/365))</f>
        <v>40</v>
      </c>
      <c r="T138" s="7">
        <f>(P12*($E12/365)) + (P13*($E13/365))</f>
        <v>0</v>
      </c>
      <c r="U138" s="7">
        <f>(Q12*($E12/365)) + (Q13*($E13/365))</f>
        <v>15</v>
      </c>
      <c r="V138" s="7"/>
      <c r="W138" s="7">
        <f t="shared" si="28"/>
        <v>55</v>
      </c>
    </row>
    <row r="139" spans="1:34">
      <c r="A139" s="1">
        <v>1963</v>
      </c>
      <c r="B139" s="7">
        <f>K14*($E14/365)+K15*($E15/365)</f>
        <v>65.414220482713617</v>
      </c>
      <c r="C139" s="7">
        <f>L14*($E14/365)+L15*($E15/365)</f>
        <v>0</v>
      </c>
      <c r="D139" s="7">
        <f>M14*($E14/365)+M15*($E15/365)</f>
        <v>34.585779517286362</v>
      </c>
      <c r="E139" s="51">
        <f t="shared" si="27"/>
        <v>99.999999999999972</v>
      </c>
      <c r="F139" s="6"/>
      <c r="G139" s="2">
        <v>1963</v>
      </c>
      <c r="H139" s="989">
        <f>(O14*100*($E14/365)/($O14+$P14+$Q14))+(O15*100*($E15/365)/($O15+$P15+$Q15))</f>
        <v>73.032320168972348</v>
      </c>
      <c r="I139" s="989"/>
      <c r="J139" s="989">
        <f>(P14*100*($E14/365)/($O14+$P14+$Q14))+(P15*100*($E15/365)/($O15+$P15+$Q15))</f>
        <v>0</v>
      </c>
      <c r="K139" s="989"/>
      <c r="L139" s="989">
        <f>(Q14*100*($E14/365)/($O14+$P14+$Q14))+(Q15*100*($E15/365)/($O15+$P15+$Q15))</f>
        <v>26.967679831027638</v>
      </c>
      <c r="M139" s="989"/>
      <c r="N139" s="990">
        <f t="shared" si="29"/>
        <v>99.999999999999986</v>
      </c>
      <c r="O139" s="990"/>
      <c r="P139" s="5"/>
      <c r="Q139" s="5"/>
      <c r="R139" s="2">
        <v>1963</v>
      </c>
      <c r="S139" s="7">
        <f>(O14*($E14/365)) + (O15*($E15/365))</f>
        <v>40</v>
      </c>
      <c r="T139" s="7">
        <f>(P14*($E14/365)) + (P15*($E15/365))</f>
        <v>0</v>
      </c>
      <c r="U139" s="7">
        <f>(Q14*($E14/365)) + (Q15*($E15/365))</f>
        <v>14.776438356164382</v>
      </c>
      <c r="V139" s="7"/>
      <c r="W139" s="7">
        <f t="shared" si="28"/>
        <v>54.776438356164384</v>
      </c>
    </row>
    <row r="140" spans="1:34">
      <c r="A140" s="1">
        <v>1964</v>
      </c>
      <c r="B140" s="7">
        <f>K16*($E16/366)+K17*($E17/366)</f>
        <v>57.142857142857139</v>
      </c>
      <c r="C140" s="7">
        <f>L16*($E16/366)+L17*($E17/366)</f>
        <v>0</v>
      </c>
      <c r="D140" s="7">
        <f>M16*($E16/366)+M17*($E17/366)</f>
        <v>42.857142857142854</v>
      </c>
      <c r="E140" s="51">
        <f t="shared" si="27"/>
        <v>100</v>
      </c>
      <c r="F140" s="6"/>
      <c r="G140" s="2">
        <v>1964</v>
      </c>
      <c r="H140" s="989">
        <f>(O16*100*($E16/366)/($O16+$P16+$Q16))+(O17*100*($E17/366)/($O17+$P17+$Q17))</f>
        <v>75.046904315196997</v>
      </c>
      <c r="I140" s="989"/>
      <c r="J140" s="989">
        <f>(P16*100*($E16/366)/($O16+$P16+$Q16))+(P17*100*($E17/366)/($O17+$P17+$Q17))</f>
        <v>0</v>
      </c>
      <c r="K140" s="989"/>
      <c r="L140" s="989">
        <f>(Q16*100*($E16/366)/($O16+$P16+$Q16))+(Q17*100*($E17/366)/($O17+$P17+$Q17))</f>
        <v>24.953095684803003</v>
      </c>
      <c r="M140" s="989"/>
      <c r="N140" s="990">
        <f t="shared" si="29"/>
        <v>100</v>
      </c>
      <c r="O140" s="990"/>
      <c r="P140" s="5"/>
      <c r="Q140" s="5"/>
      <c r="R140" s="2">
        <v>1964</v>
      </c>
      <c r="S140" s="7">
        <f>(O16*($E16/366)) + (O17*($E17/366))</f>
        <v>40</v>
      </c>
      <c r="T140" s="7">
        <f>(P16*($E16/366)) + (P17*($E17/366))</f>
        <v>0</v>
      </c>
      <c r="U140" s="7">
        <f>(Q16*($E16/366)) + (Q17*($E17/366))</f>
        <v>13.3</v>
      </c>
      <c r="V140" s="7"/>
      <c r="W140" s="7">
        <f t="shared" si="28"/>
        <v>53.3</v>
      </c>
    </row>
    <row r="141" spans="1:34">
      <c r="A141" s="1">
        <v>1965</v>
      </c>
      <c r="B141" s="7">
        <f>K18*($E18/365)+K19*($E19/365)</f>
        <v>57.142857142857139</v>
      </c>
      <c r="C141" s="7">
        <f>L18*($E18/365)+L19*($E19/365)</f>
        <v>0</v>
      </c>
      <c r="D141" s="7">
        <f>M18*($E18/365)+M19*($E19/365)</f>
        <v>42.857142857142854</v>
      </c>
      <c r="E141" s="51">
        <f t="shared" si="27"/>
        <v>100</v>
      </c>
      <c r="F141" s="6"/>
      <c r="G141" s="2">
        <v>1965</v>
      </c>
      <c r="H141" s="989">
        <f>(O18*100*($E18/365)/($O18+$P18+$Q18))+(O19*100*($E19/365)/($O19+$P19+$Q19))</f>
        <v>75.046904315196997</v>
      </c>
      <c r="I141" s="989"/>
      <c r="J141" s="989">
        <f>(P18*100*($E18/366)/($O18+$P18+$Q18))+(P19*100*($E19/366)/($O19+$P19+$Q19))</f>
        <v>0</v>
      </c>
      <c r="K141" s="989"/>
      <c r="L141" s="989">
        <f>(Q18*100*($E18/365)/($O18+$P18+$Q18))+(Q19*100*($E19/365)/($O19+$P19+$Q19))</f>
        <v>24.953095684803003</v>
      </c>
      <c r="M141" s="989"/>
      <c r="N141" s="990">
        <f>H141+J141+L141</f>
        <v>100</v>
      </c>
      <c r="O141" s="990"/>
      <c r="P141" s="5"/>
      <c r="Q141" s="5"/>
      <c r="R141" s="2">
        <v>1965</v>
      </c>
      <c r="S141" s="7">
        <f>(O18*($E18/365)) + (O19*($E19/365))</f>
        <v>40</v>
      </c>
      <c r="T141" s="7">
        <f>(P18*($E18/365)) + (P19*($E19/365))</f>
        <v>0</v>
      </c>
      <c r="U141" s="7">
        <f>(Q18*($E18/365)) + (Q19*($E19/365))</f>
        <v>13.3</v>
      </c>
      <c r="V141" s="7"/>
      <c r="W141" s="7">
        <f t="shared" si="28"/>
        <v>53.3</v>
      </c>
    </row>
    <row r="142" spans="1:34">
      <c r="A142" s="1">
        <v>1966</v>
      </c>
      <c r="B142" s="7">
        <f>K20*($E20/365)+K21*($E21/365)</f>
        <v>57.142857142857139</v>
      </c>
      <c r="C142" s="7">
        <f>L20*($E20/365)+L21*($E21/365)</f>
        <v>0</v>
      </c>
      <c r="D142" s="7">
        <f>M20*($E20/365)+M21*($E21/365)</f>
        <v>42.857142857142854</v>
      </c>
      <c r="E142" s="51">
        <f t="shared" si="27"/>
        <v>100</v>
      </c>
      <c r="F142" s="6"/>
      <c r="G142" s="2">
        <v>1966</v>
      </c>
      <c r="H142" s="989">
        <f>(O20*100*($E20/365)/($O20+$P20+$Q20))+(O21*100*($E21/365)/($O21+$P21+$Q21))</f>
        <v>75.046904315196997</v>
      </c>
      <c r="I142" s="989"/>
      <c r="J142" s="989">
        <f>(P20*100*($E20/365)/($O20+$P20+$Q20))+(P21*100*($E21/365)/($O21+$P21+$Q21))</f>
        <v>0</v>
      </c>
      <c r="K142" s="989"/>
      <c r="L142" s="989">
        <f>(Q20*100*($E20/365)/($O20+$P20+$Q20))+(Q21*100*($E21/365)/($O21+$P21+$Q21))</f>
        <v>24.953095684803003</v>
      </c>
      <c r="M142" s="989"/>
      <c r="N142" s="990">
        <f>H142+J142+L142</f>
        <v>100</v>
      </c>
      <c r="O142" s="990"/>
      <c r="P142" s="5"/>
      <c r="Q142" s="5"/>
      <c r="R142" s="2">
        <v>1966</v>
      </c>
      <c r="S142" s="7">
        <f>(O20*($E20/365)) + (O21*($E21/365))</f>
        <v>40</v>
      </c>
      <c r="T142" s="7">
        <f>(P20*($E20/365)) + (P21*($E21/365))</f>
        <v>0</v>
      </c>
      <c r="U142" s="7">
        <f>(Q20*($E20/365)) + (Q21*($E21/365))</f>
        <v>13.3</v>
      </c>
      <c r="V142" s="7"/>
      <c r="W142" s="7">
        <f t="shared" si="28"/>
        <v>53.3</v>
      </c>
    </row>
    <row r="143" spans="1:34">
      <c r="A143" s="1">
        <v>1967</v>
      </c>
      <c r="B143" s="7">
        <f>K22*($E22/365)+K23*($E23/365)</f>
        <v>57.142857142857139</v>
      </c>
      <c r="C143" s="7">
        <f>L22*($E22/365)+L23*($E23/365)</f>
        <v>0</v>
      </c>
      <c r="D143" s="7">
        <f>M22*($E22/365)+M23*($E23/365)</f>
        <v>42.857142857142861</v>
      </c>
      <c r="E143" s="51">
        <f t="shared" si="27"/>
        <v>100</v>
      </c>
      <c r="F143" s="6"/>
      <c r="G143" s="2">
        <v>1967</v>
      </c>
      <c r="H143" s="989">
        <f>(O22*100*($E22/365)/($O22+$P22+$Q22))+(O23*100*($E23/365)/($O23+$P23+$Q23))</f>
        <v>73.273021665938472</v>
      </c>
      <c r="I143" s="989"/>
      <c r="J143" s="989">
        <f>(P22*100*($E22/365)/($O22+$P22+$Q22))+(P23*100*($E23/365)/($O23+$P23+$Q23))</f>
        <v>0</v>
      </c>
      <c r="K143" s="989"/>
      <c r="L143" s="989">
        <f>(Q22*100*($E22/365)/($O22+$P22+$Q22))+(Q23*100*($E23/365)/($O23+$P23+$Q23))</f>
        <v>26.726978334061531</v>
      </c>
      <c r="M143" s="989"/>
      <c r="N143" s="990">
        <f t="shared" si="29"/>
        <v>100</v>
      </c>
      <c r="O143" s="990"/>
      <c r="P143" s="5"/>
      <c r="Q143" s="5"/>
      <c r="R143" s="2">
        <v>1967</v>
      </c>
      <c r="S143" s="7">
        <f>(O22*($E22/365)) + (O23*($E23/365))</f>
        <v>39.054520547945202</v>
      </c>
      <c r="T143" s="7">
        <f>(P22*($E22/365)) + (P23*($E23/365))</f>
        <v>0</v>
      </c>
      <c r="U143" s="7">
        <f>(Q22*($E22/365)) + (Q23*($E23/365))</f>
        <v>14.245479452054795</v>
      </c>
      <c r="V143" s="7"/>
      <c r="W143" s="7">
        <f t="shared" si="28"/>
        <v>53.3</v>
      </c>
    </row>
    <row r="144" spans="1:34">
      <c r="A144" s="1">
        <v>1968</v>
      </c>
      <c r="B144" s="7">
        <f>K24*($E24/366)+K25*($E25/366)</f>
        <v>57.142857142857139</v>
      </c>
      <c r="C144" s="7">
        <f>L24*($E24/366)+L25*($E25/366)</f>
        <v>0</v>
      </c>
      <c r="D144" s="7">
        <f>M24*($E24/366)+M25*($E25/366)</f>
        <v>42.857142857142854</v>
      </c>
      <c r="E144" s="51">
        <f t="shared" si="27"/>
        <v>100</v>
      </c>
      <c r="F144" s="6"/>
      <c r="G144" s="2">
        <v>1968</v>
      </c>
      <c r="H144" s="989">
        <f>(O24*100*($E24/366)/($O24+$P24+$Q24))+(O25*100*($E25/366)/($O25+$P25+$Q25))</f>
        <v>71.857410881801115</v>
      </c>
      <c r="I144" s="989"/>
      <c r="J144" s="989">
        <f>(P24*100*($E24/366)/($O24+$P24+$Q24))+(P25*100*($E25/366)/($O25+$P25+$Q25))</f>
        <v>0</v>
      </c>
      <c r="K144" s="989"/>
      <c r="L144" s="989">
        <f>(Q24*100*($E24/366)/($O24+$P24+$Q24))+(Q25*100*($E25/366)/($O25+$P25+$Q25))</f>
        <v>28.142589118198877</v>
      </c>
      <c r="M144" s="989"/>
      <c r="N144" s="990">
        <f t="shared" si="29"/>
        <v>100</v>
      </c>
      <c r="O144" s="990"/>
      <c r="P144" s="5"/>
      <c r="Q144" s="5"/>
      <c r="R144" s="2">
        <v>1968</v>
      </c>
      <c r="S144" s="7">
        <f>(O24*($E24/366)) + (O25*($E25/366))</f>
        <v>38.299999999999997</v>
      </c>
      <c r="T144" s="7">
        <f>(P24*($E24/366)) + (P25*($E25/366))</f>
        <v>0</v>
      </c>
      <c r="U144" s="7">
        <f>(Q24*($E24/366)) + (Q25*($E25/366))</f>
        <v>15</v>
      </c>
      <c r="V144" s="7"/>
      <c r="W144" s="7">
        <f t="shared" si="28"/>
        <v>53.3</v>
      </c>
    </row>
    <row r="145" spans="1:23">
      <c r="A145" s="1">
        <v>1969</v>
      </c>
      <c r="B145" s="7">
        <f>K26*($E26/365)+K27*($E27/365)</f>
        <v>57.142857142857139</v>
      </c>
      <c r="C145" s="7">
        <f>L26*($E26/365)+L27*($E27/365)</f>
        <v>0</v>
      </c>
      <c r="D145" s="7">
        <f>M26*($E26/365)+M27*($E27/365)</f>
        <v>42.857142857142854</v>
      </c>
      <c r="E145" s="51">
        <f t="shared" si="27"/>
        <v>100</v>
      </c>
      <c r="F145" s="6"/>
      <c r="G145" s="2">
        <v>1969</v>
      </c>
      <c r="H145" s="989">
        <f>(O26*100*($E26/365)/($O26+$P26+$Q26))+(O27*100*($E27/365)/($O27+$P27+$Q27))</f>
        <v>71.857410881801115</v>
      </c>
      <c r="I145" s="989"/>
      <c r="J145" s="989">
        <f>(P26*100*($E26/365)/($O26+$P26+$Q26))+(P27*100*($E27/365)/($O27+$P27+$Q27))</f>
        <v>0</v>
      </c>
      <c r="K145" s="989"/>
      <c r="L145" s="989">
        <f>(Q26*100*($E26/365)/($O26+$P26+$Q26))+(Q27*100*($E27/365)/($O27+$P27+$Q27))</f>
        <v>28.142589118198877</v>
      </c>
      <c r="M145" s="989"/>
      <c r="N145" s="990">
        <f t="shared" si="29"/>
        <v>100</v>
      </c>
      <c r="O145" s="990"/>
      <c r="P145" s="5"/>
      <c r="Q145" s="5"/>
      <c r="R145" s="2">
        <v>1969</v>
      </c>
      <c r="S145" s="7">
        <f>(O26*($E26/365)) + (O27*($E27/365))</f>
        <v>38.299999999999997</v>
      </c>
      <c r="T145" s="7">
        <f>(P26*($E26/365)) + (P27*($E27/365))</f>
        <v>0</v>
      </c>
      <c r="U145" s="7">
        <f>(Q26*($E26/365)) + (Q27*($E27/365))</f>
        <v>15</v>
      </c>
      <c r="V145" s="7"/>
      <c r="W145" s="7">
        <f t="shared" si="28"/>
        <v>53.3</v>
      </c>
    </row>
    <row r="146" spans="1:23">
      <c r="A146" s="1">
        <v>1970</v>
      </c>
      <c r="B146" s="7">
        <f>K28*($E28/365)+K29*($E29/365)</f>
        <v>57.142857142857146</v>
      </c>
      <c r="C146" s="7">
        <f>L28*($E28/365)+L29*($E29/365)</f>
        <v>0</v>
      </c>
      <c r="D146" s="7">
        <f>M28*($E28/365)+M29*($E29/365)</f>
        <v>42.857142857142854</v>
      </c>
      <c r="E146" s="51">
        <f t="shared" si="27"/>
        <v>100</v>
      </c>
      <c r="F146" s="6"/>
      <c r="G146" s="2">
        <v>1970</v>
      </c>
      <c r="H146" s="989">
        <f>(O28*100*($E28/365)/($O28+$P28+$Q28))+(O29*100*($E29/365)/($O29+$P29+$Q29))</f>
        <v>71.85741088180113</v>
      </c>
      <c r="I146" s="989"/>
      <c r="J146" s="989">
        <f>(P28*100*($E28/365)/($O28+$P28+$Q28))+(P29*100*($E29/365)/($O29+$P29+$Q29))</f>
        <v>0</v>
      </c>
      <c r="K146" s="989"/>
      <c r="L146" s="989">
        <f>(Q28*100*($E28/365)/($O28+$P28+$Q28))+(Q29*100*($E29/365)/($O29+$P29+$Q29))</f>
        <v>28.142589118198877</v>
      </c>
      <c r="M146" s="989"/>
      <c r="N146" s="990">
        <f t="shared" si="29"/>
        <v>100</v>
      </c>
      <c r="O146" s="990"/>
      <c r="P146" s="5"/>
      <c r="Q146" s="5"/>
      <c r="R146" s="2">
        <v>1970</v>
      </c>
      <c r="S146" s="7">
        <f>(O28*($E28/365)) + (O29*($E29/365))</f>
        <v>38.299999999999997</v>
      </c>
      <c r="T146" s="7">
        <f>(P28*($E28/365)) + (P29*($E29/365))</f>
        <v>0</v>
      </c>
      <c r="U146" s="7">
        <f>(Q28*($E28/365)) + (Q29*($E29/365))</f>
        <v>15.000000000000002</v>
      </c>
      <c r="V146" s="7"/>
      <c r="W146" s="7">
        <f t="shared" si="28"/>
        <v>53.3</v>
      </c>
    </row>
    <row r="147" spans="1:23">
      <c r="A147" s="1">
        <v>1971</v>
      </c>
      <c r="B147" s="7">
        <f>K30*($E30/365)+K31*($E31/365)</f>
        <v>25.675146771037181</v>
      </c>
      <c r="C147" s="7">
        <f>L30*($E30/365)+L31*($E31/365)</f>
        <v>39.334637964774949</v>
      </c>
      <c r="D147" s="7">
        <f>M30*($E30/365)+M31*($E31/365)</f>
        <v>34.99021526418786</v>
      </c>
      <c r="E147" s="51">
        <f t="shared" si="27"/>
        <v>100</v>
      </c>
      <c r="F147" s="6"/>
      <c r="G147" s="2">
        <v>1971</v>
      </c>
      <c r="H147" s="989">
        <f>(O30*100*($E30/365)/($O30+$P30+$Q30))+(O31*100*($E31/365)/($O31+$P31+$Q31))</f>
        <v>32.286617492096944</v>
      </c>
      <c r="I147" s="989"/>
      <c r="J147" s="989">
        <f>(P30*100*($E30/365)/($O30+$P30+$Q30))+(P31*100*($E31/365)/($O31+$P31+$Q31))</f>
        <v>37.814387416793032</v>
      </c>
      <c r="K147" s="989"/>
      <c r="L147" s="989">
        <f>(Q30*100*($E30/365)/($O30+$P30+$Q30))+(Q31*100*($E31/365)/($O31+$P31+$Q31))</f>
        <v>29.898995091110024</v>
      </c>
      <c r="M147" s="989"/>
      <c r="N147" s="990">
        <f t="shared" si="29"/>
        <v>100</v>
      </c>
      <c r="O147" s="990"/>
      <c r="P147" s="5"/>
      <c r="Q147" s="5"/>
      <c r="R147" s="2">
        <v>1971</v>
      </c>
      <c r="S147" s="7">
        <f>(O30*($E30/365)) + (O31*($E31/365))</f>
        <v>17.208767123287668</v>
      </c>
      <c r="T147" s="7">
        <f>(P30*($E30/365)) + (P31*($E31/365))</f>
        <v>20.155068493150683</v>
      </c>
      <c r="U147" s="7">
        <f>(Q30*($E30/365)) + (Q31*($E31/365))</f>
        <v>15.936164383561643</v>
      </c>
      <c r="V147" s="7"/>
      <c r="W147" s="7">
        <f t="shared" si="28"/>
        <v>53.3</v>
      </c>
    </row>
    <row r="148" spans="1:23">
      <c r="A148" s="1">
        <v>1972</v>
      </c>
      <c r="B148" s="7">
        <f>K32*($E32/366)+K33*($E33/366)</f>
        <v>0</v>
      </c>
      <c r="C148" s="7">
        <f>L32*($E32/366)+L33*($E33/366)</f>
        <v>71.428571428571431</v>
      </c>
      <c r="D148" s="7">
        <f>M32*($E32/366)+M33*($E33/366)</f>
        <v>28.571428571428569</v>
      </c>
      <c r="E148" s="51">
        <f t="shared" si="27"/>
        <v>100</v>
      </c>
      <c r="F148" s="6"/>
      <c r="G148" s="2">
        <v>1972</v>
      </c>
      <c r="H148" s="989">
        <f>(O32*100*($E32/366)/($O32+$P32+$Q32))+(O33*100*($E33/366)/($O33+$P33+$Q33))</f>
        <v>0</v>
      </c>
      <c r="I148" s="989"/>
      <c r="J148" s="989">
        <f>(P32*100*($E32/366)/($O32+$P32+$Q32))+(P33*100*($E33/366)/($O33+$P33+$Q33))</f>
        <v>68.667917448405262</v>
      </c>
      <c r="K148" s="989"/>
      <c r="L148" s="989">
        <f>(Q32*100*($E32/366)/($O32+$P32+$Q32))+(Q33*100*($E33/366)/($O33+$P33+$Q33))</f>
        <v>31.332082551594748</v>
      </c>
      <c r="M148" s="989"/>
      <c r="N148" s="990">
        <f t="shared" si="29"/>
        <v>100.00000000000001</v>
      </c>
      <c r="O148" s="990"/>
      <c r="P148" s="5"/>
      <c r="Q148" s="5"/>
      <c r="R148" s="2">
        <v>1972</v>
      </c>
      <c r="S148" s="7">
        <f>(O32*($E32/366)) + (O33*($E33/366))</f>
        <v>0</v>
      </c>
      <c r="T148" s="7">
        <f>(P32*($E32/366)) + (P33*($E33/366))</f>
        <v>36.6</v>
      </c>
      <c r="U148" s="7">
        <f>(Q32*($E32/366)) + (Q33*($E33/366))</f>
        <v>16.7</v>
      </c>
      <c r="V148" s="7"/>
      <c r="W148" s="7">
        <f t="shared" si="28"/>
        <v>53.3</v>
      </c>
    </row>
    <row r="149" spans="1:23">
      <c r="A149" s="1">
        <v>1973</v>
      </c>
      <c r="B149" s="7">
        <f>K34*($E34/365)+K35*($E35/365)</f>
        <v>0</v>
      </c>
      <c r="C149" s="7">
        <f>L34*($E34/365)+L35*($E35/365)</f>
        <v>71.428571428571431</v>
      </c>
      <c r="D149" s="7">
        <f>M34*($E34/365)+M35*($E35/365)</f>
        <v>28.571428571428569</v>
      </c>
      <c r="E149" s="51">
        <f t="shared" si="27"/>
        <v>100</v>
      </c>
      <c r="F149" s="6"/>
      <c r="G149" s="2">
        <v>1973</v>
      </c>
      <c r="H149" s="989">
        <f>(O34*100*($E34/365)/($O34+$P34+$Q34))+(O35*100*($E35/365)/($O35+$P35+$Q35))</f>
        <v>0</v>
      </c>
      <c r="I149" s="989"/>
      <c r="J149" s="989">
        <f>(P34*100*($E34/365)/($O34+$P34+$Q34))+(P35*100*($E35/365)/($O35+$P35+$Q35))</f>
        <v>68.667917448405262</v>
      </c>
      <c r="K149" s="989"/>
      <c r="L149" s="989">
        <f>(Q34*100*($E34/365)/($O34+$P34+$Q34))+(Q35*100*($E35/365)/($O35+$P35+$Q35))</f>
        <v>31.332082551594748</v>
      </c>
      <c r="M149" s="989"/>
      <c r="N149" s="990">
        <f t="shared" si="29"/>
        <v>100.00000000000001</v>
      </c>
      <c r="O149" s="990"/>
      <c r="P149" s="5"/>
      <c r="Q149" s="5"/>
      <c r="R149" s="2">
        <v>1973</v>
      </c>
      <c r="S149" s="7">
        <f>(O34*($E34/365)) + (O35*($E35/365))</f>
        <v>0</v>
      </c>
      <c r="T149" s="7">
        <f>(P34*($E34/365)) + (P35*($E35/365))</f>
        <v>36.6</v>
      </c>
      <c r="U149" s="7">
        <f>(Q34*($E34/365)) + (Q35*($E35/365))</f>
        <v>16.7</v>
      </c>
      <c r="V149" s="7"/>
      <c r="W149" s="7">
        <f t="shared" si="28"/>
        <v>53.3</v>
      </c>
    </row>
    <row r="150" spans="1:23">
      <c r="A150" s="1">
        <v>1974</v>
      </c>
      <c r="B150" s="7">
        <f>K36*($E36/365)+K37*($E37/365)</f>
        <v>17.123287671232877</v>
      </c>
      <c r="C150" s="7">
        <f>L36*($E36/365)+L37*($E37/365)</f>
        <v>64.090019569471622</v>
      </c>
      <c r="D150" s="7">
        <f>M36*($E36/365)+M37*($E37/365)</f>
        <v>18.786692759295498</v>
      </c>
      <c r="E150" s="51">
        <f t="shared" si="27"/>
        <v>100</v>
      </c>
      <c r="F150" s="6"/>
      <c r="G150" s="2">
        <v>1974</v>
      </c>
      <c r="H150" s="989">
        <f>(O36*100*($E36/365)/($O36+$P36+$Q36))+(O37*100*($E37/365)/($O37+$P37+$Q37))</f>
        <v>20.401174168297455</v>
      </c>
      <c r="I150" s="989"/>
      <c r="J150" s="989">
        <f>(P36*100*($E36/365)/($O36+$P36+$Q36))+(P37*100*($E37/365)/($O37+$P37+$Q37))</f>
        <v>58.996908537503252</v>
      </c>
      <c r="K150" s="989"/>
      <c r="L150" s="989">
        <f>(Q36*100*($E36/365)/($O36+$P36+$Q36))+(Q37*100*($E37/365)/($O37+$P37+$Q37))</f>
        <v>20.601917294199286</v>
      </c>
      <c r="M150" s="989"/>
      <c r="N150" s="990">
        <f t="shared" si="29"/>
        <v>99.999999999999986</v>
      </c>
      <c r="O150" s="990"/>
      <c r="P150" s="5"/>
      <c r="Q150" s="5"/>
      <c r="R150" s="2">
        <v>1974</v>
      </c>
      <c r="S150" s="7">
        <f>(O36*($E36/365)) + (O37*($E37/365))</f>
        <v>14.28082191780822</v>
      </c>
      <c r="T150" s="7">
        <f>(P36*($E36/365)) + (P37*($E37/365))</f>
        <v>33.757534246575339</v>
      </c>
      <c r="U150" s="7">
        <f>(Q36*($E36/365)) + (Q37*($E37/365))</f>
        <v>10.980821917808218</v>
      </c>
      <c r="V150" s="7"/>
      <c r="W150" s="7">
        <f t="shared" si="28"/>
        <v>59.019178082191772</v>
      </c>
    </row>
    <row r="151" spans="1:23">
      <c r="A151" s="1">
        <v>1975</v>
      </c>
      <c r="B151" s="7">
        <f>K38*($E38/365)+K39*($E39/365)</f>
        <v>50</v>
      </c>
      <c r="C151" s="7">
        <f>L38*($E38/365)+L39*($E39/365)</f>
        <v>50</v>
      </c>
      <c r="D151" s="7">
        <f>M38*($E38/365)+M39*($E39/365)</f>
        <v>0</v>
      </c>
      <c r="E151" s="51">
        <f t="shared" si="27"/>
        <v>100</v>
      </c>
      <c r="F151" s="6"/>
      <c r="G151" s="2">
        <v>1975</v>
      </c>
      <c r="H151" s="989">
        <f>(O38*100*($E38/365)/($O38+$P38+$Q38))+(O39*100*($E39/365)/($O39+$P39+$Q39))</f>
        <v>59.571428571428569</v>
      </c>
      <c r="I151" s="989"/>
      <c r="J151" s="989">
        <f>(P38*100*($E38/365)/($O38+$P38+$Q38))+(P39*100*($E39/365)/($O39+$P39+$Q39))</f>
        <v>40.428571428571431</v>
      </c>
      <c r="K151" s="989"/>
      <c r="L151" s="989">
        <f>(Q38*100*($E38/365)/($O38+$P38+$Q38))+(Q39*100*($E39/365)/($O39+$P39+$Q39))</f>
        <v>0</v>
      </c>
      <c r="M151" s="989"/>
      <c r="N151" s="990">
        <f t="shared" si="29"/>
        <v>100</v>
      </c>
      <c r="O151" s="990"/>
      <c r="P151" s="5"/>
      <c r="Q151" s="5"/>
      <c r="R151" s="2">
        <v>1975</v>
      </c>
      <c r="S151" s="7">
        <f>(O38*($E38/365)) + (O39*($E39/365))</f>
        <v>41.7</v>
      </c>
      <c r="T151" s="7">
        <f>(P38*($E38/365)) + (P39*($E39/365))</f>
        <v>28.3</v>
      </c>
      <c r="U151" s="7">
        <f>(Q38*($E38/365)) + (Q39*($E39/365))</f>
        <v>0</v>
      </c>
      <c r="V151" s="7"/>
      <c r="W151" s="7">
        <f t="shared" si="28"/>
        <v>70</v>
      </c>
    </row>
    <row r="152" spans="1:23">
      <c r="A152" s="1">
        <v>1976</v>
      </c>
      <c r="B152" s="7">
        <f>K40*($E40/366)+K41*($E41/366)</f>
        <v>50</v>
      </c>
      <c r="C152" s="7">
        <f>L40*($E40/366)+L41*($E41/366)</f>
        <v>50</v>
      </c>
      <c r="D152" s="7">
        <f>M40*($E40/366)+M41*($E41/366)</f>
        <v>0</v>
      </c>
      <c r="E152" s="51">
        <f t="shared" si="27"/>
        <v>100</v>
      </c>
      <c r="F152" s="6"/>
      <c r="G152" s="2">
        <v>1976</v>
      </c>
      <c r="H152" s="989">
        <f>(O40*100*($E40/366)/($O40+$P40+$Q40))+(O41*100*($E41/366)/($O41+$P41+$Q41))</f>
        <v>59.571428571428569</v>
      </c>
      <c r="I152" s="989"/>
      <c r="J152" s="989">
        <f>(P40*100*($E40/366)/($O40+$P40+$Q40))+(P41*100*($E41/366)/($O41+$P41+$Q41))</f>
        <v>40.428571428571431</v>
      </c>
      <c r="K152" s="989"/>
      <c r="L152" s="989">
        <f>(Q40*100*($E40/366)/($O40+$P40+$Q40))+(Q41*100*($E41/366)/($O41+$P41+$Q41))</f>
        <v>0</v>
      </c>
      <c r="M152" s="989"/>
      <c r="N152" s="990">
        <f t="shared" si="29"/>
        <v>100</v>
      </c>
      <c r="O152" s="990"/>
      <c r="P152" s="5"/>
      <c r="Q152" s="5"/>
      <c r="R152" s="2">
        <v>1976</v>
      </c>
      <c r="S152" s="7">
        <f>(O40*($E40/366)) + (O41*($E41/366))</f>
        <v>41.7</v>
      </c>
      <c r="T152" s="7">
        <f>(P40*($E40/366)) + (P41*($E41/366))</f>
        <v>28.3</v>
      </c>
      <c r="U152" s="7">
        <f>(Q40*($E40/366)) + (Q41*($E41/366))</f>
        <v>0</v>
      </c>
      <c r="V152" s="7"/>
      <c r="W152" s="7">
        <f t="shared" si="28"/>
        <v>70</v>
      </c>
    </row>
    <row r="153" spans="1:23">
      <c r="A153" s="1">
        <v>1977</v>
      </c>
      <c r="B153" s="7">
        <f>K42*($E42/365)+K43*($E43/365)</f>
        <v>50</v>
      </c>
      <c r="C153" s="7">
        <f>L42*($E42/365)+L43*($E43/365)</f>
        <v>50</v>
      </c>
      <c r="D153" s="7">
        <f>M42*($E42/365)+M43*($E43/365)</f>
        <v>0</v>
      </c>
      <c r="E153" s="51">
        <f t="shared" si="27"/>
        <v>100</v>
      </c>
      <c r="F153" s="6"/>
      <c r="G153" s="2">
        <v>1977</v>
      </c>
      <c r="H153" s="989">
        <f>(O42*100*($E42/365)/($O42+$P42+$Q42))+(O43*100*($E43/365)/($O43+$P43+$Q43))</f>
        <v>59.571428571428569</v>
      </c>
      <c r="I153" s="989"/>
      <c r="J153" s="989">
        <f>(P42*100*($E42/365)/($O42+$P42+$Q42))+(P43*100*($E43/365)/($O43+$P43+$Q43))</f>
        <v>40.428571428571431</v>
      </c>
      <c r="K153" s="989"/>
      <c r="L153" s="989">
        <f>(Q42*100*($E42/365)/($O42+$P42+$Q42))+(Q43*100*($E43/365)/($O43+$P43+$Q43))</f>
        <v>0</v>
      </c>
      <c r="M153" s="989"/>
      <c r="N153" s="990">
        <f t="shared" si="29"/>
        <v>100</v>
      </c>
      <c r="O153" s="990"/>
      <c r="P153" s="5"/>
      <c r="Q153" s="5"/>
      <c r="R153" s="2">
        <v>1977</v>
      </c>
      <c r="S153" s="7">
        <f>(O42*($E42/365)) + (O43*($E43/365))</f>
        <v>41.7</v>
      </c>
      <c r="T153" s="7">
        <f>(P42*($E42/365)) + (P43*($E43/365))</f>
        <v>28.3</v>
      </c>
      <c r="U153" s="7">
        <f>(Q42*($E42/365)) + (Q43*($E43/365))</f>
        <v>0</v>
      </c>
      <c r="V153" s="7"/>
      <c r="W153" s="7">
        <f t="shared" si="28"/>
        <v>70</v>
      </c>
    </row>
    <row r="154" spans="1:23">
      <c r="A154" s="1">
        <v>1978</v>
      </c>
      <c r="B154" s="7">
        <f>K44*($E44/365)+K45*($E45/365)</f>
        <v>33.150684931506852</v>
      </c>
      <c r="C154" s="7">
        <f>L44*($E44/365)+L45*($E45/365)</f>
        <v>44.38356164383562</v>
      </c>
      <c r="D154" s="7">
        <f>M44*($E44/365)+M45*($E45/365)</f>
        <v>22.465753424657532</v>
      </c>
      <c r="E154" s="51">
        <f t="shared" si="27"/>
        <v>100.00000000000001</v>
      </c>
      <c r="F154" s="6"/>
      <c r="G154" s="2">
        <v>1978</v>
      </c>
      <c r="H154" s="989">
        <f>(O44*100*($E44/365)/($O44+$P44+$Q44))+(O45*100*($E45/365)/($O45+$P45+$Q45))</f>
        <v>39.496673189823881</v>
      </c>
      <c r="I154" s="989"/>
      <c r="J154" s="989">
        <f>(P44*100*($E44/365)/($O44+$P44+$Q44))+(P45*100*($E45/365)/($O45+$P45+$Q45))</f>
        <v>36.924405423035566</v>
      </c>
      <c r="K154" s="989"/>
      <c r="L154" s="989">
        <f>(Q44*100*($E44/365)/($O44+$P44+$Q44))+(Q45*100*($E45/365)/($O45+$P45+$Q45))</f>
        <v>23.578921387140568</v>
      </c>
      <c r="M154" s="989"/>
      <c r="N154" s="990">
        <f t="shared" si="29"/>
        <v>100.00000000000001</v>
      </c>
      <c r="O154" s="990"/>
      <c r="P154" s="5"/>
      <c r="Q154" s="5"/>
      <c r="R154" s="2">
        <v>1978</v>
      </c>
      <c r="S154" s="7">
        <f>(O44*($E44/365)) + (O45*($E45/365))</f>
        <v>27.647671232876718</v>
      </c>
      <c r="T154" s="7">
        <f>(P44*($E44/365)) + (P45*($E45/365))</f>
        <v>25.503013698630138</v>
      </c>
      <c r="U154" s="7">
        <f>(Q44*($E44/365)) + (Q45*($E45/365))</f>
        <v>15.703561643835616</v>
      </c>
      <c r="V154" s="7"/>
      <c r="W154" s="7">
        <f t="shared" si="28"/>
        <v>68.854246575342472</v>
      </c>
    </row>
    <row r="155" spans="1:23">
      <c r="A155" s="1">
        <v>1979</v>
      </c>
      <c r="B155" s="7">
        <f>K46*($E46/365)+K47*($E47/365)</f>
        <v>0</v>
      </c>
      <c r="C155" s="7">
        <f>L46*($E46/365)+L47*($E47/365)</f>
        <v>26.210045662100452</v>
      </c>
      <c r="D155" s="7">
        <f>M46*($E46/365)+M47*($E47/365)</f>
        <v>73.78995433789953</v>
      </c>
      <c r="E155" s="51">
        <f t="shared" si="27"/>
        <v>99.999999999999986</v>
      </c>
      <c r="F155" s="6"/>
      <c r="G155" s="2">
        <v>1979</v>
      </c>
      <c r="H155" s="989">
        <f>(O46*100*($E46/365)/($O46+$P46+$Q46))+(O47*100*($E47/365)/($O47+$P47+$Q47))</f>
        <v>0</v>
      </c>
      <c r="I155" s="989"/>
      <c r="J155" s="989">
        <f>(P46*100*($E46/365)/($O46+$P46+$Q46))+(P47*100*($E47/365)/($O47+$P47+$Q47))</f>
        <v>23.612653749640049</v>
      </c>
      <c r="K155" s="989"/>
      <c r="L155" s="989">
        <f>(Q46*100*($E46/365)/($O46+$P46+$Q46))+(Q47*100*($E47/365)/($O47+$P47+$Q47))</f>
        <v>76.387346250359954</v>
      </c>
      <c r="M155" s="989"/>
      <c r="N155" s="990">
        <f t="shared" si="29"/>
        <v>100</v>
      </c>
      <c r="O155" s="990"/>
      <c r="P155" s="5"/>
      <c r="Q155" s="5"/>
      <c r="R155" s="2">
        <v>1979</v>
      </c>
      <c r="S155" s="7">
        <f>(O46*($E46/365)) + (O47*($E47/365))</f>
        <v>0</v>
      </c>
      <c r="T155" s="7">
        <f>(P46*($E46/365)) + (P47*($E47/365))</f>
        <v>15.726027397260275</v>
      </c>
      <c r="U155" s="7">
        <f>(Q46*($E46/365)) + (Q47*($E47/365))</f>
        <v>41.620821917808222</v>
      </c>
      <c r="V155" s="7"/>
      <c r="W155" s="7">
        <f t="shared" si="28"/>
        <v>57.346849315068496</v>
      </c>
    </row>
    <row r="156" spans="1:23">
      <c r="A156" s="1">
        <v>1980</v>
      </c>
      <c r="B156" s="7">
        <f>K48*($E48/366)+K49*($E49/366)</f>
        <v>35.846994535519123</v>
      </c>
      <c r="C156" s="7">
        <f>L48*($E48/366)+L49*($E49/366)</f>
        <v>26.885245901639344</v>
      </c>
      <c r="D156" s="7">
        <f>M48*($E48/366)+M49*($E49/366)</f>
        <v>37.267759562841533</v>
      </c>
      <c r="E156" s="51">
        <f t="shared" si="27"/>
        <v>100</v>
      </c>
      <c r="F156" s="6"/>
      <c r="G156" s="2">
        <v>1980</v>
      </c>
      <c r="H156" s="989">
        <f>(O48*100*($E48/366)/($O48+$P48+$Q48))+(O49*100*($E49/366)/($O49+$P49+$Q49))</f>
        <v>38.438872816886324</v>
      </c>
      <c r="I156" s="989"/>
      <c r="J156" s="989">
        <f>(P48*100*($E48/366)/($O48+$P48+$Q48))+(P49*100*($E49/366)/($O49+$P49+$Q49))</f>
        <v>31.080574306225227</v>
      </c>
      <c r="K156" s="989"/>
      <c r="L156" s="989">
        <f>(Q48*100*($E48/366)/($O48+$P48+$Q48))+(Q49*100*($E49/366)/($O49+$P49+$Q49))</f>
        <v>30.48055287688846</v>
      </c>
      <c r="M156" s="989"/>
      <c r="N156" s="990">
        <f t="shared" si="29"/>
        <v>100</v>
      </c>
      <c r="O156" s="990"/>
      <c r="P156" s="5"/>
      <c r="Q156" s="5"/>
      <c r="R156" s="2">
        <v>1980</v>
      </c>
      <c r="S156" s="7">
        <f>(O48*($E48/366)) + (O49*($E49/366))</f>
        <v>31.366120218579233</v>
      </c>
      <c r="T156" s="7">
        <f>(P48*($E48/366)) + (P49*($E49/366))</f>
        <v>25.361748633879781</v>
      </c>
      <c r="U156" s="7">
        <f>(Q48*($E48/366)) + (Q49*($E49/366))</f>
        <v>18.819125683060111</v>
      </c>
      <c r="V156" s="7"/>
      <c r="W156" s="7">
        <f t="shared" si="28"/>
        <v>75.546994535519119</v>
      </c>
    </row>
    <row r="157" spans="1:23">
      <c r="A157" s="1">
        <v>1981</v>
      </c>
      <c r="B157" s="7">
        <f>K50*($E50/365)+K51*($E51/365)</f>
        <v>40</v>
      </c>
      <c r="C157" s="7">
        <f>L50*($E50/365)+L51*($E51/365)</f>
        <v>30</v>
      </c>
      <c r="D157" s="7">
        <f>M50*($E50/365)+M51*($E51/365)</f>
        <v>30</v>
      </c>
      <c r="E157" s="51">
        <f t="shared" si="27"/>
        <v>100</v>
      </c>
      <c r="F157" s="6"/>
      <c r="G157" s="2">
        <v>1981</v>
      </c>
      <c r="H157" s="989">
        <f>(O50*100*($E50/365)/($O50+$P50+$Q50))+(O51*100*($E51/365)/($O51+$P51+$Q51))</f>
        <v>42.892156862745104</v>
      </c>
      <c r="I157" s="989"/>
      <c r="J157" s="989">
        <f>(P50*100*($E50/365)/($O50+$P50+$Q50))+(P51*100*($E51/365)/($O51+$P51+$Q51))</f>
        <v>34.681372549019613</v>
      </c>
      <c r="K157" s="989"/>
      <c r="L157" s="989">
        <f>(Q50*100*($E50/365)/($O50+$P50+$Q50))+(Q51*100*($E51/365)/($O51+$P51+$Q51))</f>
        <v>22.426470588235297</v>
      </c>
      <c r="M157" s="989"/>
      <c r="N157" s="990">
        <f t="shared" si="29"/>
        <v>100.00000000000003</v>
      </c>
      <c r="O157" s="990"/>
      <c r="P157" s="5"/>
      <c r="Q157" s="5"/>
      <c r="R157" s="2">
        <v>1981</v>
      </c>
      <c r="S157" s="7">
        <f>(O50*($E50/365)) + (O51*($E51/365))</f>
        <v>35</v>
      </c>
      <c r="T157" s="7">
        <f>(P50*($E50/365)) + (P51*($E51/365))</f>
        <v>28.3</v>
      </c>
      <c r="U157" s="7">
        <f>(Q50*($E50/365)) + (Q51*($E51/365))</f>
        <v>18.3</v>
      </c>
      <c r="V157" s="7"/>
      <c r="W157" s="7">
        <f t="shared" si="28"/>
        <v>81.599999999999994</v>
      </c>
    </row>
    <row r="158" spans="1:23">
      <c r="A158" s="1">
        <v>1982</v>
      </c>
      <c r="B158" s="7">
        <f>K52*($E52/365)+K53*($E53/365)</f>
        <v>40</v>
      </c>
      <c r="C158" s="7">
        <f>L52*($E52/365)+L53*($E53/365)</f>
        <v>30</v>
      </c>
      <c r="D158" s="7">
        <f>M52*($E52/365)+M53*($E53/365)</f>
        <v>30</v>
      </c>
      <c r="E158" s="51">
        <f t="shared" si="27"/>
        <v>100</v>
      </c>
      <c r="F158" s="6"/>
      <c r="G158" s="2">
        <v>1982</v>
      </c>
      <c r="H158" s="989">
        <f>(O52*100*($E52/365)/($O52+$P52+$Q52))+(O53*100*($E53/365)/($O53+$P53+$Q53))</f>
        <v>42.892156862745104</v>
      </c>
      <c r="I158" s="989"/>
      <c r="J158" s="989">
        <f>(P52*100*($E52/365)/($O52+$P52+$Q52))+(P53*100*($E53/365)/($O53+$P53+$Q53))</f>
        <v>34.681372549019613</v>
      </c>
      <c r="K158" s="989"/>
      <c r="L158" s="989">
        <f>(Q52*100*($E52/365)/($O52+$P52+$Q52))+(Q53*100*($E53/365)/($O53+$P53+$Q53))</f>
        <v>22.426470588235297</v>
      </c>
      <c r="M158" s="989"/>
      <c r="N158" s="990">
        <f t="shared" si="29"/>
        <v>100.00000000000003</v>
      </c>
      <c r="O158" s="990"/>
      <c r="P158" s="5"/>
      <c r="Q158" s="5"/>
      <c r="R158" s="2">
        <v>1982</v>
      </c>
      <c r="S158" s="7">
        <f>(O52*($E52/365)) + (O53*($E53/365))</f>
        <v>35</v>
      </c>
      <c r="T158" s="7">
        <f>(P52*($E52/365)) + (P53*($E53/365))</f>
        <v>28.3</v>
      </c>
      <c r="U158" s="7">
        <f>(Q52*($E52/365)) + (Q53*($E53/365))</f>
        <v>18.3</v>
      </c>
      <c r="V158" s="7"/>
      <c r="W158" s="7">
        <f t="shared" si="28"/>
        <v>81.599999999999994</v>
      </c>
    </row>
    <row r="159" spans="1:23">
      <c r="A159" s="1">
        <v>1983</v>
      </c>
      <c r="B159" s="7">
        <f>K54*($E54/365)+K55*($E55/365)</f>
        <v>52.054794520547944</v>
      </c>
      <c r="C159" s="7">
        <f>L54*($E54/365)+L55*($E55/365)</f>
        <v>36.027397260273972</v>
      </c>
      <c r="D159" s="7">
        <f>M54*($E54/365)+M55*($E55/365)</f>
        <v>11.917808219178081</v>
      </c>
      <c r="E159" s="51">
        <f t="shared" si="27"/>
        <v>100</v>
      </c>
      <c r="F159" s="5"/>
      <c r="G159" s="2">
        <v>1983</v>
      </c>
      <c r="H159" s="989">
        <f>(O54*100*($E54/365)/($O54+$P54+$Q54))+(O55*100*($E55/365)/($O55+$P55+$Q55))</f>
        <v>54.514888147039642</v>
      </c>
      <c r="I159" s="989"/>
      <c r="J159" s="989">
        <f>(P54*100*($E54/365)/($O54+$P54+$Q54))+(P55*100*($E55/365)/($O55+$P55+$Q55))</f>
        <v>36.575966002839493</v>
      </c>
      <c r="K159" s="989"/>
      <c r="L159" s="989">
        <f>(Q54*100*($E54/365)/($O54+$P54+$Q54))+(Q55*100*($E55/365)/($O55+$P55+$Q55))</f>
        <v>8.9091458501208702</v>
      </c>
      <c r="M159" s="989"/>
      <c r="N159" s="990">
        <f t="shared" si="29"/>
        <v>100</v>
      </c>
      <c r="O159" s="990"/>
      <c r="Q159" s="5"/>
      <c r="R159" s="2">
        <v>1983</v>
      </c>
      <c r="S159" s="7">
        <f>(O54*($E54/365)) + (O55*($E55/365))</f>
        <v>36.989041095890407</v>
      </c>
      <c r="T159" s="7">
        <f>(P54*($E54/365)) + (P55*($E55/365))</f>
        <v>25.286301369863011</v>
      </c>
      <c r="U159" s="7">
        <f>(Q54*($E54/365)) + (Q55*($E55/365))</f>
        <v>7.2698630136986298</v>
      </c>
      <c r="V159" s="7"/>
      <c r="W159" s="7">
        <f t="shared" si="28"/>
        <v>69.545205479452051</v>
      </c>
    </row>
    <row r="160" spans="1:23">
      <c r="A160" s="1">
        <v>1984</v>
      </c>
      <c r="B160" s="7">
        <f>K56*($E56/366)+K57*($E57/366)</f>
        <v>60</v>
      </c>
      <c r="C160" s="7">
        <f>L56*($E56/366)+L57*($E57/366)</f>
        <v>40</v>
      </c>
      <c r="D160" s="7">
        <f>M56*($E56/366)+M57*($E57/366)</f>
        <v>0</v>
      </c>
      <c r="E160" s="51">
        <f t="shared" si="27"/>
        <v>100</v>
      </c>
      <c r="F160" s="6"/>
      <c r="G160" s="2">
        <v>1984</v>
      </c>
      <c r="H160" s="989">
        <f>(O56*100*($E56/366)/($O56+$P56+$Q56))+(O57*100*($E57/366)/($O57+$P57+$Q57))</f>
        <v>62.175324675324674</v>
      </c>
      <c r="I160" s="989"/>
      <c r="J160" s="989">
        <f>(P56*100*($E56/366)/($O56+$P56+$Q56))+(P57*100*($E57/366)/($O57+$P57+$Q57))</f>
        <v>37.824675324675326</v>
      </c>
      <c r="K160" s="989"/>
      <c r="L160" s="989">
        <f>(Q56*100*($E56/366)/($O56+$P56+$Q56))+(Q57*100*($E57/366)/($O57+$P57+$Q57))</f>
        <v>0</v>
      </c>
      <c r="M160" s="989"/>
      <c r="N160" s="990">
        <f t="shared" si="29"/>
        <v>100</v>
      </c>
      <c r="O160" s="990"/>
      <c r="Q160" s="5"/>
      <c r="R160" s="2">
        <v>1984</v>
      </c>
      <c r="S160" s="7">
        <f>(O56*($E56/366)) + (O57*($E57/366))</f>
        <v>38.299999999999997</v>
      </c>
      <c r="T160" s="7">
        <f>(P56*($E56/366)) + (P57*($E57/366))</f>
        <v>23.3</v>
      </c>
      <c r="U160" s="7">
        <f>(Q56*($E56/366)) + (Q57*($E57/366))</f>
        <v>0</v>
      </c>
      <c r="V160" s="7"/>
      <c r="W160" s="7">
        <f t="shared" si="28"/>
        <v>61.599999999999994</v>
      </c>
    </row>
    <row r="161" spans="1:23">
      <c r="A161" s="1">
        <v>1985</v>
      </c>
      <c r="B161" s="7">
        <f>K58*($E58/365)+K59*($E59/365)</f>
        <v>60</v>
      </c>
      <c r="C161" s="7">
        <f>L58*($E58/365)+L59*($E59/365)</f>
        <v>40</v>
      </c>
      <c r="D161" s="7">
        <f>M58*($E58/365)+M59*($E59/365)</f>
        <v>0</v>
      </c>
      <c r="E161" s="51">
        <f t="shared" si="27"/>
        <v>100</v>
      </c>
      <c r="G161" s="2">
        <v>1985</v>
      </c>
      <c r="H161" s="989">
        <f>(O58*100*($E58/365)/($O58+$P58+$Q58))+(O59*100*($E59/365)/($O59+$P59+$Q59))</f>
        <v>62.175324675324674</v>
      </c>
      <c r="I161" s="989"/>
      <c r="J161" s="989">
        <f>(P58*100*($E58/365)/($O58+$P58+$Q58))+(P59*100*($E59/365)/($O59+$P59+$Q59))</f>
        <v>37.824675324675326</v>
      </c>
      <c r="K161" s="989"/>
      <c r="L161" s="989">
        <f>(Q58*100*($E58/365)/($O58+$P58+$Q58))+(Q59*100*($E59/365)/($O59+$P59+$Q59))</f>
        <v>0</v>
      </c>
      <c r="M161" s="989"/>
      <c r="N161" s="990">
        <f t="shared" si="29"/>
        <v>100</v>
      </c>
      <c r="O161" s="990"/>
      <c r="R161" s="2">
        <v>1985</v>
      </c>
      <c r="S161" s="7">
        <f>(O58*($E58/365)) + (O59*($E59/365))</f>
        <v>38.299999999999997</v>
      </c>
      <c r="T161" s="7">
        <f>(P58*($E58/365)) + (P59*($E59/365))</f>
        <v>23.3</v>
      </c>
      <c r="U161" s="7">
        <f>(Q58*($E58/365)) + (Q59*($E59/365))</f>
        <v>0</v>
      </c>
      <c r="V161" s="7"/>
      <c r="W161" s="7">
        <f t="shared" si="28"/>
        <v>61.599999999999994</v>
      </c>
    </row>
    <row r="162" spans="1:23">
      <c r="A162" s="1">
        <v>1986</v>
      </c>
      <c r="B162" s="7">
        <f>K60*($E60/365)+K61*($E61/365)</f>
        <v>60</v>
      </c>
      <c r="C162" s="7">
        <f>L60*($E60/365)+L61*($E61/365)</f>
        <v>40</v>
      </c>
      <c r="D162" s="7">
        <f>M60*($E60/365)+M61*($E61/365)</f>
        <v>0</v>
      </c>
      <c r="E162" s="51">
        <f t="shared" si="27"/>
        <v>100</v>
      </c>
      <c r="G162" s="2">
        <v>1986</v>
      </c>
      <c r="H162" s="989">
        <f>(O60*100*($E60/365)/($O60+$P60+$Q60))+(O61*100*($E61/365)/($O61+$P61+$Q61))</f>
        <v>62.175324675324674</v>
      </c>
      <c r="I162" s="989"/>
      <c r="J162" s="989">
        <f>(P60*100*($E60/365)/($O60+$P60+$Q60))+(P61*100*($E61/365)/($O61+$P61+$Q61))</f>
        <v>37.824675324675326</v>
      </c>
      <c r="K162" s="989"/>
      <c r="L162" s="989">
        <f>(Q60*100*($E60/365)/($O60+$P60+$Q60))+(Q61*100*($E61/365)/($O61+$P61+$Q61))</f>
        <v>0</v>
      </c>
      <c r="M162" s="989"/>
      <c r="N162" s="990">
        <f t="shared" si="29"/>
        <v>100</v>
      </c>
      <c r="O162" s="990"/>
      <c r="R162" s="2">
        <v>1986</v>
      </c>
      <c r="S162" s="7">
        <f>(O60*($E60/365)) + (O61*($E61/365))</f>
        <v>38.299999999999997</v>
      </c>
      <c r="T162" s="7">
        <f>(P60*($E60/365)) + (P61*($E61/365))</f>
        <v>23.3</v>
      </c>
      <c r="U162" s="7">
        <f>(Q60*($E60/365)) + (Q61*($E61/365))</f>
        <v>0</v>
      </c>
      <c r="V162" s="7"/>
      <c r="W162" s="7">
        <f t="shared" si="28"/>
        <v>61.599999999999994</v>
      </c>
    </row>
    <row r="163" spans="1:23">
      <c r="A163" s="1">
        <v>1987</v>
      </c>
      <c r="B163" s="7">
        <f>K62*($E62/365)+K63*($E63/365)</f>
        <v>48.537982565379828</v>
      </c>
      <c r="C163" s="7">
        <f>L62*($E62/365)+L63*($E63/365)</f>
        <v>38.236612702366131</v>
      </c>
      <c r="D163" s="7">
        <f>M62*($E62/365)+M63*($E63/365)</f>
        <v>13.225404732254047</v>
      </c>
      <c r="E163" s="51">
        <f t="shared" si="27"/>
        <v>100</v>
      </c>
      <c r="G163" s="1">
        <v>1987</v>
      </c>
      <c r="H163" s="989">
        <f>(O62*100*($E62/365)/($O62+$P62+$Q62))+(O63*100*($E63/365)/($O63+$P63+$Q63))</f>
        <v>53.361537093043935</v>
      </c>
      <c r="I163" s="989"/>
      <c r="J163" s="989">
        <f>(P62*100*($E62/365)/($O62+$P62+$Q62))+(P63*100*($E63/365)/($O63+$P63+$Q63))</f>
        <v>34.850897048157321</v>
      </c>
      <c r="K163" s="989"/>
      <c r="L163" s="989">
        <f>(Q62*100*($E62/365)/($O62+$P62+$Q62))+(Q63*100*($E63/365)/($O63+$P63+$Q63))</f>
        <v>11.787565858798736</v>
      </c>
      <c r="M163" s="989"/>
      <c r="N163" s="990">
        <f t="shared" si="29"/>
        <v>100</v>
      </c>
      <c r="O163" s="990"/>
      <c r="R163" s="1">
        <v>1987</v>
      </c>
      <c r="S163" s="7">
        <f>(O62*($E62/365)) + (O63*($E63/365))</f>
        <v>33.596164383561643</v>
      </c>
      <c r="T163" s="7">
        <f>(P62*($E62/365)) + (P63*($E63/365))</f>
        <v>21.990684931506848</v>
      </c>
      <c r="U163" s="7">
        <f>(Q62*($E62/365)) + (Q63*($E63/365))</f>
        <v>7.6619178082191786</v>
      </c>
      <c r="V163" s="7"/>
      <c r="W163" s="7">
        <f t="shared" si="28"/>
        <v>63.248767123287671</v>
      </c>
    </row>
    <row r="164" spans="1:23">
      <c r="A164" s="1">
        <v>1988</v>
      </c>
      <c r="B164" s="7">
        <f>K64*($E64/366)+K65*($E65/366)</f>
        <v>27.024341778440142</v>
      </c>
      <c r="C164" s="7">
        <f>L64*($E64/366)+L65*($E65/366)</f>
        <v>35.585361814870012</v>
      </c>
      <c r="D164" s="7">
        <f>M64*($E64/366)+M65*($E65/366)</f>
        <v>37.390296406689842</v>
      </c>
      <c r="E164" s="51">
        <f t="shared" si="27"/>
        <v>100</v>
      </c>
      <c r="G164" s="1">
        <v>1988</v>
      </c>
      <c r="H164" s="989">
        <f>(O64*100*($E64/366)/($O64+$P64+$Q64))+(O65*100*($E65/366)/($O65+$P65+$Q65))</f>
        <v>32.699453551912569</v>
      </c>
      <c r="I164" s="989"/>
      <c r="J164" s="989">
        <f>(P64*100*($E64/366)/($O64+$P64+$Q64))+(P65*100*($E65/366)/($O65+$P65+$Q65))</f>
        <v>34.328130818798911</v>
      </c>
      <c r="K164" s="989"/>
      <c r="L164" s="989">
        <f>(Q64*100*($E64/366)/($O64+$P64+$Q64))+(Q65*100*($E65/366)/($O65+$P65+$Q65))</f>
        <v>32.97241562928852</v>
      </c>
      <c r="M164" s="989"/>
      <c r="N164" s="990">
        <f t="shared" si="29"/>
        <v>100</v>
      </c>
      <c r="O164" s="990"/>
      <c r="R164" s="1">
        <v>1988</v>
      </c>
      <c r="S164" s="7">
        <f>(O64*($E64/366)) + (O65*($E65/366))</f>
        <v>21.254644808743173</v>
      </c>
      <c r="T164" s="7">
        <f>(P64*($E64/366)) + (P65*($E65/366))</f>
        <v>20.6</v>
      </c>
      <c r="U164" s="7">
        <f>(Q64*($E64/366)) + (Q65*($E65/366))</f>
        <v>19.061748633879784</v>
      </c>
      <c r="V164" s="7"/>
      <c r="W164" s="7">
        <f t="shared" si="28"/>
        <v>60.916393442622962</v>
      </c>
    </row>
    <row r="165" spans="1:23">
      <c r="A165" s="1">
        <v>1989</v>
      </c>
      <c r="B165" s="7">
        <f>K66*($E66/365)+K67*($E67/365)</f>
        <v>4.7322540473225407</v>
      </c>
      <c r="C165" s="7">
        <f>L66*($E66/365)+L67*($E67/365)</f>
        <v>31.755915317559147</v>
      </c>
      <c r="D165" s="7">
        <f>M66*($E66/365)+M67*($E67/365)</f>
        <v>63.511830635118294</v>
      </c>
      <c r="E165" s="51">
        <f t="shared" si="27"/>
        <v>99.999999999999972</v>
      </c>
      <c r="G165" s="1">
        <v>1989</v>
      </c>
      <c r="H165" s="989">
        <f>(O66*100*($E66/365)/($O66+$P66+$Q66))+(O67*100*($E67/365)/($O67+$P67+$Q67))</f>
        <v>4.7990715878578252</v>
      </c>
      <c r="I165" s="989"/>
      <c r="J165" s="989">
        <f>(P66*100*($E66/365)/($O66+$P66+$Q66))+(P67*100*($E67/365)/($O67+$P67+$Q67))</f>
        <v>39.941733712629912</v>
      </c>
      <c r="K165" s="989"/>
      <c r="L165" s="989">
        <f>(Q66*100*($E66/365)/($O66+$P66+$Q66))+(Q67*100*($E67/365)/($O67+$P67+$Q67))</f>
        <v>55.259194699512257</v>
      </c>
      <c r="M165" s="989"/>
      <c r="N165" s="990">
        <f t="shared" si="29"/>
        <v>100</v>
      </c>
      <c r="O165" s="990"/>
      <c r="R165" s="1">
        <v>1989</v>
      </c>
      <c r="S165" s="7">
        <f>(O66*($E66/365)) + (O67*($E67/365))</f>
        <v>2.8890410958904109</v>
      </c>
      <c r="T165" s="7">
        <f>(P66*($E66/365)) + (P67*($E67/365))</f>
        <v>20.6</v>
      </c>
      <c r="U165" s="7">
        <f>(Q66*($E66/365)) + (Q67*($E67/365))</f>
        <v>28.499999999999996</v>
      </c>
      <c r="V165" s="7"/>
      <c r="W165" s="7">
        <f t="shared" si="28"/>
        <v>51.989041095890414</v>
      </c>
    </row>
    <row r="166" spans="1:23">
      <c r="A166" s="1">
        <v>1990</v>
      </c>
      <c r="B166" s="7">
        <f>K68*($E68/365)+K69*($E69/365)</f>
        <v>18.181818181818183</v>
      </c>
      <c r="C166" s="7">
        <f>L68*($E68/365)+L69*($E69/365)</f>
        <v>27.27272727272727</v>
      </c>
      <c r="D166" s="7">
        <f>M68*($E68/365)+M69*($E69/365)</f>
        <v>54.54545454545454</v>
      </c>
      <c r="E166" s="51">
        <f t="shared" si="27"/>
        <v>100</v>
      </c>
      <c r="G166" s="1">
        <v>1990</v>
      </c>
      <c r="H166" s="989">
        <f>(O68*100*($E68/365)/($O68+$P68+$Q68))+(O69*100*($E69/365)/($O69+$P69+$Q69))</f>
        <v>18.438538205980066</v>
      </c>
      <c r="I166" s="989"/>
      <c r="J166" s="989">
        <f>(P68*100*($E68/365)/($O68+$P68+$Q68))+(P69*100*($E69/365)/($O69+$P69+$Q69))</f>
        <v>34.219269102990033</v>
      </c>
      <c r="K166" s="989"/>
      <c r="L166" s="989">
        <f>(Q68*100*($E68/365)/($O68+$P68+$Q68))+(Q69*100*($E69/365)/($O69+$P69+$Q69))</f>
        <v>47.342192691029901</v>
      </c>
      <c r="M166" s="989"/>
      <c r="N166" s="990">
        <f t="shared" si="29"/>
        <v>100</v>
      </c>
      <c r="O166" s="990"/>
      <c r="R166" s="1">
        <v>1990</v>
      </c>
      <c r="S166" s="7">
        <f>(O68*($E68/365)) + (O69*($E69/365))</f>
        <v>11.1</v>
      </c>
      <c r="T166" s="7">
        <f>(P68*($E68/365)) + (P69*($E69/365))</f>
        <v>20.6</v>
      </c>
      <c r="U166" s="7">
        <f>(Q68*($E68/365)) + (Q69*($E69/365))</f>
        <v>28.5</v>
      </c>
      <c r="V166" s="7"/>
      <c r="W166" s="7">
        <f t="shared" si="28"/>
        <v>60.2</v>
      </c>
    </row>
    <row r="167" spans="1:23">
      <c r="A167" s="1">
        <v>1991</v>
      </c>
      <c r="B167" s="7">
        <f>K70*($E70/365)+K71*($E71/365)</f>
        <v>39.62640099626401</v>
      </c>
      <c r="C167" s="7">
        <f>L70*($E70/365)+L71*($E71/365)</f>
        <v>8.8916562889165611</v>
      </c>
      <c r="D167" s="7">
        <f>M70*($E70/365)+M71*($E71/365)</f>
        <v>51.481942714819425</v>
      </c>
      <c r="E167" s="51">
        <f t="shared" si="27"/>
        <v>100</v>
      </c>
      <c r="G167" s="1">
        <v>1991</v>
      </c>
      <c r="H167" s="989">
        <f>(O70*100*($E70/365)/($O70+$P70+$Q70))+(O71*100*($E71/365)/($O71+$P71+$Q71))</f>
        <v>54.67417577643765</v>
      </c>
      <c r="I167" s="989"/>
      <c r="J167" s="989">
        <f>(P70*100*($E70/365)/($O70+$P70+$Q70))+(P71*100*($E71/365)/($O71+$P71+$Q71))</f>
        <v>11.156419241796749</v>
      </c>
      <c r="K167" s="989"/>
      <c r="L167" s="989">
        <f>(Q70*100*($E70/365)/($O70+$P70+$Q70))+(Q71*100*($E71/365)/($O71+$P71+$Q71))</f>
        <v>34.169404981765609</v>
      </c>
      <c r="M167" s="989"/>
      <c r="N167" s="990">
        <f t="shared" si="29"/>
        <v>100.00000000000001</v>
      </c>
      <c r="O167" s="990"/>
      <c r="R167" s="1">
        <v>1991</v>
      </c>
      <c r="S167" s="7">
        <f>(O70*($E70/365)) + (O71*($E71/365))</f>
        <v>31.453972602739725</v>
      </c>
      <c r="T167" s="7">
        <f>(P70*($E70/365)) + (P71*($E71/365))</f>
        <v>6.7161643835616438</v>
      </c>
      <c r="U167" s="7">
        <f>(Q70*($E70/365)) + (Q71*($E71/365))</f>
        <v>20.007945205479452</v>
      </c>
      <c r="V167" s="7"/>
      <c r="W167" s="7">
        <f t="shared" si="28"/>
        <v>58.178082191780824</v>
      </c>
    </row>
    <row r="168" spans="1:23">
      <c r="A168" s="1">
        <v>1992</v>
      </c>
      <c r="B168" s="7">
        <f>K72*($E72/366)+K73*($E73/366)</f>
        <v>50</v>
      </c>
      <c r="C168" s="7">
        <f>L72*($E72/366)+L73*($E73/366)</f>
        <v>0</v>
      </c>
      <c r="D168" s="7">
        <f>M72*($E72/366)+M73*($E73/366)</f>
        <v>50</v>
      </c>
      <c r="E168" s="51">
        <f t="shared" si="27"/>
        <v>100</v>
      </c>
      <c r="G168" s="1">
        <v>1992</v>
      </c>
      <c r="H168" s="989">
        <f>(O72*100*($E72/366)/($O72+$P72+$Q72))+(O73*100*($E73/366)/($O73+$P73+$Q73))</f>
        <v>72.202797202797214</v>
      </c>
      <c r="I168" s="989"/>
      <c r="J168" s="989">
        <f>(P72*100*($E72/366)/($O72+$P72+$Q72))+(P73*100*($E73/366)/($O73+$P73+$Q73))</f>
        <v>0</v>
      </c>
      <c r="K168" s="989"/>
      <c r="L168" s="989">
        <f>(Q72*100*($E72/366)/($O72+$P72+$Q72))+(Q73*100*($E73/366)/($O73+$P73+$Q73))</f>
        <v>27.7972027972028</v>
      </c>
      <c r="M168" s="989"/>
      <c r="N168" s="990">
        <f t="shared" si="29"/>
        <v>100.00000000000001</v>
      </c>
      <c r="O168" s="990"/>
      <c r="R168" s="1">
        <v>1992</v>
      </c>
      <c r="S168" s="7">
        <f>(O72*($E72/366)) + (O73*($E73/366))</f>
        <v>41.3</v>
      </c>
      <c r="T168" s="7">
        <f>(P72*($E72/366)) + (P73*($E73/366))</f>
        <v>0</v>
      </c>
      <c r="U168" s="7">
        <f>(Q72*($E72/366)) + (Q73*($E73/366))</f>
        <v>15.9</v>
      </c>
      <c r="V168" s="7"/>
      <c r="W168" s="7">
        <f t="shared" si="28"/>
        <v>57.199999999999996</v>
      </c>
    </row>
    <row r="169" spans="1:23">
      <c r="A169" s="1">
        <v>1993</v>
      </c>
      <c r="B169" s="7">
        <f>K74*($E74/365)+K75*($E75/365)</f>
        <v>50</v>
      </c>
      <c r="C169" s="7">
        <f>L74*($E74/365)+L75*($E75/365)</f>
        <v>0</v>
      </c>
      <c r="D169" s="7">
        <f>M74*($E74/365)+M75*($E75/365)</f>
        <v>50</v>
      </c>
      <c r="E169" s="51">
        <f t="shared" si="27"/>
        <v>100</v>
      </c>
      <c r="G169" s="1">
        <v>1993</v>
      </c>
      <c r="H169" s="989">
        <f>(O74*100*($E74/365)/($O74+$P74+$Q74))+(O75*100*($E75/365)/($O75+$P75+$Q75))</f>
        <v>72.202797202797214</v>
      </c>
      <c r="I169" s="989"/>
      <c r="J169" s="989">
        <f>(P74*100*($E74/365)/($O74+$P74+$Q74))+(P75*100*($E75/365)/($O75+$P75+$Q75))</f>
        <v>0</v>
      </c>
      <c r="K169" s="989"/>
      <c r="L169" s="989">
        <f>(Q74*100*($E74/365)/($O74+$P74+$Q74))+(Q75*100*($E75/365)/($O75+$P75+$Q75))</f>
        <v>27.7972027972028</v>
      </c>
      <c r="M169" s="989"/>
      <c r="N169" s="990">
        <f t="shared" si="29"/>
        <v>100.00000000000001</v>
      </c>
      <c r="O169" s="990"/>
      <c r="R169" s="1">
        <v>1993</v>
      </c>
      <c r="S169" s="7">
        <f>(O74*($E74/365)) + (O75*($E75/365))</f>
        <v>41.3</v>
      </c>
      <c r="T169" s="7">
        <f>(P74*($E74/365)) + (P75*($E75/365))</f>
        <v>0</v>
      </c>
      <c r="U169" s="7">
        <f>(Q74*($E74/365)) + (Q75*($E75/365))</f>
        <v>15.9</v>
      </c>
      <c r="V169" s="7"/>
      <c r="W169" s="7">
        <f t="shared" si="28"/>
        <v>57.199999999999996</v>
      </c>
    </row>
    <row r="170" spans="1:23">
      <c r="A170" s="1">
        <v>1994</v>
      </c>
      <c r="B170" s="7">
        <f>K76*($E76/365)+K77*($E77/365)</f>
        <v>52.907153729071538</v>
      </c>
      <c r="C170" s="7">
        <f>L76*($E76/365)+L77*($E77/365)</f>
        <v>0</v>
      </c>
      <c r="D170" s="7">
        <f>M76*($E76/365)+M77*($E77/365)</f>
        <v>47.092846270928462</v>
      </c>
      <c r="E170" s="51">
        <f t="shared" si="27"/>
        <v>100</v>
      </c>
      <c r="G170" s="1">
        <v>1994</v>
      </c>
      <c r="H170" s="989">
        <f>(O76*100*($E76/365)/($O76+$P76+$Q76))+(O77*100*($E77/365)/($O77+$P77+$Q77))</f>
        <v>72.2027972027972</v>
      </c>
      <c r="I170" s="989"/>
      <c r="J170" s="989">
        <f>(P76*100*($E76/365)/($O76+$P76+$Q76))+(P77*100*($E77/365)/($O77+$P77+$Q77))</f>
        <v>0</v>
      </c>
      <c r="K170" s="989"/>
      <c r="L170" s="989">
        <f>(Q76*100*($E76/365)/($O76+$P76+$Q76))+(Q77*100*($E77/365)/($O77+$P77+$Q77))</f>
        <v>27.7972027972028</v>
      </c>
      <c r="M170" s="989"/>
      <c r="N170" s="990">
        <f t="shared" si="29"/>
        <v>100</v>
      </c>
      <c r="O170" s="990"/>
      <c r="R170" s="1">
        <v>1994</v>
      </c>
      <c r="S170" s="7">
        <f>(O76*($E76/365)) + (O77*($E77/365))</f>
        <v>41.3</v>
      </c>
      <c r="T170" s="7">
        <f>(P76*($E76/365)) + (P77*($E77/365))</f>
        <v>0</v>
      </c>
      <c r="U170" s="7">
        <f>(Q76*($E76/365)) + (Q77*($E77/365))</f>
        <v>15.9</v>
      </c>
      <c r="V170" s="7"/>
      <c r="W170" s="7">
        <f t="shared" si="28"/>
        <v>57.199999999999996</v>
      </c>
    </row>
    <row r="171" spans="1:23">
      <c r="A171" s="1">
        <v>1995</v>
      </c>
      <c r="B171" s="7">
        <f>K78*($E78/365)+K79*($E79/365)</f>
        <v>51.704718417047189</v>
      </c>
      <c r="C171" s="7">
        <f>L78*($E78/365)+L79*($E79/365)</f>
        <v>34.657534246575345</v>
      </c>
      <c r="D171" s="7">
        <f>M78*($E78/365)+M79*($E79/365)</f>
        <v>13.637747336377474</v>
      </c>
      <c r="E171" s="51">
        <f t="shared" si="27"/>
        <v>100.00000000000001</v>
      </c>
      <c r="G171" s="1">
        <v>1995</v>
      </c>
      <c r="H171" s="989">
        <f>(O78*100*($E78/365)/($O78+$P78+$Q78))+(O79*100*($E79/365)/($O79+$P79+$Q79))</f>
        <v>65.490941374449108</v>
      </c>
      <c r="I171" s="989"/>
      <c r="J171" s="989">
        <f>(P78*100*($E78/365)/($O78+$P78+$Q78))+(P79*100*($E79/365)/($O79+$P79+$Q79))</f>
        <v>25.979505986409233</v>
      </c>
      <c r="K171" s="989"/>
      <c r="L171" s="989">
        <f>(Q78*100*($E78/365)/($O78+$P78+$Q78))+(Q79*100*($E79/365)/($O79+$P79+$Q79))</f>
        <v>8.5295526391416807</v>
      </c>
      <c r="M171" s="989"/>
      <c r="N171" s="990">
        <f t="shared" si="29"/>
        <v>100.00000000000003</v>
      </c>
      <c r="O171" s="990"/>
      <c r="R171" s="1">
        <v>1995</v>
      </c>
      <c r="S171" s="7">
        <f>(O78*($E78/365)) + (O79*($E79/365))</f>
        <v>40.190958904109593</v>
      </c>
      <c r="T171" s="7">
        <f>(P78*($E78/365)) + (P79*($E79/365))</f>
        <v>16.496986301369866</v>
      </c>
      <c r="U171" s="7">
        <f>(Q78*($E78/365)) + (Q79*($E79/365))</f>
        <v>4.8789041095890413</v>
      </c>
      <c r="V171" s="7"/>
      <c r="W171" s="7">
        <f t="shared" si="28"/>
        <v>61.566849315068502</v>
      </c>
    </row>
    <row r="172" spans="1:23">
      <c r="A172" s="1">
        <v>1996</v>
      </c>
      <c r="B172" s="7">
        <f>K80*($E80/366)+K81*($E81/366)</f>
        <v>50</v>
      </c>
      <c r="C172" s="7">
        <f>L80*($E80/366)+L81*($E81/366)</f>
        <v>50</v>
      </c>
      <c r="D172" s="7">
        <f>M80*($E80/366)+M81*($E81/366)</f>
        <v>0</v>
      </c>
      <c r="E172" s="51">
        <f t="shared" si="27"/>
        <v>100</v>
      </c>
      <c r="G172" s="1">
        <v>1996</v>
      </c>
      <c r="H172" s="989">
        <f>(O80*100*($E80/366)/($O80+$P80+$Q80))+(O81*100*($E81/366)/($O81+$P81+$Q81))</f>
        <v>62.519685039370088</v>
      </c>
      <c r="I172" s="989"/>
      <c r="J172" s="989">
        <f>(P80*100*($E80/366)/($O80+$P80+$Q80))+(P81*100*($E81/366)/($O81+$P81+$Q81))</f>
        <v>37.480314960629919</v>
      </c>
      <c r="K172" s="989"/>
      <c r="L172" s="989">
        <f>(Q80*100*($E80/366)/($O80+$P80+$Q80))+(Q81*100*($E81/366)/($O81+$P81+$Q81))</f>
        <v>0</v>
      </c>
      <c r="M172" s="989"/>
      <c r="N172" s="990">
        <f t="shared" si="29"/>
        <v>100</v>
      </c>
      <c r="O172" s="990"/>
      <c r="R172" s="1">
        <v>1996</v>
      </c>
      <c r="S172" s="7">
        <f>(O80*($E80/366)) + (O81*($E81/366))</f>
        <v>39.700000000000003</v>
      </c>
      <c r="T172" s="7">
        <f>(P80*($E80/366)) + (P81*($E81/366))</f>
        <v>23.8</v>
      </c>
      <c r="U172" s="7">
        <f>(Q80*($E80/366)) + (Q81*($E81/366))</f>
        <v>0</v>
      </c>
      <c r="V172" s="7"/>
      <c r="W172" s="7">
        <f t="shared" si="28"/>
        <v>63.5</v>
      </c>
    </row>
    <row r="173" spans="1:23">
      <c r="A173" s="1">
        <v>1997</v>
      </c>
      <c r="B173" s="7">
        <f>K82*($E82/365)+K83*($E83/365)</f>
        <v>50</v>
      </c>
      <c r="C173" s="7">
        <f>L82*($E82/365)+L83*($E83/365)</f>
        <v>50</v>
      </c>
      <c r="D173" s="7">
        <f>M82*($E82/365)+M83*($E83/365)</f>
        <v>0</v>
      </c>
      <c r="E173" s="51">
        <f t="shared" si="27"/>
        <v>100</v>
      </c>
      <c r="G173" s="1">
        <v>1997</v>
      </c>
      <c r="H173" s="989">
        <f>(O82*100*($E82/365)/($O82+$P82+$Q82))+(O83*100*($E83/365)/($O83+$P83+$Q83))</f>
        <v>62.519685039370088</v>
      </c>
      <c r="I173" s="989"/>
      <c r="J173" s="989">
        <f>(P82*100*($E82/365)/($O82+$P82+$Q82))+(P83*100*($E83/365)/($O83+$P83+$Q83))</f>
        <v>37.480314960629919</v>
      </c>
      <c r="K173" s="989"/>
      <c r="L173" s="989">
        <f>(Q82*100*($E82/365)/($O82+$P82+$Q82))+(Q83*100*($E83/365)/($O83+$P83+$Q83))</f>
        <v>0</v>
      </c>
      <c r="M173" s="989"/>
      <c r="N173" s="990">
        <f t="shared" si="29"/>
        <v>100</v>
      </c>
      <c r="O173" s="990"/>
      <c r="R173" s="1">
        <v>1997</v>
      </c>
      <c r="S173" s="7">
        <f>(O82*($E82/365)) + (O83*($E83/365))</f>
        <v>39.700000000000003</v>
      </c>
      <c r="T173" s="7">
        <f>(P82*($E82/365)) + (P83*($E83/365))</f>
        <v>23.8</v>
      </c>
      <c r="U173" s="7">
        <f>(Q82*($E82/365)) + (Q83*($E83/365))</f>
        <v>0</v>
      </c>
      <c r="V173" s="7"/>
      <c r="W173" s="7">
        <f t="shared" si="28"/>
        <v>63.5</v>
      </c>
    </row>
    <row r="174" spans="1:23">
      <c r="A174" s="1">
        <v>1998</v>
      </c>
      <c r="B174" s="7">
        <f>K84*($E84/365)+K85*($E85/365)</f>
        <v>50</v>
      </c>
      <c r="C174" s="7">
        <f>L84*($E84/365)+L85*($E85/365)</f>
        <v>50</v>
      </c>
      <c r="D174" s="7">
        <f>M84*($E84/365)+M85*($E85/365)</f>
        <v>0</v>
      </c>
      <c r="E174" s="51">
        <f t="shared" si="27"/>
        <v>100</v>
      </c>
      <c r="G174" s="1">
        <v>1998</v>
      </c>
      <c r="H174" s="989">
        <f>(O84*100*($E84/365)/($O84+$P84+$Q84))+(O85*100*($E85/365)/($O85+$P85+$Q85))</f>
        <v>62.519685039370088</v>
      </c>
      <c r="I174" s="989"/>
      <c r="J174" s="989">
        <f>(P84*100*($E84/365)/($O84+$P84+$Q84))+(P85*100*($E85/365)/($O85+$P85+$Q85))</f>
        <v>37.480314960629919</v>
      </c>
      <c r="K174" s="989"/>
      <c r="L174" s="989">
        <f>(Q84*100*($E84/365)/($O84+$P84+$Q84))+(Q85*100*($E85/365)/($O85+$P85+$Q85))</f>
        <v>0</v>
      </c>
      <c r="M174" s="989"/>
      <c r="N174" s="990">
        <f t="shared" si="29"/>
        <v>100</v>
      </c>
      <c r="O174" s="990"/>
      <c r="R174" s="1">
        <v>1998</v>
      </c>
      <c r="S174" s="7">
        <f>(O84*($E84/365)) + (O85*($E85/365))</f>
        <v>39.700000000000003</v>
      </c>
      <c r="T174" s="7">
        <f>(P84*($E84/365)) + (P85*($E85/365))</f>
        <v>23.8</v>
      </c>
      <c r="U174" s="7">
        <f>(Q84*($E84/365)) + (Q85*($E85/365))</f>
        <v>0</v>
      </c>
      <c r="V174" s="7"/>
      <c r="W174" s="7">
        <f t="shared" si="28"/>
        <v>63.5</v>
      </c>
    </row>
    <row r="175" spans="1:23">
      <c r="A175" s="1">
        <v>1999</v>
      </c>
      <c r="B175" s="7">
        <f>K86*($E86/365)+K87*($E87/365)</f>
        <v>50</v>
      </c>
      <c r="C175" s="7">
        <f>L86*($E86/365)+L87*($E87/365)</f>
        <v>50</v>
      </c>
      <c r="D175" s="7">
        <f>M86*($E86/365)+M87*($E87/365)</f>
        <v>0</v>
      </c>
      <c r="E175" s="51">
        <f t="shared" si="27"/>
        <v>100</v>
      </c>
      <c r="G175" s="1">
        <v>1999</v>
      </c>
      <c r="H175" s="989">
        <f>(O86*100*($E86/365)/($O86+$P86+$Q86))+(O87*100*($E87/365)/($O87+$P87+$Q87))</f>
        <v>66.086041943591653</v>
      </c>
      <c r="I175" s="989"/>
      <c r="J175" s="989">
        <f>(P86*100*($E86/365)/($O86+$P86+$Q86))+(P87*100*($E87/365)/($O87+$P87+$Q87))</f>
        <v>33.913958056408354</v>
      </c>
      <c r="K175" s="989"/>
      <c r="L175" s="989">
        <f>(Q86*100*($E86/365)/($O86+$P86+$Q86))+(Q87*100*($E87/365)/($O87+$P87+$Q87))</f>
        <v>0</v>
      </c>
      <c r="M175" s="989"/>
      <c r="N175" s="990">
        <f t="shared" si="29"/>
        <v>100</v>
      </c>
      <c r="O175" s="990"/>
      <c r="R175" s="1">
        <v>1999</v>
      </c>
      <c r="S175" s="7">
        <f>(O86*($E86/365)) + (O87*($E87/365))</f>
        <v>40.655616438356162</v>
      </c>
      <c r="T175" s="7">
        <f>(P86*($E86/365)) + (P87*($E87/365))</f>
        <v>20.933150684931505</v>
      </c>
      <c r="U175" s="7">
        <f>(Q86*($E86/365)) + (Q87*($E87/365))</f>
        <v>0</v>
      </c>
      <c r="V175" s="7"/>
      <c r="W175" s="7">
        <f t="shared" si="28"/>
        <v>61.588767123287667</v>
      </c>
    </row>
    <row r="176" spans="1:23">
      <c r="A176" s="1">
        <v>2000</v>
      </c>
      <c r="B176" s="7">
        <f>K88*($E88/366)+K89*($E89/366)</f>
        <v>50</v>
      </c>
      <c r="C176" s="7">
        <f>L88*($E88/366)+L89*($E89/366)</f>
        <v>50</v>
      </c>
      <c r="D176" s="7">
        <f>M88*($E88/366)+M89*($E89/366)</f>
        <v>0</v>
      </c>
      <c r="E176" s="51">
        <f t="shared" si="27"/>
        <v>100</v>
      </c>
      <c r="G176" s="1">
        <v>2000</v>
      </c>
      <c r="H176" s="989">
        <f>(O88*100*($E88/366)/($O88+$P88+$Q88))+(O89*100*($E89/366)/($O89+$P89+$Q89))</f>
        <v>68.490878938640137</v>
      </c>
      <c r="I176" s="989"/>
      <c r="J176" s="989">
        <f>(P88*100*($E88/3656)/($O88+$P88+$Q88))+(P89*100*($E89/366)/($O89+$P89+$Q89))</f>
        <v>31.50912106135987</v>
      </c>
      <c r="K176" s="989"/>
      <c r="L176" s="989">
        <f>(Q88*100*($E88/366)/($O88+$P88+$Q88))+(Q89*100*($E89/366)/($O89+$P89+$Q89))</f>
        <v>0</v>
      </c>
      <c r="M176" s="989"/>
      <c r="N176" s="990">
        <f t="shared" si="29"/>
        <v>100</v>
      </c>
      <c r="O176" s="990"/>
      <c r="R176" s="1">
        <v>2000</v>
      </c>
      <c r="S176" s="7">
        <f>(O88*($E88/366)) + (O89*($E89/366))</f>
        <v>41.3</v>
      </c>
      <c r="T176" s="7">
        <f>(P88*($E88/366)) + (P89*($E89/366))</f>
        <v>19</v>
      </c>
      <c r="U176" s="7">
        <f>(Q88*($E88/366)) + (Q89*($E89/366))</f>
        <v>0</v>
      </c>
      <c r="V176" s="7"/>
      <c r="W176" s="7">
        <f t="shared" si="28"/>
        <v>60.3</v>
      </c>
    </row>
    <row r="177" spans="1:34">
      <c r="A177" s="1">
        <v>2001</v>
      </c>
      <c r="B177" s="7">
        <f>K90*($E90/365)+K91*($E91/365)</f>
        <v>50</v>
      </c>
      <c r="C177" s="7">
        <f>L90*($E90/365)+L91*($E91/365)</f>
        <v>50</v>
      </c>
      <c r="D177" s="7">
        <f>M90*($E90/365)+M91*($E91/365)</f>
        <v>0</v>
      </c>
      <c r="E177" s="51">
        <f t="shared" si="27"/>
        <v>100</v>
      </c>
      <c r="G177" s="1">
        <v>2001</v>
      </c>
      <c r="H177" s="989">
        <f>(O90*100*($E90/365)/($O90+$P90+$Q90))+(O91*100*($E91/365)/($O91+$P91+$Q91))</f>
        <v>68.490878938640137</v>
      </c>
      <c r="I177" s="989"/>
      <c r="J177" s="989">
        <f>(P90*100*($E90/365)/($O90+$P90+$Q90))+(P91*100*($E91/365)/($O91+$P91+$Q91))</f>
        <v>31.50912106135987</v>
      </c>
      <c r="K177" s="989"/>
      <c r="L177" s="989">
        <f>(Q90*100*($E90/365)/($O90+$P90+$Q90))+(Q91*100*($E91/365)/($O91+$P91+$Q91))</f>
        <v>0</v>
      </c>
      <c r="M177" s="989"/>
      <c r="N177" s="990">
        <f t="shared" si="29"/>
        <v>100</v>
      </c>
      <c r="O177" s="990"/>
      <c r="R177" s="1">
        <v>2001</v>
      </c>
      <c r="S177" s="7">
        <f>(O90*($E90/365)) + (O91*($E91/365))</f>
        <v>41.3</v>
      </c>
      <c r="T177" s="7">
        <f>(P90*($E90/365)) + (P91*($E91/365))</f>
        <v>19</v>
      </c>
      <c r="U177" s="7">
        <f>(Q90*($E90/365)) + (Q91*($E91/365))</f>
        <v>0</v>
      </c>
      <c r="V177" s="7"/>
      <c r="W177" s="7">
        <f t="shared" si="28"/>
        <v>60.3</v>
      </c>
    </row>
    <row r="178" spans="1:34">
      <c r="A178" s="1">
        <v>2002</v>
      </c>
      <c r="B178" s="7">
        <f>K92*($E92/365)+K93*($E93/365)</f>
        <v>50</v>
      </c>
      <c r="C178" s="7">
        <f>L92*($E92/365)+L93*($E93/365)</f>
        <v>50</v>
      </c>
      <c r="D178" s="7">
        <f>M92*($E92/365)+M93*($E93/365)</f>
        <v>0</v>
      </c>
      <c r="E178" s="51">
        <f t="shared" si="27"/>
        <v>100</v>
      </c>
      <c r="G178" s="1">
        <v>2002</v>
      </c>
      <c r="H178" s="989">
        <f>(O92*100*($E92/365)/($O92+$P92+$Q92))+(O93*100*($E93/365)/($O93+$P93+$Q93))</f>
        <v>68.490878938640137</v>
      </c>
      <c r="I178" s="989"/>
      <c r="J178" s="989">
        <f>(P92*100*($E92/365)/($O92+$P92+$Q92))+(P93*100*($E93/365)/($O93+$P93+$Q93))</f>
        <v>31.50912106135987</v>
      </c>
      <c r="K178" s="989"/>
      <c r="L178" s="989">
        <f>(Q92*100*($E92/365)/($O92+$P92+$Q92))+(Q93*100*($E93/365)/($O93+$P93+$Q93))</f>
        <v>0</v>
      </c>
      <c r="M178" s="989"/>
      <c r="N178" s="990">
        <f t="shared" si="29"/>
        <v>100</v>
      </c>
      <c r="O178" s="990"/>
      <c r="R178" s="1">
        <v>2002</v>
      </c>
      <c r="S178" s="7">
        <f>(O92*($E92/365)) + (O93*($E93/365))</f>
        <v>41.3</v>
      </c>
      <c r="T178" s="7">
        <f>(P92*($E92/365)) + (P93*($E93/365))</f>
        <v>19</v>
      </c>
      <c r="U178" s="7">
        <f>(Q92*($E92/365)) + (Q93*($E93/365))</f>
        <v>0</v>
      </c>
      <c r="V178" s="7"/>
      <c r="W178" s="7">
        <f t="shared" si="28"/>
        <v>60.3</v>
      </c>
    </row>
    <row r="179" spans="1:34">
      <c r="A179" s="1">
        <v>2003</v>
      </c>
      <c r="B179" s="7">
        <f>K94*($E94/365)+K95*($E95/365)</f>
        <v>50</v>
      </c>
      <c r="C179" s="7">
        <f>L94*($E94/365)+L95*($E95/365)</f>
        <v>50</v>
      </c>
      <c r="D179" s="7">
        <f>M94*($E94/365)+M95*($E95/365)</f>
        <v>0</v>
      </c>
      <c r="E179" s="51">
        <f t="shared" si="27"/>
        <v>100</v>
      </c>
      <c r="G179" s="1">
        <v>2003</v>
      </c>
      <c r="H179" s="989">
        <f>(O94*100*($E94/365)/($O94+$P94+$Q94))+(O95*100*($E95/365)/($O95+$P95+$Q95))</f>
        <v>66.205072265766844</v>
      </c>
      <c r="I179" s="989"/>
      <c r="J179" s="989">
        <f>(P94*100*($E94/365)/($O94+$P94+$Q94))+(P95*100*($E95/365)/($O95+$P95+$Q95))</f>
        <v>33.79492773423317</v>
      </c>
      <c r="K179" s="989"/>
      <c r="L179" s="989">
        <f>(Q94*100*($E94/365)/($O94+$P94+$Q94))+(Q95*100*($E95/365)/($O95+$P95+$Q95))</f>
        <v>0</v>
      </c>
      <c r="M179" s="989"/>
      <c r="N179" s="990">
        <f t="shared" si="29"/>
        <v>100.00000000000001</v>
      </c>
      <c r="O179" s="990"/>
      <c r="R179" s="1">
        <v>2003</v>
      </c>
      <c r="S179" s="7">
        <f>(O94*($E94/365)) + (O95*($E95/365))</f>
        <v>37.38986301369863</v>
      </c>
      <c r="T179" s="7">
        <f>(P94*($E94/365)) + (P95*($E95/365))</f>
        <v>19</v>
      </c>
      <c r="U179" s="7">
        <f>(Q94*($E94/365)) + (Q95*($E95/365))</f>
        <v>0</v>
      </c>
      <c r="V179" s="7"/>
      <c r="W179" s="7">
        <f t="shared" si="28"/>
        <v>56.38986301369863</v>
      </c>
    </row>
    <row r="180" spans="1:34">
      <c r="A180" s="1">
        <v>2004</v>
      </c>
      <c r="B180" s="7">
        <f>K96*($E96/366)+K97*($E97/366)</f>
        <v>52.459016393442624</v>
      </c>
      <c r="C180" s="7">
        <f>L96*($E96/366)+L97*($E97/366)</f>
        <v>47.540983606557376</v>
      </c>
      <c r="D180" s="7">
        <f>M96*($E96/366)+M97*($E97/366)</f>
        <v>0</v>
      </c>
      <c r="E180" s="51">
        <f t="shared" si="27"/>
        <v>100</v>
      </c>
      <c r="G180" s="1">
        <v>2004</v>
      </c>
      <c r="H180" s="989">
        <f>(O96*100*($E96/366)/($O96+$P96+$Q96))+(O97*100*($E97/366)/($O97+$P97+$Q97))</f>
        <v>64.749536178107604</v>
      </c>
      <c r="I180" s="989"/>
      <c r="J180" s="989">
        <f>(P96*100*($E96/366)/($O96+$P96+$Q96))+(P97*100*($E97/366)/($O97+$P97+$Q97))</f>
        <v>35.250463821892396</v>
      </c>
      <c r="K180" s="989"/>
      <c r="L180" s="989">
        <f>(Q96*100*($E96/366)/($O96+$P96+$Q96))+(Q97*100*($E97/366)/($O97+$P97+$Q97))</f>
        <v>0</v>
      </c>
      <c r="M180" s="989"/>
      <c r="N180" s="990">
        <f t="shared" si="29"/>
        <v>100</v>
      </c>
      <c r="O180" s="990"/>
      <c r="R180" s="1">
        <v>2004</v>
      </c>
      <c r="S180" s="7">
        <f>(O96*($E96/366)) + (O97*($E97/366))</f>
        <v>34.9</v>
      </c>
      <c r="T180" s="7">
        <f>(P96*($E96/366)) + (P97*($E97/366))</f>
        <v>19</v>
      </c>
      <c r="U180" s="7">
        <f>(Q96*($E96/366)) + (Q97*($E97/366))</f>
        <v>0</v>
      </c>
      <c r="V180" s="7"/>
      <c r="W180" s="7">
        <f t="shared" si="28"/>
        <v>53.9</v>
      </c>
    </row>
    <row r="181" spans="1:34">
      <c r="A181" s="1">
        <v>2005</v>
      </c>
      <c r="B181" s="7">
        <f>K98*($E98/365)+K99*($E99/365)</f>
        <v>58.333333333333336</v>
      </c>
      <c r="C181" s="7">
        <f>L98*($E98/365)+L99*($E99/365)</f>
        <v>41.666666666666671</v>
      </c>
      <c r="D181" s="7">
        <f>M98*($E98/365)+M99*($E99/365)</f>
        <v>0</v>
      </c>
      <c r="E181" s="51">
        <f t="shared" si="27"/>
        <v>100</v>
      </c>
      <c r="G181" s="1">
        <v>2005</v>
      </c>
      <c r="H181" s="989">
        <f>(O98*100*($E98/365)/($O98+$P98+$Q98))+(O99*100*($E99/365)/($O99+$P99+$Q99))</f>
        <v>64.749536178107604</v>
      </c>
      <c r="I181" s="989"/>
      <c r="J181" s="989">
        <f>(P98*100*($E98/365)/($O98+$P98+$Q98))+(P99*100*($E99/365)/($O99+$P99+$Q99))</f>
        <v>35.250463821892396</v>
      </c>
      <c r="K181" s="989"/>
      <c r="L181" s="989">
        <f>(Q98*100*($E98/365)/($O98+$P98+$Q98))+(Q99*100*($E99/365)/($O99+$P99+$Q99))</f>
        <v>0</v>
      </c>
      <c r="M181" s="989"/>
      <c r="N181" s="990">
        <f t="shared" si="29"/>
        <v>100</v>
      </c>
      <c r="O181" s="990"/>
      <c r="R181" s="1">
        <v>2005</v>
      </c>
      <c r="S181" s="7">
        <f>(O98*($E98/365)) + (O99*($E99/365))</f>
        <v>34.9</v>
      </c>
      <c r="T181" s="7">
        <f>(P98*($E98/365)) + (P99*($E99/365))</f>
        <v>19</v>
      </c>
      <c r="U181" s="7">
        <f>(Q98*($E98/365)) + (Q99*($E99/365))</f>
        <v>0</v>
      </c>
      <c r="V181" s="7"/>
      <c r="W181" s="7">
        <f t="shared" si="28"/>
        <v>53.9</v>
      </c>
    </row>
    <row r="182" spans="1:34">
      <c r="A182" s="1">
        <v>2006</v>
      </c>
      <c r="B182" s="7">
        <f>K100*($E100/365)+K101*($E101/365)</f>
        <v>53.767123287671232</v>
      </c>
      <c r="C182" s="7">
        <f>L100*($E100/365)+L101*($E101/365)</f>
        <v>46.232876712328768</v>
      </c>
      <c r="D182" s="7">
        <f>M100*($E100/365)+M101*($E101/365)</f>
        <v>0</v>
      </c>
      <c r="E182" s="51">
        <f t="shared" si="27"/>
        <v>100</v>
      </c>
      <c r="G182" s="1">
        <v>2006</v>
      </c>
      <c r="H182" s="989">
        <f>(O100*100*($E100/365)/($O100+$P100+$Q100))+(O101*100*($E101/365)/($O101+$P101+$Q101))</f>
        <v>65.306374308331257</v>
      </c>
      <c r="I182" s="989"/>
      <c r="J182" s="989">
        <f>(P100*100*($E100/365)/($O100+$P100+$Q100))+(P101*100*($E101/365)/($O101+$P101+$Q101))</f>
        <v>34.693625691668743</v>
      </c>
      <c r="K182" s="989"/>
      <c r="L182" s="989">
        <f>(Q100*100*($E100/365)/($O100+$P100+$Q100))+(Q101*100*($E101/365)/($O101+$P101+$Q101))</f>
        <v>0</v>
      </c>
      <c r="M182" s="989"/>
      <c r="N182" s="990">
        <f t="shared" si="29"/>
        <v>100</v>
      </c>
      <c r="O182" s="990"/>
      <c r="R182" s="1">
        <v>2006</v>
      </c>
      <c r="S182" s="7">
        <f>(O100*($E100/365)) + (O101*($E101/365))</f>
        <v>35.776712328767118</v>
      </c>
      <c r="T182" s="7">
        <f>(P100*($E100/365)) + (P101*($E101/365))</f>
        <v>19</v>
      </c>
      <c r="U182" s="7">
        <f>(Q100*($E100/365)) + (Q101*($E101/365))</f>
        <v>0</v>
      </c>
      <c r="V182" s="7"/>
      <c r="W182" s="7">
        <f t="shared" si="28"/>
        <v>54.776712328767118</v>
      </c>
    </row>
    <row r="183" spans="1:34">
      <c r="A183" s="1">
        <v>2007</v>
      </c>
      <c r="B183" s="7">
        <f>K102*($E102/365)+K103*($E103/365)</f>
        <v>50</v>
      </c>
      <c r="C183" s="7">
        <f>L102*($E102/365)+L103*($E103/365)</f>
        <v>19.589041095890412</v>
      </c>
      <c r="D183" s="7">
        <f>M102*($E102/365)+M103*($E103/365)</f>
        <v>30.410958904109592</v>
      </c>
      <c r="E183" s="51">
        <f t="shared" si="27"/>
        <v>100</v>
      </c>
      <c r="G183" s="1">
        <v>2007</v>
      </c>
      <c r="H183" s="989">
        <f>(O102*100*($E102/365)/($O102+$P102+$Q102))+(O103*100*($E103/365)/($O103+$P103+$Q103))</f>
        <v>61.119062061319227</v>
      </c>
      <c r="I183" s="989"/>
      <c r="J183" s="989">
        <f>(P102*100*($E102/365)/($O102+$P102+$Q102))+(P103*100*($E103/365)/($O103+$P103+$Q103))</f>
        <v>13.412316426015057</v>
      </c>
      <c r="K183" s="989"/>
      <c r="L183" s="989">
        <f>(Q102*100*($E102/365)/($O102+$P102+$Q102))+(Q103*100*($E103/365)/($O103+$P103+$Q103))</f>
        <v>25.468621512665717</v>
      </c>
      <c r="M183" s="989"/>
      <c r="N183" s="990">
        <f t="shared" si="29"/>
        <v>100</v>
      </c>
      <c r="O183" s="990"/>
      <c r="R183" s="1">
        <v>2007</v>
      </c>
      <c r="S183" s="7">
        <f>(O102*($E102/365)) + (O103*($E103/365))</f>
        <v>38.446301369863022</v>
      </c>
      <c r="T183" s="7">
        <f>(P102*($E102/365)) + (P103*($E103/365))</f>
        <v>7.4438356164383563</v>
      </c>
      <c r="U183" s="7">
        <f>(Q102*($E102/365)) + (Q103*($E103/365))</f>
        <v>17.395068493150688</v>
      </c>
      <c r="V183" s="7"/>
      <c r="W183" s="7">
        <f t="shared" si="28"/>
        <v>63.285205479452067</v>
      </c>
    </row>
    <row r="184" spans="1:34">
      <c r="A184" s="1">
        <v>2008</v>
      </c>
      <c r="B184" s="7">
        <f>K104*($E104/366)+K105*($E105/366)</f>
        <v>50</v>
      </c>
      <c r="C184" s="7">
        <f>L104*($E104/366)+L105*($E105/366)</f>
        <v>0</v>
      </c>
      <c r="D184" s="7">
        <f>M104*($E104/366)+M105*($E105/366)</f>
        <v>50</v>
      </c>
      <c r="E184" s="51">
        <f t="shared" si="27"/>
        <v>100</v>
      </c>
      <c r="G184" s="1">
        <v>2008</v>
      </c>
      <c r="H184" s="989">
        <f>(O104*100*($E104/366)/($O104+$P104+$Q104))+(O105*100*($E105/366)/($O105+$P105+$Q105))</f>
        <v>58.125915080527086</v>
      </c>
      <c r="I184" s="989"/>
      <c r="J184" s="989">
        <f>(P104*100*($E104/366)/($O104+$P104+$Q104))+(P105*100*($E105/366)/($O105+$P105+$Q105))</f>
        <v>0</v>
      </c>
      <c r="K184" s="989"/>
      <c r="L184" s="989">
        <f>(Q104*100*($E104/366)/($O104+$P104+$Q104))+(Q105*100*($E105/366)/($O105+$P105+$Q105))</f>
        <v>41.874084919472907</v>
      </c>
      <c r="M184" s="989"/>
      <c r="N184" s="990">
        <f t="shared" si="29"/>
        <v>100</v>
      </c>
      <c r="O184" s="990"/>
      <c r="R184" s="1">
        <v>2008</v>
      </c>
      <c r="S184" s="7">
        <f>(O104*($E104/366)) + (O105*($E105/366))</f>
        <v>39.700000000000003</v>
      </c>
      <c r="T184" s="7">
        <f>(P104*($E104/366)) + (P105*($E105/366))</f>
        <v>0</v>
      </c>
      <c r="U184" s="7">
        <f>(Q104*($E104/366)) + (Q105*($E105/366))</f>
        <v>28.6</v>
      </c>
      <c r="V184" s="7"/>
      <c r="W184" s="7">
        <f t="shared" si="28"/>
        <v>68.300000000000011</v>
      </c>
    </row>
    <row r="185" spans="1:34">
      <c r="A185" s="1">
        <v>2009</v>
      </c>
      <c r="B185" s="7">
        <f>K106*($E106/365)+K107*($E107/365)+K108*($E108/365)</f>
        <v>4.2465753424657535</v>
      </c>
      <c r="C185" s="7">
        <f>L106*($E106/365)+L107*($E107/365)+L108*($E108/365)</f>
        <v>0</v>
      </c>
      <c r="D185" s="7">
        <f>M106*($E106/365)+M107*($E107/365)+M108*($E108/365)</f>
        <v>79.607305936073061</v>
      </c>
      <c r="E185" s="51">
        <f t="shared" si="27"/>
        <v>83.853881278538807</v>
      </c>
      <c r="G185" s="1">
        <v>2009</v>
      </c>
      <c r="H185" s="989">
        <f>(O106*100*($E106/365)/($O106+$P106+$Q106))+(O107*100*($E107/365)/($O107+$P107+$Q107))+(O108*100*($E108/365)/($O108+$P108+$Q108))</f>
        <v>4.9367215547844916</v>
      </c>
      <c r="I185" s="989"/>
      <c r="J185" s="989">
        <f>(P106*100*($E106/365)/($O106+$P106+$Q106))+(P107*100*($E107/365)/($O107+$P107+$Q107))+(O108*100*(E108/365)/(O108+P108+Q108))</f>
        <v>0</v>
      </c>
      <c r="K185" s="989"/>
      <c r="L185" s="989">
        <f>(Q106*100*($E106/365)/($O106+$P106+$Q106))+(Q107*100*($E107/365)/($O107+$P107+$Q107))+(O108*100*(E108/365)/(O108+P108+Q108))</f>
        <v>30.405744198640168</v>
      </c>
      <c r="M185" s="989"/>
      <c r="N185" s="990">
        <f t="shared" si="29"/>
        <v>35.342465753424662</v>
      </c>
      <c r="O185" s="990"/>
      <c r="R185" s="1">
        <v>2009</v>
      </c>
      <c r="S185" s="7">
        <f>(O106*($E106/365)) + (O107*($E107/365))+(O108*($E108/365))</f>
        <v>3.3717808219178083</v>
      </c>
      <c r="T185" s="7">
        <f>(P106*($E106/365)) + (P107*($E107/365))+(P108*($E108/365))</f>
        <v>0</v>
      </c>
      <c r="U185" s="7">
        <f>(Q106*($E106/365)) + (Q107*($E107/365))+(Q108*($E108/365))</f>
        <v>48.79780821917808</v>
      </c>
      <c r="V185" s="7"/>
      <c r="W185" s="7">
        <f t="shared" si="28"/>
        <v>52.16958904109589</v>
      </c>
    </row>
    <row r="186" spans="1:34">
      <c r="A186" s="1">
        <v>2010</v>
      </c>
      <c r="B186" s="7">
        <f>K109*($E109/365)+K110*($E110/365)</f>
        <v>0</v>
      </c>
      <c r="C186" s="7">
        <f>L109*($E109/365)+L110*($E110/365)</f>
        <v>0</v>
      </c>
      <c r="D186" s="7">
        <f>M109*($E109/365)+M110*($E110/365)</f>
        <v>88.858447488584488</v>
      </c>
      <c r="E186" s="51">
        <f t="shared" si="27"/>
        <v>88.858447488584488</v>
      </c>
      <c r="G186" s="1">
        <v>2010</v>
      </c>
      <c r="H186" s="989">
        <f>(O109*100*($E109/365)/($O109+$P109+$Q109))+(O110*100*($E110/365)/($O110+$P110+$Q110))</f>
        <v>0</v>
      </c>
      <c r="I186" s="989"/>
      <c r="J186" s="989">
        <f>(P109*100*($E109/365)/($O109+$P109+$Q109))+(P110*100*($E110/365)/($O110+$P110+$Q110))</f>
        <v>0</v>
      </c>
      <c r="K186" s="989"/>
      <c r="L186" s="989">
        <f>(Q109*100*($E109/365)/($O109+$P109+$Q109))+(Q110*100*($E110/365)/($O110+$P110+$Q110))</f>
        <v>100</v>
      </c>
      <c r="M186" s="989"/>
      <c r="N186" s="990">
        <f t="shared" si="29"/>
        <v>100</v>
      </c>
      <c r="O186" s="990"/>
      <c r="R186" s="1">
        <v>2010</v>
      </c>
      <c r="S186" s="7">
        <f>(O109*($E109/365)) + (O110*($E110/365))</f>
        <v>0</v>
      </c>
      <c r="T186" s="7">
        <f>(P109*($E109/365)) + (P110*($E110/365))</f>
        <v>0</v>
      </c>
      <c r="U186" s="7">
        <f>(Q109*($E109/365)) + (Q110*($E110/365))</f>
        <v>53.9</v>
      </c>
      <c r="V186" s="7"/>
      <c r="W186" s="7">
        <f t="shared" si="28"/>
        <v>53.9</v>
      </c>
    </row>
    <row r="187" spans="1:34">
      <c r="A187" s="1">
        <v>2011</v>
      </c>
      <c r="B187" s="7">
        <f>K111*($E111/365)+K112*($E112/365)</f>
        <v>0</v>
      </c>
      <c r="C187" s="7">
        <f>L111*($E111/365)+L112*($E112/365)</f>
        <v>0</v>
      </c>
      <c r="D187" s="7">
        <f>M111*($E111/365)+M112*($E112/365)</f>
        <v>100.00000000000001</v>
      </c>
      <c r="E187" s="51">
        <f t="shared" si="27"/>
        <v>100.00000000000001</v>
      </c>
      <c r="G187" s="1">
        <v>2011</v>
      </c>
      <c r="H187" s="989">
        <f>(O111*100*($E111/365)/($O111+$P111+$Q111))+(O112*100*($E112/365)/($O112+$P112+$Q112))</f>
        <v>0</v>
      </c>
      <c r="I187" s="989"/>
      <c r="J187" s="989">
        <f>(P111*100*($E111/365)/($O111+$P111+$Q111))+(P112*100*($E112/365)/($O112+$P112+$Q112))</f>
        <v>0</v>
      </c>
      <c r="K187" s="989"/>
      <c r="L187" s="989">
        <f>(Q111*100*($E111/365)/($O111+$P111+$Q111))+(Q112*100*($E112/365)/($O112+$P112+$Q112))</f>
        <v>100.00000000000001</v>
      </c>
      <c r="M187" s="989"/>
      <c r="N187" s="990">
        <f t="shared" si="29"/>
        <v>100.00000000000001</v>
      </c>
      <c r="O187" s="990"/>
      <c r="R187" s="1">
        <v>2011</v>
      </c>
      <c r="S187" s="7">
        <f>(O111*($E111/365)) + (O112*($E112/365))</f>
        <v>0</v>
      </c>
      <c r="T187" s="7">
        <f>(P111*($E111/365)) + (P112*($E112/365))</f>
        <v>0</v>
      </c>
      <c r="U187" s="7">
        <f>(Q111*($E111/365)) + (Q112*($E112/365))</f>
        <v>53.9</v>
      </c>
      <c r="V187" s="7"/>
      <c r="W187" s="7">
        <f t="shared" si="28"/>
        <v>53.9</v>
      </c>
    </row>
    <row r="188" spans="1:34">
      <c r="A188" s="1">
        <v>2012</v>
      </c>
      <c r="B188" s="7">
        <f>K113*($E113/366)+K114*($E114/366)</f>
        <v>0</v>
      </c>
      <c r="C188" s="7">
        <f>L113*($E113/366)+L114*($E114/366)</f>
        <v>0</v>
      </c>
      <c r="D188" s="7">
        <f>M113*($E113/366)+M114*($E114/366)</f>
        <v>100</v>
      </c>
      <c r="E188" s="51">
        <f t="shared" si="27"/>
        <v>100</v>
      </c>
      <c r="G188" s="1">
        <v>2012</v>
      </c>
      <c r="H188" s="989">
        <f>(O113*100*($E113/366)/($O113+$P113+$Q113))+(O114*100*($E114/366)/($O114+$P114+$Q114))</f>
        <v>0</v>
      </c>
      <c r="I188" s="989"/>
      <c r="J188" s="989">
        <f>(P113*100*($E113/366)/($O113+$P113+$Q113))+(P114*100*($E114/366)/($O114+$P114+$Q114))</f>
        <v>0</v>
      </c>
      <c r="K188" s="989"/>
      <c r="L188" s="989">
        <f>(Q113*100*($E113/366)/($O113+$P113+$Q113))+(Q114*100*($E114/366)/($O114+$P114+$Q114))</f>
        <v>100</v>
      </c>
      <c r="M188" s="989"/>
      <c r="N188" s="990">
        <f t="shared" si="29"/>
        <v>100</v>
      </c>
      <c r="O188" s="990"/>
      <c r="R188" s="1">
        <v>2012</v>
      </c>
      <c r="S188" s="7">
        <f>(O113*($E113/366)) + (O114*($E114/366))</f>
        <v>0</v>
      </c>
      <c r="T188" s="7">
        <f>(P113*($E113/366)) + (P114*($E114/366))</f>
        <v>0</v>
      </c>
      <c r="U188" s="7">
        <f>(Q113*($E113/366)) + (Q114*($E114/366))</f>
        <v>53.9</v>
      </c>
      <c r="V188" s="7"/>
      <c r="W188" s="7">
        <f t="shared" si="28"/>
        <v>53.9</v>
      </c>
    </row>
    <row r="189" spans="1:34">
      <c r="A189" s="1">
        <v>2013</v>
      </c>
      <c r="B189" s="7">
        <f>K115*($E115/365)+K116*($E116/365)</f>
        <v>33.942161339421617</v>
      </c>
      <c r="C189" s="7">
        <f>L115*($E115/365)+L116*($E116/365)</f>
        <v>27.153729071537292</v>
      </c>
      <c r="D189" s="7">
        <f>M115*($E115/365)+M116*($E116/365)</f>
        <v>38.904109589041099</v>
      </c>
      <c r="E189" s="302">
        <f t="shared" si="27"/>
        <v>100</v>
      </c>
      <c r="G189" s="1">
        <v>2013</v>
      </c>
      <c r="H189" s="989">
        <f>(O115*100*($E115/365)/($O115+$P115+$Q115))+(O116*100*($E116/365)/($O116+$P116+$Q116))</f>
        <v>30.547945205479458</v>
      </c>
      <c r="I189" s="989"/>
      <c r="J189" s="989">
        <f>(P115*100*($E115/365)/($O115+$P115+$Q115))+(P116*100*($E116/365)/($O116+$P116+$Q116))</f>
        <v>30.547945205479458</v>
      </c>
      <c r="K189" s="989"/>
      <c r="L189" s="989">
        <f>(Q115*100*($E115/365)/($O115+$P115+$Q115))+(Q116*100*($E116/365)/($O116+$P116+$Q116))</f>
        <v>38.904109589041099</v>
      </c>
      <c r="M189" s="989"/>
      <c r="N189" s="990">
        <f>H189+J189+L189</f>
        <v>100.00000000000001</v>
      </c>
      <c r="O189" s="990"/>
      <c r="R189" s="1">
        <v>2013</v>
      </c>
      <c r="S189" s="7">
        <f>(O115*($E115/365)) + (O116*($E116/365))</f>
        <v>18.450958904109591</v>
      </c>
      <c r="T189" s="7">
        <f>(P115*($E115/365)) + (P116*($E116/365))</f>
        <v>18.450958904109591</v>
      </c>
      <c r="U189" s="7">
        <f>(Q115*($E115/365)) + (Q116*($E116/365))</f>
        <v>20.969315068493152</v>
      </c>
      <c r="W189" s="7">
        <f t="shared" si="28"/>
        <v>57.871232876712334</v>
      </c>
    </row>
    <row r="190" spans="1:34">
      <c r="A190" s="1">
        <v>2014</v>
      </c>
      <c r="B190" s="7">
        <f>K117*($E117/365)+K118*($E118/365)</f>
        <v>55.540334855403351</v>
      </c>
      <c r="C190" s="7">
        <f>L117*($E117/365)+L118*($E118/365)</f>
        <v>44.459665144596656</v>
      </c>
      <c r="D190" s="7">
        <f>M117*($E117/365)+M118*($E118/365)</f>
        <v>0</v>
      </c>
      <c r="E190" s="539">
        <f>B190+C190+D190</f>
        <v>100</v>
      </c>
      <c r="G190" s="1">
        <v>2014</v>
      </c>
      <c r="H190" s="989">
        <f>(O117*100*($E117/365)/($O117+$P117+$Q117))+(O118*100*($E118/365)/($O118+$P118+$Q118))</f>
        <v>50</v>
      </c>
      <c r="I190" s="989"/>
      <c r="J190" s="989">
        <f>(P117*100*($E117/365)/($O117+$P117+$Q117))+(P118*100*($E118/365)/($O118+$P118+$Q118))</f>
        <v>50</v>
      </c>
      <c r="K190" s="989"/>
      <c r="L190" s="989">
        <f>(Q117*100*($E117/365)/($O117+$P117+$Q117))+(Q118*100*($E118/365)/($O118+$P118+$Q118))</f>
        <v>0</v>
      </c>
      <c r="M190" s="989"/>
      <c r="N190" s="990">
        <f>H190+J190+L190</f>
        <v>100</v>
      </c>
      <c r="O190" s="990"/>
      <c r="R190" s="1">
        <v>2014</v>
      </c>
      <c r="S190" s="7">
        <f>(O117*($E117/365)) + (O118*($E118/365))</f>
        <v>30.2</v>
      </c>
      <c r="T190" s="7">
        <f>(P117*($E117/365)) + (P118*($E118/365))</f>
        <v>30.2</v>
      </c>
      <c r="U190" s="7">
        <f>(Q117*($E117/365)) + (Q118*($E118/365))</f>
        <v>0</v>
      </c>
      <c r="W190" s="7">
        <f>S190+T190+U190</f>
        <v>60.4</v>
      </c>
    </row>
    <row r="191" spans="1:34" s="728" customFormat="1">
      <c r="A191" s="728">
        <v>2015</v>
      </c>
      <c r="B191" s="724">
        <f>K119*($E119/365)+K120*($E120/365)</f>
        <v>50</v>
      </c>
      <c r="C191" s="724">
        <f>L119*($E119/365)+L120*($E120/365)</f>
        <v>50</v>
      </c>
      <c r="D191" s="724">
        <f>M119*($E119/365)+M120*($E120/365)</f>
        <v>0</v>
      </c>
      <c r="E191" s="726">
        <f>B191+C191+D191</f>
        <v>100</v>
      </c>
      <c r="G191" s="728">
        <v>2015</v>
      </c>
      <c r="H191" s="989">
        <f>(O119*100*($E119/365)/($O119+$P119+$Q119))+(O120*100*($E120/365)/($O120+$P120+$Q120))</f>
        <v>50</v>
      </c>
      <c r="I191" s="989"/>
      <c r="J191" s="989">
        <f>(P119*100*($E119/365)/($O119+$P119+$Q119))+(P120*100*($E120/365)/($O120+$P120+$Q120))</f>
        <v>50</v>
      </c>
      <c r="K191" s="989"/>
      <c r="L191" s="989">
        <f>(Q119*100*($E119/365)/($O119+$P119+$Q119))+(Q120*100*($E120/365)/($O120+$P120+$Q120))</f>
        <v>0</v>
      </c>
      <c r="M191" s="989"/>
      <c r="N191" s="990">
        <f>H191+J191+L191</f>
        <v>100</v>
      </c>
      <c r="O191" s="990"/>
      <c r="R191" s="728">
        <v>2015</v>
      </c>
      <c r="S191" s="724">
        <f>(O119*($E119/365)) + (O120*($E120/365))</f>
        <v>30.2</v>
      </c>
      <c r="T191" s="724">
        <f>(P119*($E119/365)) + (P120*($E120/365))</f>
        <v>30.2</v>
      </c>
      <c r="U191" s="724">
        <f>(Q119*($E119/365)) + (Q120*($E120/365))</f>
        <v>0</v>
      </c>
      <c r="W191" s="724">
        <f>S191+T191+U191</f>
        <v>60.4</v>
      </c>
      <c r="AH191" s="37"/>
    </row>
    <row r="192" spans="1:34" s="827" customFormat="1">
      <c r="A192" s="827">
        <v>2016</v>
      </c>
      <c r="B192" s="825">
        <f>K121*($E121/366)+K122*($E122/366)</f>
        <v>50</v>
      </c>
      <c r="C192" s="825">
        <f>L121*($E121/366)+L122*($E122/366)</f>
        <v>50</v>
      </c>
      <c r="D192" s="825">
        <f>M121*($E121/365)+M122*($E122/366)</f>
        <v>0</v>
      </c>
      <c r="E192" s="826">
        <f>B192+C192+D192</f>
        <v>100</v>
      </c>
      <c r="G192" s="827">
        <v>2016</v>
      </c>
      <c r="H192" s="989">
        <f>(O121*100*($E121/366)/($O121+$P121+$Q121))+(O122*100*($E122/366)/($O122+$P122+$Q122))</f>
        <v>66.456996911380372</v>
      </c>
      <c r="I192" s="989"/>
      <c r="J192" s="989">
        <f>(P121*100*($E121/366)/($O121+$P121+$Q121))+(P122*100*($E122/366)/($O122+$P122+$Q122))</f>
        <v>33.543003088619628</v>
      </c>
      <c r="K192" s="989"/>
      <c r="L192" s="989">
        <f>(Q121*100*($E121/366)/($O121+$P121+$Q121))+(Q122*100*($E122/366)/($O122+$P122+$Q122))</f>
        <v>0</v>
      </c>
      <c r="M192" s="989"/>
      <c r="N192" s="990">
        <f>H192+J192+L192</f>
        <v>100</v>
      </c>
      <c r="O192" s="990"/>
      <c r="R192" s="827">
        <v>2016</v>
      </c>
      <c r="S192" s="825">
        <f>(O121*($E121/366)) + (O122*($E122/366))</f>
        <v>32.478415300546445</v>
      </c>
      <c r="T192" s="825">
        <f>(P121*($E121/366)) + (P122*($E122/366))</f>
        <v>17.337978142076501</v>
      </c>
      <c r="U192" s="825">
        <f>(Q121*($E121/366)) + (Q122*($E122/366))</f>
        <v>0</v>
      </c>
      <c r="W192" s="825">
        <f>S192+T192+U192</f>
        <v>49.816393442622946</v>
      </c>
      <c r="AH192" s="37"/>
    </row>
    <row r="193" spans="1:23">
      <c r="A193" s="920">
        <v>2017</v>
      </c>
      <c r="B193" s="917">
        <f>K123*($E123/365)+K124*($E124/365)+K125*($E125/365)</f>
        <v>93.848069738480703</v>
      </c>
      <c r="C193" s="917">
        <f t="shared" ref="C193:D193" si="30">L123*($E123/365)+L124*($E124/365)+L125*($E125/365)</f>
        <v>3.7608966376089663</v>
      </c>
      <c r="D193" s="917">
        <f t="shared" si="30"/>
        <v>2.391033623910336</v>
      </c>
      <c r="E193" s="919">
        <f>B193+C193+D193</f>
        <v>100</v>
      </c>
      <c r="F193" s="920"/>
      <c r="G193" s="920">
        <v>2017</v>
      </c>
      <c r="H193" s="989">
        <f>(O123*100*($E123/365)/($O123+$P123+$Q123))+(O124*100*($E124/365)/($O124+$P124+$Q124))+(O125*100*($E125/365)/($O125+$P125+$Q125))</f>
        <v>94.481598759110639</v>
      </c>
      <c r="I193" s="989"/>
      <c r="J193" s="989">
        <f>(P123*100*($E123/365)/($O123+$P123+$Q123))+(P124*100*($E124/365)/($O124+$P124+$Q124))+(P125*100*($E125/365)/($O125+$P125+$Q125))</f>
        <v>2.758964954302193</v>
      </c>
      <c r="K193" s="989"/>
      <c r="L193" s="989">
        <f>(Q123*100*($E123/365)/($O123+$P123+$Q123))+(Q124*100*($E124/365)/($O124+$P124+$Q124))+(Q125*100*($E125/365)/($O125+$P125+$Q125))</f>
        <v>2.7594362865871687</v>
      </c>
      <c r="M193" s="989"/>
      <c r="N193" s="990">
        <f>H193+J193+L193</f>
        <v>100</v>
      </c>
      <c r="O193" s="990"/>
      <c r="P193" s="920"/>
      <c r="Q193" s="920"/>
      <c r="R193" s="920">
        <v>2017</v>
      </c>
      <c r="S193" s="917">
        <f>(O123*($E123/365)) + (O124*($E124/365))+ (O125*($E125/365))</f>
        <v>48.005205479452052</v>
      </c>
      <c r="T193" s="917">
        <f t="shared" ref="T193:U193" si="31">(P123*($E123/365)) + (P124*($E124/365))+ (P125*($E125/365))</f>
        <v>1.4613698630136986</v>
      </c>
      <c r="U193" s="917">
        <f t="shared" si="31"/>
        <v>1.5342465753424657</v>
      </c>
      <c r="V193" s="920"/>
      <c r="W193" s="917">
        <f>S193+T193+U193</f>
        <v>51.000821917808217</v>
      </c>
    </row>
    <row r="194" spans="1:23">
      <c r="A194" s="939">
        <v>2018</v>
      </c>
      <c r="B194" s="935">
        <f>K126*($E126/365)+K127*($E127/365)</f>
        <v>45.454545454545453</v>
      </c>
      <c r="C194" s="935">
        <f>L126*($E126/365)+L127*($E127/365)</f>
        <v>27.27272727272727</v>
      </c>
      <c r="D194" s="935">
        <f>M126*($E126/365)+M127*($E127/365)</f>
        <v>27.27272727272727</v>
      </c>
      <c r="E194" s="937">
        <f t="shared" ref="E194" si="32">B194+C194+D194</f>
        <v>99.999999999999986</v>
      </c>
      <c r="F194" s="939"/>
      <c r="G194" s="939">
        <v>2018</v>
      </c>
      <c r="H194" s="989">
        <f>(O126*100*($E126/365)/($O126+$P126+$Q126))+(O127*100*($E127/365)/($O127+$P127+$Q127))</f>
        <v>45.683453237410077</v>
      </c>
      <c r="I194" s="989"/>
      <c r="J194" s="989">
        <f>(P126*100*($E126/365)/($O126+$P126+$Q126))+(P127*100*($E127/365)/($O127+$P127+$Q127))</f>
        <v>22.841726618705039</v>
      </c>
      <c r="K194" s="989"/>
      <c r="L194" s="989">
        <f>(Q126*100*($E126/365)/($O126+$P126+$Q126))+(Q127*100*($E127/365)/($O127+$P127+$Q127))</f>
        <v>31.474820143884894</v>
      </c>
      <c r="M194" s="989"/>
      <c r="N194" s="990">
        <f t="shared" ref="N194" si="33">H194+J194+L194</f>
        <v>100.00000000000001</v>
      </c>
      <c r="O194" s="990"/>
      <c r="P194" s="939"/>
      <c r="Q194" s="939"/>
      <c r="R194" s="939">
        <v>2018</v>
      </c>
      <c r="S194" s="935">
        <f xml:space="preserve"> (O126*($E126/365))+ (O127*($E127/365))</f>
        <v>25.4</v>
      </c>
      <c r="T194" s="935">
        <f t="shared" ref="T194:U194" si="34" xml:space="preserve"> (P126*($E126/365))+ (P127*($E127/365))</f>
        <v>12.7</v>
      </c>
      <c r="U194" s="935">
        <f t="shared" si="34"/>
        <v>17.5</v>
      </c>
      <c r="V194" s="939"/>
      <c r="W194" s="935">
        <f t="shared" ref="W194" si="35">S194+T194+U194</f>
        <v>55.599999999999994</v>
      </c>
    </row>
  </sheetData>
  <mergeCells count="390">
    <mergeCell ref="N192:O192"/>
    <mergeCell ref="C122:D122"/>
    <mergeCell ref="H191:I191"/>
    <mergeCell ref="J191:K191"/>
    <mergeCell ref="L191:M191"/>
    <mergeCell ref="N191:O191"/>
    <mergeCell ref="H189:I189"/>
    <mergeCell ref="L189:M189"/>
    <mergeCell ref="N136:O136"/>
    <mergeCell ref="N171:O171"/>
    <mergeCell ref="N172:O172"/>
    <mergeCell ref="N173:O173"/>
    <mergeCell ref="N170:O170"/>
    <mergeCell ref="L172:M172"/>
    <mergeCell ref="L173:M173"/>
    <mergeCell ref="L174:M174"/>
    <mergeCell ref="L182:M182"/>
    <mergeCell ref="L183:M183"/>
    <mergeCell ref="L184:M184"/>
    <mergeCell ref="J179:K179"/>
    <mergeCell ref="J180:K180"/>
    <mergeCell ref="J183:K183"/>
    <mergeCell ref="J184:K184"/>
    <mergeCell ref="L188:M188"/>
    <mergeCell ref="J187:K187"/>
    <mergeCell ref="L178:M178"/>
    <mergeCell ref="L179:M179"/>
    <mergeCell ref="L180:M180"/>
    <mergeCell ref="H192:I192"/>
    <mergeCell ref="J192:K192"/>
    <mergeCell ref="L192:M192"/>
    <mergeCell ref="N182:O182"/>
    <mergeCell ref="J178:K178"/>
    <mergeCell ref="J182:K182"/>
    <mergeCell ref="N190:O190"/>
    <mergeCell ref="N189:O189"/>
    <mergeCell ref="J189:K189"/>
    <mergeCell ref="N183:O183"/>
    <mergeCell ref="N184:O184"/>
    <mergeCell ref="N185:O185"/>
    <mergeCell ref="N186:O186"/>
    <mergeCell ref="L186:M186"/>
    <mergeCell ref="L187:M187"/>
    <mergeCell ref="L185:M185"/>
    <mergeCell ref="N187:O187"/>
    <mergeCell ref="J185:K185"/>
    <mergeCell ref="J186:K186"/>
    <mergeCell ref="N188:O188"/>
    <mergeCell ref="L171:M171"/>
    <mergeCell ref="J181:K181"/>
    <mergeCell ref="N176:O176"/>
    <mergeCell ref="L176:M176"/>
    <mergeCell ref="L177:M177"/>
    <mergeCell ref="N177:O177"/>
    <mergeCell ref="N178:O178"/>
    <mergeCell ref="N179:O179"/>
    <mergeCell ref="N180:O180"/>
    <mergeCell ref="N181:O181"/>
    <mergeCell ref="AT4:AW4"/>
    <mergeCell ref="AX4:BA4"/>
    <mergeCell ref="R132:W132"/>
    <mergeCell ref="N168:O168"/>
    <mergeCell ref="N169:O169"/>
    <mergeCell ref="L136:M136"/>
    <mergeCell ref="J136:K136"/>
    <mergeCell ref="J174:K174"/>
    <mergeCell ref="J175:K175"/>
    <mergeCell ref="N174:O174"/>
    <mergeCell ref="AD4:AG4"/>
    <mergeCell ref="AH4:AK4"/>
    <mergeCell ref="AL4:AO4"/>
    <mergeCell ref="U4:U5"/>
    <mergeCell ref="V4:Y4"/>
    <mergeCell ref="N175:O175"/>
    <mergeCell ref="L175:M175"/>
    <mergeCell ref="N166:O166"/>
    <mergeCell ref="N167:O167"/>
    <mergeCell ref="L166:M166"/>
    <mergeCell ref="L167:M167"/>
    <mergeCell ref="L168:M168"/>
    <mergeCell ref="L169:M169"/>
    <mergeCell ref="L170:M170"/>
    <mergeCell ref="L190:M190"/>
    <mergeCell ref="H190:I190"/>
    <mergeCell ref="J190:K190"/>
    <mergeCell ref="H186:I186"/>
    <mergeCell ref="H187:I187"/>
    <mergeCell ref="H188:I188"/>
    <mergeCell ref="J166:K166"/>
    <mergeCell ref="J167:K167"/>
    <mergeCell ref="J168:K168"/>
    <mergeCell ref="J169:K169"/>
    <mergeCell ref="J170:K170"/>
    <mergeCell ref="H180:I180"/>
    <mergeCell ref="H181:I181"/>
    <mergeCell ref="H182:I182"/>
    <mergeCell ref="H183:I183"/>
    <mergeCell ref="H184:I184"/>
    <mergeCell ref="H185:I185"/>
    <mergeCell ref="H174:I174"/>
    <mergeCell ref="H175:I175"/>
    <mergeCell ref="H176:I176"/>
    <mergeCell ref="H177:I177"/>
    <mergeCell ref="H178:I178"/>
    <mergeCell ref="L181:M181"/>
    <mergeCell ref="J188:K188"/>
    <mergeCell ref="H179:I179"/>
    <mergeCell ref="H168:I168"/>
    <mergeCell ref="H169:I169"/>
    <mergeCell ref="H170:I170"/>
    <mergeCell ref="H171:I171"/>
    <mergeCell ref="H172:I172"/>
    <mergeCell ref="H173:I173"/>
    <mergeCell ref="H165:I165"/>
    <mergeCell ref="J171:K171"/>
    <mergeCell ref="J172:K172"/>
    <mergeCell ref="J173:K173"/>
    <mergeCell ref="H166:I166"/>
    <mergeCell ref="H167:I167"/>
    <mergeCell ref="J177:K177"/>
    <mergeCell ref="J176:K176"/>
    <mergeCell ref="H163:I163"/>
    <mergeCell ref="J163:K163"/>
    <mergeCell ref="L163:M163"/>
    <mergeCell ref="N163:O163"/>
    <mergeCell ref="H164:I164"/>
    <mergeCell ref="J164:K164"/>
    <mergeCell ref="L164:M164"/>
    <mergeCell ref="N164:O164"/>
    <mergeCell ref="J165:K165"/>
    <mergeCell ref="L165:M165"/>
    <mergeCell ref="N165:O165"/>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6:I146"/>
    <mergeCell ref="J146:K146"/>
    <mergeCell ref="L146:M146"/>
    <mergeCell ref="N146:O146"/>
    <mergeCell ref="H143:I143"/>
    <mergeCell ref="J143:K143"/>
    <mergeCell ref="L143:M143"/>
    <mergeCell ref="N143:O143"/>
    <mergeCell ref="H144:I144"/>
    <mergeCell ref="J144:K144"/>
    <mergeCell ref="L144:M144"/>
    <mergeCell ref="N144:O144"/>
    <mergeCell ref="G3:M3"/>
    <mergeCell ref="O3:Q3"/>
    <mergeCell ref="H141:I141"/>
    <mergeCell ref="J141:K141"/>
    <mergeCell ref="L141:M141"/>
    <mergeCell ref="N141:O141"/>
    <mergeCell ref="J134:K134"/>
    <mergeCell ref="L134:M134"/>
    <mergeCell ref="N134:O134"/>
    <mergeCell ref="H136:I136"/>
    <mergeCell ref="H134:I134"/>
    <mergeCell ref="H135:I135"/>
    <mergeCell ref="J135:K135"/>
    <mergeCell ref="L135:M135"/>
    <mergeCell ref="N135:O135"/>
    <mergeCell ref="H139:I139"/>
    <mergeCell ref="J139:K139"/>
    <mergeCell ref="L139:M139"/>
    <mergeCell ref="N139:O139"/>
    <mergeCell ref="H140:I140"/>
    <mergeCell ref="J140:K140"/>
    <mergeCell ref="L140:M140"/>
    <mergeCell ref="N140:O140"/>
    <mergeCell ref="A4:A5"/>
    <mergeCell ref="B4:B5"/>
    <mergeCell ref="C4:D5"/>
    <mergeCell ref="E4:E5"/>
    <mergeCell ref="F4:F5"/>
    <mergeCell ref="G4:J4"/>
    <mergeCell ref="Z4:AC4"/>
    <mergeCell ref="H137:I137"/>
    <mergeCell ref="J137:K137"/>
    <mergeCell ref="L137:M137"/>
    <mergeCell ref="N137:O137"/>
    <mergeCell ref="C21:D21"/>
    <mergeCell ref="C22:D22"/>
    <mergeCell ref="C23:D23"/>
    <mergeCell ref="C24:D24"/>
    <mergeCell ref="C27:D27"/>
    <mergeCell ref="C28:D28"/>
    <mergeCell ref="C25:D25"/>
    <mergeCell ref="C26:D26"/>
    <mergeCell ref="C29:D29"/>
    <mergeCell ref="C30:D30"/>
    <mergeCell ref="C33:D33"/>
    <mergeCell ref="C34:D34"/>
    <mergeCell ref="C31:D31"/>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9:D9"/>
    <mergeCell ref="C10:D10"/>
    <mergeCell ref="C7:D7"/>
    <mergeCell ref="C6:D6"/>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5:D115"/>
    <mergeCell ref="C118:D118"/>
    <mergeCell ref="C116:D116"/>
    <mergeCell ref="C117:D117"/>
    <mergeCell ref="C119:D119"/>
    <mergeCell ref="C120:D120"/>
    <mergeCell ref="C121:D121"/>
    <mergeCell ref="C123:D123"/>
    <mergeCell ref="C124:D124"/>
    <mergeCell ref="C125:D125"/>
    <mergeCell ref="C126:D126"/>
    <mergeCell ref="C127:D127"/>
    <mergeCell ref="H194:I194"/>
    <mergeCell ref="J194:K194"/>
    <mergeCell ref="L194:M194"/>
    <mergeCell ref="N194:O194"/>
    <mergeCell ref="J193:K193"/>
    <mergeCell ref="L193:M193"/>
    <mergeCell ref="H193:I193"/>
    <mergeCell ref="N193:O193"/>
    <mergeCell ref="C129:D129"/>
    <mergeCell ref="C128:D128"/>
    <mergeCell ref="H138:I138"/>
    <mergeCell ref="J138:K138"/>
    <mergeCell ref="L138:M138"/>
    <mergeCell ref="N138:O138"/>
    <mergeCell ref="H142:I142"/>
    <mergeCell ref="J142:K142"/>
    <mergeCell ref="L142:M142"/>
    <mergeCell ref="N142:O142"/>
    <mergeCell ref="H145:I145"/>
    <mergeCell ref="J145:K145"/>
    <mergeCell ref="L145:M145"/>
    <mergeCell ref="N145:O14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A198"/>
  <sheetViews>
    <sheetView zoomScale="181" zoomScaleNormal="120" workbookViewId="0">
      <pane xSplit="1" ySplit="5" topLeftCell="B119" activePane="bottomRight" state="frozen"/>
      <selection pane="topRight" activeCell="B1" sqref="B1"/>
      <selection pane="bottomLeft" activeCell="A6" sqref="A6"/>
      <selection pane="bottomRight" activeCell="D198" sqref="B198:D198"/>
    </sheetView>
  </sheetViews>
  <sheetFormatPr baseColWidth="10" defaultColWidth="10.6640625" defaultRowHeight="10"/>
  <cols>
    <col min="1" max="1" width="5.83203125" style="1" customWidth="1"/>
    <col min="2" max="6" width="7.83203125" style="1" customWidth="1"/>
    <col min="7" max="7" width="4.5" style="1" customWidth="1"/>
    <col min="8" max="8" width="4.5" style="5" customWidth="1"/>
    <col min="9" max="18" width="4.5" style="1" customWidth="1"/>
    <col min="19" max="21" width="7.83203125" style="1" customWidth="1"/>
    <col min="22" max="53" width="5.6640625" style="1" customWidth="1"/>
    <col min="54" max="16384" width="10.6640625" style="1"/>
  </cols>
  <sheetData>
    <row r="1" spans="1:53" s="2" customFormat="1" ht="15" customHeight="1">
      <c r="B1" s="22" t="s">
        <v>14</v>
      </c>
      <c r="H1" s="6"/>
    </row>
    <row r="2" spans="1:53" s="2" customFormat="1" ht="15" customHeight="1">
      <c r="B2" s="22" t="s">
        <v>58</v>
      </c>
      <c r="H2" s="6"/>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1244</v>
      </c>
      <c r="D6" s="995"/>
      <c r="E6" s="257">
        <v>173</v>
      </c>
      <c r="G6" s="283">
        <v>12</v>
      </c>
      <c r="H6" s="260"/>
      <c r="I6" s="271"/>
      <c r="J6" s="284">
        <v>12</v>
      </c>
      <c r="K6" s="245">
        <f t="shared" ref="K6:M8" si="0">G6/$J6*100</f>
        <v>100</v>
      </c>
      <c r="L6" s="245">
        <f t="shared" si="0"/>
        <v>0</v>
      </c>
      <c r="M6" s="245">
        <f t="shared" si="0"/>
        <v>0</v>
      </c>
      <c r="N6" s="246">
        <f>K6+L6+M6</f>
        <v>100</v>
      </c>
      <c r="O6" s="285">
        <v>53.1</v>
      </c>
      <c r="P6" s="245"/>
      <c r="Q6" s="245"/>
      <c r="R6" s="286">
        <f>O6+P6+Q6</f>
        <v>53.1</v>
      </c>
      <c r="S6" s="257">
        <v>1</v>
      </c>
      <c r="T6" s="278"/>
      <c r="V6" s="256" t="s">
        <v>563</v>
      </c>
      <c r="W6" s="257" t="s">
        <v>22</v>
      </c>
      <c r="X6" s="257" t="s">
        <v>11</v>
      </c>
      <c r="Y6" s="258">
        <v>53.1</v>
      </c>
      <c r="AD6" s="256"/>
      <c r="AG6" s="258"/>
      <c r="AL6" s="256"/>
      <c r="AO6" s="258"/>
      <c r="AP6" s="256"/>
      <c r="AS6" s="258"/>
      <c r="AW6" s="258"/>
      <c r="BA6" s="259"/>
    </row>
    <row r="7" spans="1:53" s="257" customFormat="1">
      <c r="A7" s="263">
        <v>1959</v>
      </c>
      <c r="B7" s="252">
        <v>21724</v>
      </c>
      <c r="C7" s="995" t="s">
        <v>751</v>
      </c>
      <c r="D7" s="995"/>
      <c r="E7" s="257">
        <f>365-E6</f>
        <v>192</v>
      </c>
      <c r="F7" s="257">
        <v>5</v>
      </c>
      <c r="G7" s="283">
        <v>14</v>
      </c>
      <c r="H7" s="260"/>
      <c r="I7" s="271"/>
      <c r="J7" s="284">
        <v>14</v>
      </c>
      <c r="K7" s="245">
        <f t="shared" si="0"/>
        <v>100</v>
      </c>
      <c r="L7" s="245">
        <f t="shared" si="0"/>
        <v>0</v>
      </c>
      <c r="M7" s="245">
        <f t="shared" si="0"/>
        <v>0</v>
      </c>
      <c r="N7" s="246">
        <f>K7+L7+M7</f>
        <v>100</v>
      </c>
      <c r="O7" s="285">
        <v>53.1</v>
      </c>
      <c r="P7" s="245"/>
      <c r="Q7" s="245"/>
      <c r="R7" s="286">
        <f>O7+P7+Q7</f>
        <v>53.1</v>
      </c>
      <c r="S7" s="257">
        <v>1</v>
      </c>
      <c r="T7" s="278"/>
      <c r="U7" s="252">
        <v>21724</v>
      </c>
      <c r="V7" s="256" t="s">
        <v>563</v>
      </c>
      <c r="W7" s="257" t="s">
        <v>22</v>
      </c>
      <c r="X7" s="257" t="s">
        <v>11</v>
      </c>
      <c r="Y7" s="258">
        <v>53.1</v>
      </c>
      <c r="AD7" s="256"/>
      <c r="AG7" s="258"/>
      <c r="AL7" s="256"/>
      <c r="AO7" s="258"/>
      <c r="AP7" s="256"/>
      <c r="AS7" s="258"/>
      <c r="AW7" s="258"/>
      <c r="BA7" s="259"/>
    </row>
    <row r="8" spans="1:53" s="73" customFormat="1">
      <c r="A8" s="102">
        <v>1960</v>
      </c>
      <c r="B8" s="85"/>
      <c r="C8" s="988" t="s">
        <v>751</v>
      </c>
      <c r="D8" s="988"/>
      <c r="E8" s="73">
        <v>0</v>
      </c>
      <c r="G8" s="74">
        <v>14</v>
      </c>
      <c r="H8" s="175"/>
      <c r="I8" s="75"/>
      <c r="J8" s="76">
        <v>14</v>
      </c>
      <c r="K8" s="77">
        <f t="shared" si="0"/>
        <v>100</v>
      </c>
      <c r="L8" s="77">
        <f t="shared" si="0"/>
        <v>0</v>
      </c>
      <c r="M8" s="77">
        <f t="shared" si="0"/>
        <v>0</v>
      </c>
      <c r="N8" s="78">
        <f>K8+L8+M8</f>
        <v>100</v>
      </c>
      <c r="O8" s="79">
        <v>53.1</v>
      </c>
      <c r="P8" s="77"/>
      <c r="Q8" s="77"/>
      <c r="R8" s="80">
        <f>O8+P8+Q8</f>
        <v>53.1</v>
      </c>
      <c r="S8" s="73">
        <v>1</v>
      </c>
      <c r="T8" s="81"/>
      <c r="V8" s="82" t="s">
        <v>563</v>
      </c>
      <c r="W8" s="73" t="s">
        <v>22</v>
      </c>
      <c r="X8" s="73" t="s">
        <v>11</v>
      </c>
      <c r="Y8" s="83">
        <v>53.1</v>
      </c>
      <c r="AD8" s="82"/>
      <c r="AG8" s="83"/>
      <c r="AL8" s="82"/>
      <c r="AO8" s="83"/>
      <c r="AP8" s="82"/>
      <c r="AS8" s="83"/>
      <c r="AW8" s="83"/>
      <c r="BA8" s="84"/>
    </row>
    <row r="9" spans="1:53" s="73" customFormat="1">
      <c r="A9" s="102">
        <v>1960</v>
      </c>
      <c r="B9" s="85"/>
      <c r="C9" s="988" t="s">
        <v>751</v>
      </c>
      <c r="D9" s="988"/>
      <c r="E9" s="73">
        <v>366</v>
      </c>
      <c r="G9" s="74">
        <v>14</v>
      </c>
      <c r="H9" s="175"/>
      <c r="I9" s="75"/>
      <c r="J9" s="76">
        <v>14</v>
      </c>
      <c r="K9" s="77">
        <f t="shared" ref="K9:M58" si="1">G9/$J9*100</f>
        <v>100</v>
      </c>
      <c r="L9" s="77">
        <f t="shared" si="1"/>
        <v>0</v>
      </c>
      <c r="M9" s="77">
        <f t="shared" si="1"/>
        <v>0</v>
      </c>
      <c r="N9" s="78">
        <f t="shared" ref="N9:N58" si="2">K9+L9+M9</f>
        <v>100</v>
      </c>
      <c r="O9" s="79">
        <v>53.1</v>
      </c>
      <c r="P9" s="77"/>
      <c r="Q9" s="77"/>
      <c r="R9" s="80">
        <f t="shared" ref="R9:R72" si="3">O9+P9+Q9</f>
        <v>53.1</v>
      </c>
      <c r="S9" s="73">
        <v>1</v>
      </c>
      <c r="T9" s="81"/>
      <c r="V9" s="82" t="s">
        <v>563</v>
      </c>
      <c r="W9" s="73" t="s">
        <v>22</v>
      </c>
      <c r="X9" s="73" t="s">
        <v>11</v>
      </c>
      <c r="Y9" s="83">
        <v>53.1</v>
      </c>
      <c r="AD9" s="82"/>
      <c r="AG9" s="83"/>
      <c r="AL9" s="82"/>
      <c r="AO9" s="83"/>
      <c r="AP9" s="82"/>
      <c r="AS9" s="83"/>
      <c r="AW9" s="83"/>
      <c r="BA9" s="84"/>
    </row>
    <row r="10" spans="1:53" s="73" customFormat="1">
      <c r="A10" s="102">
        <v>1961</v>
      </c>
      <c r="B10" s="85"/>
      <c r="C10" s="988" t="s">
        <v>751</v>
      </c>
      <c r="D10" s="988"/>
      <c r="E10" s="73">
        <v>283</v>
      </c>
      <c r="G10" s="74">
        <v>14</v>
      </c>
      <c r="H10" s="175"/>
      <c r="I10" s="75"/>
      <c r="J10" s="76">
        <v>14</v>
      </c>
      <c r="K10" s="77">
        <f t="shared" si="1"/>
        <v>100</v>
      </c>
      <c r="L10" s="77">
        <f t="shared" si="1"/>
        <v>0</v>
      </c>
      <c r="M10" s="77">
        <f t="shared" si="1"/>
        <v>0</v>
      </c>
      <c r="N10" s="78">
        <f t="shared" si="2"/>
        <v>100</v>
      </c>
      <c r="O10" s="79">
        <v>53.1</v>
      </c>
      <c r="P10" s="77"/>
      <c r="Q10" s="77"/>
      <c r="R10" s="80">
        <f t="shared" si="3"/>
        <v>53.1</v>
      </c>
      <c r="S10" s="73">
        <v>1</v>
      </c>
      <c r="T10" s="81"/>
      <c r="V10" s="82" t="s">
        <v>563</v>
      </c>
      <c r="W10" s="73" t="s">
        <v>22</v>
      </c>
      <c r="X10" s="73" t="s">
        <v>11</v>
      </c>
      <c r="Y10" s="83">
        <v>53.1</v>
      </c>
      <c r="AD10" s="82"/>
      <c r="AG10" s="83"/>
      <c r="AL10" s="82"/>
      <c r="AO10" s="83"/>
      <c r="AP10" s="82"/>
      <c r="AS10" s="83"/>
      <c r="AW10" s="83"/>
      <c r="BA10" s="84"/>
    </row>
    <row r="11" spans="1:53" s="334" customFormat="1">
      <c r="A11" s="386">
        <v>1961</v>
      </c>
      <c r="B11" s="355">
        <v>22565</v>
      </c>
      <c r="C11" s="992" t="s">
        <v>752</v>
      </c>
      <c r="D11" s="992"/>
      <c r="E11" s="334">
        <f>365-E10</f>
        <v>82</v>
      </c>
      <c r="F11" s="334">
        <v>1</v>
      </c>
      <c r="G11" s="336">
        <v>15</v>
      </c>
      <c r="H11" s="453"/>
      <c r="I11" s="200"/>
      <c r="J11" s="337">
        <v>15</v>
      </c>
      <c r="K11" s="338">
        <f t="shared" si="1"/>
        <v>100</v>
      </c>
      <c r="L11" s="338">
        <f t="shared" si="1"/>
        <v>0</v>
      </c>
      <c r="M11" s="338">
        <f t="shared" si="1"/>
        <v>0</v>
      </c>
      <c r="N11" s="339">
        <f t="shared" si="2"/>
        <v>100</v>
      </c>
      <c r="O11" s="340">
        <v>48.6</v>
      </c>
      <c r="P11" s="338"/>
      <c r="Q11" s="338"/>
      <c r="R11" s="341">
        <f t="shared" si="3"/>
        <v>48.6</v>
      </c>
      <c r="S11" s="334">
        <v>4</v>
      </c>
      <c r="T11" s="342">
        <v>22558</v>
      </c>
      <c r="U11" s="355">
        <v>22565</v>
      </c>
      <c r="V11" s="343" t="s">
        <v>563</v>
      </c>
      <c r="W11" s="334" t="s">
        <v>22</v>
      </c>
      <c r="X11" s="334" t="s">
        <v>11</v>
      </c>
      <c r="Y11" s="344">
        <v>48.6</v>
      </c>
      <c r="AD11" s="343"/>
      <c r="AG11" s="344"/>
      <c r="AL11" s="343"/>
      <c r="AO11" s="344"/>
      <c r="AP11" s="343"/>
      <c r="AS11" s="344"/>
      <c r="AW11" s="344"/>
      <c r="BA11" s="345"/>
    </row>
    <row r="12" spans="1:53" s="334" customFormat="1">
      <c r="A12" s="386">
        <v>1962</v>
      </c>
      <c r="B12" s="355"/>
      <c r="C12" s="992" t="s">
        <v>752</v>
      </c>
      <c r="D12" s="992"/>
      <c r="E12" s="334">
        <v>0</v>
      </c>
      <c r="G12" s="336">
        <v>15</v>
      </c>
      <c r="H12" s="453"/>
      <c r="I12" s="200"/>
      <c r="J12" s="337">
        <v>15</v>
      </c>
      <c r="K12" s="338">
        <f t="shared" si="1"/>
        <v>100</v>
      </c>
      <c r="L12" s="338">
        <f t="shared" si="1"/>
        <v>0</v>
      </c>
      <c r="M12" s="338">
        <f t="shared" si="1"/>
        <v>0</v>
      </c>
      <c r="N12" s="339">
        <f t="shared" si="2"/>
        <v>100</v>
      </c>
      <c r="O12" s="340">
        <v>48.6</v>
      </c>
      <c r="P12" s="338"/>
      <c r="Q12" s="338"/>
      <c r="R12" s="341">
        <f t="shared" si="3"/>
        <v>48.6</v>
      </c>
      <c r="S12" s="334">
        <v>4</v>
      </c>
      <c r="T12" s="357"/>
      <c r="V12" s="343" t="s">
        <v>563</v>
      </c>
      <c r="W12" s="334" t="s">
        <v>22</v>
      </c>
      <c r="X12" s="334" t="s">
        <v>11</v>
      </c>
      <c r="Y12" s="344">
        <v>48.6</v>
      </c>
      <c r="AD12" s="343"/>
      <c r="AG12" s="344"/>
      <c r="AL12" s="343"/>
      <c r="AO12" s="344"/>
      <c r="AP12" s="343"/>
      <c r="AS12" s="344"/>
      <c r="AW12" s="344"/>
      <c r="BA12" s="345"/>
    </row>
    <row r="13" spans="1:53" s="334" customFormat="1">
      <c r="A13" s="386">
        <v>1962</v>
      </c>
      <c r="B13" s="355"/>
      <c r="C13" s="992" t="s">
        <v>752</v>
      </c>
      <c r="D13" s="992"/>
      <c r="E13" s="334">
        <v>365</v>
      </c>
      <c r="G13" s="336">
        <v>15</v>
      </c>
      <c r="H13" s="453"/>
      <c r="I13" s="200"/>
      <c r="J13" s="337">
        <v>15</v>
      </c>
      <c r="K13" s="338">
        <f t="shared" si="1"/>
        <v>100</v>
      </c>
      <c r="L13" s="338">
        <f t="shared" si="1"/>
        <v>0</v>
      </c>
      <c r="M13" s="338">
        <f t="shared" si="1"/>
        <v>0</v>
      </c>
      <c r="N13" s="339">
        <f t="shared" si="2"/>
        <v>100</v>
      </c>
      <c r="O13" s="340">
        <v>48.6</v>
      </c>
      <c r="P13" s="338"/>
      <c r="Q13" s="338"/>
      <c r="R13" s="341">
        <f t="shared" si="3"/>
        <v>48.6</v>
      </c>
      <c r="S13" s="334">
        <v>4</v>
      </c>
      <c r="T13" s="357"/>
      <c r="V13" s="343" t="s">
        <v>563</v>
      </c>
      <c r="W13" s="334" t="s">
        <v>22</v>
      </c>
      <c r="X13" s="334" t="s">
        <v>11</v>
      </c>
      <c r="Y13" s="344">
        <v>48.6</v>
      </c>
      <c r="AD13" s="343"/>
      <c r="AG13" s="344"/>
      <c r="AL13" s="343"/>
      <c r="AO13" s="344"/>
      <c r="AP13" s="343"/>
      <c r="AS13" s="344"/>
      <c r="AW13" s="344"/>
      <c r="BA13" s="345"/>
    </row>
    <row r="14" spans="1:53" s="334" customFormat="1">
      <c r="A14" s="386">
        <v>1963</v>
      </c>
      <c r="B14" s="355"/>
      <c r="C14" s="992" t="s">
        <v>752</v>
      </c>
      <c r="D14" s="992"/>
      <c r="E14" s="334">
        <v>0</v>
      </c>
      <c r="G14" s="336">
        <v>15</v>
      </c>
      <c r="H14" s="453"/>
      <c r="I14" s="200"/>
      <c r="J14" s="337">
        <v>15</v>
      </c>
      <c r="K14" s="338">
        <f t="shared" si="1"/>
        <v>100</v>
      </c>
      <c r="L14" s="338">
        <f t="shared" si="1"/>
        <v>0</v>
      </c>
      <c r="M14" s="338">
        <f t="shared" si="1"/>
        <v>0</v>
      </c>
      <c r="N14" s="339">
        <f t="shared" si="2"/>
        <v>100</v>
      </c>
      <c r="O14" s="340">
        <v>48.6</v>
      </c>
      <c r="P14" s="338"/>
      <c r="Q14" s="338"/>
      <c r="R14" s="341">
        <f t="shared" si="3"/>
        <v>48.6</v>
      </c>
      <c r="S14" s="334">
        <v>4</v>
      </c>
      <c r="T14" s="357"/>
      <c r="V14" s="343" t="s">
        <v>563</v>
      </c>
      <c r="W14" s="334" t="s">
        <v>22</v>
      </c>
      <c r="X14" s="334" t="s">
        <v>11</v>
      </c>
      <c r="Y14" s="344">
        <v>48.6</v>
      </c>
      <c r="AD14" s="343"/>
      <c r="AG14" s="344"/>
      <c r="AL14" s="343"/>
      <c r="AO14" s="344"/>
      <c r="AP14" s="343"/>
      <c r="AS14" s="344"/>
      <c r="AW14" s="344"/>
      <c r="BA14" s="345"/>
    </row>
    <row r="15" spans="1:53" s="334" customFormat="1">
      <c r="A15" s="386">
        <v>1963</v>
      </c>
      <c r="B15" s="355"/>
      <c r="C15" s="992" t="s">
        <v>752</v>
      </c>
      <c r="D15" s="992"/>
      <c r="E15" s="334">
        <v>365</v>
      </c>
      <c r="G15" s="336">
        <v>15</v>
      </c>
      <c r="H15" s="453"/>
      <c r="I15" s="200"/>
      <c r="J15" s="337">
        <v>15</v>
      </c>
      <c r="K15" s="338">
        <f t="shared" si="1"/>
        <v>100</v>
      </c>
      <c r="L15" s="338">
        <f t="shared" si="1"/>
        <v>0</v>
      </c>
      <c r="M15" s="338">
        <f t="shared" si="1"/>
        <v>0</v>
      </c>
      <c r="N15" s="339">
        <f t="shared" si="2"/>
        <v>100</v>
      </c>
      <c r="O15" s="340">
        <v>48.6</v>
      </c>
      <c r="P15" s="338"/>
      <c r="Q15" s="338"/>
      <c r="R15" s="341">
        <f t="shared" si="3"/>
        <v>48.6</v>
      </c>
      <c r="S15" s="334">
        <v>4</v>
      </c>
      <c r="T15" s="357"/>
      <c r="V15" s="343" t="s">
        <v>563</v>
      </c>
      <c r="W15" s="334" t="s">
        <v>22</v>
      </c>
      <c r="X15" s="334" t="s">
        <v>11</v>
      </c>
      <c r="Y15" s="344">
        <v>48.6</v>
      </c>
      <c r="AD15" s="343"/>
      <c r="AG15" s="344"/>
      <c r="AL15" s="343"/>
      <c r="AO15" s="344"/>
      <c r="AP15" s="343"/>
      <c r="AS15" s="344"/>
      <c r="AW15" s="344"/>
      <c r="BA15" s="345"/>
    </row>
    <row r="16" spans="1:53" s="334" customFormat="1">
      <c r="A16" s="386">
        <v>1964</v>
      </c>
      <c r="B16" s="355"/>
      <c r="C16" s="992" t="s">
        <v>752</v>
      </c>
      <c r="D16" s="992"/>
      <c r="E16" s="334">
        <v>0</v>
      </c>
      <c r="G16" s="336">
        <v>15</v>
      </c>
      <c r="H16" s="453"/>
      <c r="I16" s="200"/>
      <c r="J16" s="337">
        <v>15</v>
      </c>
      <c r="K16" s="338">
        <f t="shared" si="1"/>
        <v>100</v>
      </c>
      <c r="L16" s="338">
        <f t="shared" si="1"/>
        <v>0</v>
      </c>
      <c r="M16" s="338">
        <f t="shared" si="1"/>
        <v>0</v>
      </c>
      <c r="N16" s="339">
        <f t="shared" si="2"/>
        <v>100</v>
      </c>
      <c r="O16" s="340">
        <v>48.6</v>
      </c>
      <c r="P16" s="338"/>
      <c r="Q16" s="338"/>
      <c r="R16" s="341">
        <f t="shared" si="3"/>
        <v>48.6</v>
      </c>
      <c r="S16" s="334">
        <v>4</v>
      </c>
      <c r="T16" s="357"/>
      <c r="V16" s="343" t="s">
        <v>563</v>
      </c>
      <c r="W16" s="334" t="s">
        <v>22</v>
      </c>
      <c r="X16" s="334" t="s">
        <v>11</v>
      </c>
      <c r="Y16" s="344">
        <v>48.6</v>
      </c>
      <c r="AD16" s="343"/>
      <c r="AG16" s="344"/>
      <c r="AL16" s="343"/>
      <c r="AO16" s="344"/>
      <c r="AP16" s="343"/>
      <c r="AS16" s="344"/>
      <c r="AW16" s="344"/>
      <c r="BA16" s="345"/>
    </row>
    <row r="17" spans="1:53" s="334" customFormat="1">
      <c r="A17" s="386">
        <v>1964</v>
      </c>
      <c r="B17" s="355"/>
      <c r="C17" s="992" t="s">
        <v>752</v>
      </c>
      <c r="D17" s="992"/>
      <c r="E17" s="334">
        <v>366</v>
      </c>
      <c r="G17" s="336">
        <v>15</v>
      </c>
      <c r="H17" s="453"/>
      <c r="I17" s="200"/>
      <c r="J17" s="337">
        <v>15</v>
      </c>
      <c r="K17" s="338">
        <f t="shared" si="1"/>
        <v>100</v>
      </c>
      <c r="L17" s="338">
        <f t="shared" si="1"/>
        <v>0</v>
      </c>
      <c r="M17" s="338">
        <f t="shared" si="1"/>
        <v>0</v>
      </c>
      <c r="N17" s="339">
        <f t="shared" si="2"/>
        <v>100</v>
      </c>
      <c r="O17" s="340">
        <v>48.6</v>
      </c>
      <c r="P17" s="338"/>
      <c r="Q17" s="338"/>
      <c r="R17" s="341">
        <f t="shared" si="3"/>
        <v>48.6</v>
      </c>
      <c r="S17" s="334">
        <v>4</v>
      </c>
      <c r="T17" s="357"/>
      <c r="V17" s="343" t="s">
        <v>563</v>
      </c>
      <c r="W17" s="334" t="s">
        <v>22</v>
      </c>
      <c r="X17" s="334" t="s">
        <v>11</v>
      </c>
      <c r="Y17" s="344">
        <v>48.6</v>
      </c>
      <c r="AD17" s="343"/>
      <c r="AG17" s="344"/>
      <c r="AL17" s="343"/>
      <c r="AO17" s="344"/>
      <c r="AP17" s="343"/>
      <c r="AS17" s="344"/>
      <c r="AW17" s="344"/>
      <c r="BA17" s="345"/>
    </row>
    <row r="18" spans="1:53" s="334" customFormat="1">
      <c r="A18" s="386">
        <v>1965</v>
      </c>
      <c r="B18" s="355"/>
      <c r="C18" s="992" t="s">
        <v>752</v>
      </c>
      <c r="D18" s="992"/>
      <c r="E18" s="334">
        <v>90</v>
      </c>
      <c r="G18" s="336">
        <v>15</v>
      </c>
      <c r="H18" s="453"/>
      <c r="I18" s="200"/>
      <c r="J18" s="337">
        <v>15</v>
      </c>
      <c r="K18" s="338">
        <f t="shared" si="1"/>
        <v>100</v>
      </c>
      <c r="L18" s="338">
        <f t="shared" si="1"/>
        <v>0</v>
      </c>
      <c r="M18" s="338">
        <f t="shared" si="1"/>
        <v>0</v>
      </c>
      <c r="N18" s="339">
        <f t="shared" si="2"/>
        <v>100</v>
      </c>
      <c r="O18" s="340">
        <v>48.6</v>
      </c>
      <c r="P18" s="338"/>
      <c r="Q18" s="338"/>
      <c r="R18" s="341">
        <f t="shared" si="3"/>
        <v>48.6</v>
      </c>
      <c r="S18" s="334">
        <v>4</v>
      </c>
      <c r="T18" s="357"/>
      <c r="V18" s="343" t="s">
        <v>563</v>
      </c>
      <c r="W18" s="334" t="s">
        <v>22</v>
      </c>
      <c r="X18" s="334" t="s">
        <v>11</v>
      </c>
      <c r="Y18" s="344">
        <v>48.6</v>
      </c>
      <c r="AD18" s="343"/>
      <c r="AG18" s="344"/>
      <c r="AL18" s="343"/>
      <c r="AO18" s="344"/>
      <c r="AP18" s="343"/>
      <c r="AS18" s="344"/>
      <c r="AW18" s="344"/>
      <c r="BA18" s="345"/>
    </row>
    <row r="19" spans="1:53" s="73" customFormat="1">
      <c r="A19" s="102">
        <v>1965</v>
      </c>
      <c r="B19" s="85">
        <v>23833</v>
      </c>
      <c r="C19" s="988" t="s">
        <v>753</v>
      </c>
      <c r="D19" s="988"/>
      <c r="E19" s="73">
        <f>365-E18</f>
        <v>275</v>
      </c>
      <c r="F19" s="73">
        <v>1</v>
      </c>
      <c r="G19" s="74">
        <v>15</v>
      </c>
      <c r="H19" s="175"/>
      <c r="I19" s="75"/>
      <c r="J19" s="76">
        <v>15</v>
      </c>
      <c r="K19" s="77">
        <f t="shared" si="1"/>
        <v>100</v>
      </c>
      <c r="L19" s="77">
        <f t="shared" si="1"/>
        <v>0</v>
      </c>
      <c r="M19" s="77">
        <f t="shared" si="1"/>
        <v>0</v>
      </c>
      <c r="N19" s="78">
        <f t="shared" si="2"/>
        <v>100</v>
      </c>
      <c r="O19" s="79">
        <v>50</v>
      </c>
      <c r="P19" s="77"/>
      <c r="Q19" s="77"/>
      <c r="R19" s="80">
        <f t="shared" si="3"/>
        <v>50</v>
      </c>
      <c r="S19" s="73">
        <v>4</v>
      </c>
      <c r="T19" s="95">
        <v>23839</v>
      </c>
      <c r="U19" s="85">
        <v>23853</v>
      </c>
      <c r="V19" s="82" t="s">
        <v>563</v>
      </c>
      <c r="W19" s="73" t="s">
        <v>22</v>
      </c>
      <c r="X19" s="73" t="s">
        <v>11</v>
      </c>
      <c r="Y19" s="83">
        <v>50</v>
      </c>
      <c r="AD19" s="82"/>
      <c r="AG19" s="83"/>
      <c r="AL19" s="82"/>
      <c r="AO19" s="83"/>
      <c r="AP19" s="82"/>
      <c r="AS19" s="83"/>
      <c r="AW19" s="83"/>
      <c r="BA19" s="84"/>
    </row>
    <row r="20" spans="1:53" s="73" customFormat="1">
      <c r="A20" s="102">
        <v>1966</v>
      </c>
      <c r="B20" s="85"/>
      <c r="C20" s="988" t="s">
        <v>753</v>
      </c>
      <c r="D20" s="988"/>
      <c r="E20" s="73">
        <v>313</v>
      </c>
      <c r="G20" s="74">
        <v>15</v>
      </c>
      <c r="H20" s="175"/>
      <c r="I20" s="75"/>
      <c r="J20" s="76">
        <v>15</v>
      </c>
      <c r="K20" s="77">
        <f t="shared" si="1"/>
        <v>100</v>
      </c>
      <c r="L20" s="77">
        <f t="shared" si="1"/>
        <v>0</v>
      </c>
      <c r="M20" s="77">
        <f t="shared" si="1"/>
        <v>0</v>
      </c>
      <c r="N20" s="78">
        <f t="shared" si="2"/>
        <v>100</v>
      </c>
      <c r="O20" s="79">
        <v>50</v>
      </c>
      <c r="P20" s="77"/>
      <c r="Q20" s="77"/>
      <c r="R20" s="80">
        <f t="shared" si="3"/>
        <v>50</v>
      </c>
      <c r="S20" s="73">
        <v>4</v>
      </c>
      <c r="T20" s="81"/>
      <c r="V20" s="82" t="s">
        <v>563</v>
      </c>
      <c r="W20" s="73" t="s">
        <v>22</v>
      </c>
      <c r="X20" s="73" t="s">
        <v>11</v>
      </c>
      <c r="Y20" s="83">
        <v>50</v>
      </c>
      <c r="AD20" s="82"/>
      <c r="AG20" s="83"/>
      <c r="AL20" s="82"/>
      <c r="AO20" s="83"/>
      <c r="AP20" s="82"/>
      <c r="AS20" s="83"/>
      <c r="AW20" s="83"/>
      <c r="BA20" s="84"/>
    </row>
    <row r="21" spans="1:53" s="334" customFormat="1">
      <c r="A21" s="386">
        <v>1966</v>
      </c>
      <c r="B21" s="355">
        <v>24421</v>
      </c>
      <c r="C21" s="992" t="s">
        <v>754</v>
      </c>
      <c r="D21" s="992"/>
      <c r="E21" s="334">
        <f>365-E20</f>
        <v>52</v>
      </c>
      <c r="F21" s="334">
        <v>3</v>
      </c>
      <c r="G21" s="336">
        <v>15</v>
      </c>
      <c r="H21" s="453"/>
      <c r="I21" s="200"/>
      <c r="J21" s="337">
        <v>15</v>
      </c>
      <c r="K21" s="338">
        <f t="shared" si="1"/>
        <v>100</v>
      </c>
      <c r="L21" s="338">
        <f t="shared" si="1"/>
        <v>0</v>
      </c>
      <c r="M21" s="338">
        <f t="shared" si="1"/>
        <v>0</v>
      </c>
      <c r="N21" s="339">
        <f t="shared" si="2"/>
        <v>100</v>
      </c>
      <c r="O21" s="340">
        <v>50</v>
      </c>
      <c r="P21" s="338"/>
      <c r="Q21" s="338"/>
      <c r="R21" s="341">
        <f t="shared" si="3"/>
        <v>50</v>
      </c>
      <c r="S21" s="334">
        <v>4</v>
      </c>
      <c r="T21" s="357"/>
      <c r="U21" s="355">
        <v>24421</v>
      </c>
      <c r="V21" s="343" t="s">
        <v>563</v>
      </c>
      <c r="W21" s="334" t="s">
        <v>22</v>
      </c>
      <c r="X21" s="334" t="s">
        <v>11</v>
      </c>
      <c r="Y21" s="344">
        <v>50</v>
      </c>
      <c r="AD21" s="343"/>
      <c r="AG21" s="344"/>
      <c r="AL21" s="343"/>
      <c r="AO21" s="344"/>
      <c r="AP21" s="343"/>
      <c r="AS21" s="344"/>
      <c r="AW21" s="344"/>
      <c r="BA21" s="345"/>
    </row>
    <row r="22" spans="1:53" s="334" customFormat="1">
      <c r="A22" s="386">
        <v>1967</v>
      </c>
      <c r="B22" s="355"/>
      <c r="C22" s="992" t="s">
        <v>754</v>
      </c>
      <c r="D22" s="992"/>
      <c r="E22" s="334">
        <v>0</v>
      </c>
      <c r="G22" s="336">
        <v>15</v>
      </c>
      <c r="H22" s="453"/>
      <c r="I22" s="200"/>
      <c r="J22" s="337">
        <v>15</v>
      </c>
      <c r="K22" s="338">
        <f t="shared" si="1"/>
        <v>100</v>
      </c>
      <c r="L22" s="338">
        <f t="shared" si="1"/>
        <v>0</v>
      </c>
      <c r="M22" s="338">
        <f t="shared" si="1"/>
        <v>0</v>
      </c>
      <c r="N22" s="339">
        <f t="shared" si="2"/>
        <v>100</v>
      </c>
      <c r="O22" s="340">
        <v>50</v>
      </c>
      <c r="P22" s="338"/>
      <c r="Q22" s="338"/>
      <c r="R22" s="341">
        <f t="shared" si="3"/>
        <v>50</v>
      </c>
      <c r="S22" s="334">
        <v>4</v>
      </c>
      <c r="T22" s="357"/>
      <c r="V22" s="343" t="s">
        <v>563</v>
      </c>
      <c r="W22" s="334" t="s">
        <v>22</v>
      </c>
      <c r="X22" s="334" t="s">
        <v>11</v>
      </c>
      <c r="Y22" s="344">
        <v>50</v>
      </c>
      <c r="AD22" s="343"/>
      <c r="AG22" s="344"/>
      <c r="AL22" s="343"/>
      <c r="AO22" s="344"/>
      <c r="AP22" s="343"/>
      <c r="AS22" s="344"/>
      <c r="AW22" s="344"/>
      <c r="BA22" s="345"/>
    </row>
    <row r="23" spans="1:53" s="334" customFormat="1">
      <c r="A23" s="386">
        <v>1967</v>
      </c>
      <c r="B23" s="355"/>
      <c r="C23" s="992" t="s">
        <v>754</v>
      </c>
      <c r="D23" s="992"/>
      <c r="E23" s="334">
        <v>365</v>
      </c>
      <c r="G23" s="336">
        <v>15</v>
      </c>
      <c r="H23" s="453"/>
      <c r="I23" s="200"/>
      <c r="J23" s="337">
        <v>15</v>
      </c>
      <c r="K23" s="338">
        <f t="shared" si="1"/>
        <v>100</v>
      </c>
      <c r="L23" s="338">
        <f t="shared" si="1"/>
        <v>0</v>
      </c>
      <c r="M23" s="338">
        <f t="shared" si="1"/>
        <v>0</v>
      </c>
      <c r="N23" s="339">
        <f t="shared" si="2"/>
        <v>100</v>
      </c>
      <c r="O23" s="340">
        <v>50</v>
      </c>
      <c r="P23" s="338"/>
      <c r="Q23" s="338"/>
      <c r="R23" s="341">
        <f t="shared" si="3"/>
        <v>50</v>
      </c>
      <c r="S23" s="334">
        <v>4</v>
      </c>
      <c r="T23" s="357"/>
      <c r="V23" s="343" t="s">
        <v>563</v>
      </c>
      <c r="W23" s="334" t="s">
        <v>22</v>
      </c>
      <c r="X23" s="334" t="s">
        <v>11</v>
      </c>
      <c r="Y23" s="344">
        <v>50</v>
      </c>
      <c r="AD23" s="343"/>
      <c r="AG23" s="344"/>
      <c r="AL23" s="343"/>
      <c r="AO23" s="344"/>
      <c r="AP23" s="343"/>
      <c r="AS23" s="344"/>
      <c r="AW23" s="344"/>
      <c r="BA23" s="345"/>
    </row>
    <row r="24" spans="1:53" s="334" customFormat="1">
      <c r="A24" s="386">
        <v>1968</v>
      </c>
      <c r="B24" s="355"/>
      <c r="C24" s="992" t="s">
        <v>754</v>
      </c>
      <c r="D24" s="992"/>
      <c r="E24" s="334">
        <v>0</v>
      </c>
      <c r="G24" s="336">
        <v>15</v>
      </c>
      <c r="H24" s="453"/>
      <c r="I24" s="200"/>
      <c r="J24" s="337">
        <v>15</v>
      </c>
      <c r="K24" s="338">
        <f t="shared" si="1"/>
        <v>100</v>
      </c>
      <c r="L24" s="338">
        <f t="shared" si="1"/>
        <v>0</v>
      </c>
      <c r="M24" s="338">
        <f t="shared" si="1"/>
        <v>0</v>
      </c>
      <c r="N24" s="339">
        <f t="shared" si="2"/>
        <v>100</v>
      </c>
      <c r="O24" s="340">
        <v>50</v>
      </c>
      <c r="P24" s="338"/>
      <c r="Q24" s="338"/>
      <c r="R24" s="341">
        <f t="shared" si="3"/>
        <v>50</v>
      </c>
      <c r="S24" s="334">
        <v>4</v>
      </c>
      <c r="T24" s="357"/>
      <c r="V24" s="343" t="s">
        <v>563</v>
      </c>
      <c r="W24" s="334" t="s">
        <v>22</v>
      </c>
      <c r="X24" s="334" t="s">
        <v>11</v>
      </c>
      <c r="Y24" s="344">
        <v>50</v>
      </c>
      <c r="AD24" s="343"/>
      <c r="AG24" s="344"/>
      <c r="AL24" s="343"/>
      <c r="AO24" s="344"/>
      <c r="AP24" s="343"/>
      <c r="AS24" s="344"/>
      <c r="AW24" s="344"/>
      <c r="BA24" s="345"/>
    </row>
    <row r="25" spans="1:53" s="334" customFormat="1">
      <c r="A25" s="386">
        <v>1968</v>
      </c>
      <c r="B25" s="355"/>
      <c r="C25" s="992" t="s">
        <v>754</v>
      </c>
      <c r="D25" s="992"/>
      <c r="E25" s="334">
        <v>366</v>
      </c>
      <c r="G25" s="336">
        <v>15</v>
      </c>
      <c r="H25" s="453"/>
      <c r="I25" s="200"/>
      <c r="J25" s="337">
        <v>15</v>
      </c>
      <c r="K25" s="338">
        <f t="shared" si="1"/>
        <v>100</v>
      </c>
      <c r="L25" s="338">
        <f t="shared" si="1"/>
        <v>0</v>
      </c>
      <c r="M25" s="338">
        <f t="shared" si="1"/>
        <v>0</v>
      </c>
      <c r="N25" s="339">
        <f t="shared" si="2"/>
        <v>100</v>
      </c>
      <c r="O25" s="340">
        <v>50</v>
      </c>
      <c r="P25" s="338"/>
      <c r="Q25" s="338"/>
      <c r="R25" s="341">
        <f t="shared" si="3"/>
        <v>50</v>
      </c>
      <c r="S25" s="334">
        <v>4</v>
      </c>
      <c r="T25" s="357"/>
      <c r="V25" s="343" t="s">
        <v>563</v>
      </c>
      <c r="W25" s="334" t="s">
        <v>22</v>
      </c>
      <c r="X25" s="334" t="s">
        <v>11</v>
      </c>
      <c r="Y25" s="344">
        <v>50</v>
      </c>
      <c r="AD25" s="343"/>
      <c r="AG25" s="344"/>
      <c r="AL25" s="343"/>
      <c r="AO25" s="344"/>
      <c r="AP25" s="343"/>
      <c r="AS25" s="344"/>
      <c r="AW25" s="344"/>
      <c r="BA25" s="345"/>
    </row>
    <row r="26" spans="1:53" s="334" customFormat="1">
      <c r="A26" s="386">
        <v>1969</v>
      </c>
      <c r="B26" s="355"/>
      <c r="C26" s="992" t="s">
        <v>754</v>
      </c>
      <c r="D26" s="992"/>
      <c r="E26" s="334">
        <v>182</v>
      </c>
      <c r="G26" s="336">
        <v>15</v>
      </c>
      <c r="H26" s="453"/>
      <c r="I26" s="200"/>
      <c r="J26" s="337">
        <v>15</v>
      </c>
      <c r="K26" s="338">
        <f t="shared" si="1"/>
        <v>100</v>
      </c>
      <c r="L26" s="338">
        <f t="shared" si="1"/>
        <v>0</v>
      </c>
      <c r="M26" s="338">
        <f t="shared" si="1"/>
        <v>0</v>
      </c>
      <c r="N26" s="339">
        <f t="shared" si="2"/>
        <v>100</v>
      </c>
      <c r="O26" s="340">
        <v>50</v>
      </c>
      <c r="P26" s="338"/>
      <c r="Q26" s="338"/>
      <c r="R26" s="341">
        <f t="shared" si="3"/>
        <v>50</v>
      </c>
      <c r="S26" s="334">
        <v>4</v>
      </c>
      <c r="T26" s="357"/>
      <c r="V26" s="343" t="s">
        <v>563</v>
      </c>
      <c r="W26" s="334" t="s">
        <v>22</v>
      </c>
      <c r="X26" s="334" t="s">
        <v>11</v>
      </c>
      <c r="Y26" s="344">
        <v>50</v>
      </c>
      <c r="AD26" s="343"/>
      <c r="AG26" s="344"/>
      <c r="AL26" s="343"/>
      <c r="AO26" s="344"/>
      <c r="AP26" s="343"/>
      <c r="AS26" s="344"/>
      <c r="AW26" s="344"/>
      <c r="BA26" s="345"/>
    </row>
    <row r="27" spans="1:53" s="73" customFormat="1">
      <c r="A27" s="102">
        <v>1968.5428571428599</v>
      </c>
      <c r="B27" s="85">
        <v>25386</v>
      </c>
      <c r="C27" s="988" t="s">
        <v>755</v>
      </c>
      <c r="D27" s="988"/>
      <c r="E27" s="73">
        <f>365-E26</f>
        <v>183</v>
      </c>
      <c r="F27" s="73">
        <v>1</v>
      </c>
      <c r="G27" s="74">
        <v>15</v>
      </c>
      <c r="H27" s="175"/>
      <c r="I27" s="75"/>
      <c r="J27" s="76">
        <v>15</v>
      </c>
      <c r="K27" s="77">
        <f t="shared" si="1"/>
        <v>100</v>
      </c>
      <c r="L27" s="77">
        <f t="shared" si="1"/>
        <v>0</v>
      </c>
      <c r="M27" s="77">
        <f t="shared" si="1"/>
        <v>0</v>
      </c>
      <c r="N27" s="78">
        <f t="shared" si="2"/>
        <v>100</v>
      </c>
      <c r="O27" s="79">
        <v>52.1</v>
      </c>
      <c r="P27" s="77"/>
      <c r="Q27" s="77"/>
      <c r="R27" s="80">
        <f t="shared" si="3"/>
        <v>52.1</v>
      </c>
      <c r="S27" s="73">
        <v>1</v>
      </c>
      <c r="T27" s="95">
        <v>25372</v>
      </c>
      <c r="U27" s="85">
        <v>25386</v>
      </c>
      <c r="V27" s="82" t="s">
        <v>563</v>
      </c>
      <c r="W27" s="73" t="s">
        <v>22</v>
      </c>
      <c r="X27" s="73" t="s">
        <v>11</v>
      </c>
      <c r="Y27" s="83">
        <v>52.1</v>
      </c>
      <c r="AD27" s="82"/>
      <c r="AG27" s="83"/>
      <c r="AL27" s="82"/>
      <c r="AO27" s="83"/>
      <c r="AP27" s="82"/>
      <c r="AS27" s="83"/>
      <c r="AW27" s="83"/>
      <c r="BA27" s="84"/>
    </row>
    <row r="28" spans="1:53" s="73" customFormat="1">
      <c r="A28" s="102">
        <v>1970</v>
      </c>
      <c r="B28" s="85"/>
      <c r="C28" s="988" t="s">
        <v>755</v>
      </c>
      <c r="D28" s="988"/>
      <c r="E28" s="73">
        <v>0</v>
      </c>
      <c r="G28" s="74">
        <v>15</v>
      </c>
      <c r="H28" s="175"/>
      <c r="I28" s="75"/>
      <c r="J28" s="76">
        <v>15</v>
      </c>
      <c r="K28" s="77">
        <f t="shared" si="1"/>
        <v>100</v>
      </c>
      <c r="L28" s="77">
        <f t="shared" si="1"/>
        <v>0</v>
      </c>
      <c r="M28" s="77">
        <f t="shared" si="1"/>
        <v>0</v>
      </c>
      <c r="N28" s="78">
        <f t="shared" si="2"/>
        <v>100</v>
      </c>
      <c r="O28" s="79">
        <v>52.1</v>
      </c>
      <c r="P28" s="77"/>
      <c r="Q28" s="77"/>
      <c r="R28" s="80">
        <f t="shared" si="3"/>
        <v>52.1</v>
      </c>
      <c r="S28" s="73">
        <v>1</v>
      </c>
      <c r="T28" s="81"/>
      <c r="V28" s="82" t="s">
        <v>563</v>
      </c>
      <c r="W28" s="73" t="s">
        <v>22</v>
      </c>
      <c r="X28" s="73" t="s">
        <v>11</v>
      </c>
      <c r="Y28" s="83">
        <v>52.1</v>
      </c>
      <c r="AD28" s="82"/>
      <c r="AG28" s="83"/>
      <c r="AL28" s="82"/>
      <c r="AO28" s="83"/>
      <c r="AP28" s="82"/>
      <c r="AS28" s="83"/>
      <c r="AW28" s="83"/>
      <c r="BA28" s="84"/>
    </row>
    <row r="29" spans="1:53" s="73" customFormat="1">
      <c r="A29" s="102">
        <v>1970</v>
      </c>
      <c r="B29" s="85"/>
      <c r="C29" s="988" t="s">
        <v>755</v>
      </c>
      <c r="D29" s="988"/>
      <c r="E29" s="73">
        <v>365</v>
      </c>
      <c r="G29" s="74">
        <v>15</v>
      </c>
      <c r="H29" s="175"/>
      <c r="I29" s="75"/>
      <c r="J29" s="76">
        <v>15</v>
      </c>
      <c r="K29" s="77">
        <f t="shared" si="1"/>
        <v>100</v>
      </c>
      <c r="L29" s="77">
        <f t="shared" si="1"/>
        <v>0</v>
      </c>
      <c r="M29" s="77">
        <f t="shared" si="1"/>
        <v>0</v>
      </c>
      <c r="N29" s="78">
        <f t="shared" si="2"/>
        <v>100</v>
      </c>
      <c r="O29" s="79">
        <v>52.1</v>
      </c>
      <c r="P29" s="77"/>
      <c r="Q29" s="77"/>
      <c r="R29" s="80">
        <f t="shared" si="3"/>
        <v>52.1</v>
      </c>
      <c r="S29" s="73">
        <v>1</v>
      </c>
      <c r="T29" s="81"/>
      <c r="V29" s="82" t="s">
        <v>563</v>
      </c>
      <c r="W29" s="73" t="s">
        <v>22</v>
      </c>
      <c r="X29" s="73" t="s">
        <v>11</v>
      </c>
      <c r="Y29" s="83">
        <v>52.1</v>
      </c>
      <c r="AD29" s="82"/>
      <c r="AG29" s="83"/>
      <c r="AL29" s="82"/>
      <c r="AO29" s="83"/>
      <c r="AP29" s="82"/>
      <c r="AS29" s="83"/>
      <c r="AW29" s="83"/>
      <c r="BA29" s="84"/>
    </row>
    <row r="30" spans="1:53" s="73" customFormat="1">
      <c r="A30" s="102">
        <v>1971</v>
      </c>
      <c r="B30" s="85"/>
      <c r="C30" s="988" t="s">
        <v>755</v>
      </c>
      <c r="D30" s="988"/>
      <c r="E30" s="73">
        <v>0</v>
      </c>
      <c r="G30" s="74">
        <v>15</v>
      </c>
      <c r="H30" s="175"/>
      <c r="I30" s="75"/>
      <c r="J30" s="76">
        <v>15</v>
      </c>
      <c r="K30" s="77">
        <f t="shared" si="1"/>
        <v>100</v>
      </c>
      <c r="L30" s="77">
        <f t="shared" si="1"/>
        <v>0</v>
      </c>
      <c r="M30" s="77">
        <f t="shared" si="1"/>
        <v>0</v>
      </c>
      <c r="N30" s="78">
        <f t="shared" si="2"/>
        <v>100</v>
      </c>
      <c r="O30" s="79">
        <v>52.1</v>
      </c>
      <c r="P30" s="77"/>
      <c r="Q30" s="77"/>
      <c r="R30" s="80">
        <f t="shared" si="3"/>
        <v>52.1</v>
      </c>
      <c r="S30" s="73">
        <v>1</v>
      </c>
      <c r="T30" s="81"/>
      <c r="V30" s="82" t="s">
        <v>563</v>
      </c>
      <c r="W30" s="73" t="s">
        <v>22</v>
      </c>
      <c r="X30" s="73" t="s">
        <v>11</v>
      </c>
      <c r="Y30" s="83">
        <v>52.1</v>
      </c>
      <c r="AD30" s="82"/>
      <c r="AG30" s="83"/>
      <c r="AL30" s="82"/>
      <c r="AO30" s="83"/>
      <c r="AP30" s="82"/>
      <c r="AS30" s="83"/>
      <c r="AW30" s="83"/>
      <c r="BA30" s="84"/>
    </row>
    <row r="31" spans="1:53" s="73" customFormat="1">
      <c r="A31" s="102">
        <v>1971</v>
      </c>
      <c r="B31" s="85"/>
      <c r="C31" s="988" t="s">
        <v>755</v>
      </c>
      <c r="D31" s="988"/>
      <c r="E31" s="73">
        <v>365</v>
      </c>
      <c r="G31" s="74">
        <v>15</v>
      </c>
      <c r="H31" s="175"/>
      <c r="I31" s="75"/>
      <c r="J31" s="76">
        <v>15</v>
      </c>
      <c r="K31" s="77">
        <f t="shared" si="1"/>
        <v>100</v>
      </c>
      <c r="L31" s="77">
        <f t="shared" si="1"/>
        <v>0</v>
      </c>
      <c r="M31" s="77">
        <f t="shared" si="1"/>
        <v>0</v>
      </c>
      <c r="N31" s="78">
        <f t="shared" si="2"/>
        <v>100</v>
      </c>
      <c r="O31" s="79">
        <v>52.1</v>
      </c>
      <c r="P31" s="77"/>
      <c r="Q31" s="77"/>
      <c r="R31" s="80">
        <f t="shared" si="3"/>
        <v>52.1</v>
      </c>
      <c r="S31" s="73">
        <v>1</v>
      </c>
      <c r="T31" s="81"/>
      <c r="V31" s="82" t="s">
        <v>563</v>
      </c>
      <c r="W31" s="73" t="s">
        <v>22</v>
      </c>
      <c r="X31" s="73" t="s">
        <v>11</v>
      </c>
      <c r="Y31" s="83">
        <v>52.1</v>
      </c>
      <c r="AD31" s="82"/>
      <c r="AG31" s="83"/>
      <c r="AL31" s="82"/>
      <c r="AO31" s="83"/>
      <c r="AP31" s="82"/>
      <c r="AS31" s="83"/>
      <c r="AW31" s="83"/>
      <c r="BA31" s="84"/>
    </row>
    <row r="32" spans="1:53" s="73" customFormat="1">
      <c r="A32" s="102">
        <v>1972</v>
      </c>
      <c r="B32" s="85"/>
      <c r="C32" s="988" t="s">
        <v>755</v>
      </c>
      <c r="D32" s="988"/>
      <c r="E32" s="73">
        <v>0</v>
      </c>
      <c r="G32" s="74">
        <v>15</v>
      </c>
      <c r="H32" s="175"/>
      <c r="I32" s="75"/>
      <c r="J32" s="76">
        <v>15</v>
      </c>
      <c r="K32" s="77">
        <f t="shared" si="1"/>
        <v>100</v>
      </c>
      <c r="L32" s="77">
        <f t="shared" si="1"/>
        <v>0</v>
      </c>
      <c r="M32" s="77">
        <f t="shared" si="1"/>
        <v>0</v>
      </c>
      <c r="N32" s="78">
        <f t="shared" si="2"/>
        <v>100</v>
      </c>
      <c r="O32" s="79">
        <v>52.1</v>
      </c>
      <c r="P32" s="77"/>
      <c r="Q32" s="77"/>
      <c r="R32" s="80">
        <f t="shared" si="3"/>
        <v>52.1</v>
      </c>
      <c r="S32" s="73">
        <v>1</v>
      </c>
      <c r="T32" s="81"/>
      <c r="V32" s="82" t="s">
        <v>563</v>
      </c>
      <c r="W32" s="73" t="s">
        <v>22</v>
      </c>
      <c r="X32" s="73" t="s">
        <v>11</v>
      </c>
      <c r="Y32" s="83">
        <v>52.1</v>
      </c>
      <c r="AD32" s="82"/>
      <c r="AG32" s="83"/>
      <c r="AL32" s="82"/>
      <c r="AO32" s="83"/>
      <c r="AP32" s="82"/>
      <c r="AS32" s="83"/>
      <c r="AW32" s="83"/>
      <c r="BA32" s="84"/>
    </row>
    <row r="33" spans="1:53" s="73" customFormat="1">
      <c r="A33" s="102">
        <v>1972</v>
      </c>
      <c r="B33" s="85"/>
      <c r="C33" s="988" t="s">
        <v>755</v>
      </c>
      <c r="D33" s="988"/>
      <c r="E33" s="73">
        <v>366</v>
      </c>
      <c r="G33" s="74">
        <v>15</v>
      </c>
      <c r="H33" s="175"/>
      <c r="I33" s="75"/>
      <c r="J33" s="76">
        <v>15</v>
      </c>
      <c r="K33" s="77">
        <f t="shared" si="1"/>
        <v>100</v>
      </c>
      <c r="L33" s="77">
        <f t="shared" si="1"/>
        <v>0</v>
      </c>
      <c r="M33" s="77">
        <f t="shared" si="1"/>
        <v>0</v>
      </c>
      <c r="N33" s="78">
        <f t="shared" si="2"/>
        <v>100</v>
      </c>
      <c r="O33" s="79">
        <v>52.1</v>
      </c>
      <c r="P33" s="77"/>
      <c r="Q33" s="77"/>
      <c r="R33" s="80">
        <f t="shared" si="3"/>
        <v>52.1</v>
      </c>
      <c r="S33" s="73">
        <v>1</v>
      </c>
      <c r="T33" s="81"/>
      <c r="V33" s="82" t="s">
        <v>563</v>
      </c>
      <c r="W33" s="73" t="s">
        <v>22</v>
      </c>
      <c r="X33" s="73" t="s">
        <v>11</v>
      </c>
      <c r="Y33" s="83">
        <v>52.1</v>
      </c>
      <c r="AD33" s="82"/>
      <c r="AG33" s="83"/>
      <c r="AL33" s="82"/>
      <c r="AO33" s="83"/>
      <c r="AP33" s="82"/>
      <c r="AS33" s="83"/>
      <c r="AW33" s="83"/>
      <c r="BA33" s="84"/>
    </row>
    <row r="34" spans="1:53" s="73" customFormat="1">
      <c r="A34" s="102">
        <v>1973</v>
      </c>
      <c r="B34" s="85"/>
      <c r="C34" s="988" t="s">
        <v>755</v>
      </c>
      <c r="D34" s="988"/>
      <c r="E34" s="73">
        <v>72</v>
      </c>
      <c r="G34" s="74">
        <v>15</v>
      </c>
      <c r="H34" s="175"/>
      <c r="I34" s="75"/>
      <c r="J34" s="76">
        <v>15</v>
      </c>
      <c r="K34" s="77">
        <f t="shared" si="1"/>
        <v>100</v>
      </c>
      <c r="L34" s="77">
        <f t="shared" si="1"/>
        <v>0</v>
      </c>
      <c r="M34" s="77">
        <f t="shared" si="1"/>
        <v>0</v>
      </c>
      <c r="N34" s="78">
        <f t="shared" si="2"/>
        <v>100</v>
      </c>
      <c r="O34" s="79">
        <v>52.1</v>
      </c>
      <c r="P34" s="77"/>
      <c r="Q34" s="77"/>
      <c r="R34" s="80">
        <f t="shared" si="3"/>
        <v>52.1</v>
      </c>
      <c r="S34" s="73">
        <v>1</v>
      </c>
      <c r="T34" s="81"/>
      <c r="V34" s="82" t="s">
        <v>563</v>
      </c>
      <c r="W34" s="73" t="s">
        <v>22</v>
      </c>
      <c r="X34" s="73" t="s">
        <v>11</v>
      </c>
      <c r="Y34" s="83">
        <v>52.1</v>
      </c>
      <c r="AD34" s="82"/>
      <c r="AG34" s="83"/>
      <c r="AL34" s="82"/>
      <c r="AO34" s="83"/>
      <c r="AP34" s="82"/>
      <c r="AS34" s="83"/>
      <c r="AW34" s="83"/>
      <c r="BA34" s="84"/>
    </row>
    <row r="35" spans="1:53" s="334" customFormat="1">
      <c r="A35" s="386">
        <v>1973</v>
      </c>
      <c r="B35" s="355">
        <v>26737</v>
      </c>
      <c r="C35" s="992" t="s">
        <v>756</v>
      </c>
      <c r="D35" s="992"/>
      <c r="E35" s="334">
        <f>365-E34</f>
        <v>293</v>
      </c>
      <c r="F35" s="334">
        <v>1</v>
      </c>
      <c r="G35" s="336"/>
      <c r="H35" s="454">
        <v>11</v>
      </c>
      <c r="I35" s="200">
        <v>5</v>
      </c>
      <c r="J35" s="337">
        <v>16</v>
      </c>
      <c r="K35" s="338">
        <f t="shared" si="1"/>
        <v>0</v>
      </c>
      <c r="L35" s="338">
        <f t="shared" si="1"/>
        <v>68.75</v>
      </c>
      <c r="M35" s="338">
        <f t="shared" si="1"/>
        <v>31.25</v>
      </c>
      <c r="N35" s="339">
        <f t="shared" si="2"/>
        <v>100</v>
      </c>
      <c r="O35" s="340"/>
      <c r="P35" s="338">
        <v>37.5</v>
      </c>
      <c r="Q35" s="338">
        <v>13.2</v>
      </c>
      <c r="R35" s="341">
        <f t="shared" si="3"/>
        <v>50.7</v>
      </c>
      <c r="S35" s="334">
        <v>2</v>
      </c>
      <c r="T35" s="342">
        <v>26723</v>
      </c>
      <c r="U35" s="355">
        <v>26737</v>
      </c>
      <c r="V35" s="343" t="s">
        <v>564</v>
      </c>
      <c r="W35" s="334" t="s">
        <v>17</v>
      </c>
      <c r="X35" s="334" t="s">
        <v>18</v>
      </c>
      <c r="Y35" s="344">
        <v>37.5</v>
      </c>
      <c r="Z35" s="334" t="s">
        <v>461</v>
      </c>
      <c r="AA35" s="334" t="s">
        <v>20</v>
      </c>
      <c r="AB35" s="334" t="s">
        <v>12</v>
      </c>
      <c r="AC35" s="334">
        <v>13.2</v>
      </c>
      <c r="AD35" s="343"/>
      <c r="AG35" s="344"/>
      <c r="AL35" s="343"/>
      <c r="AO35" s="344"/>
      <c r="AP35" s="343"/>
      <c r="AS35" s="344"/>
      <c r="AW35" s="344"/>
      <c r="BA35" s="345"/>
    </row>
    <row r="36" spans="1:53" s="334" customFormat="1">
      <c r="A36" s="386">
        <v>1974</v>
      </c>
      <c r="B36" s="355"/>
      <c r="C36" s="992" t="s">
        <v>756</v>
      </c>
      <c r="D36" s="992"/>
      <c r="E36" s="334">
        <v>0</v>
      </c>
      <c r="G36" s="336"/>
      <c r="H36" s="454">
        <v>11</v>
      </c>
      <c r="I36" s="200">
        <v>5</v>
      </c>
      <c r="J36" s="337">
        <v>16</v>
      </c>
      <c r="K36" s="338">
        <f t="shared" si="1"/>
        <v>0</v>
      </c>
      <c r="L36" s="338">
        <f t="shared" si="1"/>
        <v>68.75</v>
      </c>
      <c r="M36" s="338">
        <f t="shared" si="1"/>
        <v>31.25</v>
      </c>
      <c r="N36" s="339">
        <f t="shared" si="2"/>
        <v>100</v>
      </c>
      <c r="O36" s="340"/>
      <c r="P36" s="338">
        <v>37.5</v>
      </c>
      <c r="Q36" s="338">
        <v>13.2</v>
      </c>
      <c r="R36" s="341">
        <f t="shared" si="3"/>
        <v>50.7</v>
      </c>
      <c r="S36" s="334">
        <v>2</v>
      </c>
      <c r="T36" s="357"/>
      <c r="V36" s="343" t="s">
        <v>564</v>
      </c>
      <c r="W36" s="334" t="s">
        <v>17</v>
      </c>
      <c r="X36" s="334" t="s">
        <v>18</v>
      </c>
      <c r="Y36" s="344">
        <v>37.5</v>
      </c>
      <c r="Z36" s="334" t="s">
        <v>461</v>
      </c>
      <c r="AA36" s="334" t="s">
        <v>20</v>
      </c>
      <c r="AB36" s="334" t="s">
        <v>12</v>
      </c>
      <c r="AC36" s="334">
        <v>13.2</v>
      </c>
      <c r="AD36" s="343"/>
      <c r="AG36" s="344"/>
      <c r="AL36" s="343"/>
      <c r="AO36" s="344"/>
      <c r="AP36" s="343"/>
      <c r="AS36" s="344"/>
      <c r="AW36" s="344"/>
      <c r="BA36" s="345"/>
    </row>
    <row r="37" spans="1:53" s="334" customFormat="1">
      <c r="A37" s="386">
        <v>1974</v>
      </c>
      <c r="B37" s="355"/>
      <c r="C37" s="992" t="s">
        <v>756</v>
      </c>
      <c r="D37" s="992"/>
      <c r="E37" s="334">
        <v>365</v>
      </c>
      <c r="G37" s="336"/>
      <c r="H37" s="454">
        <v>11</v>
      </c>
      <c r="I37" s="200">
        <v>5</v>
      </c>
      <c r="J37" s="337">
        <v>16</v>
      </c>
      <c r="K37" s="338">
        <f t="shared" si="1"/>
        <v>0</v>
      </c>
      <c r="L37" s="338">
        <f t="shared" si="1"/>
        <v>68.75</v>
      </c>
      <c r="M37" s="338">
        <f t="shared" si="1"/>
        <v>31.25</v>
      </c>
      <c r="N37" s="339">
        <f t="shared" si="2"/>
        <v>100</v>
      </c>
      <c r="O37" s="340"/>
      <c r="P37" s="338">
        <v>37.5</v>
      </c>
      <c r="Q37" s="338">
        <v>13.2</v>
      </c>
      <c r="R37" s="341">
        <f t="shared" si="3"/>
        <v>50.7</v>
      </c>
      <c r="S37" s="334">
        <v>2</v>
      </c>
      <c r="T37" s="357"/>
      <c r="V37" s="343" t="s">
        <v>564</v>
      </c>
      <c r="W37" s="334" t="s">
        <v>17</v>
      </c>
      <c r="X37" s="334" t="s">
        <v>18</v>
      </c>
      <c r="Y37" s="344">
        <v>37.5</v>
      </c>
      <c r="Z37" s="334" t="s">
        <v>461</v>
      </c>
      <c r="AA37" s="334" t="s">
        <v>20</v>
      </c>
      <c r="AB37" s="334" t="s">
        <v>12</v>
      </c>
      <c r="AC37" s="334">
        <v>13.2</v>
      </c>
      <c r="AD37" s="343"/>
      <c r="AG37" s="344"/>
      <c r="AL37" s="343"/>
      <c r="AO37" s="344"/>
      <c r="AP37" s="343"/>
      <c r="AS37" s="344"/>
      <c r="AW37" s="344"/>
      <c r="BA37" s="345"/>
    </row>
    <row r="38" spans="1:53" s="334" customFormat="1">
      <c r="A38" s="386">
        <v>1975</v>
      </c>
      <c r="B38" s="355"/>
      <c r="C38" s="992" t="s">
        <v>756</v>
      </c>
      <c r="D38" s="992"/>
      <c r="E38" s="334">
        <v>0</v>
      </c>
      <c r="G38" s="336"/>
      <c r="H38" s="454">
        <v>11</v>
      </c>
      <c r="I38" s="200">
        <v>5</v>
      </c>
      <c r="J38" s="337">
        <v>16</v>
      </c>
      <c r="K38" s="338">
        <f t="shared" si="1"/>
        <v>0</v>
      </c>
      <c r="L38" s="338">
        <f t="shared" si="1"/>
        <v>68.75</v>
      </c>
      <c r="M38" s="338">
        <f t="shared" si="1"/>
        <v>31.25</v>
      </c>
      <c r="N38" s="339">
        <f t="shared" si="2"/>
        <v>100</v>
      </c>
      <c r="O38" s="340"/>
      <c r="P38" s="338">
        <v>37.5</v>
      </c>
      <c r="Q38" s="338">
        <v>13.2</v>
      </c>
      <c r="R38" s="341">
        <f t="shared" si="3"/>
        <v>50.7</v>
      </c>
      <c r="S38" s="334">
        <v>2</v>
      </c>
      <c r="T38" s="357"/>
      <c r="V38" s="343" t="s">
        <v>564</v>
      </c>
      <c r="W38" s="334" t="s">
        <v>17</v>
      </c>
      <c r="X38" s="334" t="s">
        <v>18</v>
      </c>
      <c r="Y38" s="344">
        <v>37.5</v>
      </c>
      <c r="Z38" s="334" t="s">
        <v>461</v>
      </c>
      <c r="AA38" s="334" t="s">
        <v>20</v>
      </c>
      <c r="AB38" s="334" t="s">
        <v>12</v>
      </c>
      <c r="AC38" s="334">
        <v>13.2</v>
      </c>
      <c r="AD38" s="343"/>
      <c r="AG38" s="344"/>
      <c r="AL38" s="343"/>
      <c r="AO38" s="344"/>
      <c r="AP38" s="343"/>
      <c r="AS38" s="344"/>
      <c r="AW38" s="344"/>
      <c r="BA38" s="345"/>
    </row>
    <row r="39" spans="1:53" s="334" customFormat="1">
      <c r="A39" s="386">
        <v>1975</v>
      </c>
      <c r="B39" s="355"/>
      <c r="C39" s="992" t="s">
        <v>756</v>
      </c>
      <c r="D39" s="992"/>
      <c r="E39" s="334">
        <v>365</v>
      </c>
      <c r="G39" s="336"/>
      <c r="H39" s="454">
        <v>11</v>
      </c>
      <c r="I39" s="200">
        <v>5</v>
      </c>
      <c r="J39" s="337">
        <v>16</v>
      </c>
      <c r="K39" s="338">
        <f t="shared" si="1"/>
        <v>0</v>
      </c>
      <c r="L39" s="338">
        <f t="shared" si="1"/>
        <v>68.75</v>
      </c>
      <c r="M39" s="338">
        <f t="shared" si="1"/>
        <v>31.25</v>
      </c>
      <c r="N39" s="339">
        <f t="shared" si="2"/>
        <v>100</v>
      </c>
      <c r="O39" s="340"/>
      <c r="P39" s="338">
        <v>37.5</v>
      </c>
      <c r="Q39" s="338">
        <v>13.2</v>
      </c>
      <c r="R39" s="341">
        <f t="shared" si="3"/>
        <v>50.7</v>
      </c>
      <c r="S39" s="334">
        <v>2</v>
      </c>
      <c r="T39" s="357"/>
      <c r="V39" s="343" t="s">
        <v>564</v>
      </c>
      <c r="W39" s="334" t="s">
        <v>17</v>
      </c>
      <c r="X39" s="334" t="s">
        <v>18</v>
      </c>
      <c r="Y39" s="344">
        <v>37.5</v>
      </c>
      <c r="Z39" s="334" t="s">
        <v>461</v>
      </c>
      <c r="AA39" s="334" t="s">
        <v>20</v>
      </c>
      <c r="AB39" s="334" t="s">
        <v>12</v>
      </c>
      <c r="AC39" s="334">
        <v>13.2</v>
      </c>
      <c r="AD39" s="343"/>
      <c r="AG39" s="344"/>
      <c r="AL39" s="343"/>
      <c r="AO39" s="344"/>
      <c r="AP39" s="343"/>
      <c r="AS39" s="344"/>
      <c r="AW39" s="344"/>
      <c r="BA39" s="345"/>
    </row>
    <row r="40" spans="1:53" s="334" customFormat="1">
      <c r="A40" s="386">
        <v>1976</v>
      </c>
      <c r="B40" s="355"/>
      <c r="C40" s="992" t="s">
        <v>756</v>
      </c>
      <c r="D40" s="992"/>
      <c r="E40" s="334">
        <v>0</v>
      </c>
      <c r="G40" s="336"/>
      <c r="H40" s="454">
        <v>11</v>
      </c>
      <c r="I40" s="200">
        <v>5</v>
      </c>
      <c r="J40" s="337">
        <v>16</v>
      </c>
      <c r="K40" s="338">
        <f t="shared" si="1"/>
        <v>0</v>
      </c>
      <c r="L40" s="338">
        <f t="shared" si="1"/>
        <v>68.75</v>
      </c>
      <c r="M40" s="338">
        <f t="shared" si="1"/>
        <v>31.25</v>
      </c>
      <c r="N40" s="339">
        <f t="shared" si="2"/>
        <v>100</v>
      </c>
      <c r="O40" s="340"/>
      <c r="P40" s="338">
        <v>37.5</v>
      </c>
      <c r="Q40" s="338">
        <v>13.2</v>
      </c>
      <c r="R40" s="341">
        <f t="shared" si="3"/>
        <v>50.7</v>
      </c>
      <c r="S40" s="334">
        <v>2</v>
      </c>
      <c r="T40" s="357"/>
      <c r="V40" s="343" t="s">
        <v>564</v>
      </c>
      <c r="W40" s="334" t="s">
        <v>17</v>
      </c>
      <c r="X40" s="334" t="s">
        <v>18</v>
      </c>
      <c r="Y40" s="344">
        <v>37.5</v>
      </c>
      <c r="Z40" s="334" t="s">
        <v>461</v>
      </c>
      <c r="AA40" s="334" t="s">
        <v>20</v>
      </c>
      <c r="AB40" s="334" t="s">
        <v>12</v>
      </c>
      <c r="AC40" s="334">
        <v>13.2</v>
      </c>
      <c r="AD40" s="343"/>
      <c r="AG40" s="344"/>
      <c r="AL40" s="343"/>
      <c r="AO40" s="344"/>
      <c r="AP40" s="343"/>
      <c r="AS40" s="344"/>
      <c r="AW40" s="344"/>
      <c r="BA40" s="345"/>
    </row>
    <row r="41" spans="1:53" s="334" customFormat="1">
      <c r="A41" s="386">
        <v>1976</v>
      </c>
      <c r="B41" s="355"/>
      <c r="C41" s="992" t="s">
        <v>756</v>
      </c>
      <c r="D41" s="992"/>
      <c r="E41" s="334">
        <v>366</v>
      </c>
      <c r="G41" s="336"/>
      <c r="H41" s="454">
        <v>11</v>
      </c>
      <c r="I41" s="200">
        <v>5</v>
      </c>
      <c r="J41" s="337">
        <v>16</v>
      </c>
      <c r="K41" s="338">
        <f t="shared" si="1"/>
        <v>0</v>
      </c>
      <c r="L41" s="338">
        <f t="shared" si="1"/>
        <v>68.75</v>
      </c>
      <c r="M41" s="338">
        <f t="shared" si="1"/>
        <v>31.25</v>
      </c>
      <c r="N41" s="339">
        <f t="shared" si="2"/>
        <v>100</v>
      </c>
      <c r="O41" s="340"/>
      <c r="P41" s="338">
        <v>37.5</v>
      </c>
      <c r="Q41" s="338">
        <v>13.2</v>
      </c>
      <c r="R41" s="341">
        <f t="shared" si="3"/>
        <v>50.7</v>
      </c>
      <c r="S41" s="334">
        <v>2</v>
      </c>
      <c r="T41" s="357"/>
      <c r="V41" s="343" t="s">
        <v>564</v>
      </c>
      <c r="W41" s="334" t="s">
        <v>17</v>
      </c>
      <c r="X41" s="334" t="s">
        <v>18</v>
      </c>
      <c r="Y41" s="344">
        <v>37.5</v>
      </c>
      <c r="Z41" s="334" t="s">
        <v>461</v>
      </c>
      <c r="AA41" s="334" t="s">
        <v>20</v>
      </c>
      <c r="AB41" s="334" t="s">
        <v>12</v>
      </c>
      <c r="AC41" s="334">
        <v>13.2</v>
      </c>
      <c r="AD41" s="343"/>
      <c r="AG41" s="344"/>
      <c r="AL41" s="343"/>
      <c r="AO41" s="344"/>
      <c r="AP41" s="343"/>
      <c r="AS41" s="344"/>
      <c r="AW41" s="344"/>
      <c r="BA41" s="345"/>
    </row>
    <row r="42" spans="1:53" s="334" customFormat="1">
      <c r="A42" s="386">
        <v>1977</v>
      </c>
      <c r="B42" s="355"/>
      <c r="C42" s="992" t="s">
        <v>756</v>
      </c>
      <c r="D42" s="992"/>
      <c r="E42" s="334">
        <v>185</v>
      </c>
      <c r="G42" s="336"/>
      <c r="H42" s="454">
        <v>11</v>
      </c>
      <c r="I42" s="200">
        <v>5</v>
      </c>
      <c r="J42" s="337">
        <v>16</v>
      </c>
      <c r="K42" s="338">
        <f t="shared" si="1"/>
        <v>0</v>
      </c>
      <c r="L42" s="338">
        <f t="shared" si="1"/>
        <v>68.75</v>
      </c>
      <c r="M42" s="338">
        <f t="shared" si="1"/>
        <v>31.25</v>
      </c>
      <c r="N42" s="339">
        <f t="shared" si="2"/>
        <v>100</v>
      </c>
      <c r="O42" s="340"/>
      <c r="P42" s="338">
        <v>37.5</v>
      </c>
      <c r="Q42" s="338">
        <v>13.2</v>
      </c>
      <c r="R42" s="341">
        <f t="shared" si="3"/>
        <v>50.7</v>
      </c>
      <c r="S42" s="334">
        <v>2</v>
      </c>
      <c r="T42" s="357"/>
      <c r="V42" s="343" t="s">
        <v>564</v>
      </c>
      <c r="W42" s="334" t="s">
        <v>17</v>
      </c>
      <c r="X42" s="334" t="s">
        <v>18</v>
      </c>
      <c r="Y42" s="344">
        <v>37.5</v>
      </c>
      <c r="Z42" s="334" t="s">
        <v>461</v>
      </c>
      <c r="AA42" s="334" t="s">
        <v>20</v>
      </c>
      <c r="AB42" s="334" t="s">
        <v>12</v>
      </c>
      <c r="AC42" s="334">
        <v>13.2</v>
      </c>
      <c r="AD42" s="343"/>
      <c r="AG42" s="344"/>
      <c r="AL42" s="343"/>
      <c r="AO42" s="344"/>
      <c r="AP42" s="343"/>
      <c r="AS42" s="344"/>
      <c r="AW42" s="344"/>
      <c r="BA42" s="345"/>
    </row>
    <row r="43" spans="1:53" s="73" customFormat="1">
      <c r="A43" s="102">
        <v>1977</v>
      </c>
      <c r="B43" s="85">
        <v>28311</v>
      </c>
      <c r="C43" s="988" t="s">
        <v>757</v>
      </c>
      <c r="D43" s="988"/>
      <c r="E43" s="73">
        <f>365-E42</f>
        <v>180</v>
      </c>
      <c r="F43" s="73">
        <v>1</v>
      </c>
      <c r="G43" s="74">
        <v>15</v>
      </c>
      <c r="H43" s="176"/>
      <c r="I43" s="75"/>
      <c r="J43" s="76">
        <v>15</v>
      </c>
      <c r="K43" s="77">
        <f t="shared" si="1"/>
        <v>100</v>
      </c>
      <c r="L43" s="77">
        <f t="shared" si="1"/>
        <v>0</v>
      </c>
      <c r="M43" s="77">
        <f t="shared" si="1"/>
        <v>0</v>
      </c>
      <c r="N43" s="78">
        <f t="shared" si="2"/>
        <v>100</v>
      </c>
      <c r="O43" s="79">
        <v>56.8</v>
      </c>
      <c r="P43" s="77"/>
      <c r="Q43" s="77"/>
      <c r="R43" s="80">
        <f t="shared" si="3"/>
        <v>56.8</v>
      </c>
      <c r="S43" s="73">
        <v>1</v>
      </c>
      <c r="T43" s="95">
        <v>28292</v>
      </c>
      <c r="U43" s="85">
        <v>28311</v>
      </c>
      <c r="V43" s="82" t="s">
        <v>563</v>
      </c>
      <c r="W43" s="73" t="s">
        <v>22</v>
      </c>
      <c r="X43" s="73" t="s">
        <v>11</v>
      </c>
      <c r="Y43" s="83">
        <v>56.8</v>
      </c>
      <c r="AD43" s="82"/>
      <c r="AG43" s="83"/>
      <c r="AL43" s="82"/>
      <c r="AO43" s="83"/>
      <c r="AP43" s="82"/>
      <c r="AS43" s="83"/>
      <c r="AW43" s="83"/>
      <c r="BA43" s="84"/>
    </row>
    <row r="44" spans="1:53" s="73" customFormat="1">
      <c r="A44" s="102">
        <v>1978</v>
      </c>
      <c r="B44" s="85"/>
      <c r="C44" s="988" t="s">
        <v>757</v>
      </c>
      <c r="D44" s="988"/>
      <c r="E44" s="73">
        <v>0</v>
      </c>
      <c r="G44" s="74">
        <v>15</v>
      </c>
      <c r="H44" s="176"/>
      <c r="I44" s="75"/>
      <c r="J44" s="76">
        <v>15</v>
      </c>
      <c r="K44" s="77">
        <f t="shared" si="1"/>
        <v>100</v>
      </c>
      <c r="L44" s="77">
        <f t="shared" si="1"/>
        <v>0</v>
      </c>
      <c r="M44" s="77">
        <f t="shared" si="1"/>
        <v>0</v>
      </c>
      <c r="N44" s="78">
        <f t="shared" si="2"/>
        <v>100</v>
      </c>
      <c r="O44" s="79">
        <v>56.8</v>
      </c>
      <c r="P44" s="77"/>
      <c r="Q44" s="77"/>
      <c r="R44" s="80">
        <f t="shared" si="3"/>
        <v>56.8</v>
      </c>
      <c r="S44" s="73">
        <v>1</v>
      </c>
      <c r="T44" s="81"/>
      <c r="V44" s="82" t="s">
        <v>563</v>
      </c>
      <c r="W44" s="73" t="s">
        <v>22</v>
      </c>
      <c r="X44" s="73" t="s">
        <v>11</v>
      </c>
      <c r="Y44" s="83">
        <v>56.8</v>
      </c>
      <c r="AD44" s="82"/>
      <c r="AG44" s="83"/>
      <c r="AL44" s="82"/>
      <c r="AO44" s="83"/>
      <c r="AP44" s="82"/>
      <c r="AS44" s="83"/>
      <c r="AW44" s="83"/>
      <c r="BA44" s="84"/>
    </row>
    <row r="45" spans="1:53" s="73" customFormat="1">
      <c r="A45" s="102">
        <v>1978</v>
      </c>
      <c r="B45" s="85"/>
      <c r="C45" s="988" t="s">
        <v>757</v>
      </c>
      <c r="D45" s="988"/>
      <c r="E45" s="73">
        <v>365</v>
      </c>
      <c r="G45" s="74">
        <v>15</v>
      </c>
      <c r="H45" s="176"/>
      <c r="I45" s="75"/>
      <c r="J45" s="76">
        <v>15</v>
      </c>
      <c r="K45" s="77">
        <f t="shared" si="1"/>
        <v>100</v>
      </c>
      <c r="L45" s="77">
        <f t="shared" si="1"/>
        <v>0</v>
      </c>
      <c r="M45" s="77">
        <f t="shared" si="1"/>
        <v>0</v>
      </c>
      <c r="N45" s="78">
        <f t="shared" si="2"/>
        <v>100</v>
      </c>
      <c r="O45" s="79">
        <v>56.8</v>
      </c>
      <c r="P45" s="77"/>
      <c r="Q45" s="77"/>
      <c r="R45" s="80">
        <f t="shared" si="3"/>
        <v>56.8</v>
      </c>
      <c r="S45" s="73">
        <v>1</v>
      </c>
      <c r="T45" s="81"/>
      <c r="V45" s="82" t="s">
        <v>563</v>
      </c>
      <c r="W45" s="73" t="s">
        <v>22</v>
      </c>
      <c r="X45" s="73" t="s">
        <v>11</v>
      </c>
      <c r="Y45" s="83">
        <v>56.8</v>
      </c>
      <c r="AD45" s="82"/>
      <c r="AG45" s="83"/>
      <c r="AL45" s="82"/>
      <c r="AO45" s="83"/>
      <c r="AP45" s="82"/>
      <c r="AS45" s="83"/>
      <c r="AW45" s="83"/>
      <c r="BA45" s="84"/>
    </row>
    <row r="46" spans="1:53" s="73" customFormat="1">
      <c r="A46" s="102">
        <v>1979</v>
      </c>
      <c r="B46" s="85"/>
      <c r="C46" s="988" t="s">
        <v>757</v>
      </c>
      <c r="D46" s="988"/>
      <c r="E46" s="73">
        <v>344</v>
      </c>
      <c r="G46" s="74">
        <v>15</v>
      </c>
      <c r="H46" s="176"/>
      <c r="I46" s="75"/>
      <c r="J46" s="76">
        <v>15</v>
      </c>
      <c r="K46" s="77">
        <f t="shared" si="1"/>
        <v>100</v>
      </c>
      <c r="L46" s="77">
        <f t="shared" si="1"/>
        <v>0</v>
      </c>
      <c r="M46" s="77">
        <f t="shared" si="1"/>
        <v>0</v>
      </c>
      <c r="N46" s="78">
        <f t="shared" si="2"/>
        <v>100</v>
      </c>
      <c r="O46" s="79">
        <v>56.8</v>
      </c>
      <c r="P46" s="77"/>
      <c r="Q46" s="77"/>
      <c r="R46" s="80">
        <f t="shared" si="3"/>
        <v>56.8</v>
      </c>
      <c r="S46" s="73">
        <v>1</v>
      </c>
      <c r="T46" s="81"/>
      <c r="V46" s="82" t="s">
        <v>563</v>
      </c>
      <c r="W46" s="73" t="s">
        <v>22</v>
      </c>
      <c r="X46" s="73" t="s">
        <v>11</v>
      </c>
      <c r="Y46" s="83">
        <v>56.8</v>
      </c>
      <c r="AD46" s="82"/>
      <c r="AG46" s="83"/>
      <c r="AL46" s="82"/>
      <c r="AO46" s="83"/>
      <c r="AP46" s="82"/>
      <c r="AS46" s="83"/>
      <c r="AW46" s="83"/>
      <c r="BA46" s="84"/>
    </row>
    <row r="47" spans="1:53" s="334" customFormat="1">
      <c r="A47" s="386">
        <v>1979</v>
      </c>
      <c r="B47" s="355">
        <v>29200</v>
      </c>
      <c r="C47" s="992" t="s">
        <v>758</v>
      </c>
      <c r="D47" s="992"/>
      <c r="E47" s="334">
        <f>365-E46</f>
        <v>21</v>
      </c>
      <c r="F47" s="334">
        <v>2</v>
      </c>
      <c r="G47" s="336">
        <v>15</v>
      </c>
      <c r="H47" s="454"/>
      <c r="I47" s="200"/>
      <c r="J47" s="337">
        <v>15</v>
      </c>
      <c r="K47" s="338">
        <f t="shared" si="1"/>
        <v>100</v>
      </c>
      <c r="L47" s="338">
        <f t="shared" si="1"/>
        <v>0</v>
      </c>
      <c r="M47" s="338">
        <f t="shared" si="1"/>
        <v>0</v>
      </c>
      <c r="N47" s="339">
        <f t="shared" si="2"/>
        <v>100</v>
      </c>
      <c r="O47" s="340">
        <v>56.8</v>
      </c>
      <c r="P47" s="338"/>
      <c r="Q47" s="338"/>
      <c r="R47" s="341">
        <f t="shared" si="3"/>
        <v>56.8</v>
      </c>
      <c r="S47" s="334">
        <v>1</v>
      </c>
      <c r="T47" s="357"/>
      <c r="U47" s="355">
        <v>29200</v>
      </c>
      <c r="V47" s="343" t="s">
        <v>563</v>
      </c>
      <c r="W47" s="334" t="s">
        <v>22</v>
      </c>
      <c r="X47" s="334" t="s">
        <v>11</v>
      </c>
      <c r="Y47" s="344">
        <v>56.8</v>
      </c>
      <c r="AD47" s="343"/>
      <c r="AG47" s="344"/>
      <c r="AL47" s="343"/>
      <c r="AO47" s="344"/>
      <c r="AP47" s="343"/>
      <c r="AS47" s="344"/>
      <c r="AW47" s="344"/>
      <c r="BA47" s="345"/>
    </row>
    <row r="48" spans="1:53" s="334" customFormat="1">
      <c r="A48" s="386">
        <v>1980</v>
      </c>
      <c r="B48" s="355"/>
      <c r="C48" s="992" t="s">
        <v>758</v>
      </c>
      <c r="D48" s="992"/>
      <c r="E48" s="334">
        <v>0</v>
      </c>
      <c r="G48" s="336">
        <v>15</v>
      </c>
      <c r="H48" s="454"/>
      <c r="I48" s="200"/>
      <c r="J48" s="337">
        <v>15</v>
      </c>
      <c r="K48" s="338">
        <f t="shared" si="1"/>
        <v>100</v>
      </c>
      <c r="L48" s="338">
        <f t="shared" si="1"/>
        <v>0</v>
      </c>
      <c r="M48" s="338">
        <f t="shared" si="1"/>
        <v>0</v>
      </c>
      <c r="N48" s="339">
        <f t="shared" si="2"/>
        <v>100</v>
      </c>
      <c r="O48" s="340">
        <v>56.8</v>
      </c>
      <c r="P48" s="338"/>
      <c r="Q48" s="338"/>
      <c r="R48" s="341">
        <f t="shared" si="3"/>
        <v>56.8</v>
      </c>
      <c r="S48" s="334">
        <v>1</v>
      </c>
      <c r="T48" s="357"/>
      <c r="V48" s="343" t="s">
        <v>563</v>
      </c>
      <c r="W48" s="334" t="s">
        <v>22</v>
      </c>
      <c r="X48" s="334" t="s">
        <v>11</v>
      </c>
      <c r="Y48" s="344">
        <v>56.8</v>
      </c>
      <c r="AD48" s="343"/>
      <c r="AG48" s="344"/>
      <c r="AL48" s="343"/>
      <c r="AO48" s="344"/>
      <c r="AP48" s="343"/>
      <c r="AS48" s="344"/>
      <c r="AW48" s="344"/>
      <c r="BA48" s="345"/>
    </row>
    <row r="49" spans="1:53" s="334" customFormat="1">
      <c r="A49" s="386">
        <v>1980</v>
      </c>
      <c r="B49" s="355"/>
      <c r="C49" s="992" t="s">
        <v>758</v>
      </c>
      <c r="D49" s="992"/>
      <c r="E49" s="334">
        <v>366</v>
      </c>
      <c r="G49" s="336">
        <v>15</v>
      </c>
      <c r="H49" s="454"/>
      <c r="I49" s="200"/>
      <c r="J49" s="337">
        <v>15</v>
      </c>
      <c r="K49" s="338">
        <f t="shared" si="1"/>
        <v>100</v>
      </c>
      <c r="L49" s="338">
        <f t="shared" si="1"/>
        <v>0</v>
      </c>
      <c r="M49" s="338">
        <f t="shared" si="1"/>
        <v>0</v>
      </c>
      <c r="N49" s="339">
        <f t="shared" si="2"/>
        <v>100</v>
      </c>
      <c r="O49" s="340">
        <v>56.8</v>
      </c>
      <c r="P49" s="338"/>
      <c r="Q49" s="338"/>
      <c r="R49" s="341">
        <f t="shared" si="3"/>
        <v>56.8</v>
      </c>
      <c r="S49" s="334">
        <v>1</v>
      </c>
      <c r="T49" s="357"/>
      <c r="V49" s="343" t="s">
        <v>563</v>
      </c>
      <c r="W49" s="334" t="s">
        <v>22</v>
      </c>
      <c r="X49" s="334" t="s">
        <v>11</v>
      </c>
      <c r="Y49" s="344">
        <v>56.8</v>
      </c>
      <c r="AD49" s="343"/>
      <c r="AG49" s="344"/>
      <c r="AL49" s="343"/>
      <c r="AO49" s="344"/>
      <c r="AP49" s="343"/>
      <c r="AS49" s="344"/>
      <c r="AW49" s="344"/>
      <c r="BA49" s="345"/>
    </row>
    <row r="50" spans="1:53" s="334" customFormat="1">
      <c r="A50" s="386">
        <v>1981</v>
      </c>
      <c r="B50" s="355"/>
      <c r="C50" s="992" t="s">
        <v>758</v>
      </c>
      <c r="D50" s="992"/>
      <c r="E50" s="334">
        <v>180</v>
      </c>
      <c r="G50" s="336">
        <v>15</v>
      </c>
      <c r="H50" s="454"/>
      <c r="I50" s="200"/>
      <c r="J50" s="337">
        <v>15</v>
      </c>
      <c r="K50" s="338">
        <f t="shared" si="1"/>
        <v>100</v>
      </c>
      <c r="L50" s="338">
        <f t="shared" si="1"/>
        <v>0</v>
      </c>
      <c r="M50" s="338">
        <f t="shared" si="1"/>
        <v>0</v>
      </c>
      <c r="N50" s="339">
        <f t="shared" si="2"/>
        <v>100</v>
      </c>
      <c r="O50" s="340">
        <v>56.8</v>
      </c>
      <c r="P50" s="338"/>
      <c r="Q50" s="338"/>
      <c r="R50" s="341">
        <f t="shared" si="3"/>
        <v>56.8</v>
      </c>
      <c r="S50" s="334">
        <v>1</v>
      </c>
      <c r="T50" s="357"/>
      <c r="V50" s="343" t="s">
        <v>563</v>
      </c>
      <c r="W50" s="334" t="s">
        <v>22</v>
      </c>
      <c r="X50" s="334" t="s">
        <v>11</v>
      </c>
      <c r="Y50" s="344">
        <v>56.8</v>
      </c>
      <c r="AD50" s="343"/>
      <c r="AG50" s="344"/>
      <c r="AL50" s="343"/>
      <c r="AO50" s="344"/>
      <c r="AP50" s="343"/>
      <c r="AS50" s="344"/>
      <c r="AW50" s="344"/>
      <c r="BA50" s="345"/>
    </row>
    <row r="51" spans="1:53" s="73" customFormat="1">
      <c r="A51" s="102">
        <v>1981</v>
      </c>
      <c r="B51" s="85">
        <v>29767</v>
      </c>
      <c r="C51" s="988" t="s">
        <v>759</v>
      </c>
      <c r="D51" s="988"/>
      <c r="E51" s="73">
        <f>365-E50</f>
        <v>185</v>
      </c>
      <c r="F51" s="73">
        <v>1</v>
      </c>
      <c r="G51" s="74"/>
      <c r="H51" s="176">
        <v>10</v>
      </c>
      <c r="I51" s="75">
        <v>4</v>
      </c>
      <c r="J51" s="76">
        <v>15</v>
      </c>
      <c r="K51" s="77">
        <f t="shared" si="1"/>
        <v>0</v>
      </c>
      <c r="L51" s="77">
        <f t="shared" si="1"/>
        <v>66.666666666666657</v>
      </c>
      <c r="M51" s="77">
        <f t="shared" si="1"/>
        <v>26.666666666666668</v>
      </c>
      <c r="N51" s="78">
        <f t="shared" si="2"/>
        <v>93.333333333333329</v>
      </c>
      <c r="O51" s="79"/>
      <c r="P51" s="77">
        <v>39.200000000000003</v>
      </c>
      <c r="Q51" s="77">
        <v>9</v>
      </c>
      <c r="R51" s="80">
        <f t="shared" si="3"/>
        <v>48.2</v>
      </c>
      <c r="S51" s="73">
        <v>5</v>
      </c>
      <c r="T51" s="95">
        <v>29748</v>
      </c>
      <c r="U51" s="85">
        <v>29767</v>
      </c>
      <c r="V51" s="82" t="s">
        <v>564</v>
      </c>
      <c r="W51" s="73" t="s">
        <v>17</v>
      </c>
      <c r="X51" s="73" t="s">
        <v>18</v>
      </c>
      <c r="Y51" s="83">
        <v>39.200000000000003</v>
      </c>
      <c r="Z51" s="73" t="s">
        <v>461</v>
      </c>
      <c r="AA51" s="73" t="s">
        <v>20</v>
      </c>
      <c r="AB51" s="73" t="s">
        <v>12</v>
      </c>
      <c r="AC51" s="73">
        <v>9</v>
      </c>
      <c r="AD51" s="82"/>
      <c r="AG51" s="83"/>
      <c r="AL51" s="82"/>
      <c r="AO51" s="83"/>
      <c r="AP51" s="82"/>
      <c r="AS51" s="83"/>
      <c r="AW51" s="83"/>
      <c r="BA51" s="84"/>
    </row>
    <row r="52" spans="1:53" s="73" customFormat="1">
      <c r="A52" s="102">
        <v>1982</v>
      </c>
      <c r="B52" s="85"/>
      <c r="C52" s="988" t="s">
        <v>759</v>
      </c>
      <c r="D52" s="988"/>
      <c r="E52" s="73">
        <v>67</v>
      </c>
      <c r="G52" s="74"/>
      <c r="H52" s="176">
        <v>10</v>
      </c>
      <c r="I52" s="75">
        <v>4</v>
      </c>
      <c r="J52" s="76">
        <v>15</v>
      </c>
      <c r="K52" s="77">
        <f t="shared" si="1"/>
        <v>0</v>
      </c>
      <c r="L52" s="77">
        <f t="shared" si="1"/>
        <v>66.666666666666657</v>
      </c>
      <c r="M52" s="77">
        <f t="shared" si="1"/>
        <v>26.666666666666668</v>
      </c>
      <c r="N52" s="78">
        <f t="shared" si="2"/>
        <v>93.333333333333329</v>
      </c>
      <c r="O52" s="79"/>
      <c r="P52" s="77">
        <v>39.200000000000003</v>
      </c>
      <c r="Q52" s="77">
        <v>9</v>
      </c>
      <c r="R52" s="80">
        <f t="shared" si="3"/>
        <v>48.2</v>
      </c>
      <c r="S52" s="73">
        <v>5</v>
      </c>
      <c r="T52" s="81"/>
      <c r="V52" s="82" t="s">
        <v>564</v>
      </c>
      <c r="W52" s="73" t="s">
        <v>17</v>
      </c>
      <c r="X52" s="73" t="s">
        <v>18</v>
      </c>
      <c r="Y52" s="83">
        <v>39.200000000000003</v>
      </c>
      <c r="Z52" s="73" t="s">
        <v>461</v>
      </c>
      <c r="AA52" s="73" t="s">
        <v>20</v>
      </c>
      <c r="AB52" s="73" t="s">
        <v>12</v>
      </c>
      <c r="AC52" s="73">
        <v>9</v>
      </c>
      <c r="AD52" s="82"/>
      <c r="AG52" s="83"/>
      <c r="AL52" s="82"/>
      <c r="AO52" s="83"/>
      <c r="AP52" s="82"/>
      <c r="AS52" s="83"/>
      <c r="AW52" s="83"/>
      <c r="BA52" s="84"/>
    </row>
    <row r="53" spans="1:53" s="334" customFormat="1">
      <c r="A53" s="386">
        <v>1982</v>
      </c>
      <c r="B53" s="355">
        <v>30019</v>
      </c>
      <c r="C53" s="992" t="s">
        <v>760</v>
      </c>
      <c r="D53" s="992"/>
      <c r="E53" s="334">
        <v>280</v>
      </c>
      <c r="F53" s="334">
        <v>5</v>
      </c>
      <c r="G53" s="336">
        <v>16</v>
      </c>
      <c r="H53" s="454"/>
      <c r="I53" s="200"/>
      <c r="J53" s="337">
        <v>16</v>
      </c>
      <c r="K53" s="338">
        <f t="shared" si="1"/>
        <v>100</v>
      </c>
      <c r="L53" s="338">
        <f t="shared" si="1"/>
        <v>0</v>
      </c>
      <c r="M53" s="338">
        <f t="shared" si="1"/>
        <v>0</v>
      </c>
      <c r="N53" s="339">
        <f t="shared" si="2"/>
        <v>100</v>
      </c>
      <c r="O53" s="340">
        <v>47</v>
      </c>
      <c r="P53" s="338"/>
      <c r="Q53" s="338"/>
      <c r="R53" s="341">
        <f t="shared" si="3"/>
        <v>47</v>
      </c>
      <c r="S53" s="334">
        <v>4</v>
      </c>
      <c r="T53" s="357"/>
      <c r="U53" s="355">
        <v>30019</v>
      </c>
      <c r="V53" s="343" t="s">
        <v>563</v>
      </c>
      <c r="W53" s="334" t="s">
        <v>22</v>
      </c>
      <c r="X53" s="334" t="s">
        <v>11</v>
      </c>
      <c r="Y53" s="344">
        <v>47</v>
      </c>
      <c r="AD53" s="343"/>
      <c r="AG53" s="344"/>
      <c r="AL53" s="343"/>
      <c r="AO53" s="344"/>
      <c r="AP53" s="343"/>
      <c r="AS53" s="344"/>
      <c r="AW53" s="344"/>
      <c r="BA53" s="345"/>
    </row>
    <row r="54" spans="1:53" s="73" customFormat="1">
      <c r="A54" s="102">
        <v>1982</v>
      </c>
      <c r="B54" s="85">
        <v>30299</v>
      </c>
      <c r="C54" s="988" t="s">
        <v>761</v>
      </c>
      <c r="D54" s="988"/>
      <c r="E54" s="73">
        <f>365-E53-E52</f>
        <v>18</v>
      </c>
      <c r="F54" s="73">
        <v>5</v>
      </c>
      <c r="G54" s="74"/>
      <c r="H54" s="176">
        <v>12</v>
      </c>
      <c r="I54" s="75">
        <v>4</v>
      </c>
      <c r="J54" s="76">
        <v>17</v>
      </c>
      <c r="K54" s="77">
        <f t="shared" si="1"/>
        <v>0</v>
      </c>
      <c r="L54" s="77">
        <f t="shared" si="1"/>
        <v>70.588235294117652</v>
      </c>
      <c r="M54" s="77">
        <f t="shared" si="1"/>
        <v>23.52941176470588</v>
      </c>
      <c r="N54" s="78">
        <f t="shared" si="2"/>
        <v>94.117647058823536</v>
      </c>
      <c r="O54" s="79"/>
      <c r="P54" s="77">
        <v>42.2</v>
      </c>
      <c r="Q54" s="77">
        <v>9.6</v>
      </c>
      <c r="R54" s="80">
        <f t="shared" si="3"/>
        <v>51.800000000000004</v>
      </c>
      <c r="S54" s="73">
        <v>2</v>
      </c>
      <c r="T54" s="95">
        <v>30279</v>
      </c>
      <c r="U54" s="85">
        <v>30299</v>
      </c>
      <c r="V54" s="82" t="s">
        <v>564</v>
      </c>
      <c r="W54" s="73" t="s">
        <v>17</v>
      </c>
      <c r="X54" s="73" t="s">
        <v>18</v>
      </c>
      <c r="Y54" s="83">
        <v>42.2</v>
      </c>
      <c r="Z54" s="73" t="s">
        <v>461</v>
      </c>
      <c r="AA54" s="73" t="s">
        <v>20</v>
      </c>
      <c r="AB54" s="73" t="s">
        <v>12</v>
      </c>
      <c r="AC54" s="73">
        <v>9.6</v>
      </c>
      <c r="AD54" s="82"/>
      <c r="AG54" s="83"/>
      <c r="AL54" s="82"/>
      <c r="AO54" s="83"/>
      <c r="AP54" s="82"/>
      <c r="AS54" s="83"/>
      <c r="AW54" s="83"/>
      <c r="BA54" s="84"/>
    </row>
    <row r="55" spans="1:53" s="73" customFormat="1">
      <c r="A55" s="102">
        <v>1983</v>
      </c>
      <c r="B55" s="85"/>
      <c r="C55" s="988" t="s">
        <v>761</v>
      </c>
      <c r="D55" s="988"/>
      <c r="E55" s="73">
        <v>0</v>
      </c>
      <c r="G55" s="74"/>
      <c r="H55" s="176">
        <v>12</v>
      </c>
      <c r="I55" s="75">
        <v>4</v>
      </c>
      <c r="J55" s="76">
        <v>17</v>
      </c>
      <c r="K55" s="77">
        <f t="shared" si="1"/>
        <v>0</v>
      </c>
      <c r="L55" s="77">
        <f t="shared" si="1"/>
        <v>70.588235294117652</v>
      </c>
      <c r="M55" s="77">
        <f t="shared" si="1"/>
        <v>23.52941176470588</v>
      </c>
      <c r="N55" s="78">
        <f t="shared" si="2"/>
        <v>94.117647058823536</v>
      </c>
      <c r="O55" s="79"/>
      <c r="P55" s="77">
        <v>42.2</v>
      </c>
      <c r="Q55" s="77">
        <v>9.6</v>
      </c>
      <c r="R55" s="80">
        <f t="shared" si="3"/>
        <v>51.800000000000004</v>
      </c>
      <c r="S55" s="73">
        <v>2</v>
      </c>
      <c r="T55" s="81"/>
      <c r="V55" s="82" t="s">
        <v>564</v>
      </c>
      <c r="W55" s="73" t="s">
        <v>17</v>
      </c>
      <c r="X55" s="73" t="s">
        <v>18</v>
      </c>
      <c r="Y55" s="83">
        <v>42.2</v>
      </c>
      <c r="Z55" s="73" t="s">
        <v>461</v>
      </c>
      <c r="AA55" s="73" t="s">
        <v>20</v>
      </c>
      <c r="AB55" s="73" t="s">
        <v>12</v>
      </c>
      <c r="AC55" s="73">
        <v>9.6</v>
      </c>
      <c r="AD55" s="82"/>
      <c r="AG55" s="83"/>
      <c r="AL55" s="82"/>
      <c r="AO55" s="83"/>
      <c r="AP55" s="82"/>
      <c r="AS55" s="83"/>
      <c r="AW55" s="83"/>
      <c r="BA55" s="84"/>
    </row>
    <row r="56" spans="1:53" s="73" customFormat="1">
      <c r="A56" s="102">
        <v>1983</v>
      </c>
      <c r="B56" s="85"/>
      <c r="C56" s="988" t="s">
        <v>761</v>
      </c>
      <c r="D56" s="988"/>
      <c r="E56" s="73">
        <v>365</v>
      </c>
      <c r="G56" s="74"/>
      <c r="H56" s="176">
        <v>12</v>
      </c>
      <c r="I56" s="75">
        <v>4</v>
      </c>
      <c r="J56" s="76">
        <v>17</v>
      </c>
      <c r="K56" s="77">
        <f t="shared" si="1"/>
        <v>0</v>
      </c>
      <c r="L56" s="77">
        <f t="shared" si="1"/>
        <v>70.588235294117652</v>
      </c>
      <c r="M56" s="77">
        <f t="shared" si="1"/>
        <v>23.52941176470588</v>
      </c>
      <c r="N56" s="78">
        <f t="shared" si="2"/>
        <v>94.117647058823536</v>
      </c>
      <c r="O56" s="79"/>
      <c r="P56" s="77">
        <v>42.2</v>
      </c>
      <c r="Q56" s="77">
        <v>9.6</v>
      </c>
      <c r="R56" s="80">
        <f t="shared" si="3"/>
        <v>51.800000000000004</v>
      </c>
      <c r="S56" s="73">
        <v>2</v>
      </c>
      <c r="T56" s="81"/>
      <c r="V56" s="82" t="s">
        <v>564</v>
      </c>
      <c r="W56" s="73" t="s">
        <v>17</v>
      </c>
      <c r="X56" s="73" t="s">
        <v>18</v>
      </c>
      <c r="Y56" s="83">
        <v>42.2</v>
      </c>
      <c r="Z56" s="73" t="s">
        <v>461</v>
      </c>
      <c r="AA56" s="73" t="s">
        <v>20</v>
      </c>
      <c r="AB56" s="73" t="s">
        <v>12</v>
      </c>
      <c r="AC56" s="73">
        <v>9.6</v>
      </c>
      <c r="AD56" s="82"/>
      <c r="AG56" s="83"/>
      <c r="AL56" s="82"/>
      <c r="AO56" s="83"/>
      <c r="AP56" s="82"/>
      <c r="AS56" s="83"/>
      <c r="AW56" s="83"/>
      <c r="BA56" s="84"/>
    </row>
    <row r="57" spans="1:53" s="73" customFormat="1">
      <c r="A57" s="102">
        <v>1984</v>
      </c>
      <c r="B57" s="85"/>
      <c r="C57" s="988" t="s">
        <v>761</v>
      </c>
      <c r="D57" s="988"/>
      <c r="E57" s="73">
        <v>0</v>
      </c>
      <c r="G57" s="74"/>
      <c r="H57" s="176">
        <v>12</v>
      </c>
      <c r="I57" s="75">
        <v>4</v>
      </c>
      <c r="J57" s="76">
        <v>17</v>
      </c>
      <c r="K57" s="77">
        <f t="shared" si="1"/>
        <v>0</v>
      </c>
      <c r="L57" s="77">
        <f t="shared" si="1"/>
        <v>70.588235294117652</v>
      </c>
      <c r="M57" s="77">
        <f t="shared" si="1"/>
        <v>23.52941176470588</v>
      </c>
      <c r="N57" s="78">
        <f t="shared" si="2"/>
        <v>94.117647058823536</v>
      </c>
      <c r="O57" s="79"/>
      <c r="P57" s="77">
        <v>42.2</v>
      </c>
      <c r="Q57" s="77">
        <v>9.6</v>
      </c>
      <c r="R57" s="80">
        <f t="shared" si="3"/>
        <v>51.800000000000004</v>
      </c>
      <c r="S57" s="73">
        <v>2</v>
      </c>
      <c r="T57" s="81"/>
      <c r="V57" s="82" t="s">
        <v>564</v>
      </c>
      <c r="W57" s="73" t="s">
        <v>17</v>
      </c>
      <c r="X57" s="73" t="s">
        <v>18</v>
      </c>
      <c r="Y57" s="83">
        <v>42.2</v>
      </c>
      <c r="Z57" s="73" t="s">
        <v>461</v>
      </c>
      <c r="AA57" s="73" t="s">
        <v>20</v>
      </c>
      <c r="AB57" s="73" t="s">
        <v>12</v>
      </c>
      <c r="AC57" s="73">
        <v>9.6</v>
      </c>
      <c r="AD57" s="82"/>
      <c r="AG57" s="83"/>
      <c r="AL57" s="82"/>
      <c r="AO57" s="83"/>
      <c r="AP57" s="82"/>
      <c r="AS57" s="83"/>
      <c r="AW57" s="83"/>
      <c r="BA57" s="84"/>
    </row>
    <row r="58" spans="1:53" s="73" customFormat="1">
      <c r="A58" s="102">
        <v>1984</v>
      </c>
      <c r="B58" s="85"/>
      <c r="C58" s="988" t="s">
        <v>761</v>
      </c>
      <c r="D58" s="988"/>
      <c r="E58" s="73">
        <v>366</v>
      </c>
      <c r="G58" s="74"/>
      <c r="H58" s="176">
        <v>12</v>
      </c>
      <c r="I58" s="75">
        <v>4</v>
      </c>
      <c r="J58" s="76">
        <v>17</v>
      </c>
      <c r="K58" s="77">
        <f t="shared" si="1"/>
        <v>0</v>
      </c>
      <c r="L58" s="77">
        <f t="shared" si="1"/>
        <v>70.588235294117652</v>
      </c>
      <c r="M58" s="77">
        <f t="shared" si="1"/>
        <v>23.52941176470588</v>
      </c>
      <c r="N58" s="78">
        <f t="shared" si="2"/>
        <v>94.117647058823536</v>
      </c>
      <c r="O58" s="79"/>
      <c r="P58" s="77">
        <v>42.2</v>
      </c>
      <c r="Q58" s="77">
        <v>9.6</v>
      </c>
      <c r="R58" s="80">
        <f t="shared" si="3"/>
        <v>51.800000000000004</v>
      </c>
      <c r="S58" s="73">
        <v>2</v>
      </c>
      <c r="T58" s="81"/>
      <c r="V58" s="82" t="s">
        <v>564</v>
      </c>
      <c r="W58" s="73" t="s">
        <v>17</v>
      </c>
      <c r="X58" s="73" t="s">
        <v>18</v>
      </c>
      <c r="Y58" s="83">
        <v>42.2</v>
      </c>
      <c r="Z58" s="73" t="s">
        <v>461</v>
      </c>
      <c r="AA58" s="73" t="s">
        <v>20</v>
      </c>
      <c r="AB58" s="73" t="s">
        <v>12</v>
      </c>
      <c r="AC58" s="73">
        <v>9.6</v>
      </c>
      <c r="AD58" s="82"/>
      <c r="AG58" s="83"/>
      <c r="AL58" s="82"/>
      <c r="AO58" s="83"/>
      <c r="AP58" s="82"/>
      <c r="AS58" s="83"/>
      <c r="AW58" s="83"/>
      <c r="BA58" s="84"/>
    </row>
    <row r="59" spans="1:53" s="73" customFormat="1">
      <c r="A59" s="102">
        <v>1985</v>
      </c>
      <c r="B59" s="85"/>
      <c r="C59" s="988" t="s">
        <v>761</v>
      </c>
      <c r="D59" s="988"/>
      <c r="E59" s="73">
        <v>0</v>
      </c>
      <c r="G59" s="74"/>
      <c r="H59" s="176">
        <v>12</v>
      </c>
      <c r="I59" s="75">
        <v>4</v>
      </c>
      <c r="J59" s="76">
        <v>17</v>
      </c>
      <c r="K59" s="77">
        <f>G59/$J59*100</f>
        <v>0</v>
      </c>
      <c r="L59" s="77">
        <f t="shared" ref="L59:M109" si="4">H59/$J59*100</f>
        <v>70.588235294117652</v>
      </c>
      <c r="M59" s="77">
        <f t="shared" si="4"/>
        <v>23.52941176470588</v>
      </c>
      <c r="N59" s="78">
        <f>K59+L59+M59</f>
        <v>94.117647058823536</v>
      </c>
      <c r="O59" s="79"/>
      <c r="P59" s="77">
        <v>42.2</v>
      </c>
      <c r="Q59" s="77">
        <v>9.6</v>
      </c>
      <c r="R59" s="80">
        <f t="shared" si="3"/>
        <v>51.800000000000004</v>
      </c>
      <c r="S59" s="73">
        <v>2</v>
      </c>
      <c r="T59" s="81"/>
      <c r="V59" s="82" t="s">
        <v>564</v>
      </c>
      <c r="W59" s="73" t="s">
        <v>17</v>
      </c>
      <c r="X59" s="73" t="s">
        <v>18</v>
      </c>
      <c r="Y59" s="83">
        <v>42.2</v>
      </c>
      <c r="Z59" s="73" t="s">
        <v>461</v>
      </c>
      <c r="AA59" s="73" t="s">
        <v>20</v>
      </c>
      <c r="AB59" s="73" t="s">
        <v>12</v>
      </c>
      <c r="AC59" s="73">
        <v>9.6</v>
      </c>
      <c r="AD59" s="82"/>
      <c r="AG59" s="83"/>
      <c r="AL59" s="82"/>
      <c r="AO59" s="83"/>
      <c r="AP59" s="82"/>
      <c r="AS59" s="83"/>
      <c r="AW59" s="83"/>
      <c r="BA59" s="84"/>
    </row>
    <row r="60" spans="1:53" s="73" customFormat="1">
      <c r="A60" s="102">
        <v>1985</v>
      </c>
      <c r="B60" s="85"/>
      <c r="C60" s="988" t="s">
        <v>761</v>
      </c>
      <c r="D60" s="988"/>
      <c r="E60" s="73">
        <v>365</v>
      </c>
      <c r="G60" s="74"/>
      <c r="H60" s="176">
        <v>12</v>
      </c>
      <c r="I60" s="75">
        <v>4</v>
      </c>
      <c r="J60" s="76">
        <v>17</v>
      </c>
      <c r="K60" s="77">
        <f t="shared" ref="K60:K65" si="5">G60/$J60*100</f>
        <v>0</v>
      </c>
      <c r="L60" s="77">
        <f t="shared" si="4"/>
        <v>70.588235294117652</v>
      </c>
      <c r="M60" s="77">
        <f t="shared" si="4"/>
        <v>23.52941176470588</v>
      </c>
      <c r="N60" s="78">
        <f t="shared" ref="N60:N65" si="6">K60+L60+M60</f>
        <v>94.117647058823536</v>
      </c>
      <c r="O60" s="79"/>
      <c r="P60" s="77">
        <v>42.2</v>
      </c>
      <c r="Q60" s="77">
        <v>9.6</v>
      </c>
      <c r="R60" s="80">
        <f t="shared" si="3"/>
        <v>51.800000000000004</v>
      </c>
      <c r="S60" s="73">
        <v>2</v>
      </c>
      <c r="T60" s="81"/>
      <c r="V60" s="82" t="s">
        <v>564</v>
      </c>
      <c r="W60" s="73" t="s">
        <v>17</v>
      </c>
      <c r="X60" s="73" t="s">
        <v>18</v>
      </c>
      <c r="Y60" s="83">
        <v>42.2</v>
      </c>
      <c r="Z60" s="73" t="s">
        <v>461</v>
      </c>
      <c r="AA60" s="73" t="s">
        <v>20</v>
      </c>
      <c r="AB60" s="73" t="s">
        <v>12</v>
      </c>
      <c r="AC60" s="73">
        <v>9.6</v>
      </c>
      <c r="AD60" s="82"/>
      <c r="AG60" s="83"/>
      <c r="AL60" s="82"/>
      <c r="AO60" s="83"/>
      <c r="AP60" s="82"/>
      <c r="AS60" s="83"/>
      <c r="AW60" s="83"/>
      <c r="BA60" s="84"/>
    </row>
    <row r="61" spans="1:53" s="73" customFormat="1">
      <c r="A61" s="102">
        <v>1986</v>
      </c>
      <c r="B61" s="85"/>
      <c r="C61" s="988" t="s">
        <v>761</v>
      </c>
      <c r="D61" s="988"/>
      <c r="E61" s="73">
        <v>0</v>
      </c>
      <c r="G61" s="74"/>
      <c r="H61" s="176">
        <v>12</v>
      </c>
      <c r="I61" s="75">
        <v>4</v>
      </c>
      <c r="J61" s="76">
        <v>17</v>
      </c>
      <c r="K61" s="77">
        <f t="shared" si="5"/>
        <v>0</v>
      </c>
      <c r="L61" s="77">
        <f t="shared" si="4"/>
        <v>70.588235294117652</v>
      </c>
      <c r="M61" s="77">
        <f t="shared" si="4"/>
        <v>23.52941176470588</v>
      </c>
      <c r="N61" s="78">
        <f t="shared" si="6"/>
        <v>94.117647058823536</v>
      </c>
      <c r="O61" s="79"/>
      <c r="P61" s="77">
        <v>42.2</v>
      </c>
      <c r="Q61" s="77">
        <v>9.6</v>
      </c>
      <c r="R61" s="80">
        <f t="shared" si="3"/>
        <v>51.800000000000004</v>
      </c>
      <c r="S61" s="73">
        <v>2</v>
      </c>
      <c r="T61" s="81"/>
      <c r="V61" s="82" t="s">
        <v>564</v>
      </c>
      <c r="W61" s="73" t="s">
        <v>17</v>
      </c>
      <c r="X61" s="73" t="s">
        <v>18</v>
      </c>
      <c r="Y61" s="83">
        <v>42.2</v>
      </c>
      <c r="Z61" s="73" t="s">
        <v>461</v>
      </c>
      <c r="AA61" s="73" t="s">
        <v>20</v>
      </c>
      <c r="AB61" s="73" t="s">
        <v>12</v>
      </c>
      <c r="AC61" s="73">
        <v>9.6</v>
      </c>
      <c r="AD61" s="82"/>
      <c r="AG61" s="83"/>
      <c r="AL61" s="82"/>
      <c r="AO61" s="83"/>
      <c r="AP61" s="82"/>
      <c r="AS61" s="83"/>
      <c r="AW61" s="83"/>
      <c r="BA61" s="84"/>
    </row>
    <row r="62" spans="1:53" s="73" customFormat="1">
      <c r="A62" s="102">
        <v>1986</v>
      </c>
      <c r="B62" s="85"/>
      <c r="C62" s="988" t="s">
        <v>761</v>
      </c>
      <c r="D62" s="988"/>
      <c r="E62" s="73">
        <v>365</v>
      </c>
      <c r="G62" s="74"/>
      <c r="H62" s="176">
        <v>12</v>
      </c>
      <c r="I62" s="75">
        <v>4</v>
      </c>
      <c r="J62" s="76">
        <v>17</v>
      </c>
      <c r="K62" s="77">
        <f t="shared" si="5"/>
        <v>0</v>
      </c>
      <c r="L62" s="77">
        <f t="shared" si="4"/>
        <v>70.588235294117652</v>
      </c>
      <c r="M62" s="77">
        <f t="shared" si="4"/>
        <v>23.52941176470588</v>
      </c>
      <c r="N62" s="78">
        <f t="shared" si="6"/>
        <v>94.117647058823536</v>
      </c>
      <c r="O62" s="79"/>
      <c r="P62" s="77">
        <v>42.2</v>
      </c>
      <c r="Q62" s="77">
        <v>9.6</v>
      </c>
      <c r="R62" s="80">
        <f t="shared" si="3"/>
        <v>51.800000000000004</v>
      </c>
      <c r="S62" s="73">
        <v>2</v>
      </c>
      <c r="T62" s="81"/>
      <c r="V62" s="82" t="s">
        <v>564</v>
      </c>
      <c r="W62" s="73" t="s">
        <v>17</v>
      </c>
      <c r="X62" s="73" t="s">
        <v>18</v>
      </c>
      <c r="Y62" s="83">
        <v>42.2</v>
      </c>
      <c r="Z62" s="73" t="s">
        <v>461</v>
      </c>
      <c r="AA62" s="73" t="s">
        <v>20</v>
      </c>
      <c r="AB62" s="73" t="s">
        <v>12</v>
      </c>
      <c r="AC62" s="73">
        <v>9.6</v>
      </c>
      <c r="AD62" s="82"/>
      <c r="AG62" s="83"/>
      <c r="AL62" s="82"/>
      <c r="AO62" s="83"/>
      <c r="AP62" s="82"/>
      <c r="AS62" s="83"/>
      <c r="AW62" s="83"/>
      <c r="BA62" s="84"/>
    </row>
    <row r="63" spans="1:53" s="73" customFormat="1">
      <c r="A63" s="102">
        <v>1987</v>
      </c>
      <c r="B63" s="85"/>
      <c r="C63" s="988" t="s">
        <v>761</v>
      </c>
      <c r="D63" s="988"/>
      <c r="E63" s="73">
        <v>68</v>
      </c>
      <c r="G63" s="74"/>
      <c r="H63" s="176">
        <v>12</v>
      </c>
      <c r="I63" s="75">
        <v>4</v>
      </c>
      <c r="J63" s="76">
        <v>17</v>
      </c>
      <c r="K63" s="77">
        <f t="shared" si="5"/>
        <v>0</v>
      </c>
      <c r="L63" s="77">
        <f t="shared" si="4"/>
        <v>70.588235294117652</v>
      </c>
      <c r="M63" s="77">
        <f t="shared" si="4"/>
        <v>23.52941176470588</v>
      </c>
      <c r="N63" s="78">
        <f t="shared" si="6"/>
        <v>94.117647058823536</v>
      </c>
      <c r="O63" s="79"/>
      <c r="P63" s="77">
        <v>42.2</v>
      </c>
      <c r="Q63" s="77">
        <v>9.6</v>
      </c>
      <c r="R63" s="80">
        <f t="shared" si="3"/>
        <v>51.800000000000004</v>
      </c>
      <c r="S63" s="73">
        <v>2</v>
      </c>
      <c r="T63" s="81"/>
      <c r="V63" s="82" t="s">
        <v>564</v>
      </c>
      <c r="W63" s="73" t="s">
        <v>17</v>
      </c>
      <c r="X63" s="73" t="s">
        <v>18</v>
      </c>
      <c r="Y63" s="83">
        <v>42.2</v>
      </c>
      <c r="Z63" s="73" t="s">
        <v>461</v>
      </c>
      <c r="AA63" s="73" t="s">
        <v>20</v>
      </c>
      <c r="AB63" s="73" t="s">
        <v>12</v>
      </c>
      <c r="AC63" s="73">
        <v>9.6</v>
      </c>
      <c r="AD63" s="82"/>
      <c r="AG63" s="83"/>
      <c r="AL63" s="82"/>
      <c r="AO63" s="83"/>
      <c r="AP63" s="82"/>
      <c r="AS63" s="83"/>
      <c r="AW63" s="83"/>
      <c r="BA63" s="84"/>
    </row>
    <row r="64" spans="1:53" s="334" customFormat="1">
      <c r="A64" s="386">
        <v>1987</v>
      </c>
      <c r="B64" s="355">
        <v>31846</v>
      </c>
      <c r="C64" s="992" t="s">
        <v>762</v>
      </c>
      <c r="D64" s="992"/>
      <c r="E64" s="334">
        <f>365-E63</f>
        <v>297</v>
      </c>
      <c r="F64" s="334">
        <v>4</v>
      </c>
      <c r="G64" s="336">
        <v>16</v>
      </c>
      <c r="H64" s="454"/>
      <c r="I64" s="200"/>
      <c r="J64" s="337">
        <v>16</v>
      </c>
      <c r="K64" s="338">
        <f t="shared" si="5"/>
        <v>100</v>
      </c>
      <c r="L64" s="338">
        <f t="shared" si="4"/>
        <v>0</v>
      </c>
      <c r="M64" s="338">
        <f t="shared" si="4"/>
        <v>0</v>
      </c>
      <c r="N64" s="339">
        <f t="shared" si="6"/>
        <v>100</v>
      </c>
      <c r="O64" s="340">
        <v>48.8</v>
      </c>
      <c r="P64" s="338"/>
      <c r="Q64" s="338"/>
      <c r="R64" s="341">
        <f t="shared" si="3"/>
        <v>48.8</v>
      </c>
      <c r="S64" s="334">
        <v>4</v>
      </c>
      <c r="T64" s="342">
        <v>31825</v>
      </c>
      <c r="U64" s="355">
        <v>31846</v>
      </c>
      <c r="V64" s="343" t="s">
        <v>563</v>
      </c>
      <c r="W64" s="334" t="s">
        <v>22</v>
      </c>
      <c r="X64" s="334" t="s">
        <v>11</v>
      </c>
      <c r="Y64" s="344">
        <v>48.8</v>
      </c>
      <c r="AD64" s="343"/>
      <c r="AG64" s="344"/>
      <c r="AL64" s="343"/>
      <c r="AO64" s="344"/>
      <c r="AP64" s="343"/>
      <c r="AS64" s="344"/>
      <c r="AW64" s="344"/>
      <c r="BA64" s="345"/>
    </row>
    <row r="65" spans="1:53" s="334" customFormat="1">
      <c r="A65" s="386">
        <v>1988</v>
      </c>
      <c r="B65" s="355"/>
      <c r="C65" s="992" t="s">
        <v>762</v>
      </c>
      <c r="D65" s="992"/>
      <c r="E65" s="334">
        <v>0</v>
      </c>
      <c r="G65" s="336">
        <v>16</v>
      </c>
      <c r="H65" s="454"/>
      <c r="I65" s="200"/>
      <c r="J65" s="337">
        <v>16</v>
      </c>
      <c r="K65" s="338">
        <f t="shared" si="5"/>
        <v>100</v>
      </c>
      <c r="L65" s="338">
        <f t="shared" si="4"/>
        <v>0</v>
      </c>
      <c r="M65" s="338">
        <f t="shared" si="4"/>
        <v>0</v>
      </c>
      <c r="N65" s="339">
        <f t="shared" si="6"/>
        <v>100</v>
      </c>
      <c r="O65" s="340">
        <v>48.8</v>
      </c>
      <c r="P65" s="338"/>
      <c r="Q65" s="338"/>
      <c r="R65" s="341">
        <f t="shared" si="3"/>
        <v>48.8</v>
      </c>
      <c r="S65" s="334">
        <v>4</v>
      </c>
      <c r="T65" s="357"/>
      <c r="V65" s="343" t="s">
        <v>563</v>
      </c>
      <c r="W65" s="334" t="s">
        <v>22</v>
      </c>
      <c r="X65" s="334" t="s">
        <v>11</v>
      </c>
      <c r="Y65" s="344">
        <v>48.8</v>
      </c>
      <c r="AD65" s="343"/>
      <c r="AG65" s="344"/>
      <c r="AL65" s="343"/>
      <c r="AO65" s="344"/>
      <c r="AP65" s="343"/>
      <c r="AS65" s="344"/>
      <c r="AW65" s="344"/>
      <c r="BA65" s="345"/>
    </row>
    <row r="66" spans="1:53" s="334" customFormat="1">
      <c r="A66" s="386">
        <v>1988</v>
      </c>
      <c r="B66" s="355"/>
      <c r="C66" s="992" t="s">
        <v>762</v>
      </c>
      <c r="D66" s="992"/>
      <c r="E66" s="334">
        <v>366</v>
      </c>
      <c r="G66" s="336">
        <v>16</v>
      </c>
      <c r="H66" s="454"/>
      <c r="I66" s="200"/>
      <c r="J66" s="337">
        <v>16</v>
      </c>
      <c r="K66" s="338">
        <f>G66/$J66*100</f>
        <v>100</v>
      </c>
      <c r="L66" s="338">
        <f t="shared" si="4"/>
        <v>0</v>
      </c>
      <c r="M66" s="338">
        <f t="shared" si="4"/>
        <v>0</v>
      </c>
      <c r="N66" s="339">
        <f>K66+L66+M66</f>
        <v>100</v>
      </c>
      <c r="O66" s="340">
        <v>48.8</v>
      </c>
      <c r="P66" s="338"/>
      <c r="Q66" s="338"/>
      <c r="R66" s="341">
        <f t="shared" si="3"/>
        <v>48.8</v>
      </c>
      <c r="S66" s="334">
        <v>4</v>
      </c>
      <c r="T66" s="357"/>
      <c r="V66" s="343" t="s">
        <v>563</v>
      </c>
      <c r="W66" s="334" t="s">
        <v>22</v>
      </c>
      <c r="X66" s="334" t="s">
        <v>11</v>
      </c>
      <c r="Y66" s="344">
        <v>48.8</v>
      </c>
      <c r="AD66" s="343"/>
      <c r="AG66" s="344"/>
      <c r="AL66" s="343"/>
      <c r="AO66" s="344"/>
      <c r="AP66" s="343"/>
      <c r="AS66" s="344"/>
      <c r="AW66" s="344"/>
      <c r="BA66" s="345"/>
    </row>
    <row r="67" spans="1:53" s="334" customFormat="1">
      <c r="A67" s="386">
        <v>1989</v>
      </c>
      <c r="B67" s="355"/>
      <c r="C67" s="992" t="s">
        <v>762</v>
      </c>
      <c r="D67" s="992"/>
      <c r="E67" s="334">
        <v>192</v>
      </c>
      <c r="G67" s="336">
        <v>16</v>
      </c>
      <c r="H67" s="454"/>
      <c r="I67" s="200"/>
      <c r="J67" s="337">
        <v>16</v>
      </c>
      <c r="K67" s="338">
        <f t="shared" ref="K67:K92" si="7">G67/$J67*100</f>
        <v>100</v>
      </c>
      <c r="L67" s="338">
        <f t="shared" si="4"/>
        <v>0</v>
      </c>
      <c r="M67" s="338">
        <f t="shared" si="4"/>
        <v>0</v>
      </c>
      <c r="N67" s="339">
        <f t="shared" ref="N67:N92" si="8">K67+L67+M67</f>
        <v>100</v>
      </c>
      <c r="O67" s="340">
        <v>48.8</v>
      </c>
      <c r="P67" s="338"/>
      <c r="Q67" s="338"/>
      <c r="R67" s="341">
        <f t="shared" si="3"/>
        <v>48.8</v>
      </c>
      <c r="S67" s="334">
        <v>4</v>
      </c>
      <c r="T67" s="357"/>
      <c r="V67" s="343" t="s">
        <v>563</v>
      </c>
      <c r="W67" s="334" t="s">
        <v>22</v>
      </c>
      <c r="X67" s="334" t="s">
        <v>11</v>
      </c>
      <c r="Y67" s="344">
        <v>48.8</v>
      </c>
      <c r="AD67" s="343"/>
      <c r="AG67" s="344"/>
      <c r="AL67" s="343"/>
      <c r="AO67" s="344"/>
      <c r="AP67" s="343"/>
      <c r="AS67" s="344"/>
      <c r="AW67" s="344"/>
      <c r="BA67" s="345"/>
    </row>
    <row r="68" spans="1:53" s="73" customFormat="1">
      <c r="A68" s="102">
        <v>1989</v>
      </c>
      <c r="B68" s="85">
        <v>32701</v>
      </c>
      <c r="C68" s="988" t="s">
        <v>763</v>
      </c>
      <c r="D68" s="988"/>
      <c r="E68" s="73">
        <f>365-E67</f>
        <v>173</v>
      </c>
      <c r="F68" s="73">
        <v>1</v>
      </c>
      <c r="G68" s="74">
        <v>16</v>
      </c>
      <c r="H68" s="176"/>
      <c r="I68" s="75"/>
      <c r="J68" s="76">
        <v>16</v>
      </c>
      <c r="K68" s="77">
        <f t="shared" si="7"/>
        <v>100</v>
      </c>
      <c r="L68" s="77">
        <f t="shared" si="4"/>
        <v>0</v>
      </c>
      <c r="M68" s="77">
        <f t="shared" si="4"/>
        <v>0</v>
      </c>
      <c r="N68" s="78">
        <f t="shared" si="8"/>
        <v>100</v>
      </c>
      <c r="O68" s="79">
        <v>50</v>
      </c>
      <c r="P68" s="77"/>
      <c r="Q68" s="77"/>
      <c r="R68" s="80">
        <f t="shared" si="3"/>
        <v>50</v>
      </c>
      <c r="S68" s="73">
        <v>5</v>
      </c>
      <c r="T68" s="95">
        <v>32674</v>
      </c>
      <c r="U68" s="85">
        <v>32701</v>
      </c>
      <c r="V68" s="82" t="s">
        <v>563</v>
      </c>
      <c r="W68" s="73" t="s">
        <v>22</v>
      </c>
      <c r="X68" s="73" t="s">
        <v>11</v>
      </c>
      <c r="Y68" s="83">
        <v>46.4</v>
      </c>
      <c r="Z68" s="73" t="s">
        <v>565</v>
      </c>
      <c r="AA68" s="73" t="s">
        <v>94</v>
      </c>
      <c r="AB68" s="73" t="s">
        <v>11</v>
      </c>
      <c r="AC68" s="73">
        <v>3.6</v>
      </c>
      <c r="AD68" s="82"/>
      <c r="AG68" s="83"/>
      <c r="AL68" s="82"/>
      <c r="AO68" s="83"/>
      <c r="AP68" s="82"/>
      <c r="AS68" s="83"/>
      <c r="AW68" s="83"/>
      <c r="BA68" s="84"/>
    </row>
    <row r="69" spans="1:53" s="151" customFormat="1">
      <c r="A69" s="151">
        <v>1990</v>
      </c>
      <c r="C69" s="1032" t="s">
        <v>763</v>
      </c>
      <c r="D69" s="1032"/>
      <c r="E69" s="151">
        <v>0</v>
      </c>
      <c r="G69" s="177">
        <v>16</v>
      </c>
      <c r="H69" s="178"/>
      <c r="I69" s="179"/>
      <c r="J69" s="180">
        <v>16</v>
      </c>
      <c r="K69" s="181">
        <f t="shared" si="7"/>
        <v>100</v>
      </c>
      <c r="L69" s="181">
        <f t="shared" si="4"/>
        <v>0</v>
      </c>
      <c r="M69" s="181">
        <f t="shared" si="4"/>
        <v>0</v>
      </c>
      <c r="N69" s="182">
        <f t="shared" si="8"/>
        <v>100</v>
      </c>
      <c r="O69" s="183">
        <v>50</v>
      </c>
      <c r="P69" s="181"/>
      <c r="Q69" s="181"/>
      <c r="R69" s="184">
        <f t="shared" si="3"/>
        <v>50</v>
      </c>
      <c r="S69" s="151">
        <v>5</v>
      </c>
      <c r="T69" s="171"/>
      <c r="V69" s="172" t="s">
        <v>563</v>
      </c>
      <c r="W69" s="151" t="s">
        <v>22</v>
      </c>
      <c r="X69" s="151" t="s">
        <v>11</v>
      </c>
      <c r="Y69" s="173">
        <v>46.4</v>
      </c>
      <c r="Z69" s="151" t="s">
        <v>565</v>
      </c>
      <c r="AA69" s="151" t="s">
        <v>94</v>
      </c>
      <c r="AB69" s="151" t="s">
        <v>11</v>
      </c>
      <c r="AC69" s="151">
        <v>3.6</v>
      </c>
      <c r="AD69" s="172"/>
      <c r="AG69" s="173"/>
      <c r="AL69" s="172"/>
      <c r="AO69" s="173"/>
      <c r="AP69" s="172"/>
      <c r="AS69" s="173"/>
      <c r="AW69" s="173"/>
      <c r="BA69" s="174"/>
    </row>
    <row r="70" spans="1:53" s="73" customFormat="1">
      <c r="A70" s="73">
        <v>1990</v>
      </c>
      <c r="C70" s="988" t="s">
        <v>763</v>
      </c>
      <c r="D70" s="988"/>
      <c r="E70" s="73">
        <f>365-E69</f>
        <v>365</v>
      </c>
      <c r="G70" s="74">
        <v>16</v>
      </c>
      <c r="H70" s="176"/>
      <c r="I70" s="75"/>
      <c r="J70" s="76">
        <v>16</v>
      </c>
      <c r="K70" s="77">
        <f t="shared" si="7"/>
        <v>100</v>
      </c>
      <c r="L70" s="77">
        <f t="shared" si="4"/>
        <v>0</v>
      </c>
      <c r="M70" s="77">
        <f t="shared" si="4"/>
        <v>0</v>
      </c>
      <c r="N70" s="78">
        <f t="shared" si="8"/>
        <v>100</v>
      </c>
      <c r="O70" s="79">
        <v>50</v>
      </c>
      <c r="P70" s="77"/>
      <c r="Q70" s="77"/>
      <c r="R70" s="80">
        <f t="shared" si="3"/>
        <v>50</v>
      </c>
      <c r="S70" s="73">
        <v>5</v>
      </c>
      <c r="T70" s="81"/>
      <c r="V70" s="82" t="s">
        <v>563</v>
      </c>
      <c r="W70" s="73" t="s">
        <v>22</v>
      </c>
      <c r="X70" s="73" t="s">
        <v>11</v>
      </c>
      <c r="Y70" s="83">
        <v>46.4</v>
      </c>
      <c r="Z70" s="73" t="s">
        <v>565</v>
      </c>
      <c r="AA70" s="73" t="s">
        <v>94</v>
      </c>
      <c r="AB70" s="73" t="s">
        <v>11</v>
      </c>
      <c r="AC70" s="73">
        <v>3.6</v>
      </c>
      <c r="AD70" s="82"/>
      <c r="AG70" s="83"/>
      <c r="AL70" s="82"/>
      <c r="AO70" s="83"/>
      <c r="AP70" s="82"/>
      <c r="AS70" s="83"/>
      <c r="AW70" s="83"/>
      <c r="BA70" s="84"/>
    </row>
    <row r="71" spans="1:53" s="73" customFormat="1">
      <c r="A71" s="73">
        <v>1991</v>
      </c>
      <c r="C71" s="988" t="s">
        <v>763</v>
      </c>
      <c r="D71" s="988"/>
      <c r="E71" s="73">
        <v>0</v>
      </c>
      <c r="G71" s="74">
        <v>16</v>
      </c>
      <c r="H71" s="176"/>
      <c r="I71" s="75"/>
      <c r="J71" s="76">
        <v>16</v>
      </c>
      <c r="K71" s="77">
        <f t="shared" si="7"/>
        <v>100</v>
      </c>
      <c r="L71" s="77">
        <f t="shared" si="4"/>
        <v>0</v>
      </c>
      <c r="M71" s="77">
        <f t="shared" si="4"/>
        <v>0</v>
      </c>
      <c r="N71" s="78">
        <f t="shared" si="8"/>
        <v>100</v>
      </c>
      <c r="O71" s="79">
        <v>50</v>
      </c>
      <c r="P71" s="77"/>
      <c r="Q71" s="77"/>
      <c r="R71" s="80">
        <f t="shared" si="3"/>
        <v>50</v>
      </c>
      <c r="S71" s="73">
        <v>5</v>
      </c>
      <c r="T71" s="81"/>
      <c r="V71" s="82" t="s">
        <v>563</v>
      </c>
      <c r="W71" s="73" t="s">
        <v>22</v>
      </c>
      <c r="X71" s="73" t="s">
        <v>11</v>
      </c>
      <c r="Y71" s="83">
        <v>46.4</v>
      </c>
      <c r="Z71" s="73" t="s">
        <v>565</v>
      </c>
      <c r="AA71" s="73" t="s">
        <v>94</v>
      </c>
      <c r="AB71" s="73" t="s">
        <v>11</v>
      </c>
      <c r="AC71" s="73">
        <v>3.6</v>
      </c>
      <c r="AD71" s="82"/>
      <c r="AG71" s="83"/>
      <c r="AL71" s="82"/>
      <c r="AO71" s="83"/>
      <c r="AP71" s="82"/>
      <c r="AS71" s="83"/>
      <c r="AW71" s="83"/>
      <c r="BA71" s="84"/>
    </row>
    <row r="72" spans="1:53" s="73" customFormat="1">
      <c r="A72" s="73">
        <v>1991</v>
      </c>
      <c r="C72" s="988" t="s">
        <v>763</v>
      </c>
      <c r="D72" s="988"/>
      <c r="E72" s="73">
        <f>365-E71</f>
        <v>365</v>
      </c>
      <c r="G72" s="74">
        <v>16</v>
      </c>
      <c r="H72" s="176"/>
      <c r="I72" s="75"/>
      <c r="J72" s="76">
        <v>16</v>
      </c>
      <c r="K72" s="77">
        <f t="shared" si="7"/>
        <v>100</v>
      </c>
      <c r="L72" s="77">
        <f t="shared" si="4"/>
        <v>0</v>
      </c>
      <c r="M72" s="77">
        <f t="shared" si="4"/>
        <v>0</v>
      </c>
      <c r="N72" s="78">
        <f t="shared" si="8"/>
        <v>100</v>
      </c>
      <c r="O72" s="79">
        <v>50</v>
      </c>
      <c r="P72" s="77"/>
      <c r="Q72" s="77"/>
      <c r="R72" s="80">
        <f t="shared" si="3"/>
        <v>50</v>
      </c>
      <c r="S72" s="73">
        <v>5</v>
      </c>
      <c r="T72" s="81"/>
      <c r="V72" s="82" t="s">
        <v>563</v>
      </c>
      <c r="W72" s="73" t="s">
        <v>22</v>
      </c>
      <c r="X72" s="73" t="s">
        <v>11</v>
      </c>
      <c r="Y72" s="83">
        <v>46.4</v>
      </c>
      <c r="Z72" s="73" t="s">
        <v>565</v>
      </c>
      <c r="AA72" s="73" t="s">
        <v>94</v>
      </c>
      <c r="AB72" s="73" t="s">
        <v>11</v>
      </c>
      <c r="AC72" s="73">
        <v>3.6</v>
      </c>
      <c r="AD72" s="82"/>
      <c r="AG72" s="83"/>
      <c r="AL72" s="82"/>
      <c r="AO72" s="83"/>
      <c r="AP72" s="82"/>
      <c r="AS72" s="83"/>
      <c r="AW72" s="83"/>
      <c r="BA72" s="84"/>
    </row>
    <row r="73" spans="1:53" s="73" customFormat="1">
      <c r="A73" s="73">
        <v>1992</v>
      </c>
      <c r="C73" s="988" t="s">
        <v>763</v>
      </c>
      <c r="D73" s="988"/>
      <c r="E73" s="73">
        <v>41</v>
      </c>
      <c r="G73" s="74">
        <v>16</v>
      </c>
      <c r="H73" s="176"/>
      <c r="I73" s="75"/>
      <c r="J73" s="76">
        <v>16</v>
      </c>
      <c r="K73" s="77">
        <f t="shared" si="7"/>
        <v>100</v>
      </c>
      <c r="L73" s="77">
        <f t="shared" si="4"/>
        <v>0</v>
      </c>
      <c r="M73" s="77">
        <f t="shared" si="4"/>
        <v>0</v>
      </c>
      <c r="N73" s="78">
        <f t="shared" si="8"/>
        <v>100</v>
      </c>
      <c r="O73" s="79">
        <v>50</v>
      </c>
      <c r="P73" s="77"/>
      <c r="Q73" s="77"/>
      <c r="R73" s="80">
        <f t="shared" ref="R73:R117" si="9">O73+P73+Q73</f>
        <v>50</v>
      </c>
      <c r="S73" s="73">
        <v>5</v>
      </c>
      <c r="T73" s="81"/>
      <c r="V73" s="82" t="s">
        <v>563</v>
      </c>
      <c r="W73" s="73" t="s">
        <v>22</v>
      </c>
      <c r="X73" s="73" t="s">
        <v>11</v>
      </c>
      <c r="Y73" s="83">
        <v>46.4</v>
      </c>
      <c r="Z73" s="73" t="s">
        <v>565</v>
      </c>
      <c r="AA73" s="73" t="s">
        <v>94</v>
      </c>
      <c r="AB73" s="73" t="s">
        <v>11</v>
      </c>
      <c r="AC73" s="73">
        <v>3.6</v>
      </c>
      <c r="AD73" s="82"/>
      <c r="AG73" s="83"/>
      <c r="AL73" s="82"/>
      <c r="AO73" s="83"/>
      <c r="AP73" s="82"/>
      <c r="AS73" s="83"/>
      <c r="AW73" s="83"/>
      <c r="BA73" s="84"/>
    </row>
    <row r="74" spans="1:53" s="334" customFormat="1">
      <c r="A74" s="334">
        <v>1992</v>
      </c>
      <c r="B74" s="355">
        <v>33933</v>
      </c>
      <c r="C74" s="992" t="s">
        <v>764</v>
      </c>
      <c r="D74" s="992"/>
      <c r="E74" s="334">
        <f>366-E73</f>
        <v>325</v>
      </c>
      <c r="F74" s="334">
        <v>2</v>
      </c>
      <c r="G74" s="336">
        <v>15</v>
      </c>
      <c r="H74" s="454"/>
      <c r="I74" s="200"/>
      <c r="J74" s="337">
        <v>15</v>
      </c>
      <c r="K74" s="338">
        <f t="shared" si="7"/>
        <v>100</v>
      </c>
      <c r="L74" s="338">
        <f t="shared" si="4"/>
        <v>0</v>
      </c>
      <c r="M74" s="338">
        <f t="shared" si="4"/>
        <v>0</v>
      </c>
      <c r="N74" s="339">
        <f t="shared" si="8"/>
        <v>100</v>
      </c>
      <c r="O74" s="340">
        <v>50</v>
      </c>
      <c r="P74" s="338"/>
      <c r="Q74" s="338"/>
      <c r="R74" s="341">
        <f t="shared" si="9"/>
        <v>50</v>
      </c>
      <c r="S74" s="334">
        <v>5</v>
      </c>
      <c r="T74" s="487">
        <v>33645</v>
      </c>
      <c r="U74" s="422">
        <v>33933</v>
      </c>
      <c r="V74" s="343" t="s">
        <v>563</v>
      </c>
      <c r="W74" s="334" t="s">
        <v>22</v>
      </c>
      <c r="X74" s="334" t="s">
        <v>11</v>
      </c>
      <c r="Y74" s="344">
        <v>46.4</v>
      </c>
      <c r="Z74" s="334" t="s">
        <v>565</v>
      </c>
      <c r="AA74" s="334" t="s">
        <v>94</v>
      </c>
      <c r="AB74" s="334" t="s">
        <v>11</v>
      </c>
      <c r="AC74" s="334">
        <v>3.6</v>
      </c>
      <c r="AD74" s="343"/>
      <c r="AG74" s="344"/>
      <c r="AL74" s="343"/>
      <c r="AO74" s="344"/>
      <c r="AP74" s="343"/>
      <c r="AS74" s="344"/>
      <c r="AW74" s="344"/>
      <c r="BA74" s="345"/>
    </row>
    <row r="75" spans="1:53" s="334" customFormat="1">
      <c r="A75" s="334">
        <v>1993</v>
      </c>
      <c r="C75" s="992" t="s">
        <v>764</v>
      </c>
      <c r="D75" s="992"/>
      <c r="E75" s="334">
        <v>11</v>
      </c>
      <c r="G75" s="336">
        <v>15</v>
      </c>
      <c r="H75" s="454"/>
      <c r="I75" s="200"/>
      <c r="J75" s="337">
        <v>15</v>
      </c>
      <c r="K75" s="338">
        <f t="shared" si="7"/>
        <v>100</v>
      </c>
      <c r="L75" s="338">
        <f t="shared" si="4"/>
        <v>0</v>
      </c>
      <c r="M75" s="338">
        <f t="shared" si="4"/>
        <v>0</v>
      </c>
      <c r="N75" s="339">
        <f t="shared" si="8"/>
        <v>100</v>
      </c>
      <c r="O75" s="340">
        <v>50</v>
      </c>
      <c r="P75" s="338"/>
      <c r="Q75" s="338"/>
      <c r="R75" s="341">
        <f t="shared" si="9"/>
        <v>50</v>
      </c>
      <c r="S75" s="334">
        <v>5</v>
      </c>
      <c r="T75" s="638"/>
      <c r="V75" s="343" t="s">
        <v>563</v>
      </c>
      <c r="W75" s="334" t="s">
        <v>22</v>
      </c>
      <c r="X75" s="334" t="s">
        <v>11</v>
      </c>
      <c r="Y75" s="344">
        <v>46.4</v>
      </c>
      <c r="Z75" s="334" t="s">
        <v>565</v>
      </c>
      <c r="AA75" s="334" t="s">
        <v>94</v>
      </c>
      <c r="AB75" s="334" t="s">
        <v>11</v>
      </c>
      <c r="AC75" s="334">
        <v>3.6</v>
      </c>
      <c r="AD75" s="343"/>
      <c r="AG75" s="344"/>
      <c r="AL75" s="343"/>
      <c r="AO75" s="344"/>
      <c r="AP75" s="343"/>
      <c r="AS75" s="344"/>
      <c r="AW75" s="344"/>
      <c r="BA75" s="345"/>
    </row>
    <row r="76" spans="1:53" s="73" customFormat="1">
      <c r="A76" s="73">
        <v>1993</v>
      </c>
      <c r="B76" s="85">
        <v>33981</v>
      </c>
      <c r="C76" s="988" t="s">
        <v>765</v>
      </c>
      <c r="D76" s="988"/>
      <c r="E76" s="73">
        <f>365-E75</f>
        <v>354</v>
      </c>
      <c r="F76" s="73">
        <v>4</v>
      </c>
      <c r="G76" s="74">
        <v>9</v>
      </c>
      <c r="H76" s="176"/>
      <c r="I76" s="75">
        <v>6</v>
      </c>
      <c r="J76" s="76">
        <v>15</v>
      </c>
      <c r="K76" s="77">
        <f t="shared" si="7"/>
        <v>60</v>
      </c>
      <c r="L76" s="77">
        <f t="shared" si="4"/>
        <v>0</v>
      </c>
      <c r="M76" s="77">
        <f t="shared" si="4"/>
        <v>40</v>
      </c>
      <c r="N76" s="78">
        <f t="shared" si="8"/>
        <v>100</v>
      </c>
      <c r="O76" s="79">
        <v>41</v>
      </c>
      <c r="P76" s="77"/>
      <c r="Q76" s="77">
        <v>19.899999999999999</v>
      </c>
      <c r="R76" s="80">
        <f t="shared" si="9"/>
        <v>60.9</v>
      </c>
      <c r="S76" s="73">
        <v>2</v>
      </c>
      <c r="T76" s="81"/>
      <c r="U76" s="85">
        <v>33981</v>
      </c>
      <c r="V76" s="82" t="s">
        <v>563</v>
      </c>
      <c r="W76" s="73" t="s">
        <v>22</v>
      </c>
      <c r="X76" s="73" t="s">
        <v>11</v>
      </c>
      <c r="Y76" s="83">
        <v>41</v>
      </c>
      <c r="Z76" s="73" t="s">
        <v>461</v>
      </c>
      <c r="AA76" s="73" t="s">
        <v>20</v>
      </c>
      <c r="AB76" s="73" t="s">
        <v>12</v>
      </c>
      <c r="AC76" s="73">
        <v>19.899999999999999</v>
      </c>
      <c r="AD76" s="82"/>
      <c r="AG76" s="83"/>
      <c r="AL76" s="82"/>
      <c r="AO76" s="83"/>
      <c r="AP76" s="82"/>
      <c r="AS76" s="83"/>
      <c r="AW76" s="83"/>
      <c r="BA76" s="84"/>
    </row>
    <row r="77" spans="1:53" s="73" customFormat="1">
      <c r="A77" s="73">
        <v>1994</v>
      </c>
      <c r="C77" s="988" t="s">
        <v>765</v>
      </c>
      <c r="D77" s="988"/>
      <c r="E77" s="73">
        <v>348</v>
      </c>
      <c r="G77" s="74">
        <v>9</v>
      </c>
      <c r="H77" s="176"/>
      <c r="I77" s="75">
        <v>6</v>
      </c>
      <c r="J77" s="76">
        <v>15</v>
      </c>
      <c r="K77" s="77">
        <f t="shared" si="7"/>
        <v>60</v>
      </c>
      <c r="L77" s="77">
        <f t="shared" si="4"/>
        <v>0</v>
      </c>
      <c r="M77" s="77">
        <f t="shared" si="4"/>
        <v>40</v>
      </c>
      <c r="N77" s="78">
        <f t="shared" si="8"/>
        <v>100</v>
      </c>
      <c r="O77" s="79">
        <v>41</v>
      </c>
      <c r="P77" s="77"/>
      <c r="Q77" s="77">
        <v>19.899999999999999</v>
      </c>
      <c r="R77" s="80">
        <f t="shared" si="9"/>
        <v>60.9</v>
      </c>
      <c r="S77" s="73">
        <v>2</v>
      </c>
      <c r="T77" s="81"/>
      <c r="V77" s="82" t="s">
        <v>563</v>
      </c>
      <c r="W77" s="73" t="s">
        <v>22</v>
      </c>
      <c r="X77" s="73" t="s">
        <v>11</v>
      </c>
      <c r="Y77" s="83">
        <v>41</v>
      </c>
      <c r="Z77" s="73" t="s">
        <v>461</v>
      </c>
      <c r="AA77" s="73" t="s">
        <v>20</v>
      </c>
      <c r="AB77" s="73" t="s">
        <v>12</v>
      </c>
      <c r="AC77" s="73">
        <v>19.899999999999999</v>
      </c>
      <c r="AD77" s="82"/>
      <c r="AG77" s="83"/>
      <c r="AL77" s="82"/>
      <c r="AO77" s="83"/>
      <c r="AP77" s="82"/>
      <c r="AS77" s="83"/>
      <c r="AW77" s="83"/>
      <c r="BA77" s="84"/>
    </row>
    <row r="78" spans="1:53" s="334" customFormat="1">
      <c r="A78" s="334">
        <v>1994</v>
      </c>
      <c r="B78" s="355">
        <v>34683</v>
      </c>
      <c r="C78" s="992" t="s">
        <v>766</v>
      </c>
      <c r="D78" s="992"/>
      <c r="E78" s="334">
        <f>365-E77</f>
        <v>17</v>
      </c>
      <c r="F78" s="334">
        <v>4</v>
      </c>
      <c r="G78" s="336"/>
      <c r="H78" s="454">
        <v>8</v>
      </c>
      <c r="I78" s="200">
        <v>7</v>
      </c>
      <c r="J78" s="337">
        <v>15</v>
      </c>
      <c r="K78" s="338">
        <f t="shared" si="7"/>
        <v>0</v>
      </c>
      <c r="L78" s="338">
        <f t="shared" si="4"/>
        <v>53.333333333333336</v>
      </c>
      <c r="M78" s="338">
        <f t="shared" si="4"/>
        <v>46.666666666666664</v>
      </c>
      <c r="N78" s="339">
        <f t="shared" si="8"/>
        <v>100</v>
      </c>
      <c r="O78" s="340"/>
      <c r="P78" s="338">
        <v>27.1</v>
      </c>
      <c r="Q78" s="338">
        <v>22.3</v>
      </c>
      <c r="R78" s="341">
        <f t="shared" si="9"/>
        <v>49.400000000000006</v>
      </c>
      <c r="S78" s="334">
        <v>5</v>
      </c>
      <c r="T78" s="357"/>
      <c r="U78" s="355">
        <v>34683</v>
      </c>
      <c r="V78" s="343" t="s">
        <v>564</v>
      </c>
      <c r="W78" s="334" t="s">
        <v>17</v>
      </c>
      <c r="X78" s="334" t="s">
        <v>18</v>
      </c>
      <c r="Y78" s="344">
        <v>27.1</v>
      </c>
      <c r="Z78" s="334" t="s">
        <v>461</v>
      </c>
      <c r="AA78" s="334" t="s">
        <v>20</v>
      </c>
      <c r="AB78" s="334" t="s">
        <v>12</v>
      </c>
      <c r="AC78" s="334">
        <v>19.899999999999999</v>
      </c>
      <c r="AD78" s="343" t="s">
        <v>566</v>
      </c>
      <c r="AE78" s="334" t="s">
        <v>307</v>
      </c>
      <c r="AF78" s="334" t="s">
        <v>12</v>
      </c>
      <c r="AG78" s="344">
        <v>2.4</v>
      </c>
      <c r="AL78" s="343"/>
      <c r="AO78" s="344"/>
      <c r="AP78" s="343"/>
      <c r="AS78" s="344"/>
      <c r="AW78" s="344"/>
      <c r="BA78" s="345"/>
    </row>
    <row r="79" spans="1:53" s="334" customFormat="1">
      <c r="A79" s="334">
        <v>1995</v>
      </c>
      <c r="C79" s="992" t="s">
        <v>766</v>
      </c>
      <c r="D79" s="992"/>
      <c r="E79" s="334">
        <v>0</v>
      </c>
      <c r="G79" s="336"/>
      <c r="H79" s="454">
        <v>8</v>
      </c>
      <c r="I79" s="200">
        <v>7</v>
      </c>
      <c r="J79" s="337">
        <v>15</v>
      </c>
      <c r="K79" s="338">
        <f t="shared" si="7"/>
        <v>0</v>
      </c>
      <c r="L79" s="338">
        <f t="shared" si="4"/>
        <v>53.333333333333336</v>
      </c>
      <c r="M79" s="338">
        <f t="shared" si="4"/>
        <v>46.666666666666664</v>
      </c>
      <c r="N79" s="339">
        <f t="shared" si="8"/>
        <v>100</v>
      </c>
      <c r="O79" s="340"/>
      <c r="P79" s="338">
        <v>27.1</v>
      </c>
      <c r="Q79" s="338">
        <v>22.3</v>
      </c>
      <c r="R79" s="341">
        <f t="shared" si="9"/>
        <v>49.400000000000006</v>
      </c>
      <c r="S79" s="334">
        <v>5</v>
      </c>
      <c r="T79" s="357"/>
      <c r="V79" s="343" t="s">
        <v>564</v>
      </c>
      <c r="W79" s="334" t="s">
        <v>17</v>
      </c>
      <c r="X79" s="334" t="s">
        <v>18</v>
      </c>
      <c r="Y79" s="344">
        <v>27.1</v>
      </c>
      <c r="Z79" s="334" t="s">
        <v>461</v>
      </c>
      <c r="AA79" s="334" t="s">
        <v>20</v>
      </c>
      <c r="AB79" s="334" t="s">
        <v>12</v>
      </c>
      <c r="AC79" s="334">
        <v>19.899999999999999</v>
      </c>
      <c r="AD79" s="343" t="s">
        <v>566</v>
      </c>
      <c r="AE79" s="334" t="s">
        <v>307</v>
      </c>
      <c r="AF79" s="334" t="s">
        <v>12</v>
      </c>
      <c r="AG79" s="344">
        <v>2.4</v>
      </c>
      <c r="AL79" s="343"/>
      <c r="AO79" s="344"/>
      <c r="AP79" s="343"/>
      <c r="AS79" s="344"/>
      <c r="AW79" s="344"/>
      <c r="BA79" s="345"/>
    </row>
    <row r="80" spans="1:53" s="334" customFormat="1">
      <c r="A80" s="334">
        <v>1995</v>
      </c>
      <c r="C80" s="992" t="s">
        <v>766</v>
      </c>
      <c r="D80" s="992"/>
      <c r="E80" s="334">
        <f>365-E79</f>
        <v>365</v>
      </c>
      <c r="G80" s="336"/>
      <c r="H80" s="454">
        <v>8</v>
      </c>
      <c r="I80" s="200">
        <v>7</v>
      </c>
      <c r="J80" s="337">
        <v>15</v>
      </c>
      <c r="K80" s="338">
        <f t="shared" si="7"/>
        <v>0</v>
      </c>
      <c r="L80" s="338">
        <f t="shared" si="4"/>
        <v>53.333333333333336</v>
      </c>
      <c r="M80" s="338">
        <f t="shared" si="4"/>
        <v>46.666666666666664</v>
      </c>
      <c r="N80" s="339">
        <f t="shared" si="8"/>
        <v>100</v>
      </c>
      <c r="O80" s="340"/>
      <c r="P80" s="338">
        <v>27.1</v>
      </c>
      <c r="Q80" s="338">
        <v>22.3</v>
      </c>
      <c r="R80" s="341">
        <f t="shared" si="9"/>
        <v>49.400000000000006</v>
      </c>
      <c r="S80" s="334">
        <v>5</v>
      </c>
      <c r="T80" s="357"/>
      <c r="V80" s="343" t="s">
        <v>564</v>
      </c>
      <c r="W80" s="334" t="s">
        <v>17</v>
      </c>
      <c r="X80" s="334" t="s">
        <v>18</v>
      </c>
      <c r="Y80" s="344">
        <v>27.1</v>
      </c>
      <c r="Z80" s="334" t="s">
        <v>461</v>
      </c>
      <c r="AA80" s="334" t="s">
        <v>20</v>
      </c>
      <c r="AB80" s="334" t="s">
        <v>12</v>
      </c>
      <c r="AC80" s="334">
        <v>19.899999999999999</v>
      </c>
      <c r="AD80" s="343" t="s">
        <v>566</v>
      </c>
      <c r="AE80" s="334" t="s">
        <v>307</v>
      </c>
      <c r="AF80" s="334" t="s">
        <v>12</v>
      </c>
      <c r="AG80" s="344">
        <v>2.4</v>
      </c>
      <c r="AL80" s="343"/>
      <c r="AO80" s="344"/>
      <c r="AP80" s="343"/>
      <c r="AS80" s="344"/>
      <c r="AW80" s="344"/>
      <c r="BA80" s="345"/>
    </row>
    <row r="81" spans="1:53" s="334" customFormat="1">
      <c r="A81" s="334">
        <v>1996</v>
      </c>
      <c r="C81" s="992" t="s">
        <v>766</v>
      </c>
      <c r="D81" s="992"/>
      <c r="E81" s="334">
        <v>0</v>
      </c>
      <c r="G81" s="336"/>
      <c r="H81" s="454">
        <v>8</v>
      </c>
      <c r="I81" s="200">
        <v>7</v>
      </c>
      <c r="J81" s="337">
        <v>15</v>
      </c>
      <c r="K81" s="338">
        <f t="shared" si="7"/>
        <v>0</v>
      </c>
      <c r="L81" s="338">
        <f t="shared" si="4"/>
        <v>53.333333333333336</v>
      </c>
      <c r="M81" s="338">
        <f t="shared" si="4"/>
        <v>46.666666666666664</v>
      </c>
      <c r="N81" s="339">
        <f t="shared" si="8"/>
        <v>100</v>
      </c>
      <c r="O81" s="340"/>
      <c r="P81" s="338">
        <v>27.1</v>
      </c>
      <c r="Q81" s="338">
        <v>22.3</v>
      </c>
      <c r="R81" s="341">
        <f t="shared" si="9"/>
        <v>49.400000000000006</v>
      </c>
      <c r="S81" s="334">
        <v>5</v>
      </c>
      <c r="T81" s="357"/>
      <c r="V81" s="343" t="s">
        <v>564</v>
      </c>
      <c r="W81" s="334" t="s">
        <v>17</v>
      </c>
      <c r="X81" s="334" t="s">
        <v>18</v>
      </c>
      <c r="Y81" s="344">
        <v>27.1</v>
      </c>
      <c r="Z81" s="334" t="s">
        <v>461</v>
      </c>
      <c r="AA81" s="334" t="s">
        <v>20</v>
      </c>
      <c r="AB81" s="334" t="s">
        <v>12</v>
      </c>
      <c r="AC81" s="334">
        <v>19.899999999999999</v>
      </c>
      <c r="AD81" s="343" t="s">
        <v>566</v>
      </c>
      <c r="AE81" s="334" t="s">
        <v>307</v>
      </c>
      <c r="AF81" s="334" t="s">
        <v>12</v>
      </c>
      <c r="AG81" s="344">
        <v>2.4</v>
      </c>
      <c r="AL81" s="343"/>
      <c r="AO81" s="344"/>
      <c r="AP81" s="343"/>
      <c r="AS81" s="344"/>
      <c r="AW81" s="344"/>
      <c r="BA81" s="345"/>
    </row>
    <row r="82" spans="1:53" s="334" customFormat="1">
      <c r="A82" s="334">
        <v>1996</v>
      </c>
      <c r="C82" s="992" t="s">
        <v>766</v>
      </c>
      <c r="D82" s="992"/>
      <c r="E82" s="334">
        <v>366</v>
      </c>
      <c r="G82" s="336"/>
      <c r="H82" s="454">
        <v>8</v>
      </c>
      <c r="I82" s="200">
        <v>7</v>
      </c>
      <c r="J82" s="337">
        <v>15</v>
      </c>
      <c r="K82" s="338">
        <f t="shared" si="7"/>
        <v>0</v>
      </c>
      <c r="L82" s="338">
        <f t="shared" si="4"/>
        <v>53.333333333333336</v>
      </c>
      <c r="M82" s="338">
        <f t="shared" si="4"/>
        <v>46.666666666666664</v>
      </c>
      <c r="N82" s="339">
        <f t="shared" si="8"/>
        <v>100</v>
      </c>
      <c r="O82" s="340"/>
      <c r="P82" s="338">
        <v>27.1</v>
      </c>
      <c r="Q82" s="338">
        <v>22.3</v>
      </c>
      <c r="R82" s="341">
        <f t="shared" si="9"/>
        <v>49.400000000000006</v>
      </c>
      <c r="S82" s="334">
        <v>5</v>
      </c>
      <c r="T82" s="357"/>
      <c r="V82" s="343" t="s">
        <v>564</v>
      </c>
      <c r="W82" s="334" t="s">
        <v>17</v>
      </c>
      <c r="X82" s="334" t="s">
        <v>18</v>
      </c>
      <c r="Y82" s="344">
        <v>27.1</v>
      </c>
      <c r="Z82" s="334" t="s">
        <v>461</v>
      </c>
      <c r="AA82" s="334" t="s">
        <v>20</v>
      </c>
      <c r="AB82" s="334" t="s">
        <v>12</v>
      </c>
      <c r="AC82" s="334">
        <v>19.899999999999999</v>
      </c>
      <c r="AD82" s="343" t="s">
        <v>566</v>
      </c>
      <c r="AE82" s="334" t="s">
        <v>307</v>
      </c>
      <c r="AF82" s="334" t="s">
        <v>12</v>
      </c>
      <c r="AG82" s="344">
        <v>2.4</v>
      </c>
      <c r="AL82" s="343"/>
      <c r="AO82" s="344"/>
      <c r="AP82" s="343"/>
      <c r="AS82" s="344"/>
      <c r="AW82" s="344"/>
      <c r="BA82" s="345"/>
    </row>
    <row r="83" spans="1:53" s="334" customFormat="1">
      <c r="A83" s="334">
        <v>1997</v>
      </c>
      <c r="C83" s="992" t="s">
        <v>766</v>
      </c>
      <c r="D83" s="992"/>
      <c r="E83" s="334">
        <v>176</v>
      </c>
      <c r="G83" s="336"/>
      <c r="H83" s="454">
        <v>8</v>
      </c>
      <c r="I83" s="200">
        <v>7</v>
      </c>
      <c r="J83" s="337">
        <v>15</v>
      </c>
      <c r="K83" s="338">
        <f t="shared" si="7"/>
        <v>0</v>
      </c>
      <c r="L83" s="338">
        <f t="shared" si="4"/>
        <v>53.333333333333336</v>
      </c>
      <c r="M83" s="338">
        <f t="shared" si="4"/>
        <v>46.666666666666664</v>
      </c>
      <c r="N83" s="339">
        <f t="shared" si="8"/>
        <v>100</v>
      </c>
      <c r="O83" s="340"/>
      <c r="P83" s="338">
        <v>27.1</v>
      </c>
      <c r="Q83" s="338">
        <v>22.3</v>
      </c>
      <c r="R83" s="341">
        <f t="shared" si="9"/>
        <v>49.400000000000006</v>
      </c>
      <c r="S83" s="334">
        <v>5</v>
      </c>
      <c r="T83" s="357"/>
      <c r="V83" s="343" t="s">
        <v>564</v>
      </c>
      <c r="W83" s="334" t="s">
        <v>17</v>
      </c>
      <c r="X83" s="334" t="s">
        <v>18</v>
      </c>
      <c r="Y83" s="344">
        <v>27.1</v>
      </c>
      <c r="Z83" s="334" t="s">
        <v>461</v>
      </c>
      <c r="AA83" s="334" t="s">
        <v>20</v>
      </c>
      <c r="AB83" s="334" t="s">
        <v>12</v>
      </c>
      <c r="AC83" s="334">
        <v>19.899999999999999</v>
      </c>
      <c r="AD83" s="343" t="s">
        <v>566</v>
      </c>
      <c r="AE83" s="334" t="s">
        <v>307</v>
      </c>
      <c r="AF83" s="334" t="s">
        <v>12</v>
      </c>
      <c r="AG83" s="344">
        <v>2.4</v>
      </c>
      <c r="AL83" s="343"/>
      <c r="AO83" s="344"/>
      <c r="AP83" s="343"/>
      <c r="AS83" s="344"/>
      <c r="AW83" s="344"/>
      <c r="BA83" s="345"/>
    </row>
    <row r="84" spans="1:53" s="73" customFormat="1">
      <c r="A84" s="73">
        <v>1997</v>
      </c>
      <c r="B84" s="85">
        <v>35607</v>
      </c>
      <c r="C84" s="988" t="s">
        <v>767</v>
      </c>
      <c r="D84" s="988"/>
      <c r="E84" s="73">
        <f>365-E83</f>
        <v>189</v>
      </c>
      <c r="F84" s="73">
        <v>1</v>
      </c>
      <c r="G84" s="74">
        <v>15</v>
      </c>
      <c r="H84" s="176"/>
      <c r="I84" s="75"/>
      <c r="J84" s="76">
        <v>15</v>
      </c>
      <c r="K84" s="77">
        <f t="shared" si="7"/>
        <v>100</v>
      </c>
      <c r="L84" s="77">
        <f t="shared" si="4"/>
        <v>0</v>
      </c>
      <c r="M84" s="77">
        <f t="shared" si="4"/>
        <v>0</v>
      </c>
      <c r="N84" s="78">
        <f t="shared" si="8"/>
        <v>100</v>
      </c>
      <c r="O84" s="79">
        <v>48.8</v>
      </c>
      <c r="P84" s="77"/>
      <c r="Q84" s="77"/>
      <c r="R84" s="80">
        <f t="shared" si="9"/>
        <v>48.8</v>
      </c>
      <c r="S84" s="73">
        <v>5</v>
      </c>
      <c r="T84" s="95">
        <v>35587</v>
      </c>
      <c r="U84" s="85">
        <v>35607</v>
      </c>
      <c r="V84" s="82" t="s">
        <v>563</v>
      </c>
      <c r="W84" s="73" t="s">
        <v>22</v>
      </c>
      <c r="X84" s="73" t="s">
        <v>11</v>
      </c>
      <c r="Y84" s="83">
        <v>46.4</v>
      </c>
      <c r="Z84" s="73" t="s">
        <v>565</v>
      </c>
      <c r="AA84" s="73" t="s">
        <v>94</v>
      </c>
      <c r="AB84" s="73" t="s">
        <v>11</v>
      </c>
      <c r="AC84" s="73">
        <v>2.4</v>
      </c>
      <c r="AD84" s="82"/>
      <c r="AG84" s="83"/>
      <c r="AL84" s="82"/>
      <c r="AO84" s="83"/>
      <c r="AP84" s="82"/>
      <c r="AS84" s="83"/>
      <c r="AW84" s="83"/>
      <c r="BA84" s="84"/>
    </row>
    <row r="85" spans="1:53" s="73" customFormat="1">
      <c r="A85" s="73">
        <v>1998</v>
      </c>
      <c r="C85" s="988" t="s">
        <v>767</v>
      </c>
      <c r="D85" s="988"/>
      <c r="E85" s="73">
        <v>0</v>
      </c>
      <c r="G85" s="74">
        <v>15</v>
      </c>
      <c r="H85" s="176"/>
      <c r="I85" s="75"/>
      <c r="J85" s="76">
        <v>15</v>
      </c>
      <c r="K85" s="77">
        <f t="shared" si="7"/>
        <v>100</v>
      </c>
      <c r="L85" s="77">
        <f t="shared" si="4"/>
        <v>0</v>
      </c>
      <c r="M85" s="77">
        <f t="shared" si="4"/>
        <v>0</v>
      </c>
      <c r="N85" s="78">
        <f t="shared" si="8"/>
        <v>100</v>
      </c>
      <c r="O85" s="79">
        <v>48.8</v>
      </c>
      <c r="P85" s="77"/>
      <c r="Q85" s="77"/>
      <c r="R85" s="80">
        <f t="shared" si="9"/>
        <v>48.8</v>
      </c>
      <c r="S85" s="73">
        <v>5</v>
      </c>
      <c r="T85" s="81"/>
      <c r="V85" s="82" t="s">
        <v>563</v>
      </c>
      <c r="W85" s="73" t="s">
        <v>22</v>
      </c>
      <c r="X85" s="73" t="s">
        <v>11</v>
      </c>
      <c r="Y85" s="83">
        <v>46.4</v>
      </c>
      <c r="Z85" s="73" t="s">
        <v>565</v>
      </c>
      <c r="AA85" s="73" t="s">
        <v>94</v>
      </c>
      <c r="AB85" s="73" t="s">
        <v>11</v>
      </c>
      <c r="AC85" s="73">
        <v>2.4</v>
      </c>
      <c r="AD85" s="82"/>
      <c r="AG85" s="83"/>
      <c r="AL85" s="82"/>
      <c r="AO85" s="83"/>
      <c r="AP85" s="82"/>
      <c r="AS85" s="83"/>
      <c r="AW85" s="83"/>
      <c r="BA85" s="84"/>
    </row>
    <row r="86" spans="1:53" s="73" customFormat="1">
      <c r="A86" s="73">
        <v>1998</v>
      </c>
      <c r="C86" s="988" t="s">
        <v>767</v>
      </c>
      <c r="D86" s="988"/>
      <c r="E86" s="73">
        <f>365-E85</f>
        <v>365</v>
      </c>
      <c r="G86" s="74">
        <v>15</v>
      </c>
      <c r="H86" s="176"/>
      <c r="I86" s="75"/>
      <c r="J86" s="76">
        <v>15</v>
      </c>
      <c r="K86" s="77">
        <f t="shared" si="7"/>
        <v>100</v>
      </c>
      <c r="L86" s="77">
        <f t="shared" si="4"/>
        <v>0</v>
      </c>
      <c r="M86" s="77">
        <f t="shared" si="4"/>
        <v>0</v>
      </c>
      <c r="N86" s="78">
        <f t="shared" si="8"/>
        <v>100</v>
      </c>
      <c r="O86" s="79">
        <v>48.8</v>
      </c>
      <c r="P86" s="77"/>
      <c r="Q86" s="77"/>
      <c r="R86" s="80">
        <f t="shared" si="9"/>
        <v>48.8</v>
      </c>
      <c r="S86" s="73">
        <v>5</v>
      </c>
      <c r="T86" s="81"/>
      <c r="V86" s="82" t="s">
        <v>563</v>
      </c>
      <c r="W86" s="73" t="s">
        <v>22</v>
      </c>
      <c r="X86" s="73" t="s">
        <v>11</v>
      </c>
      <c r="Y86" s="83">
        <v>46.4</v>
      </c>
      <c r="Z86" s="73" t="s">
        <v>565</v>
      </c>
      <c r="AA86" s="73" t="s">
        <v>94</v>
      </c>
      <c r="AB86" s="73" t="s">
        <v>11</v>
      </c>
      <c r="AC86" s="73">
        <v>2.4</v>
      </c>
      <c r="AD86" s="82"/>
      <c r="AG86" s="83"/>
      <c r="AL86" s="82"/>
      <c r="AO86" s="83"/>
      <c r="AP86" s="82"/>
      <c r="AS86" s="83"/>
      <c r="AW86" s="83"/>
      <c r="BA86" s="84"/>
    </row>
    <row r="87" spans="1:53" s="73" customFormat="1">
      <c r="A87" s="73">
        <v>1999</v>
      </c>
      <c r="C87" s="988" t="s">
        <v>767</v>
      </c>
      <c r="D87" s="988"/>
      <c r="E87" s="73">
        <v>0</v>
      </c>
      <c r="G87" s="74">
        <v>15</v>
      </c>
      <c r="H87" s="176"/>
      <c r="I87" s="75"/>
      <c r="J87" s="76">
        <v>15</v>
      </c>
      <c r="K87" s="77">
        <f t="shared" si="7"/>
        <v>100</v>
      </c>
      <c r="L87" s="77">
        <f t="shared" si="4"/>
        <v>0</v>
      </c>
      <c r="M87" s="77">
        <f t="shared" si="4"/>
        <v>0</v>
      </c>
      <c r="N87" s="78">
        <f t="shared" si="8"/>
        <v>100</v>
      </c>
      <c r="O87" s="79">
        <v>48.8</v>
      </c>
      <c r="P87" s="77"/>
      <c r="Q87" s="77"/>
      <c r="R87" s="80">
        <f t="shared" si="9"/>
        <v>48.8</v>
      </c>
      <c r="S87" s="73">
        <v>5</v>
      </c>
      <c r="T87" s="81"/>
      <c r="V87" s="82" t="s">
        <v>563</v>
      </c>
      <c r="W87" s="73" t="s">
        <v>22</v>
      </c>
      <c r="X87" s="73" t="s">
        <v>11</v>
      </c>
      <c r="Y87" s="83">
        <v>46.4</v>
      </c>
      <c r="Z87" s="73" t="s">
        <v>565</v>
      </c>
      <c r="AA87" s="73" t="s">
        <v>94</v>
      </c>
      <c r="AB87" s="73" t="s">
        <v>11</v>
      </c>
      <c r="AC87" s="73">
        <v>2.4</v>
      </c>
      <c r="AD87" s="82"/>
      <c r="AG87" s="83"/>
      <c r="AL87" s="82"/>
      <c r="AO87" s="83"/>
      <c r="AP87" s="82"/>
      <c r="AS87" s="83"/>
      <c r="AW87" s="83"/>
      <c r="BA87" s="84"/>
    </row>
    <row r="88" spans="1:53" s="73" customFormat="1">
      <c r="A88" s="73">
        <v>1999</v>
      </c>
      <c r="C88" s="988" t="s">
        <v>767</v>
      </c>
      <c r="D88" s="988"/>
      <c r="E88" s="73">
        <f>365-E87</f>
        <v>365</v>
      </c>
      <c r="G88" s="74">
        <v>15</v>
      </c>
      <c r="H88" s="176"/>
      <c r="I88" s="75"/>
      <c r="J88" s="76">
        <v>15</v>
      </c>
      <c r="K88" s="77">
        <f t="shared" si="7"/>
        <v>100</v>
      </c>
      <c r="L88" s="77">
        <f t="shared" si="4"/>
        <v>0</v>
      </c>
      <c r="M88" s="77">
        <f t="shared" si="4"/>
        <v>0</v>
      </c>
      <c r="N88" s="78">
        <f t="shared" si="8"/>
        <v>100</v>
      </c>
      <c r="O88" s="79">
        <v>48.8</v>
      </c>
      <c r="P88" s="77"/>
      <c r="Q88" s="77"/>
      <c r="R88" s="80">
        <f t="shared" si="9"/>
        <v>48.8</v>
      </c>
      <c r="S88" s="73">
        <v>5</v>
      </c>
      <c r="T88" s="81"/>
      <c r="V88" s="82" t="s">
        <v>563</v>
      </c>
      <c r="W88" s="73" t="s">
        <v>22</v>
      </c>
      <c r="X88" s="73" t="s">
        <v>11</v>
      </c>
      <c r="Y88" s="83">
        <v>46.4</v>
      </c>
      <c r="Z88" s="73" t="s">
        <v>565</v>
      </c>
      <c r="AA88" s="73" t="s">
        <v>94</v>
      </c>
      <c r="AB88" s="73" t="s">
        <v>11</v>
      </c>
      <c r="AC88" s="73">
        <v>2.4</v>
      </c>
      <c r="AD88" s="82"/>
      <c r="AG88" s="83"/>
      <c r="AL88" s="82"/>
      <c r="AO88" s="83"/>
      <c r="AP88" s="82"/>
      <c r="AS88" s="83"/>
      <c r="AW88" s="83"/>
      <c r="BA88" s="84"/>
    </row>
    <row r="89" spans="1:53" s="73" customFormat="1">
      <c r="A89" s="73">
        <v>2000</v>
      </c>
      <c r="C89" s="988" t="s">
        <v>767</v>
      </c>
      <c r="D89" s="988"/>
      <c r="E89" s="73">
        <v>0</v>
      </c>
      <c r="G89" s="74">
        <v>15</v>
      </c>
      <c r="H89" s="176"/>
      <c r="I89" s="75"/>
      <c r="J89" s="76">
        <v>15</v>
      </c>
      <c r="K89" s="77">
        <f t="shared" si="7"/>
        <v>100</v>
      </c>
      <c r="L89" s="77">
        <f t="shared" si="4"/>
        <v>0</v>
      </c>
      <c r="M89" s="77">
        <f t="shared" si="4"/>
        <v>0</v>
      </c>
      <c r="N89" s="78">
        <f t="shared" si="8"/>
        <v>100</v>
      </c>
      <c r="O89" s="79">
        <v>48.8</v>
      </c>
      <c r="P89" s="77"/>
      <c r="Q89" s="77"/>
      <c r="R89" s="80">
        <f t="shared" si="9"/>
        <v>48.8</v>
      </c>
      <c r="S89" s="73">
        <v>5</v>
      </c>
      <c r="T89" s="81"/>
      <c r="V89" s="82" t="s">
        <v>563</v>
      </c>
      <c r="W89" s="73" t="s">
        <v>22</v>
      </c>
      <c r="X89" s="73" t="s">
        <v>11</v>
      </c>
      <c r="Y89" s="83">
        <v>46.4</v>
      </c>
      <c r="Z89" s="73" t="s">
        <v>565</v>
      </c>
      <c r="AA89" s="73" t="s">
        <v>94</v>
      </c>
      <c r="AB89" s="73" t="s">
        <v>11</v>
      </c>
      <c r="AC89" s="73">
        <v>2.4</v>
      </c>
      <c r="AD89" s="82"/>
      <c r="AG89" s="83"/>
      <c r="AL89" s="82"/>
      <c r="AO89" s="83"/>
      <c r="AP89" s="82"/>
      <c r="AS89" s="83"/>
      <c r="AW89" s="83"/>
      <c r="BA89" s="84"/>
    </row>
    <row r="90" spans="1:53" s="73" customFormat="1">
      <c r="A90" s="73">
        <v>2000</v>
      </c>
      <c r="C90" s="988" t="s">
        <v>767</v>
      </c>
      <c r="D90" s="988"/>
      <c r="E90" s="73">
        <v>366</v>
      </c>
      <c r="G90" s="74">
        <v>15</v>
      </c>
      <c r="H90" s="176"/>
      <c r="I90" s="75"/>
      <c r="J90" s="76">
        <v>15</v>
      </c>
      <c r="K90" s="77">
        <f t="shared" si="7"/>
        <v>100</v>
      </c>
      <c r="L90" s="77">
        <f t="shared" si="4"/>
        <v>0</v>
      </c>
      <c r="M90" s="77">
        <f t="shared" si="4"/>
        <v>0</v>
      </c>
      <c r="N90" s="78">
        <f t="shared" si="8"/>
        <v>100</v>
      </c>
      <c r="O90" s="79">
        <v>48.8</v>
      </c>
      <c r="P90" s="77"/>
      <c r="Q90" s="77"/>
      <c r="R90" s="80">
        <f t="shared" si="9"/>
        <v>48.8</v>
      </c>
      <c r="S90" s="73">
        <v>5</v>
      </c>
      <c r="T90" s="81"/>
      <c r="V90" s="82" t="s">
        <v>563</v>
      </c>
      <c r="W90" s="73" t="s">
        <v>22</v>
      </c>
      <c r="X90" s="73" t="s">
        <v>11</v>
      </c>
      <c r="Y90" s="83">
        <v>46.4</v>
      </c>
      <c r="Z90" s="73" t="s">
        <v>565</v>
      </c>
      <c r="AA90" s="73" t="s">
        <v>94</v>
      </c>
      <c r="AB90" s="73" t="s">
        <v>11</v>
      </c>
      <c r="AC90" s="73">
        <v>2.4</v>
      </c>
      <c r="AD90" s="82"/>
      <c r="AG90" s="83"/>
      <c r="AL90" s="82"/>
      <c r="AO90" s="83"/>
      <c r="AP90" s="82"/>
      <c r="AS90" s="83"/>
      <c r="AW90" s="83"/>
      <c r="BA90" s="84"/>
    </row>
    <row r="91" spans="1:53" s="73" customFormat="1">
      <c r="A91" s="73">
        <v>2001</v>
      </c>
      <c r="C91" s="988" t="s">
        <v>767</v>
      </c>
      <c r="D91" s="988"/>
      <c r="E91" s="73">
        <v>0</v>
      </c>
      <c r="G91" s="74">
        <v>15</v>
      </c>
      <c r="H91" s="176"/>
      <c r="I91" s="75"/>
      <c r="J91" s="76">
        <v>15</v>
      </c>
      <c r="K91" s="77">
        <f t="shared" si="7"/>
        <v>100</v>
      </c>
      <c r="L91" s="77">
        <f t="shared" si="4"/>
        <v>0</v>
      </c>
      <c r="M91" s="77">
        <f t="shared" si="4"/>
        <v>0</v>
      </c>
      <c r="N91" s="78">
        <f t="shared" si="8"/>
        <v>100</v>
      </c>
      <c r="O91" s="79">
        <v>48.8</v>
      </c>
      <c r="P91" s="77"/>
      <c r="Q91" s="77"/>
      <c r="R91" s="80">
        <f t="shared" si="9"/>
        <v>48.8</v>
      </c>
      <c r="S91" s="73">
        <v>5</v>
      </c>
      <c r="T91" s="81"/>
      <c r="V91" s="82" t="s">
        <v>563</v>
      </c>
      <c r="W91" s="73" t="s">
        <v>22</v>
      </c>
      <c r="X91" s="73" t="s">
        <v>11</v>
      </c>
      <c r="Y91" s="83">
        <v>46.4</v>
      </c>
      <c r="Z91" s="73" t="s">
        <v>565</v>
      </c>
      <c r="AA91" s="73" t="s">
        <v>94</v>
      </c>
      <c r="AB91" s="73" t="s">
        <v>11</v>
      </c>
      <c r="AC91" s="73">
        <v>2.4</v>
      </c>
      <c r="AD91" s="82"/>
      <c r="AG91" s="83"/>
      <c r="AL91" s="82"/>
      <c r="AO91" s="83"/>
      <c r="AP91" s="82"/>
      <c r="AS91" s="83"/>
      <c r="AW91" s="83"/>
      <c r="BA91" s="84"/>
    </row>
    <row r="92" spans="1:53" s="73" customFormat="1">
      <c r="A92" s="73">
        <v>2001</v>
      </c>
      <c r="C92" s="988" t="s">
        <v>767</v>
      </c>
      <c r="D92" s="988"/>
      <c r="E92" s="73">
        <f>365-E91</f>
        <v>365</v>
      </c>
      <c r="G92" s="74">
        <v>15</v>
      </c>
      <c r="H92" s="176"/>
      <c r="I92" s="75"/>
      <c r="J92" s="76">
        <v>15</v>
      </c>
      <c r="K92" s="77">
        <f t="shared" si="7"/>
        <v>100</v>
      </c>
      <c r="L92" s="77">
        <f t="shared" si="4"/>
        <v>0</v>
      </c>
      <c r="M92" s="77">
        <f t="shared" si="4"/>
        <v>0</v>
      </c>
      <c r="N92" s="78">
        <f t="shared" si="8"/>
        <v>100</v>
      </c>
      <c r="O92" s="79">
        <v>48.8</v>
      </c>
      <c r="P92" s="77"/>
      <c r="Q92" s="77"/>
      <c r="R92" s="80">
        <f t="shared" si="9"/>
        <v>48.8</v>
      </c>
      <c r="S92" s="73">
        <v>5</v>
      </c>
      <c r="T92" s="81"/>
      <c r="V92" s="82" t="s">
        <v>563</v>
      </c>
      <c r="W92" s="73" t="s">
        <v>22</v>
      </c>
      <c r="X92" s="73" t="s">
        <v>11</v>
      </c>
      <c r="Y92" s="83">
        <v>46.4</v>
      </c>
      <c r="Z92" s="73" t="s">
        <v>565</v>
      </c>
      <c r="AA92" s="73" t="s">
        <v>94</v>
      </c>
      <c r="AB92" s="73" t="s">
        <v>11</v>
      </c>
      <c r="AC92" s="73">
        <v>2.4</v>
      </c>
      <c r="AD92" s="82"/>
      <c r="AG92" s="83"/>
      <c r="AL92" s="82"/>
      <c r="AO92" s="83"/>
      <c r="AP92" s="82"/>
      <c r="AS92" s="83"/>
      <c r="AW92" s="83"/>
      <c r="BA92" s="84"/>
    </row>
    <row r="93" spans="1:53" s="73" customFormat="1">
      <c r="A93" s="73">
        <v>2002</v>
      </c>
      <c r="C93" s="988" t="s">
        <v>767</v>
      </c>
      <c r="D93" s="988"/>
      <c r="E93" s="73">
        <v>156</v>
      </c>
      <c r="G93" s="74">
        <v>15</v>
      </c>
      <c r="H93" s="176"/>
      <c r="I93" s="75"/>
      <c r="J93" s="76">
        <v>15</v>
      </c>
      <c r="K93" s="77">
        <f>G93/$J93*100</f>
        <v>100</v>
      </c>
      <c r="L93" s="77">
        <f t="shared" si="4"/>
        <v>0</v>
      </c>
      <c r="M93" s="77">
        <f t="shared" si="4"/>
        <v>0</v>
      </c>
      <c r="N93" s="78">
        <f>K93+L93+M93</f>
        <v>100</v>
      </c>
      <c r="O93" s="79">
        <v>48.8</v>
      </c>
      <c r="P93" s="77"/>
      <c r="Q93" s="77"/>
      <c r="R93" s="80">
        <f t="shared" si="9"/>
        <v>48.8</v>
      </c>
      <c r="S93" s="73">
        <v>5</v>
      </c>
      <c r="T93" s="81"/>
      <c r="V93" s="82" t="s">
        <v>563</v>
      </c>
      <c r="W93" s="73" t="s">
        <v>22</v>
      </c>
      <c r="X93" s="73" t="s">
        <v>11</v>
      </c>
      <c r="Y93" s="83">
        <v>46.4</v>
      </c>
      <c r="Z93" s="73" t="s">
        <v>565</v>
      </c>
      <c r="AA93" s="73" t="s">
        <v>94</v>
      </c>
      <c r="AB93" s="73" t="s">
        <v>11</v>
      </c>
      <c r="AC93" s="73">
        <v>2.4</v>
      </c>
      <c r="AD93" s="82"/>
      <c r="AG93" s="83"/>
      <c r="AL93" s="82"/>
      <c r="AO93" s="83"/>
      <c r="AP93" s="82"/>
      <c r="AS93" s="83"/>
      <c r="AW93" s="83"/>
      <c r="BA93" s="84"/>
    </row>
    <row r="94" spans="1:53" s="334" customFormat="1">
      <c r="A94" s="334">
        <v>2002</v>
      </c>
      <c r="B94" s="355">
        <v>37413</v>
      </c>
      <c r="C94" s="992" t="s">
        <v>768</v>
      </c>
      <c r="D94" s="992"/>
      <c r="E94" s="334">
        <f>365-E93</f>
        <v>209</v>
      </c>
      <c r="F94" s="334">
        <v>1</v>
      </c>
      <c r="G94" s="336">
        <v>15</v>
      </c>
      <c r="H94" s="454"/>
      <c r="I94" s="200"/>
      <c r="J94" s="337">
        <v>15</v>
      </c>
      <c r="K94" s="338">
        <f t="shared" ref="K94:M119" si="10">G94/$J94*100</f>
        <v>100</v>
      </c>
      <c r="L94" s="338">
        <f t="shared" si="4"/>
        <v>0</v>
      </c>
      <c r="M94" s="338">
        <f t="shared" si="4"/>
        <v>0</v>
      </c>
      <c r="N94" s="339">
        <f t="shared" ref="N94:N119" si="11">K94+L94+M94</f>
        <v>100</v>
      </c>
      <c r="O94" s="340">
        <v>53.6</v>
      </c>
      <c r="P94" s="338"/>
      <c r="Q94" s="338"/>
      <c r="R94" s="341">
        <f t="shared" si="9"/>
        <v>53.6</v>
      </c>
      <c r="S94" s="334">
        <v>2</v>
      </c>
      <c r="T94" s="342">
        <v>37393</v>
      </c>
      <c r="U94" s="355">
        <v>37413</v>
      </c>
      <c r="V94" s="343" t="s">
        <v>563</v>
      </c>
      <c r="W94" s="334" t="s">
        <v>22</v>
      </c>
      <c r="X94" s="334" t="s">
        <v>11</v>
      </c>
      <c r="Y94" s="344">
        <v>48.8</v>
      </c>
      <c r="Z94" s="334" t="s">
        <v>565</v>
      </c>
      <c r="AA94" s="334" t="s">
        <v>94</v>
      </c>
      <c r="AB94" s="334" t="s">
        <v>11</v>
      </c>
      <c r="AC94" s="334">
        <v>4.8</v>
      </c>
      <c r="AD94" s="343"/>
      <c r="AG94" s="344"/>
      <c r="AL94" s="343"/>
      <c r="AO94" s="344"/>
      <c r="AP94" s="343"/>
      <c r="AS94" s="344"/>
      <c r="AW94" s="344"/>
      <c r="BA94" s="345"/>
    </row>
    <row r="95" spans="1:53" s="334" customFormat="1">
      <c r="A95" s="334">
        <v>2003</v>
      </c>
      <c r="C95" s="992" t="s">
        <v>768</v>
      </c>
      <c r="D95" s="992"/>
      <c r="E95" s="334">
        <v>0</v>
      </c>
      <c r="G95" s="336">
        <v>15</v>
      </c>
      <c r="H95" s="454"/>
      <c r="I95" s="200"/>
      <c r="J95" s="337">
        <v>15</v>
      </c>
      <c r="K95" s="338">
        <f t="shared" si="10"/>
        <v>100</v>
      </c>
      <c r="L95" s="338">
        <f t="shared" si="4"/>
        <v>0</v>
      </c>
      <c r="M95" s="338">
        <f t="shared" si="4"/>
        <v>0</v>
      </c>
      <c r="N95" s="339">
        <f t="shared" si="11"/>
        <v>100</v>
      </c>
      <c r="O95" s="340">
        <v>53.6</v>
      </c>
      <c r="P95" s="338"/>
      <c r="Q95" s="338"/>
      <c r="R95" s="341">
        <f t="shared" si="9"/>
        <v>53.6</v>
      </c>
      <c r="S95" s="334">
        <v>2</v>
      </c>
      <c r="T95" s="357"/>
      <c r="V95" s="343" t="s">
        <v>563</v>
      </c>
      <c r="W95" s="334" t="s">
        <v>22</v>
      </c>
      <c r="X95" s="334" t="s">
        <v>11</v>
      </c>
      <c r="Y95" s="344">
        <v>48.8</v>
      </c>
      <c r="Z95" s="334" t="s">
        <v>565</v>
      </c>
      <c r="AA95" s="334" t="s">
        <v>94</v>
      </c>
      <c r="AB95" s="334" t="s">
        <v>11</v>
      </c>
      <c r="AC95" s="334">
        <v>4.8</v>
      </c>
      <c r="AD95" s="343"/>
      <c r="AG95" s="344"/>
      <c r="AL95" s="343"/>
      <c r="AO95" s="344"/>
      <c r="AP95" s="343"/>
      <c r="AS95" s="344"/>
      <c r="AW95" s="344"/>
      <c r="BA95" s="345"/>
    </row>
    <row r="96" spans="1:53" s="334" customFormat="1">
      <c r="A96" s="334">
        <v>2003</v>
      </c>
      <c r="C96" s="992" t="s">
        <v>768</v>
      </c>
      <c r="D96" s="992"/>
      <c r="E96" s="334">
        <f>365-E95</f>
        <v>365</v>
      </c>
      <c r="G96" s="336">
        <v>15</v>
      </c>
      <c r="H96" s="454"/>
      <c r="I96" s="200"/>
      <c r="J96" s="337">
        <v>15</v>
      </c>
      <c r="K96" s="338">
        <f t="shared" si="10"/>
        <v>100</v>
      </c>
      <c r="L96" s="338">
        <f t="shared" si="4"/>
        <v>0</v>
      </c>
      <c r="M96" s="338">
        <f t="shared" si="4"/>
        <v>0</v>
      </c>
      <c r="N96" s="339">
        <f t="shared" si="11"/>
        <v>100</v>
      </c>
      <c r="O96" s="340">
        <v>53.6</v>
      </c>
      <c r="P96" s="338"/>
      <c r="Q96" s="338"/>
      <c r="R96" s="341">
        <f t="shared" si="9"/>
        <v>53.6</v>
      </c>
      <c r="S96" s="334">
        <v>2</v>
      </c>
      <c r="T96" s="357"/>
      <c r="V96" s="343" t="s">
        <v>563</v>
      </c>
      <c r="W96" s="334" t="s">
        <v>22</v>
      </c>
      <c r="X96" s="334" t="s">
        <v>11</v>
      </c>
      <c r="Y96" s="344">
        <v>48.8</v>
      </c>
      <c r="Z96" s="334" t="s">
        <v>565</v>
      </c>
      <c r="AA96" s="334" t="s">
        <v>94</v>
      </c>
      <c r="AB96" s="334" t="s">
        <v>11</v>
      </c>
      <c r="AC96" s="334">
        <v>4.8</v>
      </c>
      <c r="AD96" s="343"/>
      <c r="AG96" s="344"/>
      <c r="AL96" s="343"/>
      <c r="AO96" s="344"/>
      <c r="AP96" s="343"/>
      <c r="AS96" s="344"/>
      <c r="AW96" s="344"/>
      <c r="BA96" s="345"/>
    </row>
    <row r="97" spans="1:53" s="334" customFormat="1">
      <c r="A97" s="334">
        <v>2004</v>
      </c>
      <c r="C97" s="992" t="s">
        <v>768</v>
      </c>
      <c r="D97" s="992"/>
      <c r="E97" s="334">
        <v>0</v>
      </c>
      <c r="G97" s="336">
        <v>15</v>
      </c>
      <c r="H97" s="454"/>
      <c r="I97" s="200"/>
      <c r="J97" s="337">
        <v>15</v>
      </c>
      <c r="K97" s="338">
        <f t="shared" si="10"/>
        <v>100</v>
      </c>
      <c r="L97" s="338">
        <f t="shared" si="4"/>
        <v>0</v>
      </c>
      <c r="M97" s="338">
        <f t="shared" si="4"/>
        <v>0</v>
      </c>
      <c r="N97" s="339">
        <f t="shared" si="11"/>
        <v>100</v>
      </c>
      <c r="O97" s="340">
        <v>53.6</v>
      </c>
      <c r="P97" s="338"/>
      <c r="Q97" s="338"/>
      <c r="R97" s="341">
        <f t="shared" si="9"/>
        <v>53.6</v>
      </c>
      <c r="S97" s="334">
        <v>2</v>
      </c>
      <c r="T97" s="357"/>
      <c r="V97" s="343" t="s">
        <v>563</v>
      </c>
      <c r="W97" s="334" t="s">
        <v>22</v>
      </c>
      <c r="X97" s="334" t="s">
        <v>11</v>
      </c>
      <c r="Y97" s="344">
        <v>48.8</v>
      </c>
      <c r="Z97" s="334" t="s">
        <v>565</v>
      </c>
      <c r="AA97" s="334" t="s">
        <v>94</v>
      </c>
      <c r="AB97" s="334" t="s">
        <v>11</v>
      </c>
      <c r="AC97" s="334">
        <v>4.8</v>
      </c>
      <c r="AD97" s="343"/>
      <c r="AG97" s="344"/>
      <c r="AL97" s="343"/>
      <c r="AO97" s="344"/>
      <c r="AP97" s="343"/>
      <c r="AS97" s="344"/>
      <c r="AW97" s="344"/>
      <c r="BA97" s="345"/>
    </row>
    <row r="98" spans="1:53" s="334" customFormat="1">
      <c r="A98" s="334">
        <v>2004</v>
      </c>
      <c r="C98" s="992" t="s">
        <v>768</v>
      </c>
      <c r="D98" s="992"/>
      <c r="E98" s="334">
        <v>366</v>
      </c>
      <c r="G98" s="336">
        <v>15</v>
      </c>
      <c r="H98" s="454"/>
      <c r="I98" s="200"/>
      <c r="J98" s="337">
        <v>15</v>
      </c>
      <c r="K98" s="338">
        <f t="shared" si="10"/>
        <v>100</v>
      </c>
      <c r="L98" s="338">
        <f t="shared" si="4"/>
        <v>0</v>
      </c>
      <c r="M98" s="338">
        <f t="shared" si="4"/>
        <v>0</v>
      </c>
      <c r="N98" s="339">
        <f t="shared" si="11"/>
        <v>100</v>
      </c>
      <c r="O98" s="340">
        <v>53.6</v>
      </c>
      <c r="P98" s="338"/>
      <c r="Q98" s="338"/>
      <c r="R98" s="341">
        <f t="shared" si="9"/>
        <v>53.6</v>
      </c>
      <c r="S98" s="334">
        <v>2</v>
      </c>
      <c r="T98" s="357"/>
      <c r="V98" s="343" t="s">
        <v>563</v>
      </c>
      <c r="W98" s="334" t="s">
        <v>22</v>
      </c>
      <c r="X98" s="334" t="s">
        <v>11</v>
      </c>
      <c r="Y98" s="344">
        <v>48.8</v>
      </c>
      <c r="Z98" s="334" t="s">
        <v>565</v>
      </c>
      <c r="AA98" s="334" t="s">
        <v>94</v>
      </c>
      <c r="AB98" s="334" t="s">
        <v>11</v>
      </c>
      <c r="AC98" s="334">
        <v>4.8</v>
      </c>
      <c r="AD98" s="343"/>
      <c r="AG98" s="344"/>
      <c r="AL98" s="343"/>
      <c r="AO98" s="344"/>
      <c r="AP98" s="343"/>
      <c r="AS98" s="344"/>
      <c r="AW98" s="344"/>
      <c r="BA98" s="345"/>
    </row>
    <row r="99" spans="1:53" s="334" customFormat="1">
      <c r="A99" s="334">
        <v>2005</v>
      </c>
      <c r="C99" s="992" t="s">
        <v>768</v>
      </c>
      <c r="D99" s="992"/>
      <c r="E99" s="334">
        <v>0</v>
      </c>
      <c r="G99" s="336">
        <v>15</v>
      </c>
      <c r="H99" s="454"/>
      <c r="I99" s="200"/>
      <c r="J99" s="337">
        <v>15</v>
      </c>
      <c r="K99" s="338">
        <f t="shared" si="10"/>
        <v>100</v>
      </c>
      <c r="L99" s="338">
        <f t="shared" si="4"/>
        <v>0</v>
      </c>
      <c r="M99" s="338">
        <f t="shared" si="4"/>
        <v>0</v>
      </c>
      <c r="N99" s="339">
        <f t="shared" si="11"/>
        <v>100</v>
      </c>
      <c r="O99" s="340">
        <v>53.6</v>
      </c>
      <c r="P99" s="338"/>
      <c r="Q99" s="338"/>
      <c r="R99" s="341">
        <f t="shared" si="9"/>
        <v>53.6</v>
      </c>
      <c r="S99" s="334">
        <v>2</v>
      </c>
      <c r="T99" s="357"/>
      <c r="V99" s="343" t="s">
        <v>563</v>
      </c>
      <c r="W99" s="334" t="s">
        <v>22</v>
      </c>
      <c r="X99" s="334" t="s">
        <v>11</v>
      </c>
      <c r="Y99" s="344">
        <v>48.8</v>
      </c>
      <c r="Z99" s="334" t="s">
        <v>565</v>
      </c>
      <c r="AA99" s="334" t="s">
        <v>94</v>
      </c>
      <c r="AB99" s="334" t="s">
        <v>11</v>
      </c>
      <c r="AC99" s="334">
        <v>4.8</v>
      </c>
      <c r="AD99" s="343"/>
      <c r="AG99" s="344"/>
      <c r="AL99" s="343"/>
      <c r="AO99" s="344"/>
      <c r="AP99" s="343"/>
      <c r="AS99" s="344"/>
      <c r="AW99" s="344"/>
      <c r="BA99" s="345"/>
    </row>
    <row r="100" spans="1:53" s="334" customFormat="1">
      <c r="A100" s="334">
        <v>2005</v>
      </c>
      <c r="C100" s="992" t="s">
        <v>768</v>
      </c>
      <c r="D100" s="992"/>
      <c r="E100" s="334">
        <f>365-E99</f>
        <v>365</v>
      </c>
      <c r="G100" s="336">
        <v>15</v>
      </c>
      <c r="H100" s="454"/>
      <c r="I100" s="200"/>
      <c r="J100" s="337">
        <v>15</v>
      </c>
      <c r="K100" s="338">
        <f t="shared" si="10"/>
        <v>100</v>
      </c>
      <c r="L100" s="338">
        <f t="shared" si="4"/>
        <v>0</v>
      </c>
      <c r="M100" s="338">
        <f t="shared" si="4"/>
        <v>0</v>
      </c>
      <c r="N100" s="339">
        <f t="shared" si="11"/>
        <v>100</v>
      </c>
      <c r="O100" s="340">
        <v>53.6</v>
      </c>
      <c r="P100" s="338"/>
      <c r="Q100" s="338"/>
      <c r="R100" s="341">
        <f t="shared" si="9"/>
        <v>53.6</v>
      </c>
      <c r="S100" s="334">
        <v>2</v>
      </c>
      <c r="T100" s="357"/>
      <c r="V100" s="343" t="s">
        <v>563</v>
      </c>
      <c r="W100" s="334" t="s">
        <v>22</v>
      </c>
      <c r="X100" s="334" t="s">
        <v>11</v>
      </c>
      <c r="Y100" s="344">
        <v>48.8</v>
      </c>
      <c r="Z100" s="334" t="s">
        <v>565</v>
      </c>
      <c r="AA100" s="334" t="s">
        <v>94</v>
      </c>
      <c r="AB100" s="334" t="s">
        <v>11</v>
      </c>
      <c r="AC100" s="334">
        <v>4.8</v>
      </c>
      <c r="AD100" s="343"/>
      <c r="AG100" s="344"/>
      <c r="AL100" s="343"/>
      <c r="AO100" s="344"/>
      <c r="AP100" s="343"/>
      <c r="AS100" s="344"/>
      <c r="AW100" s="344"/>
      <c r="BA100" s="345"/>
    </row>
    <row r="101" spans="1:53" s="334" customFormat="1">
      <c r="A101" s="334">
        <v>2006</v>
      </c>
      <c r="C101" s="992" t="s">
        <v>768</v>
      </c>
      <c r="D101" s="992"/>
      <c r="E101" s="334">
        <v>0</v>
      </c>
      <c r="G101" s="336">
        <v>15</v>
      </c>
      <c r="H101" s="454"/>
      <c r="I101" s="200"/>
      <c r="J101" s="337">
        <v>15</v>
      </c>
      <c r="K101" s="338">
        <f t="shared" si="10"/>
        <v>100</v>
      </c>
      <c r="L101" s="338">
        <f t="shared" si="4"/>
        <v>0</v>
      </c>
      <c r="M101" s="338">
        <f t="shared" si="4"/>
        <v>0</v>
      </c>
      <c r="N101" s="339">
        <f t="shared" si="11"/>
        <v>100</v>
      </c>
      <c r="O101" s="340">
        <v>53.6</v>
      </c>
      <c r="P101" s="338"/>
      <c r="Q101" s="338"/>
      <c r="R101" s="341">
        <f t="shared" si="9"/>
        <v>53.6</v>
      </c>
      <c r="S101" s="334">
        <v>2</v>
      </c>
      <c r="T101" s="357"/>
      <c r="V101" s="343" t="s">
        <v>563</v>
      </c>
      <c r="W101" s="334" t="s">
        <v>22</v>
      </c>
      <c r="X101" s="334" t="s">
        <v>11</v>
      </c>
      <c r="Y101" s="344">
        <v>48.8</v>
      </c>
      <c r="Z101" s="334" t="s">
        <v>565</v>
      </c>
      <c r="AA101" s="334" t="s">
        <v>94</v>
      </c>
      <c r="AB101" s="334" t="s">
        <v>11</v>
      </c>
      <c r="AC101" s="334">
        <v>4.8</v>
      </c>
      <c r="AD101" s="343"/>
      <c r="AG101" s="344"/>
      <c r="AL101" s="343"/>
      <c r="AO101" s="344"/>
      <c r="AP101" s="343"/>
      <c r="AS101" s="344"/>
      <c r="AW101" s="344"/>
      <c r="BA101" s="345"/>
    </row>
    <row r="102" spans="1:53" s="334" customFormat="1">
      <c r="A102" s="334">
        <v>2006</v>
      </c>
      <c r="C102" s="992" t="s">
        <v>768</v>
      </c>
      <c r="D102" s="992"/>
      <c r="E102" s="334">
        <f>365-E101</f>
        <v>365</v>
      </c>
      <c r="G102" s="336">
        <v>15</v>
      </c>
      <c r="H102" s="454"/>
      <c r="I102" s="200"/>
      <c r="J102" s="337">
        <v>15</v>
      </c>
      <c r="K102" s="338">
        <f t="shared" si="10"/>
        <v>100</v>
      </c>
      <c r="L102" s="338">
        <f t="shared" si="4"/>
        <v>0</v>
      </c>
      <c r="M102" s="338">
        <f t="shared" si="4"/>
        <v>0</v>
      </c>
      <c r="N102" s="339">
        <f t="shared" si="11"/>
        <v>100</v>
      </c>
      <c r="O102" s="340">
        <v>53.6</v>
      </c>
      <c r="P102" s="338"/>
      <c r="Q102" s="338"/>
      <c r="R102" s="341">
        <f t="shared" si="9"/>
        <v>53.6</v>
      </c>
      <c r="S102" s="334">
        <v>2</v>
      </c>
      <c r="T102" s="357"/>
      <c r="V102" s="343" t="s">
        <v>563</v>
      </c>
      <c r="W102" s="334" t="s">
        <v>22</v>
      </c>
      <c r="X102" s="334" t="s">
        <v>11</v>
      </c>
      <c r="Y102" s="344">
        <v>48.8</v>
      </c>
      <c r="Z102" s="334" t="s">
        <v>565</v>
      </c>
      <c r="AA102" s="334" t="s">
        <v>94</v>
      </c>
      <c r="AB102" s="334" t="s">
        <v>11</v>
      </c>
      <c r="AC102" s="334">
        <v>4.8</v>
      </c>
      <c r="AD102" s="343"/>
      <c r="AG102" s="344"/>
      <c r="AL102" s="343"/>
      <c r="AO102" s="344"/>
      <c r="AP102" s="343"/>
      <c r="AS102" s="344"/>
      <c r="AW102" s="344"/>
      <c r="BA102" s="345"/>
    </row>
    <row r="103" spans="1:53" s="334" customFormat="1">
      <c r="A103" s="334">
        <v>2007</v>
      </c>
      <c r="C103" s="992" t="s">
        <v>768</v>
      </c>
      <c r="D103" s="992"/>
      <c r="E103" s="334">
        <v>164</v>
      </c>
      <c r="G103" s="336">
        <v>15</v>
      </c>
      <c r="H103" s="454"/>
      <c r="I103" s="200"/>
      <c r="J103" s="337">
        <v>15</v>
      </c>
      <c r="K103" s="338">
        <f t="shared" si="10"/>
        <v>100</v>
      </c>
      <c r="L103" s="338">
        <f t="shared" si="4"/>
        <v>0</v>
      </c>
      <c r="M103" s="338">
        <f t="shared" si="4"/>
        <v>0</v>
      </c>
      <c r="N103" s="339">
        <f t="shared" si="11"/>
        <v>100</v>
      </c>
      <c r="O103" s="340">
        <v>53.6</v>
      </c>
      <c r="P103" s="338"/>
      <c r="Q103" s="338"/>
      <c r="R103" s="341">
        <f t="shared" si="9"/>
        <v>53.6</v>
      </c>
      <c r="S103" s="334">
        <v>2</v>
      </c>
      <c r="T103" s="357"/>
      <c r="V103" s="343" t="s">
        <v>563</v>
      </c>
      <c r="W103" s="334" t="s">
        <v>22</v>
      </c>
      <c r="X103" s="334" t="s">
        <v>11</v>
      </c>
      <c r="Y103" s="344">
        <v>48.8</v>
      </c>
      <c r="Z103" s="334" t="s">
        <v>565</v>
      </c>
      <c r="AA103" s="334" t="s">
        <v>94</v>
      </c>
      <c r="AB103" s="334" t="s">
        <v>11</v>
      </c>
      <c r="AC103" s="334">
        <v>4.8</v>
      </c>
      <c r="AD103" s="343"/>
      <c r="AG103" s="344"/>
      <c r="AL103" s="343"/>
      <c r="AO103" s="344"/>
      <c r="AP103" s="343"/>
      <c r="AS103" s="344"/>
      <c r="AW103" s="344"/>
      <c r="BA103" s="345"/>
    </row>
    <row r="104" spans="1:53" s="73" customFormat="1">
      <c r="A104" s="73">
        <v>2007</v>
      </c>
      <c r="B104" s="85">
        <v>39247</v>
      </c>
      <c r="C104" s="988" t="s">
        <v>769</v>
      </c>
      <c r="D104" s="988"/>
      <c r="E104" s="73">
        <v>201</v>
      </c>
      <c r="F104" s="73">
        <v>1</v>
      </c>
      <c r="G104" s="74">
        <v>13</v>
      </c>
      <c r="H104" s="176"/>
      <c r="I104" s="75">
        <v>2</v>
      </c>
      <c r="J104" s="76">
        <v>15</v>
      </c>
      <c r="K104" s="77">
        <f t="shared" si="10"/>
        <v>86.666666666666671</v>
      </c>
      <c r="L104" s="77">
        <f t="shared" si="4"/>
        <v>0</v>
      </c>
      <c r="M104" s="77">
        <f t="shared" si="4"/>
        <v>13.333333333333334</v>
      </c>
      <c r="N104" s="78">
        <f t="shared" si="11"/>
        <v>100</v>
      </c>
      <c r="O104" s="79">
        <v>48.2</v>
      </c>
      <c r="P104" s="77"/>
      <c r="Q104" s="77">
        <v>3.6</v>
      </c>
      <c r="R104" s="80">
        <f t="shared" si="9"/>
        <v>51.800000000000004</v>
      </c>
      <c r="S104" s="73">
        <v>3</v>
      </c>
      <c r="T104" s="95">
        <v>39226</v>
      </c>
      <c r="U104" s="85">
        <v>39247</v>
      </c>
      <c r="V104" s="82" t="s">
        <v>563</v>
      </c>
      <c r="W104" s="73" t="s">
        <v>22</v>
      </c>
      <c r="X104" s="73" t="s">
        <v>11</v>
      </c>
      <c r="Y104" s="83">
        <v>47</v>
      </c>
      <c r="Z104" s="73" t="s">
        <v>567</v>
      </c>
      <c r="AA104" s="73" t="s">
        <v>218</v>
      </c>
      <c r="AB104" s="73" t="s">
        <v>12</v>
      </c>
      <c r="AC104" s="73">
        <v>3.6</v>
      </c>
      <c r="AD104" s="82" t="s">
        <v>565</v>
      </c>
      <c r="AE104" s="73" t="s">
        <v>94</v>
      </c>
      <c r="AF104" s="73" t="s">
        <v>11</v>
      </c>
      <c r="AG104" s="83">
        <v>1.2</v>
      </c>
      <c r="AL104" s="82"/>
      <c r="AO104" s="83"/>
      <c r="AP104" s="82"/>
      <c r="AS104" s="83"/>
      <c r="AW104" s="83"/>
      <c r="BA104" s="84"/>
    </row>
    <row r="105" spans="1:53" s="73" customFormat="1">
      <c r="A105" s="73">
        <v>2008</v>
      </c>
      <c r="C105" s="988" t="s">
        <v>769</v>
      </c>
      <c r="D105" s="988"/>
      <c r="E105" s="73">
        <v>188</v>
      </c>
      <c r="G105" s="74">
        <v>13</v>
      </c>
      <c r="H105" s="176"/>
      <c r="I105" s="75">
        <v>2</v>
      </c>
      <c r="J105" s="76">
        <v>15</v>
      </c>
      <c r="K105" s="77">
        <f t="shared" si="10"/>
        <v>86.666666666666671</v>
      </c>
      <c r="L105" s="77">
        <f t="shared" si="4"/>
        <v>0</v>
      </c>
      <c r="M105" s="77">
        <f t="shared" si="4"/>
        <v>13.333333333333334</v>
      </c>
      <c r="N105" s="78">
        <f t="shared" si="11"/>
        <v>100</v>
      </c>
      <c r="O105" s="79">
        <v>48.2</v>
      </c>
      <c r="P105" s="77"/>
      <c r="Q105" s="77">
        <v>3.6</v>
      </c>
      <c r="R105" s="80">
        <f t="shared" si="9"/>
        <v>51.800000000000004</v>
      </c>
      <c r="S105" s="73">
        <v>3</v>
      </c>
      <c r="T105" s="81"/>
      <c r="V105" s="82" t="s">
        <v>563</v>
      </c>
      <c r="W105" s="73" t="s">
        <v>22</v>
      </c>
      <c r="X105" s="73" t="s">
        <v>11</v>
      </c>
      <c r="Y105" s="83">
        <v>47</v>
      </c>
      <c r="Z105" s="73" t="s">
        <v>567</v>
      </c>
      <c r="AA105" s="73" t="s">
        <v>218</v>
      </c>
      <c r="AB105" s="73" t="s">
        <v>12</v>
      </c>
      <c r="AC105" s="73">
        <v>3.6</v>
      </c>
      <c r="AD105" s="82" t="s">
        <v>565</v>
      </c>
      <c r="AE105" s="73" t="s">
        <v>94</v>
      </c>
      <c r="AF105" s="73" t="s">
        <v>11</v>
      </c>
      <c r="AG105" s="83">
        <v>1.2</v>
      </c>
      <c r="AL105" s="82"/>
      <c r="AO105" s="83"/>
      <c r="AP105" s="82"/>
      <c r="AS105" s="83"/>
      <c r="AW105" s="83"/>
      <c r="BA105" s="84"/>
    </row>
    <row r="106" spans="1:53" s="334" customFormat="1">
      <c r="A106" s="334">
        <v>2008</v>
      </c>
      <c r="B106" s="355">
        <v>39636</v>
      </c>
      <c r="C106" s="992" t="s">
        <v>298</v>
      </c>
      <c r="D106" s="992"/>
      <c r="E106" s="334">
        <f>366-E105</f>
        <v>178</v>
      </c>
      <c r="F106" s="334">
        <v>2</v>
      </c>
      <c r="G106" s="336">
        <v>13</v>
      </c>
      <c r="H106" s="454"/>
      <c r="I106" s="200">
        <v>2</v>
      </c>
      <c r="J106" s="337">
        <v>15</v>
      </c>
      <c r="K106" s="338">
        <f t="shared" si="10"/>
        <v>86.666666666666671</v>
      </c>
      <c r="L106" s="338">
        <f t="shared" si="4"/>
        <v>0</v>
      </c>
      <c r="M106" s="338">
        <f t="shared" si="4"/>
        <v>13.333333333333334</v>
      </c>
      <c r="N106" s="339">
        <f t="shared" si="11"/>
        <v>100</v>
      </c>
      <c r="O106" s="340">
        <v>48.2</v>
      </c>
      <c r="P106" s="338"/>
      <c r="Q106" s="338">
        <v>3.6</v>
      </c>
      <c r="R106" s="341">
        <f t="shared" si="9"/>
        <v>51.800000000000004</v>
      </c>
      <c r="S106" s="334">
        <v>3</v>
      </c>
      <c r="T106" s="357"/>
      <c r="U106" s="355">
        <v>39636</v>
      </c>
      <c r="V106" s="343" t="s">
        <v>563</v>
      </c>
      <c r="W106" s="334" t="s">
        <v>22</v>
      </c>
      <c r="X106" s="334" t="s">
        <v>11</v>
      </c>
      <c r="Y106" s="344">
        <v>47</v>
      </c>
      <c r="Z106" s="334" t="s">
        <v>567</v>
      </c>
      <c r="AA106" s="334" t="s">
        <v>218</v>
      </c>
      <c r="AB106" s="334" t="s">
        <v>12</v>
      </c>
      <c r="AC106" s="334">
        <v>3.6</v>
      </c>
      <c r="AD106" s="343" t="s">
        <v>565</v>
      </c>
      <c r="AE106" s="334" t="s">
        <v>94</v>
      </c>
      <c r="AF106" s="334" t="s">
        <v>11</v>
      </c>
      <c r="AG106" s="344">
        <v>1.2</v>
      </c>
      <c r="AL106" s="343"/>
      <c r="AO106" s="344"/>
      <c r="AP106" s="343"/>
      <c r="AS106" s="344"/>
      <c r="AW106" s="344"/>
      <c r="BA106" s="345"/>
    </row>
    <row r="107" spans="1:53" s="334" customFormat="1">
      <c r="A107" s="334">
        <v>2009</v>
      </c>
      <c r="C107" s="992" t="s">
        <v>298</v>
      </c>
      <c r="D107" s="992"/>
      <c r="E107" s="334">
        <v>344</v>
      </c>
      <c r="G107" s="336">
        <v>13</v>
      </c>
      <c r="H107" s="454"/>
      <c r="I107" s="200">
        <v>2</v>
      </c>
      <c r="J107" s="337">
        <v>15</v>
      </c>
      <c r="K107" s="338">
        <f t="shared" si="10"/>
        <v>86.666666666666671</v>
      </c>
      <c r="L107" s="338">
        <f t="shared" si="4"/>
        <v>0</v>
      </c>
      <c r="M107" s="338">
        <f t="shared" si="4"/>
        <v>13.333333333333334</v>
      </c>
      <c r="N107" s="339">
        <f t="shared" si="11"/>
        <v>100</v>
      </c>
      <c r="O107" s="340">
        <v>48.2</v>
      </c>
      <c r="P107" s="338"/>
      <c r="Q107" s="338">
        <v>3.6</v>
      </c>
      <c r="R107" s="341">
        <f t="shared" si="9"/>
        <v>51.800000000000004</v>
      </c>
      <c r="S107" s="334">
        <v>3</v>
      </c>
      <c r="T107" s="357"/>
      <c r="V107" s="343" t="s">
        <v>563</v>
      </c>
      <c r="W107" s="334" t="s">
        <v>22</v>
      </c>
      <c r="X107" s="334" t="s">
        <v>11</v>
      </c>
      <c r="Y107" s="344">
        <v>47</v>
      </c>
      <c r="Z107" s="334" t="s">
        <v>567</v>
      </c>
      <c r="AA107" s="334" t="s">
        <v>218</v>
      </c>
      <c r="AB107" s="334" t="s">
        <v>12</v>
      </c>
      <c r="AC107" s="334">
        <v>3.6</v>
      </c>
      <c r="AD107" s="343" t="s">
        <v>565</v>
      </c>
      <c r="AE107" s="334" t="s">
        <v>94</v>
      </c>
      <c r="AF107" s="334" t="s">
        <v>11</v>
      </c>
      <c r="AG107" s="344">
        <v>1.2</v>
      </c>
      <c r="AL107" s="343"/>
      <c r="AO107" s="344"/>
      <c r="AP107" s="343"/>
      <c r="AS107" s="344"/>
      <c r="AW107" s="344"/>
      <c r="BA107" s="345"/>
    </row>
    <row r="108" spans="1:53" s="73" customFormat="1">
      <c r="A108" s="73">
        <v>2009</v>
      </c>
      <c r="B108" s="85">
        <v>40158</v>
      </c>
      <c r="C108" s="988" t="s">
        <v>770</v>
      </c>
      <c r="D108" s="988"/>
      <c r="E108" s="73">
        <v>21</v>
      </c>
      <c r="F108" s="73">
        <v>4</v>
      </c>
      <c r="G108" s="74">
        <v>12</v>
      </c>
      <c r="H108" s="176"/>
      <c r="I108" s="75">
        <v>2</v>
      </c>
      <c r="J108" s="76">
        <v>15</v>
      </c>
      <c r="K108" s="77">
        <f t="shared" si="10"/>
        <v>80</v>
      </c>
      <c r="L108" s="77">
        <f t="shared" si="4"/>
        <v>0</v>
      </c>
      <c r="M108" s="77">
        <f t="shared" si="4"/>
        <v>13.333333333333334</v>
      </c>
      <c r="N108" s="78">
        <f t="shared" si="11"/>
        <v>93.333333333333329</v>
      </c>
      <c r="O108" s="79">
        <v>47</v>
      </c>
      <c r="P108" s="77"/>
      <c r="Q108" s="77">
        <v>3.6</v>
      </c>
      <c r="R108" s="80">
        <f t="shared" si="9"/>
        <v>50.6</v>
      </c>
      <c r="S108" s="73">
        <v>2</v>
      </c>
      <c r="T108" s="81"/>
      <c r="U108" s="85">
        <v>40158</v>
      </c>
      <c r="V108" s="82" t="s">
        <v>563</v>
      </c>
      <c r="W108" s="73" t="s">
        <v>22</v>
      </c>
      <c r="X108" s="73" t="s">
        <v>11</v>
      </c>
      <c r="Y108" s="83">
        <v>47</v>
      </c>
      <c r="Z108" s="73" t="s">
        <v>567</v>
      </c>
      <c r="AA108" s="73" t="s">
        <v>218</v>
      </c>
      <c r="AB108" s="73" t="s">
        <v>12</v>
      </c>
      <c r="AC108" s="73">
        <v>3.6</v>
      </c>
      <c r="AD108" s="82"/>
      <c r="AG108" s="83"/>
      <c r="AL108" s="82"/>
      <c r="AO108" s="83"/>
      <c r="AP108" s="82"/>
      <c r="AS108" s="83"/>
      <c r="AW108" s="83"/>
      <c r="BA108" s="84"/>
    </row>
    <row r="109" spans="1:53" s="73" customFormat="1">
      <c r="A109" s="73">
        <v>2010</v>
      </c>
      <c r="C109" s="988" t="s">
        <v>770</v>
      </c>
      <c r="D109" s="988"/>
      <c r="E109" s="73">
        <v>0</v>
      </c>
      <c r="G109" s="74">
        <v>12</v>
      </c>
      <c r="H109" s="176"/>
      <c r="I109" s="75">
        <v>2</v>
      </c>
      <c r="J109" s="76">
        <v>15</v>
      </c>
      <c r="K109" s="77">
        <f t="shared" si="10"/>
        <v>80</v>
      </c>
      <c r="L109" s="77">
        <f t="shared" si="4"/>
        <v>0</v>
      </c>
      <c r="M109" s="77">
        <f t="shared" si="4"/>
        <v>13.333333333333334</v>
      </c>
      <c r="N109" s="78">
        <f t="shared" si="11"/>
        <v>93.333333333333329</v>
      </c>
      <c r="O109" s="79">
        <v>47</v>
      </c>
      <c r="P109" s="77"/>
      <c r="Q109" s="77">
        <v>3.6</v>
      </c>
      <c r="R109" s="80">
        <f t="shared" si="9"/>
        <v>50.6</v>
      </c>
      <c r="S109" s="73">
        <v>2</v>
      </c>
      <c r="T109" s="81"/>
      <c r="V109" s="82" t="s">
        <v>563</v>
      </c>
      <c r="W109" s="73" t="s">
        <v>22</v>
      </c>
      <c r="X109" s="73" t="s">
        <v>11</v>
      </c>
      <c r="Y109" s="83">
        <v>47</v>
      </c>
      <c r="Z109" s="73" t="s">
        <v>567</v>
      </c>
      <c r="AA109" s="73" t="s">
        <v>218</v>
      </c>
      <c r="AB109" s="73" t="s">
        <v>12</v>
      </c>
      <c r="AC109" s="73">
        <v>3.6</v>
      </c>
      <c r="AD109" s="82"/>
      <c r="AG109" s="83"/>
      <c r="AL109" s="82"/>
      <c r="AO109" s="83"/>
      <c r="AP109" s="82"/>
      <c r="AS109" s="83"/>
      <c r="AW109" s="83"/>
      <c r="BA109" s="84"/>
    </row>
    <row r="110" spans="1:53" s="73" customFormat="1">
      <c r="A110" s="73">
        <v>2010</v>
      </c>
      <c r="C110" s="988" t="s">
        <v>770</v>
      </c>
      <c r="D110" s="988"/>
      <c r="E110" s="73">
        <v>365</v>
      </c>
      <c r="G110" s="74">
        <v>12</v>
      </c>
      <c r="H110" s="176"/>
      <c r="I110" s="75">
        <v>2</v>
      </c>
      <c r="J110" s="76">
        <v>15</v>
      </c>
      <c r="K110" s="77">
        <f t="shared" si="10"/>
        <v>80</v>
      </c>
      <c r="L110" s="77">
        <f t="shared" si="10"/>
        <v>0</v>
      </c>
      <c r="M110" s="77">
        <f t="shared" si="10"/>
        <v>13.333333333333334</v>
      </c>
      <c r="N110" s="78">
        <f t="shared" si="11"/>
        <v>93.333333333333329</v>
      </c>
      <c r="O110" s="79">
        <v>47</v>
      </c>
      <c r="P110" s="77"/>
      <c r="Q110" s="77">
        <v>3.6</v>
      </c>
      <c r="R110" s="80">
        <f t="shared" si="9"/>
        <v>50.6</v>
      </c>
      <c r="S110" s="73">
        <v>2</v>
      </c>
      <c r="T110" s="81"/>
      <c r="V110" s="82" t="s">
        <v>563</v>
      </c>
      <c r="W110" s="73" t="s">
        <v>22</v>
      </c>
      <c r="X110" s="73" t="s">
        <v>11</v>
      </c>
      <c r="Y110" s="83">
        <v>47</v>
      </c>
      <c r="Z110" s="73" t="s">
        <v>567</v>
      </c>
      <c r="AA110" s="73" t="s">
        <v>218</v>
      </c>
      <c r="AB110" s="73" t="s">
        <v>12</v>
      </c>
      <c r="AC110" s="73">
        <v>3.6</v>
      </c>
      <c r="AD110" s="82"/>
      <c r="AG110" s="83"/>
      <c r="AL110" s="82"/>
      <c r="AO110" s="83"/>
      <c r="AP110" s="82"/>
      <c r="AS110" s="83"/>
      <c r="AW110" s="83"/>
      <c r="BA110" s="84"/>
    </row>
    <row r="111" spans="1:53" s="73" customFormat="1">
      <c r="A111" s="73">
        <v>2011</v>
      </c>
      <c r="C111" s="988" t="s">
        <v>770</v>
      </c>
      <c r="D111" s="988"/>
      <c r="E111" s="73">
        <v>18</v>
      </c>
      <c r="G111" s="74">
        <v>12</v>
      </c>
      <c r="H111" s="176"/>
      <c r="I111" s="75">
        <v>2</v>
      </c>
      <c r="J111" s="76">
        <v>15</v>
      </c>
      <c r="K111" s="77">
        <f t="shared" si="10"/>
        <v>80</v>
      </c>
      <c r="L111" s="77">
        <f t="shared" si="10"/>
        <v>0</v>
      </c>
      <c r="M111" s="77">
        <f t="shared" si="10"/>
        <v>13.333333333333334</v>
      </c>
      <c r="N111" s="78">
        <f t="shared" si="11"/>
        <v>93.333333333333329</v>
      </c>
      <c r="O111" s="79">
        <v>47</v>
      </c>
      <c r="P111" s="77"/>
      <c r="Q111" s="77">
        <v>3.6</v>
      </c>
      <c r="R111" s="80">
        <f t="shared" si="9"/>
        <v>50.6</v>
      </c>
      <c r="S111" s="73">
        <v>2</v>
      </c>
      <c r="T111" s="81"/>
      <c r="V111" s="82" t="s">
        <v>563</v>
      </c>
      <c r="W111" s="73" t="s">
        <v>22</v>
      </c>
      <c r="X111" s="73" t="s">
        <v>11</v>
      </c>
      <c r="Y111" s="83">
        <v>47</v>
      </c>
      <c r="Z111" s="73" t="s">
        <v>567</v>
      </c>
      <c r="AA111" s="73" t="s">
        <v>218</v>
      </c>
      <c r="AB111" s="73" t="s">
        <v>12</v>
      </c>
      <c r="AC111" s="73">
        <v>3.6</v>
      </c>
      <c r="AD111" s="82"/>
      <c r="AG111" s="83"/>
      <c r="AL111" s="82"/>
      <c r="AO111" s="83"/>
      <c r="AP111" s="82"/>
      <c r="AS111" s="83"/>
      <c r="AW111" s="83"/>
      <c r="BA111" s="84"/>
    </row>
    <row r="112" spans="1:53" s="73" customFormat="1">
      <c r="A112" s="73">
        <v>2011</v>
      </c>
      <c r="B112" s="149">
        <v>40562</v>
      </c>
      <c r="C112" s="988" t="s">
        <v>770</v>
      </c>
      <c r="D112" s="988"/>
      <c r="E112" s="73">
        <v>1</v>
      </c>
      <c r="F112" s="150">
        <v>0</v>
      </c>
      <c r="G112" s="74">
        <v>11</v>
      </c>
      <c r="H112" s="176"/>
      <c r="I112" s="75">
        <v>2</v>
      </c>
      <c r="J112" s="76">
        <v>14</v>
      </c>
      <c r="K112" s="77">
        <f t="shared" si="10"/>
        <v>78.571428571428569</v>
      </c>
      <c r="L112" s="77">
        <f t="shared" si="10"/>
        <v>0</v>
      </c>
      <c r="M112" s="77">
        <f t="shared" si="10"/>
        <v>14.285714285714285</v>
      </c>
      <c r="N112" s="78">
        <f t="shared" si="11"/>
        <v>92.857142857142861</v>
      </c>
      <c r="O112" s="79">
        <v>47</v>
      </c>
      <c r="P112" s="77"/>
      <c r="Q112" s="77">
        <v>3.6</v>
      </c>
      <c r="R112" s="80">
        <f t="shared" si="9"/>
        <v>50.6</v>
      </c>
      <c r="S112" s="73">
        <v>2</v>
      </c>
      <c r="T112" s="81"/>
      <c r="V112" s="82" t="s">
        <v>563</v>
      </c>
      <c r="W112" s="73" t="s">
        <v>22</v>
      </c>
      <c r="X112" s="73" t="s">
        <v>11</v>
      </c>
      <c r="Y112" s="83">
        <v>47</v>
      </c>
      <c r="Z112" s="73" t="s">
        <v>567</v>
      </c>
      <c r="AA112" s="73" t="s">
        <v>218</v>
      </c>
      <c r="AB112" s="73" t="s">
        <v>12</v>
      </c>
      <c r="AC112" s="73">
        <v>3.6</v>
      </c>
      <c r="AD112" s="82"/>
      <c r="AG112" s="83"/>
      <c r="AL112" s="82"/>
      <c r="AO112" s="83"/>
      <c r="AP112" s="82"/>
      <c r="AS112" s="83"/>
      <c r="AW112" s="83"/>
      <c r="BA112" s="84"/>
    </row>
    <row r="113" spans="1:53" s="73" customFormat="1">
      <c r="A113" s="73">
        <v>2011</v>
      </c>
      <c r="B113" s="149">
        <v>40563</v>
      </c>
      <c r="C113" s="988" t="s">
        <v>770</v>
      </c>
      <c r="D113" s="988"/>
      <c r="E113" s="73">
        <v>3</v>
      </c>
      <c r="F113" s="150">
        <v>0</v>
      </c>
      <c r="G113" s="74">
        <v>7</v>
      </c>
      <c r="H113" s="176"/>
      <c r="I113" s="75">
        <v>2</v>
      </c>
      <c r="J113" s="76">
        <v>9</v>
      </c>
      <c r="K113" s="77">
        <f t="shared" si="10"/>
        <v>77.777777777777786</v>
      </c>
      <c r="L113" s="77">
        <f t="shared" si="10"/>
        <v>0</v>
      </c>
      <c r="M113" s="77">
        <f t="shared" si="10"/>
        <v>22.222222222222221</v>
      </c>
      <c r="N113" s="78">
        <f t="shared" si="11"/>
        <v>100</v>
      </c>
      <c r="O113" s="79">
        <v>47</v>
      </c>
      <c r="P113" s="77"/>
      <c r="Q113" s="77">
        <v>3.6</v>
      </c>
      <c r="R113" s="80">
        <f t="shared" si="9"/>
        <v>50.6</v>
      </c>
      <c r="S113" s="73">
        <v>2</v>
      </c>
      <c r="T113" s="81"/>
      <c r="V113" s="82" t="s">
        <v>563</v>
      </c>
      <c r="W113" s="73" t="s">
        <v>22</v>
      </c>
      <c r="X113" s="73" t="s">
        <v>11</v>
      </c>
      <c r="Y113" s="83">
        <v>47</v>
      </c>
      <c r="Z113" s="73" t="s">
        <v>567</v>
      </c>
      <c r="AA113" s="73" t="s">
        <v>218</v>
      </c>
      <c r="AB113" s="73" t="s">
        <v>12</v>
      </c>
      <c r="AC113" s="73">
        <v>3.6</v>
      </c>
      <c r="AD113" s="82"/>
      <c r="AG113" s="83"/>
      <c r="AL113" s="82"/>
      <c r="AO113" s="83"/>
      <c r="AP113" s="82"/>
      <c r="AS113" s="83"/>
      <c r="AW113" s="83"/>
      <c r="BA113" s="84"/>
    </row>
    <row r="114" spans="1:53" s="334" customFormat="1">
      <c r="A114" s="334">
        <v>2011</v>
      </c>
      <c r="B114" s="355">
        <v>40566</v>
      </c>
      <c r="C114" s="992" t="s">
        <v>771</v>
      </c>
      <c r="D114" s="992"/>
      <c r="E114" s="334">
        <f>365-E111-E112-E113-E115</f>
        <v>45</v>
      </c>
      <c r="F114" s="334">
        <v>4</v>
      </c>
      <c r="G114" s="336">
        <v>7</v>
      </c>
      <c r="H114" s="454"/>
      <c r="I114" s="200"/>
      <c r="J114" s="337">
        <v>7</v>
      </c>
      <c r="K114" s="338">
        <f t="shared" si="10"/>
        <v>100</v>
      </c>
      <c r="L114" s="338">
        <f t="shared" si="10"/>
        <v>0</v>
      </c>
      <c r="M114" s="338">
        <f t="shared" si="10"/>
        <v>0</v>
      </c>
      <c r="N114" s="339">
        <f t="shared" si="11"/>
        <v>100</v>
      </c>
      <c r="O114" s="340">
        <v>47</v>
      </c>
      <c r="P114" s="338"/>
      <c r="Q114" s="338"/>
      <c r="R114" s="341">
        <f t="shared" si="9"/>
        <v>47</v>
      </c>
      <c r="S114" s="334">
        <v>4</v>
      </c>
      <c r="T114" s="342"/>
      <c r="U114" s="355">
        <v>40566</v>
      </c>
      <c r="V114" s="343" t="s">
        <v>563</v>
      </c>
      <c r="W114" s="334" t="s">
        <v>22</v>
      </c>
      <c r="X114" s="334" t="s">
        <v>11</v>
      </c>
      <c r="Y114" s="344">
        <v>47</v>
      </c>
      <c r="AD114" s="343"/>
      <c r="AG114" s="344"/>
      <c r="AL114" s="343"/>
      <c r="AO114" s="344"/>
      <c r="AP114" s="343"/>
      <c r="AS114" s="344"/>
      <c r="AW114" s="344"/>
      <c r="BA114" s="345"/>
    </row>
    <row r="115" spans="1:53" s="73" customFormat="1">
      <c r="A115" s="73">
        <v>2011</v>
      </c>
      <c r="B115" s="85">
        <v>40611</v>
      </c>
      <c r="C115" s="988" t="s">
        <v>299</v>
      </c>
      <c r="D115" s="988"/>
      <c r="E115" s="73">
        <v>298</v>
      </c>
      <c r="F115" s="73">
        <v>1</v>
      </c>
      <c r="G115" s="74"/>
      <c r="H115" s="176">
        <v>10</v>
      </c>
      <c r="I115" s="75">
        <v>5</v>
      </c>
      <c r="J115" s="76">
        <v>15</v>
      </c>
      <c r="K115" s="77">
        <f t="shared" si="10"/>
        <v>0</v>
      </c>
      <c r="L115" s="77">
        <f t="shared" si="10"/>
        <v>66.666666666666657</v>
      </c>
      <c r="M115" s="77">
        <f t="shared" si="10"/>
        <v>33.333333333333329</v>
      </c>
      <c r="N115" s="78">
        <f t="shared" si="11"/>
        <v>99.999999999999986</v>
      </c>
      <c r="O115" s="79"/>
      <c r="P115" s="77">
        <v>45.8</v>
      </c>
      <c r="Q115" s="77">
        <v>22.3</v>
      </c>
      <c r="R115" s="80">
        <f t="shared" si="9"/>
        <v>68.099999999999994</v>
      </c>
      <c r="S115" s="73">
        <v>2</v>
      </c>
      <c r="T115" s="95">
        <v>40599</v>
      </c>
      <c r="U115" s="85">
        <v>40611</v>
      </c>
      <c r="V115" s="82" t="s">
        <v>564</v>
      </c>
      <c r="W115" s="73" t="s">
        <v>17</v>
      </c>
      <c r="X115" s="73" t="s">
        <v>18</v>
      </c>
      <c r="Y115" s="83">
        <v>45.8</v>
      </c>
      <c r="Z115" s="73" t="s">
        <v>461</v>
      </c>
      <c r="AA115" s="73" t="s">
        <v>20</v>
      </c>
      <c r="AB115" s="73" t="s">
        <v>12</v>
      </c>
      <c r="AC115" s="73">
        <v>22.3</v>
      </c>
      <c r="AD115" s="82"/>
      <c r="AG115" s="83"/>
      <c r="AL115" s="82"/>
      <c r="AO115" s="83"/>
      <c r="AP115" s="82"/>
      <c r="AS115" s="83"/>
      <c r="AW115" s="83"/>
      <c r="BA115" s="84"/>
    </row>
    <row r="116" spans="1:53" s="73" customFormat="1">
      <c r="A116" s="73">
        <v>2012</v>
      </c>
      <c r="C116" s="988" t="s">
        <v>299</v>
      </c>
      <c r="D116" s="988"/>
      <c r="E116" s="73">
        <v>0</v>
      </c>
      <c r="G116" s="74"/>
      <c r="H116" s="176">
        <v>10</v>
      </c>
      <c r="I116" s="75">
        <v>5</v>
      </c>
      <c r="J116" s="76">
        <v>15</v>
      </c>
      <c r="K116" s="77">
        <f t="shared" si="10"/>
        <v>0</v>
      </c>
      <c r="L116" s="77">
        <f t="shared" si="10"/>
        <v>66.666666666666657</v>
      </c>
      <c r="M116" s="77">
        <f t="shared" si="10"/>
        <v>33.333333333333329</v>
      </c>
      <c r="N116" s="78">
        <f t="shared" si="11"/>
        <v>99.999999999999986</v>
      </c>
      <c r="O116" s="79"/>
      <c r="P116" s="77">
        <v>45.8</v>
      </c>
      <c r="Q116" s="77">
        <v>22.3</v>
      </c>
      <c r="R116" s="80">
        <f t="shared" si="9"/>
        <v>68.099999999999994</v>
      </c>
      <c r="S116" s="73">
        <v>2</v>
      </c>
      <c r="T116" s="81"/>
      <c r="V116" s="82" t="s">
        <v>564</v>
      </c>
      <c r="W116" s="73" t="s">
        <v>17</v>
      </c>
      <c r="X116" s="73" t="s">
        <v>18</v>
      </c>
      <c r="Y116" s="83">
        <v>45.8</v>
      </c>
      <c r="Z116" s="73" t="s">
        <v>461</v>
      </c>
      <c r="AA116" s="73" t="s">
        <v>20</v>
      </c>
      <c r="AB116" s="73" t="s">
        <v>12</v>
      </c>
      <c r="AC116" s="73">
        <v>22.3</v>
      </c>
      <c r="AD116" s="82"/>
      <c r="AG116" s="83"/>
      <c r="AL116" s="82"/>
      <c r="AO116" s="83"/>
      <c r="AP116" s="82"/>
      <c r="AS116" s="83"/>
      <c r="AW116" s="83"/>
      <c r="BA116" s="84"/>
    </row>
    <row r="117" spans="1:53" s="301" customFormat="1">
      <c r="A117" s="301">
        <v>2012</v>
      </c>
      <c r="C117" s="988" t="s">
        <v>299</v>
      </c>
      <c r="D117" s="988"/>
      <c r="E117" s="301">
        <v>366</v>
      </c>
      <c r="G117" s="74"/>
      <c r="H117" s="176">
        <v>10</v>
      </c>
      <c r="I117" s="75">
        <v>5</v>
      </c>
      <c r="J117" s="76">
        <v>15</v>
      </c>
      <c r="K117" s="77">
        <f t="shared" si="10"/>
        <v>0</v>
      </c>
      <c r="L117" s="77">
        <f t="shared" si="10"/>
        <v>66.666666666666657</v>
      </c>
      <c r="M117" s="77">
        <f t="shared" si="10"/>
        <v>33.333333333333329</v>
      </c>
      <c r="N117" s="78">
        <f t="shared" si="11"/>
        <v>99.999999999999986</v>
      </c>
      <c r="O117" s="79"/>
      <c r="P117" s="77">
        <v>45.8</v>
      </c>
      <c r="Q117" s="77">
        <v>22.3</v>
      </c>
      <c r="R117" s="80">
        <f t="shared" si="9"/>
        <v>68.099999999999994</v>
      </c>
      <c r="S117" s="301">
        <v>2</v>
      </c>
      <c r="T117" s="81"/>
      <c r="V117" s="82" t="s">
        <v>564</v>
      </c>
      <c r="W117" s="301" t="s">
        <v>17</v>
      </c>
      <c r="X117" s="301" t="s">
        <v>18</v>
      </c>
      <c r="Y117" s="83">
        <v>45.8</v>
      </c>
      <c r="Z117" s="301" t="s">
        <v>461</v>
      </c>
      <c r="AA117" s="301" t="s">
        <v>20</v>
      </c>
      <c r="AB117" s="301" t="s">
        <v>12</v>
      </c>
      <c r="AC117" s="301">
        <v>22.3</v>
      </c>
      <c r="AD117" s="82"/>
      <c r="AG117" s="83"/>
      <c r="AL117" s="82"/>
      <c r="AO117" s="83"/>
      <c r="AP117" s="82"/>
      <c r="AS117" s="83"/>
      <c r="AW117" s="83"/>
      <c r="BA117" s="84"/>
    </row>
    <row r="118" spans="1:53" s="301" customFormat="1">
      <c r="A118" s="301">
        <v>2013</v>
      </c>
      <c r="C118" s="988" t="s">
        <v>299</v>
      </c>
      <c r="D118" s="988"/>
      <c r="E118" s="301">
        <v>0</v>
      </c>
      <c r="G118" s="74"/>
      <c r="H118" s="176">
        <v>10</v>
      </c>
      <c r="I118" s="75">
        <v>5</v>
      </c>
      <c r="J118" s="76">
        <v>15</v>
      </c>
      <c r="K118" s="77">
        <f t="shared" si="10"/>
        <v>0</v>
      </c>
      <c r="L118" s="77">
        <f t="shared" si="10"/>
        <v>66.666666666666657</v>
      </c>
      <c r="M118" s="77">
        <f t="shared" si="10"/>
        <v>33.333333333333329</v>
      </c>
      <c r="N118" s="78">
        <f t="shared" si="11"/>
        <v>99.999999999999986</v>
      </c>
      <c r="O118" s="79"/>
      <c r="P118" s="77">
        <v>45.8</v>
      </c>
      <c r="Q118" s="77">
        <v>22.3</v>
      </c>
      <c r="R118" s="80">
        <f>O118+P118+Q118</f>
        <v>68.099999999999994</v>
      </c>
      <c r="S118" s="301">
        <v>2</v>
      </c>
      <c r="T118" s="81"/>
      <c r="V118" s="82" t="s">
        <v>564</v>
      </c>
      <c r="W118" s="301" t="s">
        <v>17</v>
      </c>
      <c r="X118" s="301" t="s">
        <v>18</v>
      </c>
      <c r="Y118" s="83">
        <v>45.8</v>
      </c>
      <c r="Z118" s="301" t="s">
        <v>461</v>
      </c>
      <c r="AA118" s="301" t="s">
        <v>20</v>
      </c>
      <c r="AB118" s="301" t="s">
        <v>12</v>
      </c>
      <c r="AC118" s="301">
        <v>22.3</v>
      </c>
      <c r="AD118" s="82"/>
      <c r="AG118" s="83"/>
      <c r="AL118" s="82"/>
      <c r="AO118" s="83"/>
      <c r="AP118" s="82"/>
      <c r="AS118" s="83"/>
      <c r="AW118" s="83"/>
      <c r="BA118" s="84"/>
    </row>
    <row r="119" spans="1:53" s="301" customFormat="1">
      <c r="A119" s="301">
        <v>2013</v>
      </c>
      <c r="C119" s="988" t="s">
        <v>299</v>
      </c>
      <c r="D119" s="988"/>
      <c r="E119" s="301">
        <v>365</v>
      </c>
      <c r="G119" s="74"/>
      <c r="H119" s="176">
        <v>10</v>
      </c>
      <c r="I119" s="75">
        <v>5</v>
      </c>
      <c r="J119" s="76">
        <v>15</v>
      </c>
      <c r="K119" s="77">
        <f t="shared" si="10"/>
        <v>0</v>
      </c>
      <c r="L119" s="77">
        <f t="shared" si="10"/>
        <v>66.666666666666657</v>
      </c>
      <c r="M119" s="77">
        <f t="shared" si="10"/>
        <v>33.333333333333329</v>
      </c>
      <c r="N119" s="78">
        <f t="shared" si="11"/>
        <v>99.999999999999986</v>
      </c>
      <c r="O119" s="79"/>
      <c r="P119" s="77">
        <v>45.8</v>
      </c>
      <c r="Q119" s="77">
        <v>22.3</v>
      </c>
      <c r="R119" s="80">
        <f>O119+P119+Q119</f>
        <v>68.099999999999994</v>
      </c>
      <c r="S119" s="301">
        <v>2</v>
      </c>
      <c r="T119" s="81"/>
      <c r="V119" s="82" t="s">
        <v>564</v>
      </c>
      <c r="W119" s="301" t="s">
        <v>17</v>
      </c>
      <c r="X119" s="301" t="s">
        <v>18</v>
      </c>
      <c r="Y119" s="83">
        <v>45.8</v>
      </c>
      <c r="Z119" s="301" t="s">
        <v>461</v>
      </c>
      <c r="AA119" s="301" t="s">
        <v>20</v>
      </c>
      <c r="AB119" s="301" t="s">
        <v>12</v>
      </c>
      <c r="AC119" s="301">
        <v>22.3</v>
      </c>
      <c r="AD119" s="82"/>
      <c r="AG119" s="83"/>
      <c r="AL119" s="82"/>
      <c r="AO119" s="83"/>
      <c r="AP119" s="82"/>
      <c r="AS119" s="83"/>
      <c r="AW119" s="83"/>
      <c r="BA119" s="84"/>
    </row>
    <row r="120" spans="1:53" s="543" customFormat="1">
      <c r="A120" s="543">
        <v>2014</v>
      </c>
      <c r="B120" s="483"/>
      <c r="C120" s="988" t="s">
        <v>299</v>
      </c>
      <c r="D120" s="988"/>
      <c r="E120" s="543">
        <v>0</v>
      </c>
      <c r="F120" s="484"/>
      <c r="G120" s="74"/>
      <c r="H120" s="176">
        <v>10</v>
      </c>
      <c r="I120" s="75">
        <v>5</v>
      </c>
      <c r="J120" s="76">
        <v>15</v>
      </c>
      <c r="K120" s="77">
        <f t="shared" ref="K120:M121" si="12">G120/$J120*100</f>
        <v>0</v>
      </c>
      <c r="L120" s="77">
        <f t="shared" si="12"/>
        <v>66.666666666666657</v>
      </c>
      <c r="M120" s="77">
        <f t="shared" si="12"/>
        <v>33.333333333333329</v>
      </c>
      <c r="N120" s="78">
        <f>K120+L120+M120</f>
        <v>99.999999999999986</v>
      </c>
      <c r="O120" s="79"/>
      <c r="P120" s="77">
        <v>45.8</v>
      </c>
      <c r="Q120" s="77">
        <v>22.3</v>
      </c>
      <c r="R120" s="80">
        <f>O120+P120+Q120</f>
        <v>68.099999999999994</v>
      </c>
      <c r="S120" s="543">
        <v>2</v>
      </c>
      <c r="T120" s="471"/>
      <c r="V120" s="472" t="s">
        <v>564</v>
      </c>
      <c r="W120" s="543" t="s">
        <v>17</v>
      </c>
      <c r="X120" s="543" t="s">
        <v>18</v>
      </c>
      <c r="Y120" s="473">
        <v>45.8</v>
      </c>
      <c r="Z120" s="543" t="s">
        <v>461</v>
      </c>
      <c r="AA120" s="543" t="s">
        <v>20</v>
      </c>
      <c r="AB120" s="543" t="s">
        <v>12</v>
      </c>
      <c r="AC120" s="543">
        <v>22.3</v>
      </c>
      <c r="AD120" s="472"/>
      <c r="AG120" s="473"/>
      <c r="AL120" s="472"/>
      <c r="AO120" s="473"/>
      <c r="AP120" s="472"/>
      <c r="AS120" s="473"/>
      <c r="AW120" s="473"/>
      <c r="BA120" s="474"/>
    </row>
    <row r="121" spans="1:53" s="543" customFormat="1">
      <c r="A121" s="543">
        <v>2014</v>
      </c>
      <c r="B121" s="483"/>
      <c r="C121" s="988" t="s">
        <v>299</v>
      </c>
      <c r="D121" s="988"/>
      <c r="E121" s="543">
        <v>365</v>
      </c>
      <c r="F121" s="484"/>
      <c r="G121" s="74"/>
      <c r="H121" s="176">
        <v>10</v>
      </c>
      <c r="I121" s="75">
        <v>5</v>
      </c>
      <c r="J121" s="76">
        <v>15</v>
      </c>
      <c r="K121" s="77">
        <f t="shared" si="12"/>
        <v>0</v>
      </c>
      <c r="L121" s="77">
        <f t="shared" si="12"/>
        <v>66.666666666666657</v>
      </c>
      <c r="M121" s="77">
        <f t="shared" si="12"/>
        <v>33.333333333333329</v>
      </c>
      <c r="N121" s="78">
        <f>K121+L121+M121</f>
        <v>99.999999999999986</v>
      </c>
      <c r="O121" s="79"/>
      <c r="P121" s="77">
        <v>45.8</v>
      </c>
      <c r="Q121" s="77">
        <v>22.3</v>
      </c>
      <c r="R121" s="80">
        <f>O121+P121+Q121</f>
        <v>68.099999999999994</v>
      </c>
      <c r="S121" s="543">
        <v>2</v>
      </c>
      <c r="T121" s="471"/>
      <c r="V121" s="472" t="s">
        <v>564</v>
      </c>
      <c r="W121" s="543" t="s">
        <v>17</v>
      </c>
      <c r="X121" s="543" t="s">
        <v>18</v>
      </c>
      <c r="Y121" s="473">
        <v>45.8</v>
      </c>
      <c r="Z121" s="543" t="s">
        <v>461</v>
      </c>
      <c r="AA121" s="543" t="s">
        <v>20</v>
      </c>
      <c r="AB121" s="543" t="s">
        <v>12</v>
      </c>
      <c r="AC121" s="543">
        <v>22.3</v>
      </c>
      <c r="AD121" s="472"/>
      <c r="AG121" s="473"/>
      <c r="AL121" s="472"/>
      <c r="AO121" s="473"/>
      <c r="AP121" s="472"/>
      <c r="AS121" s="473"/>
      <c r="AW121" s="473"/>
      <c r="BA121" s="474"/>
    </row>
    <row r="122" spans="1:53" s="722" customFormat="1">
      <c r="A122" s="722">
        <v>2015</v>
      </c>
      <c r="B122" s="599"/>
      <c r="C122" s="988" t="s">
        <v>299</v>
      </c>
      <c r="D122" s="988"/>
      <c r="E122" s="722">
        <v>0</v>
      </c>
      <c r="F122" s="600"/>
      <c r="G122" s="74"/>
      <c r="H122" s="176">
        <v>10</v>
      </c>
      <c r="I122" s="75">
        <v>5</v>
      </c>
      <c r="J122" s="76">
        <v>15</v>
      </c>
      <c r="K122" s="77">
        <f t="shared" ref="K122:K129" si="13">G122/$J122*100</f>
        <v>0</v>
      </c>
      <c r="L122" s="77">
        <f t="shared" ref="L122:L129" si="14">H122/$J122*100</f>
        <v>66.666666666666657</v>
      </c>
      <c r="M122" s="77">
        <f t="shared" ref="M122:M129" si="15">I122/$J122*100</f>
        <v>33.333333333333329</v>
      </c>
      <c r="N122" s="78">
        <f t="shared" ref="N122:N129" si="16">K122+L122+M122</f>
        <v>99.999999999999986</v>
      </c>
      <c r="O122" s="79"/>
      <c r="P122" s="77">
        <v>45.8</v>
      </c>
      <c r="Q122" s="77">
        <v>22.3</v>
      </c>
      <c r="R122" s="80">
        <f t="shared" ref="R122:R127" si="17">O122+P122+Q122</f>
        <v>68.099999999999994</v>
      </c>
      <c r="S122" s="722">
        <v>2</v>
      </c>
      <c r="T122" s="575"/>
      <c r="V122" s="588" t="s">
        <v>564</v>
      </c>
      <c r="W122" s="722" t="s">
        <v>17</v>
      </c>
      <c r="X122" s="722" t="s">
        <v>18</v>
      </c>
      <c r="Y122" s="589">
        <v>45.8</v>
      </c>
      <c r="Z122" s="722" t="s">
        <v>461</v>
      </c>
      <c r="AA122" s="722" t="s">
        <v>20</v>
      </c>
      <c r="AB122" s="722" t="s">
        <v>12</v>
      </c>
      <c r="AC122" s="722">
        <v>22.3</v>
      </c>
      <c r="AD122" s="588"/>
      <c r="AG122" s="589"/>
      <c r="AL122" s="588"/>
      <c r="AO122" s="589"/>
      <c r="AP122" s="588"/>
      <c r="AS122" s="589"/>
      <c r="AW122" s="589"/>
      <c r="BA122" s="590"/>
    </row>
    <row r="123" spans="1:53" s="722" customFormat="1">
      <c r="A123" s="722">
        <v>2015</v>
      </c>
      <c r="B123" s="599"/>
      <c r="C123" s="988" t="s">
        <v>299</v>
      </c>
      <c r="D123" s="988"/>
      <c r="E123" s="722">
        <v>365</v>
      </c>
      <c r="F123" s="600"/>
      <c r="G123" s="74"/>
      <c r="H123" s="176">
        <v>10</v>
      </c>
      <c r="I123" s="75">
        <v>5</v>
      </c>
      <c r="J123" s="76">
        <v>15</v>
      </c>
      <c r="K123" s="77">
        <f t="shared" si="13"/>
        <v>0</v>
      </c>
      <c r="L123" s="77">
        <f t="shared" si="14"/>
        <v>66.666666666666657</v>
      </c>
      <c r="M123" s="77">
        <f t="shared" si="15"/>
        <v>33.333333333333329</v>
      </c>
      <c r="N123" s="78">
        <f t="shared" si="16"/>
        <v>99.999999999999986</v>
      </c>
      <c r="O123" s="79"/>
      <c r="P123" s="77">
        <v>45.8</v>
      </c>
      <c r="Q123" s="77">
        <v>22.3</v>
      </c>
      <c r="R123" s="80">
        <f t="shared" si="17"/>
        <v>68.099999999999994</v>
      </c>
      <c r="S123" s="722">
        <v>2</v>
      </c>
      <c r="T123" s="575"/>
      <c r="V123" s="588" t="s">
        <v>564</v>
      </c>
      <c r="W123" s="722" t="s">
        <v>17</v>
      </c>
      <c r="X123" s="722" t="s">
        <v>18</v>
      </c>
      <c r="Y123" s="589">
        <v>45.8</v>
      </c>
      <c r="Z123" s="722" t="s">
        <v>461</v>
      </c>
      <c r="AA123" s="722" t="s">
        <v>20</v>
      </c>
      <c r="AB123" s="722" t="s">
        <v>12</v>
      </c>
      <c r="AC123" s="722">
        <v>22.3</v>
      </c>
      <c r="AD123" s="588"/>
      <c r="AG123" s="589"/>
      <c r="AL123" s="588"/>
      <c r="AO123" s="589"/>
      <c r="AP123" s="588"/>
      <c r="AS123" s="589"/>
      <c r="AW123" s="589"/>
      <c r="BA123" s="590"/>
    </row>
    <row r="124" spans="1:53" s="813" customFormat="1">
      <c r="A124" s="813">
        <v>2016</v>
      </c>
      <c r="B124" s="599"/>
      <c r="C124" s="988" t="s">
        <v>299</v>
      </c>
      <c r="D124" s="988"/>
      <c r="E124" s="813">
        <v>126</v>
      </c>
      <c r="F124" s="600"/>
      <c r="G124" s="74"/>
      <c r="H124" s="176">
        <v>10</v>
      </c>
      <c r="I124" s="75">
        <v>5</v>
      </c>
      <c r="J124" s="76">
        <v>15</v>
      </c>
      <c r="K124" s="77">
        <f t="shared" si="13"/>
        <v>0</v>
      </c>
      <c r="L124" s="77">
        <f t="shared" si="14"/>
        <v>66.666666666666657</v>
      </c>
      <c r="M124" s="77">
        <f t="shared" si="15"/>
        <v>33.333333333333329</v>
      </c>
      <c r="N124" s="78">
        <f t="shared" si="16"/>
        <v>99.999999999999986</v>
      </c>
      <c r="O124" s="79"/>
      <c r="P124" s="77">
        <v>45.8</v>
      </c>
      <c r="Q124" s="77">
        <v>22.3</v>
      </c>
      <c r="R124" s="80">
        <f t="shared" si="17"/>
        <v>68.099999999999994</v>
      </c>
      <c r="S124" s="813">
        <v>2</v>
      </c>
      <c r="T124" s="575"/>
      <c r="V124" s="588" t="s">
        <v>564</v>
      </c>
      <c r="W124" s="813" t="s">
        <v>17</v>
      </c>
      <c r="X124" s="813" t="s">
        <v>18</v>
      </c>
      <c r="Y124" s="589">
        <v>45.8</v>
      </c>
      <c r="Z124" s="813" t="s">
        <v>461</v>
      </c>
      <c r="AA124" s="813" t="s">
        <v>20</v>
      </c>
      <c r="AB124" s="813" t="s">
        <v>12</v>
      </c>
      <c r="AC124" s="813">
        <v>22.3</v>
      </c>
      <c r="AD124" s="588"/>
      <c r="AG124" s="589"/>
      <c r="AL124" s="588"/>
      <c r="AO124" s="589"/>
      <c r="AP124" s="588"/>
      <c r="AS124" s="589"/>
      <c r="AW124" s="589"/>
      <c r="BA124" s="590"/>
    </row>
    <row r="125" spans="1:53" s="812" customFormat="1">
      <c r="A125" s="812">
        <v>2016</v>
      </c>
      <c r="B125" s="811">
        <v>42496</v>
      </c>
      <c r="C125" s="992" t="s">
        <v>1357</v>
      </c>
      <c r="D125" s="992"/>
      <c r="E125" s="812">
        <v>240</v>
      </c>
      <c r="F125" s="812">
        <v>1</v>
      </c>
      <c r="G125" s="336"/>
      <c r="H125" s="454">
        <v>12</v>
      </c>
      <c r="I125" s="200"/>
      <c r="J125" s="337">
        <v>15</v>
      </c>
      <c r="K125" s="338">
        <f t="shared" si="13"/>
        <v>0</v>
      </c>
      <c r="L125" s="338">
        <f t="shared" si="14"/>
        <v>80</v>
      </c>
      <c r="M125" s="338">
        <f t="shared" si="15"/>
        <v>0</v>
      </c>
      <c r="N125" s="339">
        <f t="shared" si="16"/>
        <v>80</v>
      </c>
      <c r="O125" s="340"/>
      <c r="P125" s="338">
        <v>31.6</v>
      </c>
      <c r="Q125" s="338"/>
      <c r="R125" s="341">
        <f t="shared" si="17"/>
        <v>31.6</v>
      </c>
      <c r="S125" s="812">
        <v>4</v>
      </c>
      <c r="T125" s="487">
        <v>42426</v>
      </c>
      <c r="U125" s="811">
        <v>42496</v>
      </c>
      <c r="V125" s="634" t="s">
        <v>564</v>
      </c>
      <c r="W125" s="812" t="s">
        <v>17</v>
      </c>
      <c r="X125" s="812" t="s">
        <v>18</v>
      </c>
      <c r="Y125" s="635">
        <v>31.6</v>
      </c>
      <c r="AD125" s="634"/>
      <c r="AG125" s="635"/>
      <c r="AL125" s="634"/>
      <c r="AO125" s="635"/>
      <c r="AP125" s="634"/>
      <c r="AS125" s="635"/>
      <c r="AW125" s="635"/>
      <c r="BA125" s="636"/>
    </row>
    <row r="126" spans="1:53" s="895" customFormat="1">
      <c r="A126" s="895">
        <v>2017</v>
      </c>
      <c r="B126" s="893"/>
      <c r="C126" s="992" t="s">
        <v>1357</v>
      </c>
      <c r="D126" s="992"/>
      <c r="E126" s="895">
        <v>164</v>
      </c>
      <c r="G126" s="336"/>
      <c r="H126" s="454">
        <v>12</v>
      </c>
      <c r="I126" s="200"/>
      <c r="J126" s="337">
        <v>15</v>
      </c>
      <c r="K126" s="338">
        <f t="shared" si="13"/>
        <v>0</v>
      </c>
      <c r="L126" s="338">
        <f t="shared" si="14"/>
        <v>80</v>
      </c>
      <c r="M126" s="338">
        <f t="shared" si="15"/>
        <v>0</v>
      </c>
      <c r="N126" s="339">
        <f t="shared" si="16"/>
        <v>80</v>
      </c>
      <c r="O126" s="340"/>
      <c r="P126" s="338">
        <v>31.6</v>
      </c>
      <c r="Q126" s="338"/>
      <c r="R126" s="341">
        <f t="shared" si="17"/>
        <v>31.6</v>
      </c>
      <c r="S126" s="895">
        <v>4</v>
      </c>
      <c r="T126" s="487"/>
      <c r="U126" s="893"/>
      <c r="V126" s="634" t="s">
        <v>564</v>
      </c>
      <c r="W126" s="895" t="s">
        <v>17</v>
      </c>
      <c r="X126" s="895" t="s">
        <v>18</v>
      </c>
      <c r="Y126" s="635">
        <v>31.6</v>
      </c>
      <c r="AD126" s="634"/>
      <c r="AG126" s="635"/>
      <c r="AL126" s="634"/>
      <c r="AO126" s="635"/>
      <c r="AP126" s="634"/>
      <c r="AS126" s="635"/>
      <c r="AW126" s="635"/>
      <c r="BA126" s="636"/>
    </row>
    <row r="127" spans="1:53" s="896" customFormat="1">
      <c r="A127" s="896">
        <v>2017</v>
      </c>
      <c r="B127" s="894">
        <v>42900</v>
      </c>
      <c r="C127" s="988" t="s">
        <v>1391</v>
      </c>
      <c r="D127" s="988"/>
      <c r="E127" s="896">
        <v>201</v>
      </c>
      <c r="F127" s="896">
        <v>2</v>
      </c>
      <c r="G127" s="74"/>
      <c r="H127" s="176">
        <v>12</v>
      </c>
      <c r="I127" s="75"/>
      <c r="J127" s="76">
        <v>15</v>
      </c>
      <c r="K127" s="77">
        <f t="shared" si="13"/>
        <v>0</v>
      </c>
      <c r="L127" s="77">
        <f t="shared" si="14"/>
        <v>80</v>
      </c>
      <c r="M127" s="77">
        <f t="shared" si="15"/>
        <v>0</v>
      </c>
      <c r="N127" s="78">
        <f t="shared" si="16"/>
        <v>80</v>
      </c>
      <c r="O127" s="79"/>
      <c r="P127" s="77">
        <v>31.6</v>
      </c>
      <c r="Q127" s="77"/>
      <c r="R127" s="80">
        <f t="shared" si="17"/>
        <v>31.6</v>
      </c>
      <c r="S127" s="896">
        <v>4</v>
      </c>
      <c r="T127" s="575"/>
      <c r="U127" s="894">
        <v>42900</v>
      </c>
      <c r="V127" s="588" t="s">
        <v>564</v>
      </c>
      <c r="W127" s="896" t="s">
        <v>17</v>
      </c>
      <c r="X127" s="896" t="s">
        <v>18</v>
      </c>
      <c r="Y127" s="589">
        <v>31.6</v>
      </c>
      <c r="AD127" s="588"/>
      <c r="AG127" s="589"/>
      <c r="AL127" s="588"/>
      <c r="AO127" s="589"/>
      <c r="AP127" s="588"/>
      <c r="AS127" s="589"/>
      <c r="AW127" s="589"/>
      <c r="BA127" s="590"/>
    </row>
    <row r="128" spans="1:53" s="933" customFormat="1">
      <c r="A128" s="933">
        <v>2018</v>
      </c>
      <c r="B128" s="929"/>
      <c r="C128" s="988" t="s">
        <v>1391</v>
      </c>
      <c r="D128" s="988"/>
      <c r="E128" s="933">
        <v>283</v>
      </c>
      <c r="G128" s="74"/>
      <c r="H128" s="176">
        <v>12</v>
      </c>
      <c r="I128" s="75"/>
      <c r="J128" s="76">
        <v>15</v>
      </c>
      <c r="K128" s="77">
        <f t="shared" si="13"/>
        <v>0</v>
      </c>
      <c r="L128" s="77">
        <f t="shared" si="14"/>
        <v>80</v>
      </c>
      <c r="M128" s="77">
        <f t="shared" si="15"/>
        <v>0</v>
      </c>
      <c r="N128" s="78">
        <f t="shared" si="16"/>
        <v>80</v>
      </c>
      <c r="O128" s="79"/>
      <c r="P128" s="77">
        <v>31.6</v>
      </c>
      <c r="Q128" s="77"/>
      <c r="R128" s="80">
        <f t="shared" ref="R128:R129" si="18">O128+P128+Q128</f>
        <v>31.6</v>
      </c>
      <c r="S128" s="933">
        <v>4</v>
      </c>
      <c r="T128" s="575"/>
      <c r="U128" s="929"/>
      <c r="V128" s="588" t="s">
        <v>564</v>
      </c>
      <c r="W128" s="933" t="s">
        <v>17</v>
      </c>
      <c r="X128" s="933" t="s">
        <v>18</v>
      </c>
      <c r="Y128" s="589">
        <v>31.6</v>
      </c>
      <c r="AD128" s="588"/>
      <c r="AG128" s="589"/>
      <c r="AL128" s="588"/>
      <c r="AO128" s="589"/>
      <c r="AP128" s="588"/>
      <c r="AS128" s="589"/>
      <c r="AW128" s="589"/>
      <c r="BA128" s="590"/>
    </row>
    <row r="129" spans="1:53" s="933" customFormat="1">
      <c r="A129" s="933">
        <v>2018</v>
      </c>
      <c r="B129" s="599">
        <v>43384</v>
      </c>
      <c r="C129" s="988" t="s">
        <v>1391</v>
      </c>
      <c r="D129" s="988"/>
      <c r="E129" s="933">
        <v>82</v>
      </c>
      <c r="F129" s="600">
        <v>0</v>
      </c>
      <c r="G129" s="74"/>
      <c r="H129" s="176">
        <v>13</v>
      </c>
      <c r="I129" s="75"/>
      <c r="J129" s="76">
        <v>15</v>
      </c>
      <c r="K129" s="77">
        <f t="shared" si="13"/>
        <v>0</v>
      </c>
      <c r="L129" s="77">
        <f t="shared" si="14"/>
        <v>86.666666666666671</v>
      </c>
      <c r="M129" s="77">
        <f t="shared" si="15"/>
        <v>0</v>
      </c>
      <c r="N129" s="78">
        <f t="shared" si="16"/>
        <v>86.666666666666671</v>
      </c>
      <c r="O129" s="79"/>
      <c r="P129" s="77">
        <v>31.6</v>
      </c>
      <c r="Q129" s="77"/>
      <c r="R129" s="80">
        <f t="shared" si="18"/>
        <v>31.6</v>
      </c>
      <c r="S129" s="933">
        <v>4</v>
      </c>
      <c r="T129" s="575"/>
      <c r="U129" s="929"/>
      <c r="V129" s="588" t="s">
        <v>564</v>
      </c>
      <c r="W129" s="933" t="s">
        <v>17</v>
      </c>
      <c r="X129" s="933" t="s">
        <v>18</v>
      </c>
      <c r="Y129" s="589">
        <v>31.6</v>
      </c>
      <c r="AD129" s="588"/>
      <c r="AG129" s="589"/>
      <c r="AL129" s="588"/>
      <c r="AO129" s="589"/>
      <c r="AP129" s="588"/>
      <c r="AS129" s="589"/>
      <c r="AW129" s="589"/>
      <c r="BA129" s="590"/>
    </row>
    <row r="130" spans="1:53" s="933" customFormat="1">
      <c r="B130" s="929"/>
      <c r="F130" s="600"/>
      <c r="G130" s="75"/>
      <c r="H130" s="176"/>
      <c r="I130" s="75"/>
      <c r="J130" s="828"/>
      <c r="K130" s="77"/>
      <c r="L130" s="77"/>
      <c r="M130" s="77"/>
      <c r="N130" s="78"/>
      <c r="O130" s="77"/>
      <c r="P130" s="77"/>
      <c r="Q130" s="77"/>
      <c r="R130" s="78"/>
      <c r="U130" s="929"/>
    </row>
    <row r="131" spans="1:53" s="896" customFormat="1">
      <c r="B131" s="599"/>
      <c r="F131" s="600"/>
      <c r="G131" s="75"/>
      <c r="H131" s="176"/>
      <c r="I131" s="75"/>
      <c r="J131" s="828"/>
      <c r="K131" s="77"/>
      <c r="L131" s="77"/>
      <c r="M131" s="77"/>
      <c r="N131" s="78"/>
      <c r="O131" s="77"/>
      <c r="P131" s="77"/>
      <c r="Q131" s="77"/>
      <c r="R131" s="78"/>
    </row>
    <row r="133" spans="1:53">
      <c r="B133" s="994"/>
      <c r="C133" s="994"/>
      <c r="D133" s="994"/>
      <c r="E133" s="994"/>
      <c r="F133" s="994"/>
      <c r="G133" s="994"/>
      <c r="H133" s="6"/>
      <c r="I133" s="2"/>
      <c r="J133" s="2"/>
      <c r="K133" s="2"/>
      <c r="L133" s="2"/>
      <c r="M133" s="2"/>
      <c r="N133" s="2"/>
      <c r="O133" s="1029"/>
      <c r="P133" s="1029"/>
      <c r="Q133" s="1029"/>
    </row>
    <row r="134" spans="1:53" s="2" customFormat="1" ht="18" customHeight="1">
      <c r="B134" s="22" t="s">
        <v>1278</v>
      </c>
      <c r="H134" s="6"/>
    </row>
    <row r="135" spans="1:53" s="2" customFormat="1" ht="9" customHeight="1">
      <c r="H135" s="6"/>
    </row>
    <row r="136" spans="1:53" s="364" customFormat="1" ht="9" customHeight="1">
      <c r="A136" s="362"/>
      <c r="B136" s="363" t="s">
        <v>1229</v>
      </c>
      <c r="C136" s="363"/>
      <c r="D136" s="363"/>
      <c r="E136" s="363"/>
      <c r="F136" s="363"/>
      <c r="G136" s="363" t="s">
        <v>1230</v>
      </c>
      <c r="H136" s="363"/>
      <c r="I136" s="363"/>
      <c r="J136" s="363"/>
      <c r="K136" s="363"/>
      <c r="L136" s="363"/>
      <c r="M136" s="363"/>
      <c r="N136" s="363"/>
      <c r="R136" s="982" t="s">
        <v>1231</v>
      </c>
      <c r="S136" s="982"/>
      <c r="T136" s="982"/>
      <c r="U136" s="982"/>
      <c r="V136" s="982"/>
      <c r="W136" s="982"/>
      <c r="X136" s="365"/>
      <c r="Y136" s="365"/>
      <c r="AA136" s="365"/>
      <c r="AB136" s="365"/>
      <c r="AC136" s="365"/>
      <c r="AD136" s="365"/>
    </row>
    <row r="137" spans="1:53" s="369" customFormat="1" ht="9" customHeight="1">
      <c r="A137" s="366"/>
      <c r="B137" s="367" t="s">
        <v>1233</v>
      </c>
      <c r="C137" s="368"/>
      <c r="D137" s="368"/>
      <c r="E137" s="368"/>
      <c r="F137" s="368"/>
      <c r="G137" s="367" t="s">
        <v>1232</v>
      </c>
      <c r="H137" s="368"/>
      <c r="I137" s="368"/>
      <c r="J137" s="368"/>
      <c r="K137" s="368"/>
      <c r="L137" s="368"/>
      <c r="M137" s="368"/>
      <c r="N137" s="368"/>
      <c r="R137" s="370" t="s">
        <v>1234</v>
      </c>
      <c r="S137" s="371"/>
      <c r="T137" s="372"/>
      <c r="U137" s="372"/>
      <c r="V137" s="372"/>
      <c r="W137" s="370" t="s">
        <v>1235</v>
      </c>
      <c r="X137" s="372"/>
      <c r="Y137" s="372"/>
      <c r="AA137" s="372"/>
      <c r="AB137" s="372"/>
      <c r="AC137" s="372"/>
      <c r="AD137" s="372"/>
    </row>
    <row r="138" spans="1:53" s="351" customFormat="1" ht="12" customHeight="1">
      <c r="A138" s="373" t="s">
        <v>3</v>
      </c>
      <c r="B138" s="374" t="s">
        <v>8</v>
      </c>
      <c r="C138" s="374" t="s">
        <v>9</v>
      </c>
      <c r="D138" s="374" t="s">
        <v>10</v>
      </c>
      <c r="E138" s="375" t="s">
        <v>1209</v>
      </c>
      <c r="F138" s="374"/>
      <c r="G138" s="351" t="s">
        <v>3</v>
      </c>
      <c r="H138" s="983" t="s">
        <v>0</v>
      </c>
      <c r="I138" s="983"/>
      <c r="J138" s="983" t="s">
        <v>1</v>
      </c>
      <c r="K138" s="983"/>
      <c r="L138" s="983" t="s">
        <v>2</v>
      </c>
      <c r="M138" s="983"/>
      <c r="N138" s="984" t="s">
        <v>1209</v>
      </c>
      <c r="O138" s="984"/>
      <c r="P138" s="376"/>
      <c r="Q138" s="376"/>
      <c r="R138" s="377" t="s">
        <v>3</v>
      </c>
      <c r="S138" s="378" t="s">
        <v>136</v>
      </c>
      <c r="T138" s="376" t="s">
        <v>134</v>
      </c>
      <c r="U138" s="374" t="s">
        <v>135</v>
      </c>
      <c r="V138" s="376"/>
      <c r="W138" s="379" t="s">
        <v>26</v>
      </c>
    </row>
    <row r="139" spans="1:53" s="273" customFormat="1">
      <c r="A139" s="273">
        <v>1959</v>
      </c>
      <c r="B139" s="260">
        <f>(K6*($E6/365)) + (K7*($E7/365))</f>
        <v>100</v>
      </c>
      <c r="C139" s="260">
        <f>(L6*($E6/365)) + (L7*($E7/365))</f>
        <v>0</v>
      </c>
      <c r="D139" s="260">
        <f>(M6*($E6/365)) + (M7*($E7/365))</f>
        <v>0</v>
      </c>
      <c r="E139" s="261">
        <f>B139+C139+D139</f>
        <v>100</v>
      </c>
      <c r="G139" s="273">
        <v>1959</v>
      </c>
      <c r="H139" s="991">
        <f>(O6/$R6*100*($E6/365))+(O7/$R7*100*($E7/365))</f>
        <v>100</v>
      </c>
      <c r="I139" s="991"/>
      <c r="J139" s="991">
        <f>(P6/$R6*100*($E6/365))+(P7/$R7*100*($E7/365))</f>
        <v>0</v>
      </c>
      <c r="K139" s="991"/>
      <c r="L139" s="991">
        <f>(Q6/$R6*100*($E6/365))+(Q7/$R7*100*($E7/365))</f>
        <v>0</v>
      </c>
      <c r="M139" s="991"/>
      <c r="N139" s="993">
        <f>H139+J139+L139</f>
        <v>100</v>
      </c>
      <c r="O139" s="1021"/>
      <c r="P139" s="262"/>
      <c r="Q139" s="262"/>
      <c r="R139" s="273">
        <v>1959</v>
      </c>
      <c r="S139" s="260">
        <f>(O6*($E6/365)) + (O7*($E7/365))</f>
        <v>53.099999999999994</v>
      </c>
      <c r="T139" s="260">
        <f>(P6*($E6/365)) + (P7*($E7/365))</f>
        <v>0</v>
      </c>
      <c r="U139" s="260">
        <f>(Q6*($E6/365)) + (Q7*($E7/365))</f>
        <v>0</v>
      </c>
      <c r="V139" s="275"/>
      <c r="W139" s="274">
        <f>S139+T139+U139</f>
        <v>53.099999999999994</v>
      </c>
    </row>
    <row r="140" spans="1:53">
      <c r="A140" s="1">
        <v>1960</v>
      </c>
      <c r="B140" s="8">
        <f>(K8*($E8/366)) + (K9*($E9/366))</f>
        <v>100</v>
      </c>
      <c r="C140" s="8">
        <f>(L8*($E8/366)) + (L9*($E9/366))</f>
        <v>0</v>
      </c>
      <c r="D140" s="8">
        <f>(M8*($E8/366)) + (M9*($E9/366))</f>
        <v>0</v>
      </c>
      <c r="E140" s="52">
        <f>B140+C140+D140</f>
        <v>100</v>
      </c>
      <c r="G140" s="2">
        <v>1960</v>
      </c>
      <c r="H140" s="989">
        <f>(O8/$R8*100*($E8/366))+(O9/$R9*100*($E9/366))</f>
        <v>100</v>
      </c>
      <c r="I140" s="989"/>
      <c r="J140" s="989">
        <f>(P8/$R8*100*($E8/366))+(P9/$R9*100*($E9/366))</f>
        <v>0</v>
      </c>
      <c r="K140" s="989"/>
      <c r="L140" s="989">
        <f>(Q8/$R8*100*($E8/366))+(Q9/$R9*100*($E9/366))</f>
        <v>0</v>
      </c>
      <c r="M140" s="989"/>
      <c r="N140" s="990">
        <f>H140+J140+L140</f>
        <v>100</v>
      </c>
      <c r="O140" s="1020"/>
      <c r="P140" s="5"/>
      <c r="Q140" s="5"/>
      <c r="R140" s="1">
        <v>1960</v>
      </c>
      <c r="S140" s="8">
        <f>(O8*($E8/366)) + (O9*($E9/366))</f>
        <v>53.1</v>
      </c>
      <c r="T140" s="8">
        <f>(P8*($E8/366)) + (P9*($E9/366))</f>
        <v>0</v>
      </c>
      <c r="U140" s="8">
        <f>(Q8*($E8/366)) + (Q9*($E9/366))</f>
        <v>0</v>
      </c>
      <c r="V140" s="12"/>
      <c r="W140" s="7">
        <f>S140+T140+U140</f>
        <v>53.1</v>
      </c>
    </row>
    <row r="141" spans="1:53">
      <c r="A141" s="1">
        <v>1961</v>
      </c>
      <c r="B141" s="8">
        <f>(K10*($E10/365)) + (K11*($E11/365))</f>
        <v>100</v>
      </c>
      <c r="C141" s="8">
        <f>(L10*($E10/365)) + (L11*($E11/365))</f>
        <v>0</v>
      </c>
      <c r="D141" s="8">
        <f>(M10*($E10/365)) + (M11*($E11/365))</f>
        <v>0</v>
      </c>
      <c r="E141" s="52">
        <f>B141+C141+D141</f>
        <v>100</v>
      </c>
      <c r="G141" s="1">
        <v>1961</v>
      </c>
      <c r="H141" s="989">
        <f>(O10/$R10*100*($E10/365))+(O11/$R11*100*($E11/365))</f>
        <v>100</v>
      </c>
      <c r="I141" s="989"/>
      <c r="J141" s="989">
        <f>(P10/$R10*100*($E10/365))+(P11/$R11*100*($E11/365))</f>
        <v>0</v>
      </c>
      <c r="K141" s="989"/>
      <c r="L141" s="989">
        <f>(Q10/$R10*100*($E10/365))+(Q11/$R11*100*($E11/365))</f>
        <v>0</v>
      </c>
      <c r="M141" s="989"/>
      <c r="N141" s="990">
        <f>H141+J141+L141</f>
        <v>100</v>
      </c>
      <c r="O141" s="1020"/>
      <c r="P141" s="5"/>
      <c r="Q141" s="5"/>
      <c r="R141" s="1">
        <v>1961</v>
      </c>
      <c r="S141" s="8">
        <f>(O10*($E10/365)) + (O11*($E11/365))</f>
        <v>52.089041095890416</v>
      </c>
      <c r="T141" s="8">
        <f>(P10*($E10/365)) + (P11*($E11/365))</f>
        <v>0</v>
      </c>
      <c r="U141" s="8">
        <f>(Q10*($E10/365)) + (Q11*($E11/365))</f>
        <v>0</v>
      </c>
      <c r="V141" s="12"/>
      <c r="W141" s="7">
        <f t="shared" ref="W141:W193" si="19">S141+T141+U141</f>
        <v>52.089041095890416</v>
      </c>
    </row>
    <row r="142" spans="1:53">
      <c r="A142" s="1">
        <v>1962</v>
      </c>
      <c r="B142" s="8">
        <f>(K12*($E12/365)) + (K13*($E13/365))</f>
        <v>100</v>
      </c>
      <c r="C142" s="8">
        <f>(L12*($E12/365)) + (L13*($E13/365))</f>
        <v>0</v>
      </c>
      <c r="D142" s="8">
        <f>(M12*($E12/365)) + (M13*($E13/365))</f>
        <v>0</v>
      </c>
      <c r="E142" s="52">
        <f t="shared" ref="E142:E193" si="20">B142+C142+D142</f>
        <v>100</v>
      </c>
      <c r="G142" s="1">
        <v>1962</v>
      </c>
      <c r="H142" s="989">
        <f>(O12/$R12*100*($E12/365))+(O13/$R13*100*($E13/365))</f>
        <v>100</v>
      </c>
      <c r="I142" s="989"/>
      <c r="J142" s="989">
        <f>(P12/$R12*100*($E12/365))+(P13/$R13*100*($E13/365))</f>
        <v>0</v>
      </c>
      <c r="K142" s="989"/>
      <c r="L142" s="989">
        <f>(Q12/$R12*100*($E12/365))+(Q13/$R13*100*($E13/365))</f>
        <v>0</v>
      </c>
      <c r="M142" s="989"/>
      <c r="N142" s="990">
        <f t="shared" ref="N142:N191" si="21">H142+J142+L142</f>
        <v>100</v>
      </c>
      <c r="O142" s="1020"/>
      <c r="P142" s="5"/>
      <c r="Q142" s="5"/>
      <c r="R142" s="1">
        <v>1962</v>
      </c>
      <c r="S142" s="8">
        <f>(O12*($E12/365)) + (O13*($E13/365))</f>
        <v>48.6</v>
      </c>
      <c r="T142" s="8">
        <f>(P12*($E12/365)) + (P13*($E13/365))</f>
        <v>0</v>
      </c>
      <c r="U142" s="8">
        <f>(Q12*($E12/365)) + (Q13*($E13/365))</f>
        <v>0</v>
      </c>
      <c r="V142" s="12"/>
      <c r="W142" s="7">
        <f t="shared" si="19"/>
        <v>48.6</v>
      </c>
    </row>
    <row r="143" spans="1:53">
      <c r="A143" s="1">
        <v>1963</v>
      </c>
      <c r="B143" s="8">
        <f>(K14*($E14/365)) + (K15*($E15/365))</f>
        <v>100</v>
      </c>
      <c r="C143" s="8">
        <f>(L14*($E14/365)) + (L15*($E15/365))</f>
        <v>0</v>
      </c>
      <c r="D143" s="8">
        <f>(M14*($E14/365)) + (M15*($E15/365))</f>
        <v>0</v>
      </c>
      <c r="E143" s="52">
        <f t="shared" si="20"/>
        <v>100</v>
      </c>
      <c r="G143" s="1">
        <v>1963</v>
      </c>
      <c r="H143" s="989">
        <f>(O14/$R14*100*($E14/365))+(O15/$R15*100*($E15/365))</f>
        <v>100</v>
      </c>
      <c r="I143" s="989"/>
      <c r="J143" s="989">
        <f>(P14/$R14*100*($E14/365))+(P15/$R15*100*($E15/365))</f>
        <v>0</v>
      </c>
      <c r="K143" s="989"/>
      <c r="L143" s="989">
        <f>(Q14/$R14*100*($E14/365))+(Q15/$R15*100*($E15/365))</f>
        <v>0</v>
      </c>
      <c r="M143" s="989"/>
      <c r="N143" s="990">
        <f t="shared" si="21"/>
        <v>100</v>
      </c>
      <c r="O143" s="1020"/>
      <c r="P143" s="5"/>
      <c r="Q143" s="5"/>
      <c r="R143" s="1">
        <v>1963</v>
      </c>
      <c r="S143" s="8">
        <f>(O14*($E14/365)) + (O15*($E15/365))</f>
        <v>48.6</v>
      </c>
      <c r="T143" s="8">
        <f>(P14*($E14/365)) + (P15*($E15/365))</f>
        <v>0</v>
      </c>
      <c r="U143" s="8">
        <f>(Q14*($E14/365)) + (Q15*($E15/365))</f>
        <v>0</v>
      </c>
      <c r="V143" s="12"/>
      <c r="W143" s="7">
        <f t="shared" si="19"/>
        <v>48.6</v>
      </c>
    </row>
    <row r="144" spans="1:53">
      <c r="A144" s="1">
        <v>1964</v>
      </c>
      <c r="B144" s="8">
        <f>(K16*($E16/366)) + (K17*($E17/366))</f>
        <v>100</v>
      </c>
      <c r="C144" s="8">
        <f>(L16*($E16/366)) + (L17*($E17/366))</f>
        <v>0</v>
      </c>
      <c r="D144" s="8">
        <f>(M16*($E16/366)) + (M17*($E17/366))</f>
        <v>0</v>
      </c>
      <c r="E144" s="52">
        <f t="shared" si="20"/>
        <v>100</v>
      </c>
      <c r="G144" s="1">
        <v>1964</v>
      </c>
      <c r="H144" s="989">
        <f>(O16/$R16*100*($E16/366))+(O17/$R17*100*($E17/366))</f>
        <v>100</v>
      </c>
      <c r="I144" s="989"/>
      <c r="J144" s="989">
        <f>(P16/$R16*100*($E16/366))+(P17/$R17*100*($E17/366))</f>
        <v>0</v>
      </c>
      <c r="K144" s="989"/>
      <c r="L144" s="989">
        <f>(Q16/$R16*100*($E16/366))+(Q17/$R17*100*($E17/366))</f>
        <v>0</v>
      </c>
      <c r="M144" s="989"/>
      <c r="N144" s="990">
        <f t="shared" si="21"/>
        <v>100</v>
      </c>
      <c r="O144" s="1020"/>
      <c r="P144" s="5"/>
      <c r="Q144" s="5"/>
      <c r="R144" s="1">
        <v>1964</v>
      </c>
      <c r="S144" s="8">
        <f>(O16*($E16/366)) + (O17*($E17/366))</f>
        <v>48.6</v>
      </c>
      <c r="T144" s="8">
        <f>(P16*($E16/366)) + (P17*($E17/366))</f>
        <v>0</v>
      </c>
      <c r="U144" s="8">
        <f>(Q16*($E16/366)) + (Q17*($E17/366))</f>
        <v>0</v>
      </c>
      <c r="V144" s="12"/>
      <c r="W144" s="7">
        <f t="shared" si="19"/>
        <v>48.6</v>
      </c>
    </row>
    <row r="145" spans="1:23">
      <c r="A145" s="1">
        <v>1965</v>
      </c>
      <c r="B145" s="8">
        <f>(K18*($E18/365)) + (K19*($E19/365))</f>
        <v>100</v>
      </c>
      <c r="C145" s="8">
        <f>(L18*($E18/365)) + (L19*($E19/365))</f>
        <v>0</v>
      </c>
      <c r="D145" s="8">
        <f>(M18*($E18/365)) + (M19*($E19/365))</f>
        <v>0</v>
      </c>
      <c r="E145" s="52">
        <f t="shared" si="20"/>
        <v>100</v>
      </c>
      <c r="G145" s="1">
        <v>1965</v>
      </c>
      <c r="H145" s="989">
        <f>(O18/$R18*100*($E18/365))+(O19/$R19*100*($E19/365))</f>
        <v>100</v>
      </c>
      <c r="I145" s="989"/>
      <c r="J145" s="989">
        <f>(P18/$R18*100*($E18/365))+(P19/$R19*100*($E19/365))</f>
        <v>0</v>
      </c>
      <c r="K145" s="989"/>
      <c r="L145" s="989">
        <f>(Q18/$R18*100*($E18/365))+(Q19/$R19*100*($E19/365))</f>
        <v>0</v>
      </c>
      <c r="M145" s="989"/>
      <c r="N145" s="990">
        <f t="shared" si="21"/>
        <v>100</v>
      </c>
      <c r="O145" s="1020"/>
      <c r="P145" s="5"/>
      <c r="Q145" s="5"/>
      <c r="R145" s="1">
        <v>1965</v>
      </c>
      <c r="S145" s="8">
        <f>(O18*($E18/365)) + (O19*($E19/365))</f>
        <v>49.654794520547945</v>
      </c>
      <c r="T145" s="8">
        <f>(P18*($E18/365)) + (P19*($E19/365))</f>
        <v>0</v>
      </c>
      <c r="U145" s="8">
        <f>(Q18*($E18/365)) + (Q19*($E19/365))</f>
        <v>0</v>
      </c>
      <c r="V145" s="12"/>
      <c r="W145" s="7">
        <f t="shared" si="19"/>
        <v>49.654794520547945</v>
      </c>
    </row>
    <row r="146" spans="1:23">
      <c r="A146" s="1">
        <v>1966</v>
      </c>
      <c r="B146" s="8">
        <f>(K20*($E20/365)) + (K21*($E21/365))</f>
        <v>100</v>
      </c>
      <c r="C146" s="8">
        <f>(L20*($E20/365)) + (L21*($E21/365))</f>
        <v>0</v>
      </c>
      <c r="D146" s="8">
        <f>(M20*($E20/365)) + (M21*($E21/365))</f>
        <v>0</v>
      </c>
      <c r="E146" s="52">
        <f t="shared" si="20"/>
        <v>100</v>
      </c>
      <c r="G146" s="1">
        <v>1966</v>
      </c>
      <c r="H146" s="989">
        <f>(O20/$R20*100*($E20/365))+(O21/$R21*100*($E21/365))</f>
        <v>100</v>
      </c>
      <c r="I146" s="989"/>
      <c r="J146" s="989">
        <f>(P20/$R20*100*($E20/365))+(P21/$R21*100*($E21/365))</f>
        <v>0</v>
      </c>
      <c r="K146" s="989"/>
      <c r="L146" s="989">
        <f>(Q20/$R20*100*($E20/365))+(Q21/$R21*100*($E21/365))</f>
        <v>0</v>
      </c>
      <c r="M146" s="989"/>
      <c r="N146" s="990">
        <f t="shared" si="21"/>
        <v>100</v>
      </c>
      <c r="O146" s="1020"/>
      <c r="P146" s="5"/>
      <c r="Q146" s="5"/>
      <c r="R146" s="1">
        <v>1966</v>
      </c>
      <c r="S146" s="8">
        <f>(O20*($E20/365)) + (O21*($E21/365))</f>
        <v>50</v>
      </c>
      <c r="T146" s="8">
        <f>(P20*($E20/365)) + (P21*($E21/365))</f>
        <v>0</v>
      </c>
      <c r="U146" s="8">
        <f>(Q20*($E20/365)) + (Q21*($E21/365))</f>
        <v>0</v>
      </c>
      <c r="V146" s="12"/>
      <c r="W146" s="7">
        <f t="shared" si="19"/>
        <v>50</v>
      </c>
    </row>
    <row r="147" spans="1:23">
      <c r="A147" s="1">
        <v>1967</v>
      </c>
      <c r="B147" s="8">
        <f>(K22*($E22/365)) + (K23*($E23/365))</f>
        <v>100</v>
      </c>
      <c r="C147" s="8">
        <f>(L22*($E22/365)) + (L23*($E23/365))</f>
        <v>0</v>
      </c>
      <c r="D147" s="8">
        <f>(M22*($E22/365)) + (M23*($E23/365))</f>
        <v>0</v>
      </c>
      <c r="E147" s="52">
        <f t="shared" si="20"/>
        <v>100</v>
      </c>
      <c r="G147" s="1">
        <v>1967</v>
      </c>
      <c r="H147" s="989">
        <f>(O22/$R22*100*($E22/365))+(O23/$R23*100*($E23/365))</f>
        <v>100</v>
      </c>
      <c r="I147" s="989"/>
      <c r="J147" s="989">
        <f>(P22/$R22*100*($E22/365))+(P23/$R23*100*($E23/365))</f>
        <v>0</v>
      </c>
      <c r="K147" s="989"/>
      <c r="L147" s="989">
        <f>(Q22/$R22*100*($E22/365))+(Q23/$R23*100*($E23/365))</f>
        <v>0</v>
      </c>
      <c r="M147" s="989"/>
      <c r="N147" s="990">
        <f t="shared" si="21"/>
        <v>100</v>
      </c>
      <c r="O147" s="1020"/>
      <c r="P147" s="5"/>
      <c r="Q147" s="5"/>
      <c r="R147" s="1">
        <v>1967</v>
      </c>
      <c r="S147" s="8">
        <f>(O22*($E22/365)) + (O23*($E23/365))</f>
        <v>50</v>
      </c>
      <c r="T147" s="8">
        <f>(P22*($E22/365)) + (P23*($E23/365))</f>
        <v>0</v>
      </c>
      <c r="U147" s="8">
        <f>(Q22*($E22/365)) + (Q23*($E23/365))</f>
        <v>0</v>
      </c>
      <c r="V147" s="12"/>
      <c r="W147" s="7">
        <f t="shared" si="19"/>
        <v>50</v>
      </c>
    </row>
    <row r="148" spans="1:23">
      <c r="A148" s="1">
        <v>1968</v>
      </c>
      <c r="B148" s="8">
        <f>(K24*($E24/366)) + (K25*($E25/366))</f>
        <v>100</v>
      </c>
      <c r="C148" s="8">
        <f>(L24*($E24/366)) + (L25*($E25/366))</f>
        <v>0</v>
      </c>
      <c r="D148" s="8">
        <f>(M24*($E24/366)) + (M25*($E25/366))</f>
        <v>0</v>
      </c>
      <c r="E148" s="52">
        <f t="shared" si="20"/>
        <v>100</v>
      </c>
      <c r="G148" s="1">
        <v>1968</v>
      </c>
      <c r="H148" s="989">
        <f>(O24/$R24*100*($E24/366))+(O25/$R25*100*($E25/366))</f>
        <v>100</v>
      </c>
      <c r="I148" s="989"/>
      <c r="J148" s="989">
        <f>(P24/$R24*100*($E24/366))+(P25/$R25*100*($E25/366))</f>
        <v>0</v>
      </c>
      <c r="K148" s="989"/>
      <c r="L148" s="989">
        <f>(Q24/$R24*100*($E24/366))+(Q25/$R25*100*($E25/366))</f>
        <v>0</v>
      </c>
      <c r="M148" s="989"/>
      <c r="N148" s="990">
        <f t="shared" si="21"/>
        <v>100</v>
      </c>
      <c r="O148" s="1020"/>
      <c r="P148" s="5"/>
      <c r="Q148" s="5"/>
      <c r="R148" s="1">
        <v>1968</v>
      </c>
      <c r="S148" s="8">
        <f>(O24*($E24/366)) + (O25*($E25/366))</f>
        <v>50</v>
      </c>
      <c r="T148" s="8">
        <f>(P24*($E24/366)) + (P25*($E25/366))</f>
        <v>0</v>
      </c>
      <c r="U148" s="8">
        <f>(Q24*($E24/366)) + (Q25*($E25/366))</f>
        <v>0</v>
      </c>
      <c r="V148" s="12"/>
      <c r="W148" s="7">
        <f t="shared" si="19"/>
        <v>50</v>
      </c>
    </row>
    <row r="149" spans="1:23">
      <c r="A149" s="1">
        <v>1969</v>
      </c>
      <c r="B149" s="8">
        <f>(K26*($E26/365)) + (K27*($E27/365))</f>
        <v>100</v>
      </c>
      <c r="C149" s="8">
        <f>(L26*($E26/365)) + (L27*($E27/365))</f>
        <v>0</v>
      </c>
      <c r="D149" s="8">
        <f>(M26*($E26/365)) + (M27*($E27/365))</f>
        <v>0</v>
      </c>
      <c r="E149" s="52">
        <f t="shared" si="20"/>
        <v>100</v>
      </c>
      <c r="G149" s="1">
        <v>1969</v>
      </c>
      <c r="H149" s="989">
        <f>(O26/$R26*100*($E26/365))+(O27/$R27*100*($E27/365))</f>
        <v>100</v>
      </c>
      <c r="I149" s="989"/>
      <c r="J149" s="989">
        <f>(P26/$R26*100*($E26/365))+(P27/$R27*100*($E27/365))</f>
        <v>0</v>
      </c>
      <c r="K149" s="989"/>
      <c r="L149" s="989">
        <f>(Q26/$R26*100*($E26/365))+(Q27/$R27*100*($E27/365))</f>
        <v>0</v>
      </c>
      <c r="M149" s="989"/>
      <c r="N149" s="990">
        <f t="shared" si="21"/>
        <v>100</v>
      </c>
      <c r="O149" s="1020"/>
      <c r="P149" s="5"/>
      <c r="Q149" s="5"/>
      <c r="R149" s="1">
        <v>1969</v>
      </c>
      <c r="S149" s="8">
        <f>(O26*($E26/365)) + (O27*($E27/365))</f>
        <v>51.052876712328768</v>
      </c>
      <c r="T149" s="8">
        <f>(P26*($E26/365)) + (P27*($E27/365))</f>
        <v>0</v>
      </c>
      <c r="U149" s="8">
        <f>(Q26*($E26/365)) + (Q27*($E27/365))</f>
        <v>0</v>
      </c>
      <c r="V149" s="12"/>
      <c r="W149" s="7">
        <f t="shared" si="19"/>
        <v>51.052876712328768</v>
      </c>
    </row>
    <row r="150" spans="1:23">
      <c r="A150" s="1">
        <v>1970</v>
      </c>
      <c r="B150" s="8">
        <f>(K28*($E28/365)) + (K29*($E29/365))</f>
        <v>100</v>
      </c>
      <c r="C150" s="8">
        <f>(L28*($E28/365)) + (L29*($E29/365))</f>
        <v>0</v>
      </c>
      <c r="D150" s="8">
        <f>(M28*($E28/365)) + (M29*($E29/365))</f>
        <v>0</v>
      </c>
      <c r="E150" s="52">
        <f t="shared" si="20"/>
        <v>100</v>
      </c>
      <c r="G150" s="1">
        <v>1970</v>
      </c>
      <c r="H150" s="989">
        <f>(O28/$R28*100*($E28/365))+(O29/$R29*100*($E29/365))</f>
        <v>100</v>
      </c>
      <c r="I150" s="989"/>
      <c r="J150" s="989">
        <f>(P28/$R28*100*($E28/365))+(P29/$R29*100*($E29/365))</f>
        <v>0</v>
      </c>
      <c r="K150" s="989"/>
      <c r="L150" s="989">
        <f>(Q28/$R28*100*($E28/365))+(Q29/$R29*100*($E29/365))</f>
        <v>0</v>
      </c>
      <c r="M150" s="989"/>
      <c r="N150" s="990">
        <f t="shared" si="21"/>
        <v>100</v>
      </c>
      <c r="O150" s="1020"/>
      <c r="P150" s="5"/>
      <c r="Q150" s="5"/>
      <c r="R150" s="1">
        <v>1970</v>
      </c>
      <c r="S150" s="8">
        <f>(O28*($E28/365)) + (O29*($E29/365))</f>
        <v>52.1</v>
      </c>
      <c r="T150" s="8">
        <f>(P28*($E28/365)) + (P29*($E29/365))</f>
        <v>0</v>
      </c>
      <c r="U150" s="8">
        <f>(Q28*($E28/365)) + (Q29*($E29/365))</f>
        <v>0</v>
      </c>
      <c r="V150" s="12"/>
      <c r="W150" s="7">
        <f t="shared" si="19"/>
        <v>52.1</v>
      </c>
    </row>
    <row r="151" spans="1:23">
      <c r="A151" s="1">
        <v>1971</v>
      </c>
      <c r="B151" s="8">
        <f>(K30*($E30/365)) + (K31*($E31/365))</f>
        <v>100</v>
      </c>
      <c r="C151" s="8">
        <f>(L30*($E30/365)) + (L31*($E31/365))</f>
        <v>0</v>
      </c>
      <c r="D151" s="8">
        <f>(M30*($E30/365)) + (M31*($E31/365))</f>
        <v>0</v>
      </c>
      <c r="E151" s="52">
        <f t="shared" si="20"/>
        <v>100</v>
      </c>
      <c r="G151" s="1">
        <v>1971</v>
      </c>
      <c r="H151" s="989">
        <f>(O30/$R30*100*($E30/365))+(O31/$R31*100*($E31/365))</f>
        <v>100</v>
      </c>
      <c r="I151" s="989"/>
      <c r="J151" s="989">
        <f>(P30/$R30*100*($E30/365))+(P31/$R31*100*($E31/365))</f>
        <v>0</v>
      </c>
      <c r="K151" s="989"/>
      <c r="L151" s="989">
        <f>(Q30/$R30*100*($E30/365))+(Q31/$R31*100*($E31/365))</f>
        <v>0</v>
      </c>
      <c r="M151" s="989"/>
      <c r="N151" s="990">
        <f t="shared" si="21"/>
        <v>100</v>
      </c>
      <c r="O151" s="1020"/>
      <c r="P151" s="5"/>
      <c r="Q151" s="5"/>
      <c r="R151" s="1">
        <v>1971</v>
      </c>
      <c r="S151" s="8">
        <f>(O30*($E30/365)) + (O31*($E31/365))</f>
        <v>52.1</v>
      </c>
      <c r="T151" s="8">
        <f>(P30*($E30/365)) + (P31*($E31/365))</f>
        <v>0</v>
      </c>
      <c r="U151" s="8">
        <f>(Q30*($E30/365)) + (Q31*($E31/365))</f>
        <v>0</v>
      </c>
      <c r="V151" s="12"/>
      <c r="W151" s="7">
        <f t="shared" si="19"/>
        <v>52.1</v>
      </c>
    </row>
    <row r="152" spans="1:23">
      <c r="A152" s="1">
        <v>1972</v>
      </c>
      <c r="B152" s="8">
        <f>(K32*($E32/366)) + (K33*($E33/366))</f>
        <v>100</v>
      </c>
      <c r="C152" s="8">
        <f>(L32*($E32/366)) + (L33*($E33/366))</f>
        <v>0</v>
      </c>
      <c r="D152" s="8">
        <f>(M32*($E32/366)) + (M33*($E33/366))</f>
        <v>0</v>
      </c>
      <c r="E152" s="52">
        <f t="shared" si="20"/>
        <v>100</v>
      </c>
      <c r="G152" s="1">
        <v>1972</v>
      </c>
      <c r="H152" s="989">
        <f>(O32/$R32*100*($E32/366))+(O33/$R33*100*($E33/366))</f>
        <v>100</v>
      </c>
      <c r="I152" s="989"/>
      <c r="J152" s="989">
        <f>(P32/$R32*100*($E32/366))+(P33/$R33*100*($E33/366))</f>
        <v>0</v>
      </c>
      <c r="K152" s="989"/>
      <c r="L152" s="989">
        <f>(Q32/$R32*100*($E32/366))+(Q33/$R33*100*($E33/366))</f>
        <v>0</v>
      </c>
      <c r="M152" s="989"/>
      <c r="N152" s="990">
        <f t="shared" si="21"/>
        <v>100</v>
      </c>
      <c r="O152" s="1020"/>
      <c r="P152" s="5"/>
      <c r="Q152" s="5"/>
      <c r="R152" s="1">
        <v>1972</v>
      </c>
      <c r="S152" s="8">
        <f>(O32*($E32/366)) + (O33*($E33/366))</f>
        <v>52.1</v>
      </c>
      <c r="T152" s="8">
        <f>(P32*($E32/366)) + (P33*($E33/366))</f>
        <v>0</v>
      </c>
      <c r="U152" s="8">
        <f>(Q32*($E32/366)) + (Q33*($E33/366))</f>
        <v>0</v>
      </c>
      <c r="V152" s="12"/>
      <c r="W152" s="7">
        <f t="shared" si="19"/>
        <v>52.1</v>
      </c>
    </row>
    <row r="153" spans="1:23">
      <c r="A153" s="1">
        <v>1973</v>
      </c>
      <c r="B153" s="8">
        <f>(K34*($E34/365)) + (K35*($E35/365))</f>
        <v>19.726027397260275</v>
      </c>
      <c r="C153" s="8">
        <f>(L34*($E34/365)) + (L35*($E35/365))</f>
        <v>55.188356164383563</v>
      </c>
      <c r="D153" s="8">
        <f>(M34*($E34/365)) + (M35*($E35/365))</f>
        <v>25.085616438356166</v>
      </c>
      <c r="E153" s="52">
        <f t="shared" si="20"/>
        <v>100</v>
      </c>
      <c r="G153" s="1">
        <v>1973</v>
      </c>
      <c r="H153" s="989">
        <f>(O34/$R34*100*($E34/365))+(O35/$R35*100*($E35/365))</f>
        <v>19.726027397260275</v>
      </c>
      <c r="I153" s="989"/>
      <c r="J153" s="989">
        <f>(P34/$R34*100*($E34/365))+(P35/$R35*100*($E35/365))</f>
        <v>59.374240090783822</v>
      </c>
      <c r="K153" s="989"/>
      <c r="L153" s="989">
        <f>(Q34/$R34*100*($E34/365))+(Q35/$R35*100*($E35/365))</f>
        <v>20.899732511955907</v>
      </c>
      <c r="M153" s="989"/>
      <c r="N153" s="990">
        <f t="shared" si="21"/>
        <v>100</v>
      </c>
      <c r="O153" s="1020"/>
      <c r="P153" s="5"/>
      <c r="Q153" s="5"/>
      <c r="R153" s="1">
        <v>1973</v>
      </c>
      <c r="S153" s="8">
        <f>(O34*($E34/365)) + (O35*($E35/365))</f>
        <v>10.277260273972603</v>
      </c>
      <c r="T153" s="8">
        <f>(P34*($E34/365)) + (P35*($E35/365))</f>
        <v>30.102739726027398</v>
      </c>
      <c r="U153" s="8">
        <f>(Q34*($E34/365)) + (Q35*($E35/365))</f>
        <v>10.596164383561645</v>
      </c>
      <c r="V153" s="12"/>
      <c r="W153" s="7">
        <f t="shared" si="19"/>
        <v>50.976164383561645</v>
      </c>
    </row>
    <row r="154" spans="1:23">
      <c r="A154" s="1">
        <v>1974</v>
      </c>
      <c r="B154" s="8">
        <f>(K36*($E36/365)) + (K37*($E37/365))</f>
        <v>0</v>
      </c>
      <c r="C154" s="8">
        <f>(L36*($E36/365)) + (L37*($E37/365))</f>
        <v>68.75</v>
      </c>
      <c r="D154" s="8">
        <f>(M36*($E36/365)) + (M37*($E37/365))</f>
        <v>31.25</v>
      </c>
      <c r="E154" s="52">
        <f t="shared" si="20"/>
        <v>100</v>
      </c>
      <c r="G154" s="1">
        <v>1974</v>
      </c>
      <c r="H154" s="989">
        <f>(O36/$R36*100*($E36/365))+(O37/$R37*100*($E37/365))</f>
        <v>0</v>
      </c>
      <c r="I154" s="989"/>
      <c r="J154" s="989">
        <f>(P36/$R36*100*($E36/365))+(P37/$R37*100*($E37/365))</f>
        <v>73.964497041420117</v>
      </c>
      <c r="K154" s="989"/>
      <c r="L154" s="989">
        <f>(Q36/$R36*100*($E36/365))+(Q37/$R37*100*($E37/365))</f>
        <v>26.035502958579883</v>
      </c>
      <c r="M154" s="989"/>
      <c r="N154" s="990">
        <f t="shared" si="21"/>
        <v>100</v>
      </c>
      <c r="O154" s="1020"/>
      <c r="P154" s="5"/>
      <c r="Q154" s="5"/>
      <c r="R154" s="1">
        <v>1974</v>
      </c>
      <c r="S154" s="8">
        <f>(O36*($E36/365)) + (O37*($E37/365))</f>
        <v>0</v>
      </c>
      <c r="T154" s="8">
        <f>(P36*($E36/365)) + (P37*($E37/365))</f>
        <v>37.5</v>
      </c>
      <c r="U154" s="8">
        <f>(Q36*($E36/365)) + (Q37*($E37/365))</f>
        <v>13.2</v>
      </c>
      <c r="V154" s="12"/>
      <c r="W154" s="7">
        <f t="shared" si="19"/>
        <v>50.7</v>
      </c>
    </row>
    <row r="155" spans="1:23">
      <c r="A155" s="1">
        <v>1975</v>
      </c>
      <c r="B155" s="8">
        <f>(K38*($E38/365)) + (K39*($E39/365))</f>
        <v>0</v>
      </c>
      <c r="C155" s="8">
        <f>(L38*($E38/365)) + (L39*($E39/365))</f>
        <v>68.75</v>
      </c>
      <c r="D155" s="8">
        <f>(M38*($E38/365)) + (M39*($E39/365))</f>
        <v>31.25</v>
      </c>
      <c r="E155" s="52">
        <f t="shared" si="20"/>
        <v>100</v>
      </c>
      <c r="G155" s="1">
        <v>1975</v>
      </c>
      <c r="H155" s="989">
        <f>(O38/$R38*100*($E38/365))+(O39/$R39*100*($E39/365))</f>
        <v>0</v>
      </c>
      <c r="I155" s="989"/>
      <c r="J155" s="989">
        <f>(P38/$R38*100*($E38/365))+(P39/$R39*100*($E39/365))</f>
        <v>73.964497041420117</v>
      </c>
      <c r="K155" s="989"/>
      <c r="L155" s="989">
        <f>(Q38/$R38*100*($E38/365))+(Q39/$R39*100*($E39/365))</f>
        <v>26.035502958579883</v>
      </c>
      <c r="M155" s="989"/>
      <c r="N155" s="990">
        <f t="shared" si="21"/>
        <v>100</v>
      </c>
      <c r="O155" s="1020"/>
      <c r="P155" s="5"/>
      <c r="Q155" s="5"/>
      <c r="R155" s="1">
        <v>1975</v>
      </c>
      <c r="S155" s="8">
        <f>(O38*($E38/365)) + (O39*($E39/365))</f>
        <v>0</v>
      </c>
      <c r="T155" s="8">
        <f>(P38*($E38/365)) + (P39*($E39/365))</f>
        <v>37.5</v>
      </c>
      <c r="U155" s="8">
        <f>(Q38*($E38/365)) + (Q39*($E39/365))</f>
        <v>13.2</v>
      </c>
      <c r="V155" s="12"/>
      <c r="W155" s="7">
        <f t="shared" si="19"/>
        <v>50.7</v>
      </c>
    </row>
    <row r="156" spans="1:23">
      <c r="A156" s="1">
        <v>1976</v>
      </c>
      <c r="B156" s="8">
        <f>(K40*($E40/366)) + (K41*($E41/366))</f>
        <v>0</v>
      </c>
      <c r="C156" s="8">
        <f>(L40*($E40/366)) + (L41*($E41/366))</f>
        <v>68.75</v>
      </c>
      <c r="D156" s="8">
        <f>(M40*($E40/366)) + (M41*($E41/366))</f>
        <v>31.25</v>
      </c>
      <c r="E156" s="52">
        <f t="shared" si="20"/>
        <v>100</v>
      </c>
      <c r="G156" s="1">
        <v>1976</v>
      </c>
      <c r="H156" s="989">
        <f>(O40/$R40*100*($E40/366))+(O41/$R41*100*($E41/366))</f>
        <v>0</v>
      </c>
      <c r="I156" s="989"/>
      <c r="J156" s="989">
        <f>(P40/$R40*100*($E40/366))+(P41/$R41*100*($E41/366))</f>
        <v>73.964497041420117</v>
      </c>
      <c r="K156" s="989"/>
      <c r="L156" s="989">
        <f>(Q40/$R40*100*($E40/366))+(Q41/$R41*100*($E41/366))</f>
        <v>26.035502958579883</v>
      </c>
      <c r="M156" s="989"/>
      <c r="N156" s="990">
        <f t="shared" si="21"/>
        <v>100</v>
      </c>
      <c r="O156" s="1020"/>
      <c r="P156" s="5"/>
      <c r="Q156" s="5"/>
      <c r="R156" s="1">
        <v>1976</v>
      </c>
      <c r="S156" s="8">
        <f>(O40*($E40/366)) + (O41*($E41/366))</f>
        <v>0</v>
      </c>
      <c r="T156" s="8">
        <f>(P40*($E40/366)) + (P41*($E41/366))</f>
        <v>37.5</v>
      </c>
      <c r="U156" s="8">
        <f>(Q40*($E40/366)) + (Q41*($E41/366))</f>
        <v>13.2</v>
      </c>
      <c r="V156" s="12"/>
      <c r="W156" s="7">
        <f t="shared" si="19"/>
        <v>50.7</v>
      </c>
    </row>
    <row r="157" spans="1:23">
      <c r="A157" s="1">
        <v>1977</v>
      </c>
      <c r="B157" s="8">
        <f>(K42*($E42/365)) + (K43*($E43/365))</f>
        <v>49.315068493150683</v>
      </c>
      <c r="C157" s="8">
        <f>(L42*($E42/365)) + (L43*($E43/365))</f>
        <v>34.845890410958908</v>
      </c>
      <c r="D157" s="8">
        <f>(M42*($E42/365)) + (M43*($E43/365))</f>
        <v>15.839041095890412</v>
      </c>
      <c r="E157" s="52">
        <f t="shared" si="20"/>
        <v>100</v>
      </c>
      <c r="G157" s="1">
        <v>1977</v>
      </c>
      <c r="H157" s="989">
        <f>(O42/$R42*100*($E42/365))+(O43/$R43*100*($E43/365))</f>
        <v>49.315068493150683</v>
      </c>
      <c r="I157" s="989"/>
      <c r="J157" s="989">
        <f>(P42/$R42*100*($E42/365))+(P43/$R43*100*($E43/365))</f>
        <v>37.488854664829375</v>
      </c>
      <c r="K157" s="989"/>
      <c r="L157" s="989">
        <f>(Q42/$R42*100*($E42/365))+(Q43/$R43*100*($E43/365))</f>
        <v>13.196076842019941</v>
      </c>
      <c r="M157" s="989"/>
      <c r="N157" s="990">
        <f t="shared" si="21"/>
        <v>100</v>
      </c>
      <c r="O157" s="1020"/>
      <c r="P157" s="5"/>
      <c r="Q157" s="5"/>
      <c r="R157" s="1">
        <v>1977</v>
      </c>
      <c r="S157" s="8">
        <f>(O42*($E42/365)) + (O43*($E43/365))</f>
        <v>28.010958904109586</v>
      </c>
      <c r="T157" s="8">
        <f>(P42*($E42/365)) + (P43*($E43/365))</f>
        <v>19.006849315068493</v>
      </c>
      <c r="U157" s="8">
        <f>(Q42*($E42/365)) + (Q43*($E43/365))</f>
        <v>6.6904109589041099</v>
      </c>
      <c r="V157" s="12"/>
      <c r="W157" s="7">
        <f t="shared" si="19"/>
        <v>53.708219178082189</v>
      </c>
    </row>
    <row r="158" spans="1:23">
      <c r="A158" s="1">
        <v>1978</v>
      </c>
      <c r="B158" s="8">
        <f>(K44*($E44/365)) + (K45*($E45/365))</f>
        <v>100</v>
      </c>
      <c r="C158" s="8">
        <f>(L44*($E44/365)) + (L45*($E45/365))</f>
        <v>0</v>
      </c>
      <c r="D158" s="8">
        <f>(M44*($E44/365)) + (M45*($E45/365))</f>
        <v>0</v>
      </c>
      <c r="E158" s="52">
        <f t="shared" si="20"/>
        <v>100</v>
      </c>
      <c r="G158" s="1">
        <v>1978</v>
      </c>
      <c r="H158" s="989">
        <f>(O44/$R44*100*($E44/365))+(O45/$R45*100*($E45/365))</f>
        <v>100</v>
      </c>
      <c r="I158" s="989"/>
      <c r="J158" s="989">
        <f>(P44/$R44*100*($E44/365))+(P45/$R45*100*($E45/365))</f>
        <v>0</v>
      </c>
      <c r="K158" s="989"/>
      <c r="L158" s="989">
        <f>(Q44/$R44*100*($E44/365))+(Q45/$R45*100*($E45/365))</f>
        <v>0</v>
      </c>
      <c r="M158" s="989"/>
      <c r="N158" s="990">
        <f t="shared" si="21"/>
        <v>100</v>
      </c>
      <c r="O158" s="1020"/>
      <c r="P158" s="5"/>
      <c r="Q158" s="5"/>
      <c r="R158" s="1">
        <v>1978</v>
      </c>
      <c r="S158" s="8">
        <f>(O44*($E44/365)) + (O45*($E45/365))</f>
        <v>56.8</v>
      </c>
      <c r="T158" s="8">
        <f>(P44*($E44/365)) + (P45*($E45/365))</f>
        <v>0</v>
      </c>
      <c r="U158" s="8">
        <f>(Q44*($E44/365)) + (Q45*($E45/365))</f>
        <v>0</v>
      </c>
      <c r="V158" s="12"/>
      <c r="W158" s="7">
        <f t="shared" si="19"/>
        <v>56.8</v>
      </c>
    </row>
    <row r="159" spans="1:23">
      <c r="A159" s="1">
        <v>1979</v>
      </c>
      <c r="B159" s="8">
        <f>(K46*($E46/365)) + (K47*($E47/365))</f>
        <v>100</v>
      </c>
      <c r="C159" s="8">
        <f>(L46*($E46/365)) + (L47*($E47/365))</f>
        <v>0</v>
      </c>
      <c r="D159" s="8">
        <f>(M46*($E46/365)) + (M47*($E47/365))</f>
        <v>0</v>
      </c>
      <c r="E159" s="52">
        <f t="shared" si="20"/>
        <v>100</v>
      </c>
      <c r="G159" s="1">
        <v>1979</v>
      </c>
      <c r="H159" s="989">
        <f>(O46/$R46*100*($E46/365))+(O47/$R47*100*($E47/365))</f>
        <v>100</v>
      </c>
      <c r="I159" s="989"/>
      <c r="J159" s="989">
        <f>(P46/$R46*100*($E46/365))+(P47/$R47*100*($E47/365))</f>
        <v>0</v>
      </c>
      <c r="K159" s="989"/>
      <c r="L159" s="989">
        <f>(Q46/$R46*100*($E46/365))+(Q47/$R47*100*($E47/365))</f>
        <v>0</v>
      </c>
      <c r="M159" s="989"/>
      <c r="N159" s="990">
        <f t="shared" si="21"/>
        <v>100</v>
      </c>
      <c r="O159" s="1020"/>
      <c r="P159" s="5"/>
      <c r="Q159" s="5"/>
      <c r="R159" s="1">
        <v>1979</v>
      </c>
      <c r="S159" s="8">
        <f>(O46*($E46/365)) + (O47*($E47/365))</f>
        <v>56.8</v>
      </c>
      <c r="T159" s="8">
        <f>(P46*($E46/365)) + (P47*($E47/365))</f>
        <v>0</v>
      </c>
      <c r="U159" s="8">
        <f>(Q46*($E46/365)) + (Q47*($E47/365))</f>
        <v>0</v>
      </c>
      <c r="V159" s="12"/>
      <c r="W159" s="7">
        <f t="shared" si="19"/>
        <v>56.8</v>
      </c>
    </row>
    <row r="160" spans="1:23">
      <c r="A160" s="1">
        <v>1980</v>
      </c>
      <c r="B160" s="8">
        <f>(K48*($E48/366)) + (K49*($E49/366))</f>
        <v>100</v>
      </c>
      <c r="C160" s="8">
        <f>(L48*($E48/366)) + (L49*($E49/366))</f>
        <v>0</v>
      </c>
      <c r="D160" s="8">
        <f>(M48*($E48/366)) + (M49*($E49/366))</f>
        <v>0</v>
      </c>
      <c r="E160" s="52">
        <f t="shared" si="20"/>
        <v>100</v>
      </c>
      <c r="G160" s="1">
        <v>1980</v>
      </c>
      <c r="H160" s="989">
        <f>(O48/$R48*100*($E48/366))+(O49/$R49*100*($E49/366))</f>
        <v>100</v>
      </c>
      <c r="I160" s="989"/>
      <c r="J160" s="989">
        <f>(P48/$R48*100*($E48/366))+(P49/$R49*100*($E49/366))</f>
        <v>0</v>
      </c>
      <c r="K160" s="989"/>
      <c r="L160" s="989">
        <f>(Q48/$R48*100*($E48/366))+(Q49/$R49*100*($E49/366))</f>
        <v>0</v>
      </c>
      <c r="M160" s="989"/>
      <c r="N160" s="990">
        <f t="shared" si="21"/>
        <v>100</v>
      </c>
      <c r="O160" s="1020"/>
      <c r="P160" s="5"/>
      <c r="Q160" s="5"/>
      <c r="R160" s="1">
        <v>1980</v>
      </c>
      <c r="S160" s="8">
        <f>(O48*($E48/366)) + (O49*($E49/366))</f>
        <v>56.8</v>
      </c>
      <c r="T160" s="8">
        <f>(P48*($E48/366)) + (P49*($E49/366))</f>
        <v>0</v>
      </c>
      <c r="U160" s="8">
        <f>(Q48*($E48/366)) + (Q49*($E49/366))</f>
        <v>0</v>
      </c>
      <c r="V160" s="12"/>
      <c r="W160" s="7">
        <f t="shared" si="19"/>
        <v>56.8</v>
      </c>
    </row>
    <row r="161" spans="1:23">
      <c r="A161" s="1">
        <v>1981</v>
      </c>
      <c r="B161" s="8">
        <f>(K50*($E50/365)) + (K51*($E51/365))</f>
        <v>49.315068493150683</v>
      </c>
      <c r="C161" s="8">
        <f>(L50*($E50/365)) + (L51*($E51/365))</f>
        <v>33.789954337899538</v>
      </c>
      <c r="D161" s="8">
        <f>(M50*($E50/365)) + (M51*($E51/365))</f>
        <v>13.515981735159819</v>
      </c>
      <c r="E161" s="52">
        <f t="shared" si="20"/>
        <v>96.621004566210047</v>
      </c>
      <c r="G161" s="1">
        <v>1981</v>
      </c>
      <c r="H161" s="989">
        <f>(O50/$R50*100*($E50/365))+(O51/$R51*100*($E51/365))</f>
        <v>49.315068493150683</v>
      </c>
      <c r="I161" s="989"/>
      <c r="J161" s="989">
        <f>(P50/$R50*100*($E50/365))+(P51/$R51*100*($E51/365))</f>
        <v>41.220940146649234</v>
      </c>
      <c r="K161" s="989"/>
      <c r="L161" s="989">
        <f>(Q50/$R50*100*($E50/365))+(Q51/$R51*100*($E51/365))</f>
        <v>9.4639913602000814</v>
      </c>
      <c r="M161" s="989"/>
      <c r="N161" s="990">
        <f t="shared" si="21"/>
        <v>100</v>
      </c>
      <c r="O161" s="1020"/>
      <c r="R161" s="1">
        <v>1981</v>
      </c>
      <c r="S161" s="8">
        <f>(O50*($E50/365)) + (O51*($E51/365))</f>
        <v>28.010958904109586</v>
      </c>
      <c r="T161" s="8">
        <f>(P50*($E50/365)) + (P51*($E51/365))</f>
        <v>19.868493150684934</v>
      </c>
      <c r="U161" s="8">
        <f>(Q50*($E50/365)) + (Q51*($E51/365))</f>
        <v>4.5616438356164384</v>
      </c>
      <c r="V161" s="12"/>
      <c r="W161" s="7">
        <f t="shared" si="19"/>
        <v>52.441095890410956</v>
      </c>
    </row>
    <row r="162" spans="1:23">
      <c r="A162" s="1">
        <v>1982</v>
      </c>
      <c r="B162" s="8">
        <f>(K52*($E52/365)) + (K53*($E53/365))+(K54*($E54/365))</f>
        <v>76.712328767123282</v>
      </c>
      <c r="C162" s="8">
        <f>(L52*($E52/365)) + (L53*($E53/365))+(L54*($E54/365))</f>
        <v>15.718506580714475</v>
      </c>
      <c r="D162" s="8">
        <f>(M52*($E52/365)) + (M53*($E53/365))+(M54*($E54/365))</f>
        <v>6.0553317217297877</v>
      </c>
      <c r="E162" s="52">
        <f t="shared" si="20"/>
        <v>98.486167069567543</v>
      </c>
      <c r="G162" s="1">
        <v>1982</v>
      </c>
      <c r="H162" s="989">
        <f>(O52/$R52*100*($E52/365))+(O53/$R53*100*($E53/365))+(O54/$R54*100*($E54/365))</f>
        <v>76.712328767123282</v>
      </c>
      <c r="I162" s="989"/>
      <c r="J162" s="989">
        <f>(P52/$R52*100*($E52/365))+(P53/$R53*100*($E53/365))+(P54/$R54*100*($E54/365))</f>
        <v>18.94622444386555</v>
      </c>
      <c r="K162" s="989"/>
      <c r="L162" s="989">
        <f>(Q52/$R52*100*($E52/365))+(Q53/$R53*100*($E53/365))+(Q54/$R54*100*($E54/365))</f>
        <v>4.3414467890111617</v>
      </c>
      <c r="M162" s="989"/>
      <c r="N162" s="990">
        <f t="shared" si="21"/>
        <v>99.999999999999986</v>
      </c>
      <c r="O162" s="1020"/>
      <c r="R162" s="1">
        <v>1982</v>
      </c>
      <c r="S162" s="8">
        <f>(O52*($E52/365)) + (O53*($E53/365))+(O54*($E54/365))</f>
        <v>36.054794520547944</v>
      </c>
      <c r="T162" s="8">
        <f>(P52*($E52/365)) + (P53*($E53/365))+(P54*($E54/365))</f>
        <v>9.2767123287671236</v>
      </c>
      <c r="U162" s="8">
        <f>(Q52*($E52/365)) + (Q53*($E53/365))+(Q54*($E54/365))</f>
        <v>2.1254794520547944</v>
      </c>
      <c r="V162" s="12"/>
      <c r="W162" s="7">
        <f t="shared" si="19"/>
        <v>47.456986301369867</v>
      </c>
    </row>
    <row r="163" spans="1:23">
      <c r="A163" s="1">
        <v>1983</v>
      </c>
      <c r="B163" s="8">
        <f>(K55*($E55/365)) + (K56*($E56/365))</f>
        <v>0</v>
      </c>
      <c r="C163" s="8">
        <f>(L55*($E55/365)) + (L56*($E56/365))</f>
        <v>70.588235294117652</v>
      </c>
      <c r="D163" s="8">
        <f>(M55*($E55/365)) + (M56*($E56/365))</f>
        <v>23.52941176470588</v>
      </c>
      <c r="E163" s="52">
        <f t="shared" si="20"/>
        <v>94.117647058823536</v>
      </c>
      <c r="G163" s="1">
        <v>1983</v>
      </c>
      <c r="H163" s="989">
        <f>(O55/$R55*100*($E55/365))+(O56/$R56*100*($E56/365))</f>
        <v>0</v>
      </c>
      <c r="I163" s="989"/>
      <c r="J163" s="989">
        <f>(P55/$R55*100*($E55/365))+(P56/$R56*100*($E56/365))</f>
        <v>81.467181467181476</v>
      </c>
      <c r="K163" s="989"/>
      <c r="L163" s="989">
        <f>(Q55/$R55*100*($E55/365))+(Q56/$R56*100*($E56/365))</f>
        <v>18.532818532818531</v>
      </c>
      <c r="M163" s="989"/>
      <c r="N163" s="990">
        <f t="shared" si="21"/>
        <v>100</v>
      </c>
      <c r="O163" s="1020"/>
      <c r="R163" s="1">
        <v>1983</v>
      </c>
      <c r="S163" s="8">
        <f>(O55*($E55/365)) + (O56*($E56/365))</f>
        <v>0</v>
      </c>
      <c r="T163" s="8">
        <f>(P55*($E55/365)) + (P56*($E56/365))</f>
        <v>42.2</v>
      </c>
      <c r="U163" s="8">
        <f>(Q55*($E55/365)) + (Q56*($E56/365))</f>
        <v>9.6</v>
      </c>
      <c r="V163" s="12"/>
      <c r="W163" s="7">
        <f t="shared" si="19"/>
        <v>51.800000000000004</v>
      </c>
    </row>
    <row r="164" spans="1:23">
      <c r="A164" s="1">
        <v>1984</v>
      </c>
      <c r="B164" s="8">
        <f>(K57*($E57/366)) + (K58*($E58/366))</f>
        <v>0</v>
      </c>
      <c r="C164" s="8">
        <f>(L57*($E57/366)) + (L58*($E58/366))</f>
        <v>70.588235294117652</v>
      </c>
      <c r="D164" s="8">
        <f>(M57*($E57/366)) + (M58*($E58/366))</f>
        <v>23.52941176470588</v>
      </c>
      <c r="E164" s="52">
        <f t="shared" si="20"/>
        <v>94.117647058823536</v>
      </c>
      <c r="G164" s="1">
        <v>1984</v>
      </c>
      <c r="H164" s="989">
        <f>(O57/$R57*100*($E57/366))+(O58/$R58*100*($E58/366))</f>
        <v>0</v>
      </c>
      <c r="I164" s="989"/>
      <c r="J164" s="989">
        <f>(P57/$R57*100*($E57/366))+(P58/$R58*100*($E58/366))</f>
        <v>81.467181467181476</v>
      </c>
      <c r="K164" s="989"/>
      <c r="L164" s="989">
        <f>(Q57/$R57*100*($E57/366))+(Q58/$R58*100*($E58/366))</f>
        <v>18.532818532818531</v>
      </c>
      <c r="M164" s="989"/>
      <c r="N164" s="990">
        <f t="shared" si="21"/>
        <v>100</v>
      </c>
      <c r="O164" s="1020"/>
      <c r="R164" s="1">
        <v>1984</v>
      </c>
      <c r="S164" s="8">
        <f>(O57*($E57/366)) + (O58*($E58/366))</f>
        <v>0</v>
      </c>
      <c r="T164" s="8">
        <f>(P57*($E57/366)) + (P58*($E58/366))</f>
        <v>42.2</v>
      </c>
      <c r="U164" s="8">
        <f>(Q57*($E57/366)) + (Q58*($E58/366))</f>
        <v>9.6</v>
      </c>
      <c r="V164" s="12"/>
      <c r="W164" s="7">
        <f t="shared" si="19"/>
        <v>51.800000000000004</v>
      </c>
    </row>
    <row r="165" spans="1:23">
      <c r="A165" s="1">
        <v>1985</v>
      </c>
      <c r="B165" s="8">
        <f>(K59*($E59/365)) + (K60*($E60/365))</f>
        <v>0</v>
      </c>
      <c r="C165" s="8">
        <f>(L59*($E59/365)) + (L60*($E60/365))</f>
        <v>70.588235294117652</v>
      </c>
      <c r="D165" s="8">
        <f>(M59*($E59/365)) + (M60*($E60/365))</f>
        <v>23.52941176470588</v>
      </c>
      <c r="E165" s="52">
        <f t="shared" si="20"/>
        <v>94.117647058823536</v>
      </c>
      <c r="G165" s="1">
        <v>1985</v>
      </c>
      <c r="H165" s="989">
        <f>(O59/$R59*100*($E59/365))+(O60/$R60*100*($E60/365))</f>
        <v>0</v>
      </c>
      <c r="I165" s="989"/>
      <c r="J165" s="989">
        <f>(P59/$R59*100*($E59/365))+(P60/$R60*100*($E60/365))</f>
        <v>81.467181467181476</v>
      </c>
      <c r="K165" s="989"/>
      <c r="L165" s="989">
        <f>(Q59/$R59*100*($E59/365))+(Q60/$R60*100*($E60/365))</f>
        <v>18.532818532818531</v>
      </c>
      <c r="M165" s="989"/>
      <c r="N165" s="990">
        <f t="shared" si="21"/>
        <v>100</v>
      </c>
      <c r="O165" s="1020"/>
      <c r="R165" s="1">
        <v>1985</v>
      </c>
      <c r="S165" s="8">
        <f>(O59*($E59/365)) + (O60*($E60/365))</f>
        <v>0</v>
      </c>
      <c r="T165" s="8">
        <f>(P59*($E59/365)) + (P60*($E60/365))</f>
        <v>42.2</v>
      </c>
      <c r="U165" s="8">
        <f>(Q59*($E59/365)) + (Q60*($E60/365))</f>
        <v>9.6</v>
      </c>
      <c r="V165" s="12"/>
      <c r="W165" s="7">
        <f t="shared" si="19"/>
        <v>51.800000000000004</v>
      </c>
    </row>
    <row r="166" spans="1:23">
      <c r="A166" s="1">
        <v>1986</v>
      </c>
      <c r="B166" s="8">
        <f>(K61*($E61/365)) + (K62*($E62/365))</f>
        <v>0</v>
      </c>
      <c r="C166" s="8">
        <f>(L61*($E61/365)) + (L62*($E62/365))</f>
        <v>70.588235294117652</v>
      </c>
      <c r="D166" s="8">
        <f>(M61*($E61/365)) + (M62*($E62/365))</f>
        <v>23.52941176470588</v>
      </c>
      <c r="E166" s="52">
        <f t="shared" si="20"/>
        <v>94.117647058823536</v>
      </c>
      <c r="G166" s="1">
        <v>1986</v>
      </c>
      <c r="H166" s="989">
        <f>(O61/$R61*100*($E61/365))+(O62/$R62*100*($E62/365))</f>
        <v>0</v>
      </c>
      <c r="I166" s="989"/>
      <c r="J166" s="989">
        <f>(P61/$R61*100*($E61/365))+(P62/$R62*100*($E62/365))</f>
        <v>81.467181467181476</v>
      </c>
      <c r="K166" s="989"/>
      <c r="L166" s="989">
        <f>(Q61/$R61*100*($E61/365))+(Q62/$R62*100*($E62/365))</f>
        <v>18.532818532818531</v>
      </c>
      <c r="M166" s="989"/>
      <c r="N166" s="990">
        <f t="shared" si="21"/>
        <v>100</v>
      </c>
      <c r="O166" s="1020"/>
      <c r="R166" s="1">
        <v>1986</v>
      </c>
      <c r="S166" s="8">
        <f>(O61*($E61/365)) + (O62*($E62/365))</f>
        <v>0</v>
      </c>
      <c r="T166" s="8">
        <f>(P61*($E61/365)) + (P62*($E62/365))</f>
        <v>42.2</v>
      </c>
      <c r="U166" s="8">
        <f>(Q61*($E61/365)) + (Q62*($E62/365))</f>
        <v>9.6</v>
      </c>
      <c r="V166" s="12"/>
      <c r="W166" s="7">
        <f t="shared" si="19"/>
        <v>51.800000000000004</v>
      </c>
    </row>
    <row r="167" spans="1:23">
      <c r="A167" s="1">
        <v>1987</v>
      </c>
      <c r="B167" s="8">
        <f>(K63*($E63/365)) + (K64*($E64/365))</f>
        <v>81.369863013698634</v>
      </c>
      <c r="C167" s="8">
        <f>(L63*($E63/365)) + (L64*($E64/365))</f>
        <v>13.15068493150685</v>
      </c>
      <c r="D167" s="8">
        <f>(M63*($E63/365)) + (M64*($E64/365))</f>
        <v>4.3835616438356162</v>
      </c>
      <c r="E167" s="52">
        <f t="shared" si="20"/>
        <v>98.904109589041099</v>
      </c>
      <c r="G167" s="1">
        <v>1987</v>
      </c>
      <c r="H167" s="989">
        <f>(O63/$R63*100*($E63/365))+(O64/$R64*100*($E64/365))</f>
        <v>81.369863013698634</v>
      </c>
      <c r="I167" s="989"/>
      <c r="J167" s="989">
        <f>(P63/$R63*100*($E63/365))+(P64/$R64*100*($E64/365))</f>
        <v>15.177447506214632</v>
      </c>
      <c r="K167" s="989"/>
      <c r="L167" s="989">
        <f>(Q63/$R63*100*($E63/365))+(Q64/$R64*100*($E64/365))</f>
        <v>3.4526894800867405</v>
      </c>
      <c r="M167" s="989"/>
      <c r="N167" s="990">
        <f t="shared" si="21"/>
        <v>100.00000000000001</v>
      </c>
      <c r="O167" s="1020"/>
      <c r="R167" s="1">
        <v>1987</v>
      </c>
      <c r="S167" s="8">
        <f>(O63*($E63/365)) + (O64*($E64/365))</f>
        <v>39.70849315068493</v>
      </c>
      <c r="T167" s="8">
        <f>(P63*($E63/365)) + (P64*($E64/365))</f>
        <v>7.8619178082191787</v>
      </c>
      <c r="U167" s="8">
        <f>(Q63*($E63/365)) + (Q64*($E64/365))</f>
        <v>1.7884931506849315</v>
      </c>
      <c r="V167" s="12"/>
      <c r="W167" s="7">
        <f t="shared" si="19"/>
        <v>49.358904109589034</v>
      </c>
    </row>
    <row r="168" spans="1:23">
      <c r="A168" s="1">
        <v>1988</v>
      </c>
      <c r="B168" s="8">
        <f>(K65*($E65/366)) + (K66*($E66/366))</f>
        <v>100</v>
      </c>
      <c r="C168" s="8">
        <f>(L65*($E65/366)) + (L66*($E66/366))</f>
        <v>0</v>
      </c>
      <c r="D168" s="8">
        <f>(M65*($E65/366)) + (M66*($E66/366))</f>
        <v>0</v>
      </c>
      <c r="E168" s="52">
        <f t="shared" si="20"/>
        <v>100</v>
      </c>
      <c r="G168" s="1">
        <v>1988</v>
      </c>
      <c r="H168" s="989">
        <f>(O65/$R65*100*($E65/366))+(O66/$R66*100*($E66/366))</f>
        <v>100</v>
      </c>
      <c r="I168" s="989"/>
      <c r="J168" s="989">
        <f>(P65/$R65*100*($E65/366))+(P66/$R66*100*($E66/366))</f>
        <v>0</v>
      </c>
      <c r="K168" s="989"/>
      <c r="L168" s="989">
        <f>(Q65/$R65*100*($E65/366))+(Q66/$R66*100*($E66/366))</f>
        <v>0</v>
      </c>
      <c r="M168" s="989"/>
      <c r="N168" s="990">
        <f t="shared" si="21"/>
        <v>100</v>
      </c>
      <c r="O168" s="1020"/>
      <c r="R168" s="1">
        <v>1988</v>
      </c>
      <c r="S168" s="8">
        <f>(O65*($E65/366)) + (O66*($E66/366))</f>
        <v>48.8</v>
      </c>
      <c r="T168" s="8">
        <f>(P65*($E65/366)) + (P66*($E66/366))</f>
        <v>0</v>
      </c>
      <c r="U168" s="8">
        <f>(Q65*($E65/366)) + (Q66*($E66/366))</f>
        <v>0</v>
      </c>
      <c r="V168" s="12"/>
      <c r="W168" s="7">
        <f t="shared" si="19"/>
        <v>48.8</v>
      </c>
    </row>
    <row r="169" spans="1:23">
      <c r="A169" s="1">
        <v>1989</v>
      </c>
      <c r="B169" s="8">
        <f>(K67*($E67/365)) + (K68*($E68/365))</f>
        <v>100</v>
      </c>
      <c r="C169" s="8">
        <f>(L67*($E67/365)) + (L68*($E68/365))</f>
        <v>0</v>
      </c>
      <c r="D169" s="8">
        <f>(M67*($E67/365)) + (M68*($E68/365))</f>
        <v>0</v>
      </c>
      <c r="E169" s="52">
        <f t="shared" si="20"/>
        <v>100</v>
      </c>
      <c r="G169" s="1">
        <v>1989</v>
      </c>
      <c r="H169" s="989">
        <f>(O67/$R67*100*($E67/365))+(O68/$R68*100*($E68/365))</f>
        <v>100</v>
      </c>
      <c r="I169" s="989"/>
      <c r="J169" s="989">
        <f>(P67/$R67*100*($E67/365))+(P68/$R68*100*($E68/365))</f>
        <v>0</v>
      </c>
      <c r="K169" s="989"/>
      <c r="L169" s="989">
        <f>(Q67/$R67*100*($E67/365))+(Q68/$R68*100*($E68/365))</f>
        <v>0</v>
      </c>
      <c r="M169" s="989"/>
      <c r="N169" s="990">
        <f t="shared" si="21"/>
        <v>100</v>
      </c>
      <c r="O169" s="1020"/>
      <c r="R169" s="1">
        <v>1989</v>
      </c>
      <c r="S169" s="8">
        <f>(O67*($E67/365)) + (O68*($E68/365))</f>
        <v>49.368767123287668</v>
      </c>
      <c r="T169" s="8">
        <f>(P67*($E67/365)) + (P68*($E68/365))</f>
        <v>0</v>
      </c>
      <c r="U169" s="8">
        <f>(Q67*($E67/365)) + (Q68*($E68/365))</f>
        <v>0</v>
      </c>
      <c r="V169" s="12"/>
      <c r="W169" s="7">
        <f t="shared" si="19"/>
        <v>49.368767123287668</v>
      </c>
    </row>
    <row r="170" spans="1:23">
      <c r="A170" s="1">
        <v>1990</v>
      </c>
      <c r="B170" s="8">
        <f>(K69*($E69/365)) + (K70*($E70/365))</f>
        <v>100</v>
      </c>
      <c r="C170" s="8">
        <f>(L69*($E69/365)) + (L70*($E70/365))</f>
        <v>0</v>
      </c>
      <c r="D170" s="8">
        <f>(M69*($E69/365)) + (M70*($E70/365))</f>
        <v>0</v>
      </c>
      <c r="E170" s="52">
        <f t="shared" si="20"/>
        <v>100</v>
      </c>
      <c r="G170" s="1">
        <v>1990</v>
      </c>
      <c r="H170" s="989">
        <f>(O69/$R69*100*($E69/365))+(O70/$R70*100*($E70/365))</f>
        <v>100</v>
      </c>
      <c r="I170" s="989"/>
      <c r="J170" s="989">
        <f>(P69/$R69*100*($E69/365))+(P70/$R70*100*($E70/365))</f>
        <v>0</v>
      </c>
      <c r="K170" s="989"/>
      <c r="L170" s="989">
        <f>(Q69/$R69*100*($E69/365))+(Q70/$R70*100*($E70/365))</f>
        <v>0</v>
      </c>
      <c r="M170" s="989"/>
      <c r="N170" s="990">
        <f t="shared" si="21"/>
        <v>100</v>
      </c>
      <c r="O170" s="1020"/>
      <c r="R170" s="1">
        <v>1990</v>
      </c>
      <c r="S170" s="8">
        <f>(O69*($E69/365)) + (O70*($E70/365))</f>
        <v>50</v>
      </c>
      <c r="T170" s="8">
        <f>(P69*($E69/365)) + (P70*($E70/365))</f>
        <v>0</v>
      </c>
      <c r="U170" s="8">
        <f>(Q69*($E69/365)) + (Q70*($E70/365))</f>
        <v>0</v>
      </c>
      <c r="V170" s="12"/>
      <c r="W170" s="7">
        <f t="shared" si="19"/>
        <v>50</v>
      </c>
    </row>
    <row r="171" spans="1:23">
      <c r="A171" s="1">
        <v>1991</v>
      </c>
      <c r="B171" s="8">
        <f>(K71*($E71/365)) + (K72*($E72/365))</f>
        <v>100</v>
      </c>
      <c r="C171" s="8">
        <f>(L71*($E71/365)) + (L72*($E72/365))</f>
        <v>0</v>
      </c>
      <c r="D171" s="8">
        <f>(M71*($E71/365)) + (M72*($E72/365))</f>
        <v>0</v>
      </c>
      <c r="E171" s="52">
        <f t="shared" si="20"/>
        <v>100</v>
      </c>
      <c r="G171" s="1">
        <v>1991</v>
      </c>
      <c r="H171" s="989">
        <f>(O71/$R71*100*($E71/365))+(O72/$R72*100*($E72/365))</f>
        <v>100</v>
      </c>
      <c r="I171" s="989"/>
      <c r="J171" s="989">
        <f>(P71/$R71*100*($E71/365))+(P72/$R72*100*($E72/365))</f>
        <v>0</v>
      </c>
      <c r="K171" s="989"/>
      <c r="L171" s="989">
        <f>(Q71/$R71*100*($E71/365))+(Q72/$R72*100*($E72/365))</f>
        <v>0</v>
      </c>
      <c r="M171" s="989"/>
      <c r="N171" s="990">
        <f t="shared" si="21"/>
        <v>100</v>
      </c>
      <c r="O171" s="1020"/>
      <c r="R171" s="1">
        <v>1991</v>
      </c>
      <c r="S171" s="8">
        <f>(O71*($E71/365)) + (O72*($E72/365))</f>
        <v>50</v>
      </c>
      <c r="T171" s="8">
        <f>(P71*($E71/365)) + (P72*($E72/365))</f>
        <v>0</v>
      </c>
      <c r="U171" s="8">
        <f>(Q71*($E71/365)) + (Q72*($E72/365))</f>
        <v>0</v>
      </c>
      <c r="V171" s="12"/>
      <c r="W171" s="7">
        <f t="shared" si="19"/>
        <v>50</v>
      </c>
    </row>
    <row r="172" spans="1:23">
      <c r="A172" s="1">
        <v>1992</v>
      </c>
      <c r="B172" s="8">
        <f>(K73*($E73/366)) + (K74*($E74/366))</f>
        <v>100</v>
      </c>
      <c r="C172" s="8">
        <f>(L73*($E73/366)) + (L74*($E74/366))</f>
        <v>0</v>
      </c>
      <c r="D172" s="8">
        <f>(M73*($E73/366)) + (M74*($E74/366))</f>
        <v>0</v>
      </c>
      <c r="E172" s="52">
        <f t="shared" si="20"/>
        <v>100</v>
      </c>
      <c r="G172" s="1">
        <v>1992</v>
      </c>
      <c r="H172" s="989">
        <f>(O73/$R73*100*($E73/366))+(O74/$R74*100*($E74/366))</f>
        <v>100</v>
      </c>
      <c r="I172" s="989"/>
      <c r="J172" s="989">
        <f>(P73/$R73*100*($E73/366))+(P74/$R74*100*($E74/366))</f>
        <v>0</v>
      </c>
      <c r="K172" s="989"/>
      <c r="L172" s="989">
        <f>(Q73/$R73*100*($E73/366))+(Q74/$R74*100*($E74/366))</f>
        <v>0</v>
      </c>
      <c r="M172" s="989"/>
      <c r="N172" s="990">
        <f t="shared" si="21"/>
        <v>100</v>
      </c>
      <c r="O172" s="1020"/>
      <c r="R172" s="1">
        <v>1992</v>
      </c>
      <c r="S172" s="8">
        <f>(O73*($E73/366)) + (O74*($E74/366))</f>
        <v>50</v>
      </c>
      <c r="T172" s="8">
        <f>(P73*($E73/366)) + (P74*($E74/366))</f>
        <v>0</v>
      </c>
      <c r="U172" s="8">
        <f>(Q73*($E73/366)) + (Q74*($E74/366))</f>
        <v>0</v>
      </c>
      <c r="V172" s="12"/>
      <c r="W172" s="7">
        <f t="shared" si="19"/>
        <v>50</v>
      </c>
    </row>
    <row r="173" spans="1:23">
      <c r="A173" s="1">
        <v>1993</v>
      </c>
      <c r="B173" s="8">
        <f>(K75*($E75/365)) + (K76*($E76/365))</f>
        <v>61.205479452054796</v>
      </c>
      <c r="C173" s="8">
        <f>(L75*($E75/365)) + (L76*($E76/365))</f>
        <v>0</v>
      </c>
      <c r="D173" s="8">
        <f>(M75*($E75/365)) + (M76*($E76/365))</f>
        <v>38.794520547945204</v>
      </c>
      <c r="E173" s="52">
        <f t="shared" si="20"/>
        <v>100</v>
      </c>
      <c r="G173" s="1">
        <v>1993</v>
      </c>
      <c r="H173" s="989">
        <f>(O75/$R75*100*($E75/365))+(O76/$R76*100*($E76/365))</f>
        <v>68.308252918550522</v>
      </c>
      <c r="I173" s="989"/>
      <c r="J173" s="989">
        <f>(P75/$R75*100*($E75/365))+(P76/$R76*100*($E76/365))</f>
        <v>0</v>
      </c>
      <c r="K173" s="989"/>
      <c r="L173" s="989">
        <f>(Q75/$R75*100*($E75/365))+(Q76/$R76*100*($E76/365))</f>
        <v>31.691747081449488</v>
      </c>
      <c r="M173" s="989"/>
      <c r="N173" s="990">
        <f t="shared" si="21"/>
        <v>100.00000000000001</v>
      </c>
      <c r="O173" s="1020"/>
      <c r="R173" s="1">
        <v>1993</v>
      </c>
      <c r="S173" s="8">
        <f>(O75*($E75/365)) + (O76*($E76/365))</f>
        <v>41.271232876712332</v>
      </c>
      <c r="T173" s="8">
        <f>(P75*($E75/365)) + (P76*($E76/365))</f>
        <v>0</v>
      </c>
      <c r="U173" s="8">
        <f>(Q75*($E75/365)) + (Q76*($E76/365))</f>
        <v>19.300273972602739</v>
      </c>
      <c r="V173" s="12"/>
      <c r="W173" s="7">
        <f t="shared" si="19"/>
        <v>60.571506849315071</v>
      </c>
    </row>
    <row r="174" spans="1:23">
      <c r="A174" s="1">
        <v>1994</v>
      </c>
      <c r="B174" s="8">
        <f>(K77*($E77/365)) + (K78*($E78/365))</f>
        <v>57.205479452054796</v>
      </c>
      <c r="C174" s="8">
        <f>(L77*($E77/365)) + (L78*($E78/365))</f>
        <v>2.484018264840183</v>
      </c>
      <c r="D174" s="8">
        <f>(M77*($E77/365)) + (M78*($E78/365))</f>
        <v>40.310502283105016</v>
      </c>
      <c r="E174" s="52">
        <f t="shared" si="20"/>
        <v>100</v>
      </c>
      <c r="G174" s="1">
        <v>1994</v>
      </c>
      <c r="H174" s="989">
        <f>(O77/$R77*100*($E77/365))+(O78/$R78*100*($E78/365))</f>
        <v>64.187866927592964</v>
      </c>
      <c r="I174" s="989"/>
      <c r="J174" s="989">
        <f>(P77/$R77*100*($E77/365))+(P78/$R78*100*($E78/365))</f>
        <v>2.5550440907326273</v>
      </c>
      <c r="K174" s="989"/>
      <c r="L174" s="989">
        <f>(Q77/$R77*100*($E77/365))+(Q78/$R78*100*($E78/365))</f>
        <v>33.257088981674414</v>
      </c>
      <c r="M174" s="989"/>
      <c r="N174" s="990">
        <f t="shared" si="21"/>
        <v>100</v>
      </c>
      <c r="O174" s="1020"/>
      <c r="R174" s="1">
        <v>1994</v>
      </c>
      <c r="S174" s="8">
        <f>(O77*($E77/365)) + (O78*($E78/365))</f>
        <v>39.090410958904108</v>
      </c>
      <c r="T174" s="8">
        <f>(P77*($E77/365)) + (P78*($E78/365))</f>
        <v>1.2621917808219179</v>
      </c>
      <c r="U174" s="8">
        <f>(Q77*($E77/365)) + (Q78*($E78/365))</f>
        <v>20.011780821917807</v>
      </c>
      <c r="V174" s="12"/>
      <c r="W174" s="7">
        <f t="shared" si="19"/>
        <v>60.364383561643834</v>
      </c>
    </row>
    <row r="175" spans="1:23">
      <c r="A175" s="1">
        <v>1995</v>
      </c>
      <c r="B175" s="8">
        <f>(K79*($E79/365)) + (K80*($E80/365))</f>
        <v>0</v>
      </c>
      <c r="C175" s="8">
        <f>(L79*($E79/365)) + (L80*($E80/365))</f>
        <v>53.333333333333336</v>
      </c>
      <c r="D175" s="8">
        <f>(M79*($E79/365)) + (M80*($E80/365))</f>
        <v>46.666666666666664</v>
      </c>
      <c r="E175" s="52">
        <f t="shared" si="20"/>
        <v>100</v>
      </c>
      <c r="G175" s="1">
        <v>1995</v>
      </c>
      <c r="H175" s="989">
        <f>(O79/$R79*100*($E79/365))+(O80/$R80*100*($E80/365))</f>
        <v>0</v>
      </c>
      <c r="I175" s="989"/>
      <c r="J175" s="989">
        <f>(P79/$R79*100*($E79/365))+(P80/$R80*100*($E80/365))</f>
        <v>54.858299595141702</v>
      </c>
      <c r="K175" s="989"/>
      <c r="L175" s="989">
        <f>(Q79/$R79*100*($E79/365))+(Q80/$R80*100*($E80/365))</f>
        <v>45.141700404858298</v>
      </c>
      <c r="M175" s="989"/>
      <c r="N175" s="990">
        <f t="shared" si="21"/>
        <v>100</v>
      </c>
      <c r="O175" s="1020"/>
      <c r="R175" s="1">
        <v>1995</v>
      </c>
      <c r="S175" s="8">
        <f>(O79*($E79/365)) + (O80*($E80/365))</f>
        <v>0</v>
      </c>
      <c r="T175" s="8">
        <f>(P79*($E79/365)) + (P80*($E80/365))</f>
        <v>27.1</v>
      </c>
      <c r="U175" s="8">
        <f>(Q79*($E79/365)) + (Q80*($E80/365))</f>
        <v>22.3</v>
      </c>
      <c r="V175" s="12"/>
      <c r="W175" s="7">
        <f t="shared" si="19"/>
        <v>49.400000000000006</v>
      </c>
    </row>
    <row r="176" spans="1:23">
      <c r="A176" s="1">
        <v>1996</v>
      </c>
      <c r="B176" s="8">
        <f>(K81*($E81/366)) + (K82*($E82/366))</f>
        <v>0</v>
      </c>
      <c r="C176" s="8">
        <f>(L81*($E81/366)) + (L82*($E82/366))</f>
        <v>53.333333333333336</v>
      </c>
      <c r="D176" s="8">
        <f>(M81*($E81/366)) + (M82*($E82/366))</f>
        <v>46.666666666666664</v>
      </c>
      <c r="E176" s="52">
        <f t="shared" si="20"/>
        <v>100</v>
      </c>
      <c r="G176" s="1">
        <v>1996</v>
      </c>
      <c r="H176" s="989">
        <f>(O81/$R81*100*($E81/366))+(O82/$R82*100*($E82/366))</f>
        <v>0</v>
      </c>
      <c r="I176" s="989"/>
      <c r="J176" s="989">
        <f>(P81/$R81*100*($E81/366))+(P82/$R82*100*($E82/366))</f>
        <v>54.858299595141702</v>
      </c>
      <c r="K176" s="989"/>
      <c r="L176" s="989">
        <f>(Q81/$R81*100*($E81/366))+(Q82/$R82*100*($E82/366))</f>
        <v>45.141700404858298</v>
      </c>
      <c r="M176" s="989"/>
      <c r="N176" s="990">
        <f t="shared" si="21"/>
        <v>100</v>
      </c>
      <c r="O176" s="1020"/>
      <c r="R176" s="1">
        <v>1996</v>
      </c>
      <c r="S176" s="8">
        <f>(O81*($E81/366)) + (O82*($E82/366))</f>
        <v>0</v>
      </c>
      <c r="T176" s="8">
        <f>(P81*($E81/366)) + (P82*($E82/366))</f>
        <v>27.1</v>
      </c>
      <c r="U176" s="8">
        <f>(Q81*($E81/366)) + (Q82*($E82/366))</f>
        <v>22.3</v>
      </c>
      <c r="V176" s="12"/>
      <c r="W176" s="7">
        <f t="shared" si="19"/>
        <v>49.400000000000006</v>
      </c>
    </row>
    <row r="177" spans="1:23">
      <c r="A177" s="1">
        <v>1997</v>
      </c>
      <c r="B177" s="8">
        <f>(K83*($E83/365)) + (K84*($E84/365))</f>
        <v>51.780821917808218</v>
      </c>
      <c r="C177" s="8">
        <f>(L83*($E83/365)) + (L84*($E84/365))</f>
        <v>25.716894977168952</v>
      </c>
      <c r="D177" s="8">
        <f>(M83*($E83/365)) + (M84*($E84/365))</f>
        <v>22.50228310502283</v>
      </c>
      <c r="E177" s="52">
        <f t="shared" si="20"/>
        <v>100</v>
      </c>
      <c r="G177" s="1">
        <v>1997</v>
      </c>
      <c r="H177" s="989">
        <f>(O83/$R83*100*($E83/365))+(O84/$R84*100*($E84/365))</f>
        <v>51.780821917808218</v>
      </c>
      <c r="I177" s="989"/>
      <c r="J177" s="989">
        <f>(P83/$R83*100*($E83/365))+(P84/$R84*100*($E84/365))</f>
        <v>26.452221174643672</v>
      </c>
      <c r="K177" s="989"/>
      <c r="L177" s="989">
        <f>(Q83/$R83*100*($E83/365))+(Q84/$R84*100*($E84/365))</f>
        <v>21.76695690754811</v>
      </c>
      <c r="M177" s="989"/>
      <c r="N177" s="990">
        <f t="shared" si="21"/>
        <v>100</v>
      </c>
      <c r="O177" s="1020"/>
      <c r="R177" s="1">
        <v>1997</v>
      </c>
      <c r="S177" s="8">
        <f>(O83*($E83/365)) + (O84*($E84/365))</f>
        <v>25.269041095890408</v>
      </c>
      <c r="T177" s="8">
        <f>(P83*($E83/365)) + (P84*($E84/365))</f>
        <v>13.067397260273975</v>
      </c>
      <c r="U177" s="8">
        <f>(Q83*($E83/365)) + (Q84*($E84/365))</f>
        <v>10.752876712328767</v>
      </c>
      <c r="V177" s="12"/>
      <c r="W177" s="7">
        <f t="shared" si="19"/>
        <v>49.08931506849315</v>
      </c>
    </row>
    <row r="178" spans="1:23">
      <c r="A178" s="1">
        <v>1998</v>
      </c>
      <c r="B178" s="8">
        <f>(K85*($E85/365)) + (K86*($E86/365))</f>
        <v>100</v>
      </c>
      <c r="C178" s="8">
        <f>(L85*($E85/365)) + (L86*($E86/365))</f>
        <v>0</v>
      </c>
      <c r="D178" s="8">
        <f>(M85*($E85/365)) + (M86*($E86/365))</f>
        <v>0</v>
      </c>
      <c r="E178" s="52">
        <f t="shared" si="20"/>
        <v>100</v>
      </c>
      <c r="G178" s="1">
        <v>1998</v>
      </c>
      <c r="H178" s="989">
        <f>(O85/$R85*100*($E85/365))+(O86/$R86*100*($E86/365))</f>
        <v>100</v>
      </c>
      <c r="I178" s="989"/>
      <c r="J178" s="989">
        <f>(P85/$R85*100*($E85/365))+(P86/$R86*100*($E86/365))</f>
        <v>0</v>
      </c>
      <c r="K178" s="989"/>
      <c r="L178" s="989">
        <f>(Q85/$R85*100*($E85/365))+(Q86/$R86*100*($E86/365))</f>
        <v>0</v>
      </c>
      <c r="M178" s="989"/>
      <c r="N178" s="990">
        <f t="shared" si="21"/>
        <v>100</v>
      </c>
      <c r="O178" s="1020"/>
      <c r="R178" s="1">
        <v>1998</v>
      </c>
      <c r="S178" s="8">
        <f>(O85*($E85/365)) + (O86*($E86/365))</f>
        <v>48.8</v>
      </c>
      <c r="T178" s="8">
        <f>(P85*($E85/365)) + (P86*($E86/365))</f>
        <v>0</v>
      </c>
      <c r="U178" s="8">
        <f>(Q85*($E85/365)) + (Q86*($E86/365))</f>
        <v>0</v>
      </c>
      <c r="V178" s="12"/>
      <c r="W178" s="7">
        <f t="shared" si="19"/>
        <v>48.8</v>
      </c>
    </row>
    <row r="179" spans="1:23">
      <c r="A179" s="1">
        <v>1999</v>
      </c>
      <c r="B179" s="8">
        <f>(K87*($E87/365)) + (K88*($E88/365))</f>
        <v>100</v>
      </c>
      <c r="C179" s="8">
        <f>(L87*($E87/365)) + (L88*($E88/365))</f>
        <v>0</v>
      </c>
      <c r="D179" s="8">
        <f>(M87*($E87/365)) + (M88*($E88/365))</f>
        <v>0</v>
      </c>
      <c r="E179" s="52">
        <f t="shared" si="20"/>
        <v>100</v>
      </c>
      <c r="G179" s="1">
        <v>1999</v>
      </c>
      <c r="H179" s="989">
        <f>(O87/$R87*100*($E87/365))+(O88/$R88*100*($E88/365))</f>
        <v>100</v>
      </c>
      <c r="I179" s="989"/>
      <c r="J179" s="989">
        <f>(P87/$R87*100*($E87/365))+(P88/$R88*100*($E88/365))</f>
        <v>0</v>
      </c>
      <c r="K179" s="989"/>
      <c r="L179" s="989">
        <f>(Q87/$R87*100*($E87/365))+(Q88/$R88*100*($E88/365))</f>
        <v>0</v>
      </c>
      <c r="M179" s="989"/>
      <c r="N179" s="990">
        <f t="shared" si="21"/>
        <v>100</v>
      </c>
      <c r="O179" s="1020"/>
      <c r="R179" s="1">
        <v>1999</v>
      </c>
      <c r="S179" s="8">
        <f>(O87*($E87/365)) + (O88*($E88/365))</f>
        <v>48.8</v>
      </c>
      <c r="T179" s="8">
        <f>(P87*($E87/365)) + (P88*($E88/365))</f>
        <v>0</v>
      </c>
      <c r="U179" s="8">
        <f>(Q87*($E87/365)) + (Q88*($E88/365))</f>
        <v>0</v>
      </c>
      <c r="V179" s="12"/>
      <c r="W179" s="7">
        <f t="shared" si="19"/>
        <v>48.8</v>
      </c>
    </row>
    <row r="180" spans="1:23">
      <c r="A180" s="1">
        <v>2000</v>
      </c>
      <c r="B180" s="8">
        <f>(K89*($E89/366)) + (K90*($E90/366))</f>
        <v>100</v>
      </c>
      <c r="C180" s="8">
        <f>(L89*($E89/366)) + (L90*($E90/366))</f>
        <v>0</v>
      </c>
      <c r="D180" s="8">
        <f>(M89*($E89/366)) + (M90*($E90/366))</f>
        <v>0</v>
      </c>
      <c r="E180" s="52">
        <f t="shared" si="20"/>
        <v>100</v>
      </c>
      <c r="G180" s="1">
        <v>2000</v>
      </c>
      <c r="H180" s="989">
        <f>(O89/$R89*100*($E89/366))+(O90/$R90*100*($E90/366))</f>
        <v>100</v>
      </c>
      <c r="I180" s="989"/>
      <c r="J180" s="989">
        <f>(P89/$R89*100*($E89/366))+(P90/$R90*100*($E90/366))</f>
        <v>0</v>
      </c>
      <c r="K180" s="989"/>
      <c r="L180" s="989">
        <f>(Q89/$R89*100*($E89/366))+(Q90/$R90*100*($E90/366))</f>
        <v>0</v>
      </c>
      <c r="M180" s="989"/>
      <c r="N180" s="990">
        <f t="shared" si="21"/>
        <v>100</v>
      </c>
      <c r="O180" s="1020"/>
      <c r="R180" s="1">
        <v>2000</v>
      </c>
      <c r="S180" s="8">
        <f>(O89*($E89/366)) + (O90*($E90/366))</f>
        <v>48.8</v>
      </c>
      <c r="T180" s="8">
        <f>(P89*($E89/366)) + (P90*($E90/366))</f>
        <v>0</v>
      </c>
      <c r="U180" s="8">
        <f>(Q89*($E89/366)) + (Q90*($E90/366))</f>
        <v>0</v>
      </c>
      <c r="V180" s="12"/>
      <c r="W180" s="7">
        <f t="shared" si="19"/>
        <v>48.8</v>
      </c>
    </row>
    <row r="181" spans="1:23">
      <c r="A181" s="1">
        <v>2001</v>
      </c>
      <c r="B181" s="8">
        <f>(K91*($E91/365)) + (K92*($E92/365))</f>
        <v>100</v>
      </c>
      <c r="C181" s="8">
        <f>(L91*($E91/365)) + (L92*($E92/365))</f>
        <v>0</v>
      </c>
      <c r="D181" s="8">
        <f>(M91*($E91/365)) + (M92*($E92/365))</f>
        <v>0</v>
      </c>
      <c r="E181" s="52">
        <f t="shared" si="20"/>
        <v>100</v>
      </c>
      <c r="G181" s="1">
        <v>2001</v>
      </c>
      <c r="H181" s="989">
        <f>(O91/$R91*100*($E91/365))+(O92/$R92*100*($E92/365))</f>
        <v>100</v>
      </c>
      <c r="I181" s="989"/>
      <c r="J181" s="989">
        <f>(P91/$R91*100*($E91/365))+(P92/$R92*100*($E92/365))</f>
        <v>0</v>
      </c>
      <c r="K181" s="989"/>
      <c r="L181" s="989">
        <f>(Q91/$R91*100*($E91/365))+(Q92/$R92*100*($E92/365))</f>
        <v>0</v>
      </c>
      <c r="M181" s="989"/>
      <c r="N181" s="990">
        <f t="shared" si="21"/>
        <v>100</v>
      </c>
      <c r="O181" s="1020"/>
      <c r="R181" s="1">
        <v>2001</v>
      </c>
      <c r="S181" s="8">
        <f>(O91*($E91/365)) + (O92*($E92/365))</f>
        <v>48.8</v>
      </c>
      <c r="T181" s="8">
        <f>(P91*($E91/365)) + (P92*($E92/365))</f>
        <v>0</v>
      </c>
      <c r="U181" s="8">
        <f>(Q91*($E91/365)) + (Q92*($E92/365))</f>
        <v>0</v>
      </c>
      <c r="V181" s="12"/>
      <c r="W181" s="7">
        <f t="shared" si="19"/>
        <v>48.8</v>
      </c>
    </row>
    <row r="182" spans="1:23">
      <c r="A182" s="1">
        <v>2002</v>
      </c>
      <c r="B182" s="8">
        <f>(K93*($E93/365)) + (K94*($E94/365))</f>
        <v>100</v>
      </c>
      <c r="C182" s="8">
        <f>(L93*($E93/365)) + (L94*($E94/365))</f>
        <v>0</v>
      </c>
      <c r="D182" s="8">
        <f>(M93*($E93/365)) + (M94*($E94/365))</f>
        <v>0</v>
      </c>
      <c r="E182" s="52">
        <f t="shared" si="20"/>
        <v>100</v>
      </c>
      <c r="G182" s="1">
        <v>2002</v>
      </c>
      <c r="H182" s="989">
        <f>(O93/$R93*100*($E93/365))+(O94/$R94*100*($E94/365))</f>
        <v>100</v>
      </c>
      <c r="I182" s="989"/>
      <c r="J182" s="989">
        <f>(P93/$R93*100*($E93/365))+(P94/$R94*100*($E94/365))</f>
        <v>0</v>
      </c>
      <c r="K182" s="989"/>
      <c r="L182" s="989">
        <f>(Q93/$R93*100*($E93/365))+(Q94/$R94*100*($E94/365))</f>
        <v>0</v>
      </c>
      <c r="M182" s="989"/>
      <c r="N182" s="990">
        <f t="shared" si="21"/>
        <v>100</v>
      </c>
      <c r="O182" s="1020"/>
      <c r="R182" s="1">
        <v>2002</v>
      </c>
      <c r="S182" s="8">
        <f>(O93*($E93/365)) + (O94*($E94/365))</f>
        <v>51.548493150684934</v>
      </c>
      <c r="T182" s="8">
        <f>(P93*($E93/365)) + (P94*($E94/365))</f>
        <v>0</v>
      </c>
      <c r="U182" s="8">
        <f>(Q93*($E93/365)) + (Q94*($E94/365))</f>
        <v>0</v>
      </c>
      <c r="V182" s="12"/>
      <c r="W182" s="7">
        <f t="shared" si="19"/>
        <v>51.548493150684934</v>
      </c>
    </row>
    <row r="183" spans="1:23">
      <c r="A183" s="1">
        <v>2003</v>
      </c>
      <c r="B183" s="8">
        <f>(K95*($E95/365)) + (K96*($E96/365))</f>
        <v>100</v>
      </c>
      <c r="C183" s="8">
        <f>(L95*($E95/365)) + (L96*($E96/365))</f>
        <v>0</v>
      </c>
      <c r="D183" s="8">
        <f>(M95*($E95/365)) + (M96*($E96/365))</f>
        <v>0</v>
      </c>
      <c r="E183" s="52">
        <f t="shared" si="20"/>
        <v>100</v>
      </c>
      <c r="G183" s="1">
        <v>2003</v>
      </c>
      <c r="H183" s="989">
        <f>(O95/$R95*100*($E95/365))+(O96/$R96*100*($E96/365))</f>
        <v>100</v>
      </c>
      <c r="I183" s="989"/>
      <c r="J183" s="989">
        <f>(P95/$R95*100*($E95/365))+(P96/$R96*100*($E96/365))</f>
        <v>0</v>
      </c>
      <c r="K183" s="989"/>
      <c r="L183" s="989">
        <f>(Q95/$R95*100*($E95/365))+(Q96/$R96*100*($E96/365))</f>
        <v>0</v>
      </c>
      <c r="M183" s="989"/>
      <c r="N183" s="990">
        <f t="shared" si="21"/>
        <v>100</v>
      </c>
      <c r="O183" s="1020"/>
      <c r="R183" s="1">
        <v>2003</v>
      </c>
      <c r="S183" s="8">
        <f>(O95*($E95/365)) + (O96*($E96/365))</f>
        <v>53.6</v>
      </c>
      <c r="T183" s="8">
        <f>(P95*($E95/365)) + (P96*($E96/365))</f>
        <v>0</v>
      </c>
      <c r="U183" s="8">
        <f>(Q95*($E95/365)) + (Q96*($E96/365))</f>
        <v>0</v>
      </c>
      <c r="V183" s="12"/>
      <c r="W183" s="7">
        <f t="shared" si="19"/>
        <v>53.6</v>
      </c>
    </row>
    <row r="184" spans="1:23">
      <c r="A184" s="1">
        <v>2004</v>
      </c>
      <c r="B184" s="8">
        <f>(K97*($E97/366)) + (K98*($E98/366))</f>
        <v>100</v>
      </c>
      <c r="C184" s="8">
        <f>(L97*($E97/366)) + (L98*($E98/366))</f>
        <v>0</v>
      </c>
      <c r="D184" s="8">
        <f>(M97*($E97/366)) + (M98*($E98/366))</f>
        <v>0</v>
      </c>
      <c r="E184" s="52">
        <f t="shared" si="20"/>
        <v>100</v>
      </c>
      <c r="G184" s="1">
        <v>2004</v>
      </c>
      <c r="H184" s="989">
        <f>(O97/$R97*100*($E97/366))+(O98/$R98*100*($E98/366))</f>
        <v>100</v>
      </c>
      <c r="I184" s="989"/>
      <c r="J184" s="989">
        <f>(P97/$R97*100*($E97/366))+(P98/$R98*100*($E98/366))</f>
        <v>0</v>
      </c>
      <c r="K184" s="989"/>
      <c r="L184" s="989">
        <f>(Q97/$R97*100*($E97/366))+(Q98/$R98*100*($E98/366))</f>
        <v>0</v>
      </c>
      <c r="M184" s="989"/>
      <c r="N184" s="990">
        <f t="shared" si="21"/>
        <v>100</v>
      </c>
      <c r="O184" s="1020"/>
      <c r="R184" s="1">
        <v>2004</v>
      </c>
      <c r="S184" s="8">
        <f>(O97*($E97/366)) + (O98*($E98/366))</f>
        <v>53.6</v>
      </c>
      <c r="T184" s="8">
        <f>(P97*($E97/366)) + (P98*($E98/366))</f>
        <v>0</v>
      </c>
      <c r="U184" s="8">
        <f>(Q97*($E97/366)) + (Q98*($E98/366))</f>
        <v>0</v>
      </c>
      <c r="V184" s="12"/>
      <c r="W184" s="7">
        <f t="shared" si="19"/>
        <v>53.6</v>
      </c>
    </row>
    <row r="185" spans="1:23">
      <c r="A185" s="1">
        <v>2005</v>
      </c>
      <c r="B185" s="8">
        <f>(K99*($E99/365)) + (K100*($E100/365))</f>
        <v>100</v>
      </c>
      <c r="C185" s="8">
        <f>(L99*($E99/365)) + (L100*($E100/365))</f>
        <v>0</v>
      </c>
      <c r="D185" s="8">
        <f>(M99*($E99/365)) + (M100*($E100/365))</f>
        <v>0</v>
      </c>
      <c r="E185" s="52">
        <f t="shared" si="20"/>
        <v>100</v>
      </c>
      <c r="G185" s="1">
        <v>2005</v>
      </c>
      <c r="H185" s="989">
        <f>(O99/$R99*100*($E99/365))+(O100/$R100*100*($E100/365))</f>
        <v>100</v>
      </c>
      <c r="I185" s="989"/>
      <c r="J185" s="989">
        <f>(P99/$R99*100*($E99/365))+(P100/$R100*100*($E100/365))</f>
        <v>0</v>
      </c>
      <c r="K185" s="989"/>
      <c r="L185" s="989">
        <f>(Q99/$R99*100*($E99/365))+(Q100/$R100*100*($E100/365))</f>
        <v>0</v>
      </c>
      <c r="M185" s="989"/>
      <c r="N185" s="990">
        <f t="shared" si="21"/>
        <v>100</v>
      </c>
      <c r="O185" s="1020"/>
      <c r="R185" s="1">
        <v>2005</v>
      </c>
      <c r="S185" s="8">
        <f>(O99*($E99/365)) + (O100*($E100/365))</f>
        <v>53.6</v>
      </c>
      <c r="T185" s="8">
        <f>(P99*($E99/365)) + (P100*($E100/365))</f>
        <v>0</v>
      </c>
      <c r="U185" s="8">
        <f>(Q99*($E99/365)) + (Q100*($E100/365))</f>
        <v>0</v>
      </c>
      <c r="V185" s="12"/>
      <c r="W185" s="7">
        <f t="shared" si="19"/>
        <v>53.6</v>
      </c>
    </row>
    <row r="186" spans="1:23">
      <c r="A186" s="1">
        <v>2006</v>
      </c>
      <c r="B186" s="8">
        <f>(K101*($E101/365)) + (K102*($E102/365))</f>
        <v>100</v>
      </c>
      <c r="C186" s="8">
        <f>(L101*($E101/365)) + (L102*($E102/365))</f>
        <v>0</v>
      </c>
      <c r="D186" s="8">
        <f>(M101*($E101/365)) + (M102*($E102/365))</f>
        <v>0</v>
      </c>
      <c r="E186" s="52">
        <f t="shared" si="20"/>
        <v>100</v>
      </c>
      <c r="G186" s="1">
        <v>2006</v>
      </c>
      <c r="H186" s="989">
        <f>(O101/$R101*100*($E101/365))+(O102/$R102*100*($E102/365))</f>
        <v>100</v>
      </c>
      <c r="I186" s="989"/>
      <c r="J186" s="989">
        <f>(P101/$R101*100*($E101/365))+(P102/$R102*100*($E102/365))</f>
        <v>0</v>
      </c>
      <c r="K186" s="989"/>
      <c r="L186" s="989">
        <f>(Q101/$R101*100*($E101/365))+(Q102/$R102*100*($E102/365))</f>
        <v>0</v>
      </c>
      <c r="M186" s="989"/>
      <c r="N186" s="990">
        <f t="shared" si="21"/>
        <v>100</v>
      </c>
      <c r="O186" s="1020"/>
      <c r="R186" s="1">
        <v>2006</v>
      </c>
      <c r="S186" s="8">
        <f>(O101*($E101/365)) + (O102*($E102/365))</f>
        <v>53.6</v>
      </c>
      <c r="T186" s="8">
        <f>(P101*($E101/365)) + (P102*($E102/365))</f>
        <v>0</v>
      </c>
      <c r="U186" s="8">
        <f>(Q101*($E101/365)) + (Q102*($E102/365))</f>
        <v>0</v>
      </c>
      <c r="V186" s="12"/>
      <c r="W186" s="7">
        <f t="shared" si="19"/>
        <v>53.6</v>
      </c>
    </row>
    <row r="187" spans="1:23">
      <c r="A187" s="1">
        <v>2007</v>
      </c>
      <c r="B187" s="8">
        <f>(K103*($E103/365)) + (K104*($E104/365))</f>
        <v>92.657534246575352</v>
      </c>
      <c r="C187" s="8">
        <f>(L103*($E103/365)) + (L104*($E104/365))</f>
        <v>0</v>
      </c>
      <c r="D187" s="8">
        <f>(M103*($E103/365)) + (M104*($E104/365))</f>
        <v>7.3424657534246576</v>
      </c>
      <c r="E187" s="52">
        <f t="shared" si="20"/>
        <v>100.00000000000001</v>
      </c>
      <c r="G187" s="1">
        <v>2007</v>
      </c>
      <c r="H187" s="989">
        <f>(O103/$R103*100*($E103/365))+(O104/$R104*100*($E104/365))</f>
        <v>96.172846035859735</v>
      </c>
      <c r="I187" s="989"/>
      <c r="J187" s="989">
        <f>(P103/$R103*100*($E103/365))+(P104/$R104*100*($E104/365))</f>
        <v>0</v>
      </c>
      <c r="K187" s="989"/>
      <c r="L187" s="989">
        <f>(Q103/$R103*100*($E103/365))+(Q104/$R104*100*($E104/365))</f>
        <v>3.8271539641402654</v>
      </c>
      <c r="M187" s="989"/>
      <c r="N187" s="990">
        <f t="shared" si="21"/>
        <v>100</v>
      </c>
      <c r="O187" s="1020"/>
      <c r="R187" s="1">
        <v>2007</v>
      </c>
      <c r="S187" s="8">
        <f>(O103*($E103/365)) + (O104*($E104/365))</f>
        <v>50.626301369863015</v>
      </c>
      <c r="T187" s="8">
        <f>(P103*($E103/365)) + (P104*($E104/365))</f>
        <v>0</v>
      </c>
      <c r="U187" s="8">
        <f>(Q103*($E103/365)) + (Q104*($E104/365))</f>
        <v>1.9824657534246575</v>
      </c>
      <c r="V187" s="12"/>
      <c r="W187" s="7">
        <f t="shared" si="19"/>
        <v>52.60876712328767</v>
      </c>
    </row>
    <row r="188" spans="1:23">
      <c r="A188" s="1">
        <v>2008</v>
      </c>
      <c r="B188" s="8">
        <f>(K105*($E105/366)) + (K106*($E106/366))</f>
        <v>86.666666666666671</v>
      </c>
      <c r="C188" s="8">
        <f>(L105*($E105/366)) + (L106*($E106/366))</f>
        <v>0</v>
      </c>
      <c r="D188" s="8">
        <f>(M105*($E105/366)) + (M106*($E106/366))</f>
        <v>13.333333333333334</v>
      </c>
      <c r="E188" s="52">
        <f t="shared" si="20"/>
        <v>100</v>
      </c>
      <c r="G188" s="1">
        <v>2008</v>
      </c>
      <c r="H188" s="989">
        <f>(O105/$R105*100*($E105/366))+(O106/$R106*100*($E106/366))</f>
        <v>93.050193050193059</v>
      </c>
      <c r="I188" s="989"/>
      <c r="J188" s="989">
        <f>(P105/$R105*100*($E105/366))+(P106/$R106*100*($E106/366))</f>
        <v>0</v>
      </c>
      <c r="K188" s="989"/>
      <c r="L188" s="989">
        <f>(Q105/$R105*100*($E105/366))+(Q106/$R106*100*($E106/366))</f>
        <v>6.9498069498069501</v>
      </c>
      <c r="M188" s="989"/>
      <c r="N188" s="990">
        <f t="shared" si="21"/>
        <v>100.00000000000001</v>
      </c>
      <c r="O188" s="1020"/>
      <c r="R188" s="1">
        <v>2008</v>
      </c>
      <c r="S188" s="8">
        <f>(O105*($E105/366)) + (O106*($E106/366))</f>
        <v>48.2</v>
      </c>
      <c r="T188" s="8">
        <f>(P105*($E105/366)) + (P106*($E106/366))</f>
        <v>0</v>
      </c>
      <c r="U188" s="8">
        <f>(Q105*($E105/366)) + (Q106*($E106/366))</f>
        <v>3.6</v>
      </c>
      <c r="V188" s="12"/>
      <c r="W188" s="7">
        <f t="shared" si="19"/>
        <v>51.800000000000004</v>
      </c>
    </row>
    <row r="189" spans="1:23">
      <c r="A189" s="1">
        <v>2009</v>
      </c>
      <c r="B189" s="8">
        <f>(K107*($E107/365)) + (K108*($E108/365))</f>
        <v>86.283105022831052</v>
      </c>
      <c r="C189" s="8">
        <f>(L107*($E107/365)) + (L108*($E108/365))</f>
        <v>0</v>
      </c>
      <c r="D189" s="8">
        <f>(M107*($E107/365)) + (M108*($E108/365))</f>
        <v>13.333333333333334</v>
      </c>
      <c r="E189" s="52">
        <f t="shared" si="20"/>
        <v>99.61643835616438</v>
      </c>
      <c r="G189" s="1">
        <v>2009</v>
      </c>
      <c r="H189" s="989">
        <f>(O107/$R107*100*($E107/365))+(O108/$R108*100*($E108/365))</f>
        <v>93.040710396279195</v>
      </c>
      <c r="I189" s="989"/>
      <c r="J189" s="989">
        <f>(P107/$R107*100*($E107/365))+(P108/$R108*100*($E108/365))</f>
        <v>0</v>
      </c>
      <c r="K189" s="989"/>
      <c r="L189" s="989">
        <f>(Q107/$R107*100*($E107/365))+(Q108/$R108*100*($E108/365))</f>
        <v>6.959289603720813</v>
      </c>
      <c r="M189" s="989"/>
      <c r="N189" s="990">
        <f t="shared" si="21"/>
        <v>100.00000000000001</v>
      </c>
      <c r="O189" s="1020"/>
      <c r="R189" s="1">
        <v>2009</v>
      </c>
      <c r="S189" s="8">
        <f>(O107*($E107/365)) + (O108*($E108/365))</f>
        <v>48.13095890410959</v>
      </c>
      <c r="T189" s="8">
        <f>(P107*($E107/365)) + (P108*($E108/365))</f>
        <v>0</v>
      </c>
      <c r="U189" s="8">
        <f>(Q107*($E107/365)) + (Q108*($E108/365))</f>
        <v>3.6</v>
      </c>
      <c r="V189" s="12"/>
      <c r="W189" s="7">
        <f t="shared" si="19"/>
        <v>51.730958904109592</v>
      </c>
    </row>
    <row r="190" spans="1:23">
      <c r="A190" s="1">
        <v>2010</v>
      </c>
      <c r="B190" s="8">
        <f>(K109*($E109/365)) + (K110*($E110/365))</f>
        <v>80</v>
      </c>
      <c r="C190" s="8">
        <f>(L109*($E109/365)) + (L110*($E110/365))</f>
        <v>0</v>
      </c>
      <c r="D190" s="8">
        <f>(M109*($E109/365)) + (M110*($E110/365))</f>
        <v>13.333333333333334</v>
      </c>
      <c r="E190" s="52">
        <f t="shared" si="20"/>
        <v>93.333333333333329</v>
      </c>
      <c r="G190" s="1">
        <v>2010</v>
      </c>
      <c r="H190" s="989">
        <f>(O109/$R109*100*($E109/365))+(O110/$R110*100*($E110/365))</f>
        <v>92.885375494071141</v>
      </c>
      <c r="I190" s="989"/>
      <c r="J190" s="989">
        <f>(P109/$R109*100*($E109/365))+(P110/$R110*100*($E110/365))</f>
        <v>0</v>
      </c>
      <c r="K190" s="989"/>
      <c r="L190" s="989">
        <f>(Q109/$R109*100*($E109/365))+(Q110/$R110*100*($E110/365))</f>
        <v>7.1146245059288544</v>
      </c>
      <c r="M190" s="989"/>
      <c r="N190" s="990">
        <f t="shared" si="21"/>
        <v>100</v>
      </c>
      <c r="O190" s="1020"/>
      <c r="R190" s="1">
        <v>2010</v>
      </c>
      <c r="S190" s="8">
        <f>(O109*($E109/365)) + (O110*($E110/365))</f>
        <v>47</v>
      </c>
      <c r="T190" s="8">
        <f>(P109*($E109/365)) + (P110*($E110/365))</f>
        <v>0</v>
      </c>
      <c r="U190" s="8">
        <f>(Q109*($E109/365)) + (Q110*($E110/365))</f>
        <v>3.6</v>
      </c>
      <c r="V190" s="12"/>
      <c r="W190" s="7">
        <f t="shared" si="19"/>
        <v>50.6</v>
      </c>
    </row>
    <row r="191" spans="1:23">
      <c r="A191" s="1">
        <v>2011</v>
      </c>
      <c r="B191" s="8">
        <f>(K111*($E111/365)) + (K112*($E112/365))+(K113*($E113/365))+(K114*($E114/365))+(K115*($E115/365))</f>
        <v>17.128506196999346</v>
      </c>
      <c r="C191" s="8">
        <f>(L111*($E111/365)) + (L112*($E112/365))+(L113*($E113/365))+(L114*($E114/365))+(L115*($E115/365))</f>
        <v>54.42922374429223</v>
      </c>
      <c r="D191" s="8">
        <f>(M111*($E111/365)) + (M112*($E112/365))+(M113*($E113/365))+(M114*($E114/365))+(M115*($E115/365))</f>
        <v>28.093933463796475</v>
      </c>
      <c r="E191" s="52">
        <f t="shared" si="20"/>
        <v>99.651663405088044</v>
      </c>
      <c r="G191" s="1">
        <v>2011</v>
      </c>
      <c r="H191" s="989">
        <f>(O111/$R111*100*($E111/365))+(O112/$R112*100*($E112/365))+(O113/$R113*100*($E113/365))+(O114/$R114*100*($E114/365))+(O115/$R115*100*($E115/365))</f>
        <v>17.927337701012508</v>
      </c>
      <c r="I191" s="989"/>
      <c r="J191" s="989">
        <f>(P111/$R111*100*($E111/365))+(P112/$R112*100*($E112/365))+(P113/$R113*100*($E113/365))+(P114/$R114*100*($E114/365))+(P115/$R115*100*($E115/365))</f>
        <v>54.908776376400539</v>
      </c>
      <c r="K191" s="989"/>
      <c r="L191" s="989">
        <f>(Q111/$R111*100*($E111/365))+(Q112/$R112*100*($E112/365))+(Q113/$R113*100*($E113/365))+(Q114/$R114*100*($E114/365))+(Q115/$R115*100*($E115/365))</f>
        <v>27.163885922586953</v>
      </c>
      <c r="M191" s="989"/>
      <c r="N191" s="990">
        <f t="shared" si="21"/>
        <v>100</v>
      </c>
      <c r="O191" s="1020"/>
      <c r="R191" s="1">
        <v>2011</v>
      </c>
      <c r="S191" s="8">
        <f>(O111*($E111/365)) + (O112*($E112/365))+(O113*($E113/365))+(O114*($E114/365))+(O115*($E115/365))</f>
        <v>8.6273972602739715</v>
      </c>
      <c r="T191" s="8">
        <f>(P111*($E111/365)) + (P112*($E112/365))+(P113*($E113/365))+(P114*($E114/365))+(P115*($E115/365))</f>
        <v>37.392876712328764</v>
      </c>
      <c r="U191" s="8">
        <f>(Q111*($E111/365)) + (Q112*($E112/365))+(Q113*($E113/365))+(Q114*($E114/365))+(Q115*($E115/365))</f>
        <v>18.423561643835619</v>
      </c>
      <c r="V191" s="12"/>
      <c r="W191" s="7">
        <f t="shared" si="19"/>
        <v>64.443835616438349</v>
      </c>
    </row>
    <row r="192" spans="1:23">
      <c r="A192" s="1">
        <v>2012</v>
      </c>
      <c r="B192" s="8">
        <f>(K116*($E116/366))+(K117*($E117/366))</f>
        <v>0</v>
      </c>
      <c r="C192" s="8">
        <f>(L116*($E116/366))+(L117*($E117/366))</f>
        <v>66.666666666666657</v>
      </c>
      <c r="D192" s="8">
        <f>(M116*($E116/366))+(M117*($E117/366))</f>
        <v>33.333333333333329</v>
      </c>
      <c r="E192" s="52">
        <f t="shared" si="20"/>
        <v>99.999999999999986</v>
      </c>
      <c r="G192" s="1">
        <v>2012</v>
      </c>
      <c r="H192" s="989">
        <f>(O116/$R116*100*($E116/366))+(O117/$R117*100*($E117/366))</f>
        <v>0</v>
      </c>
      <c r="I192" s="989"/>
      <c r="J192" s="989">
        <f>(P116/$R116*100*($E116/366))+(P117/$R117*100*($E117/366))</f>
        <v>67.25403817914831</v>
      </c>
      <c r="K192" s="989"/>
      <c r="L192" s="989">
        <f>(Q116/$R116*100*($E116/366))+(Q117/$R117*100*($E117/366))</f>
        <v>32.74596182085169</v>
      </c>
      <c r="M192" s="989"/>
      <c r="N192" s="990">
        <f t="shared" ref="N192:N197" si="22">H192+J192+L192</f>
        <v>100</v>
      </c>
      <c r="O192" s="1020"/>
      <c r="R192" s="1">
        <v>2012</v>
      </c>
      <c r="S192" s="8">
        <f>(O116*($E116/366))+(O117*($E117/366))</f>
        <v>0</v>
      </c>
      <c r="T192" s="8">
        <f>(P116*($E116/366))+(P117*($E117/366))</f>
        <v>45.8</v>
      </c>
      <c r="U192" s="8">
        <f>(Q116*($E116/366))+(Q117*($E117/366))</f>
        <v>22.3</v>
      </c>
      <c r="V192" s="12"/>
      <c r="W192" s="7">
        <f t="shared" si="19"/>
        <v>68.099999999999994</v>
      </c>
    </row>
    <row r="193" spans="1:23">
      <c r="A193" s="1">
        <v>2013</v>
      </c>
      <c r="B193" s="8">
        <f>(K118*($E118/365))+(K119*($E119/365))</f>
        <v>0</v>
      </c>
      <c r="C193" s="8">
        <f>(L118*($E118/365))+(L119*($E119/365))</f>
        <v>66.666666666666657</v>
      </c>
      <c r="D193" s="8">
        <f>(M118*($E118/365))+(M119*($E119/365))</f>
        <v>33.333333333333329</v>
      </c>
      <c r="E193" s="52">
        <f t="shared" si="20"/>
        <v>99.999999999999986</v>
      </c>
      <c r="G193" s="1">
        <v>2013</v>
      </c>
      <c r="H193" s="989">
        <f>(O118/$R118*100*($E118/365))+(O119/$R119*100*($E119/365))</f>
        <v>0</v>
      </c>
      <c r="I193" s="989"/>
      <c r="J193" s="989">
        <f>(P118/$R118*100*($E118/365))+(P119/$R119*100*($E119/365))</f>
        <v>67.25403817914831</v>
      </c>
      <c r="K193" s="989"/>
      <c r="L193" s="989">
        <f>(Q118/$R118*100*($E118/365))+(Q119/$R119*100*($E119/365))</f>
        <v>32.74596182085169</v>
      </c>
      <c r="M193" s="989"/>
      <c r="N193" s="990">
        <f t="shared" si="22"/>
        <v>100</v>
      </c>
      <c r="O193" s="1020"/>
      <c r="R193" s="1">
        <v>2013</v>
      </c>
      <c r="S193" s="8">
        <f>(O118*($E118/365))+(O119*($E119/365))</f>
        <v>0</v>
      </c>
      <c r="T193" s="8">
        <f>(P118*($E118/365))+(P119*($E119/365))</f>
        <v>45.8</v>
      </c>
      <c r="U193" s="8">
        <f>(Q118*($E118/365))+(Q119*($E119/365))</f>
        <v>22.3</v>
      </c>
      <c r="V193" s="12"/>
      <c r="W193" s="7">
        <f t="shared" si="19"/>
        <v>68.099999999999994</v>
      </c>
    </row>
    <row r="194" spans="1:23">
      <c r="A194" s="1">
        <v>2014</v>
      </c>
      <c r="B194" s="8">
        <f>(K120*($E120/365))+(K121*($E121/365))</f>
        <v>0</v>
      </c>
      <c r="C194" s="8">
        <f>(L120*($E120/365))+(L121*($E121/365))</f>
        <v>66.666666666666657</v>
      </c>
      <c r="D194" s="8">
        <f>(M120*($E120/365))+(M121*($E121/365))</f>
        <v>33.333333333333329</v>
      </c>
      <c r="E194" s="52">
        <f>B194+C194+D194</f>
        <v>99.999999999999986</v>
      </c>
      <c r="G194" s="1">
        <v>2014</v>
      </c>
      <c r="H194" s="989">
        <f>(O120/$R120*100*($E120/365))+(O121/$R121*100*($E121/365))</f>
        <v>0</v>
      </c>
      <c r="I194" s="989"/>
      <c r="J194" s="989">
        <f>(P120/$R120*100*($E120/365))+(P121/$R121*100*($E121/365))</f>
        <v>67.25403817914831</v>
      </c>
      <c r="K194" s="989"/>
      <c r="L194" s="989">
        <f>(Q120/$R120*100*($E120/365))+(Q121/$R121*100*($E121/365))</f>
        <v>32.74596182085169</v>
      </c>
      <c r="M194" s="989"/>
      <c r="N194" s="990">
        <f t="shared" si="22"/>
        <v>100</v>
      </c>
      <c r="O194" s="1020"/>
      <c r="R194" s="1">
        <v>2014</v>
      </c>
      <c r="S194" s="8">
        <f>(O120*($E120/365))+(O121*($E121/365))</f>
        <v>0</v>
      </c>
      <c r="T194" s="8">
        <f>(P120*($E120/365))+(P121*($E121/365))</f>
        <v>45.8</v>
      </c>
      <c r="U194" s="8">
        <f>(Q120*($E120/365))+(Q121*($E121/365))</f>
        <v>22.3</v>
      </c>
      <c r="V194" s="12"/>
      <c r="W194" s="7">
        <f>S194+T194+U194</f>
        <v>68.099999999999994</v>
      </c>
    </row>
    <row r="195" spans="1:23" s="728" customFormat="1">
      <c r="A195" s="728">
        <v>2015</v>
      </c>
      <c r="B195" s="720">
        <f>(K122*($E122/365))+(K123*($E123/365))</f>
        <v>0</v>
      </c>
      <c r="C195" s="720">
        <f>(L122*($E122/365))+(L123*($E123/365))</f>
        <v>66.666666666666657</v>
      </c>
      <c r="D195" s="720">
        <f>(M122*($E122/365))+(M123*($E123/365))</f>
        <v>33.333333333333329</v>
      </c>
      <c r="E195" s="52">
        <f>B195+C195+D195</f>
        <v>99.999999999999986</v>
      </c>
      <c r="G195" s="728">
        <v>2015</v>
      </c>
      <c r="H195" s="989">
        <f>(O122/$R122*100*($E122/365))+(O123/$R123*100*($E123/365))</f>
        <v>0</v>
      </c>
      <c r="I195" s="989"/>
      <c r="J195" s="989">
        <f>(P122/$R122*100*($E122/365))+(P123/$R123*100*($E123/365))</f>
        <v>67.25403817914831</v>
      </c>
      <c r="K195" s="989"/>
      <c r="L195" s="989">
        <f>(Q122/$R122*100*($E122/365))+(Q123/$R123*100*($E123/365))</f>
        <v>32.74596182085169</v>
      </c>
      <c r="M195" s="989"/>
      <c r="N195" s="990">
        <f t="shared" si="22"/>
        <v>100</v>
      </c>
      <c r="O195" s="1020"/>
      <c r="R195" s="728">
        <v>2015</v>
      </c>
      <c r="S195" s="720">
        <f>(O122*($E122/365))+(O123*($E123/365))</f>
        <v>0</v>
      </c>
      <c r="T195" s="720">
        <f>(P122*($E122/365))+(P123*($E123/365))</f>
        <v>45.8</v>
      </c>
      <c r="U195" s="720">
        <f>(Q122*($E122/365))+(Q123*($E123/365))</f>
        <v>22.3</v>
      </c>
      <c r="V195" s="12"/>
      <c r="W195" s="724">
        <f>S195+T195+U195</f>
        <v>68.099999999999994</v>
      </c>
    </row>
    <row r="196" spans="1:23" s="728" customFormat="1">
      <c r="A196" s="816">
        <v>2016</v>
      </c>
      <c r="B196" s="814">
        <f>(K124*($E124/366))+(K125*($E125/366))</f>
        <v>0</v>
      </c>
      <c r="C196" s="814">
        <f>(L124*($E124/366))+(L125*($E125/366))</f>
        <v>75.409836065573757</v>
      </c>
      <c r="D196" s="814">
        <f>(M124*($E124/366))+(M125*($E125/366))</f>
        <v>11.475409836065571</v>
      </c>
      <c r="E196" s="52">
        <f>B196+C196+D196</f>
        <v>86.885245901639323</v>
      </c>
      <c r="F196" s="816"/>
      <c r="G196" s="816">
        <v>2016</v>
      </c>
      <c r="H196" s="989">
        <f>(O124/$R124*100*($E124/366))+(O125/$R125*100*($E125/366))</f>
        <v>0</v>
      </c>
      <c r="I196" s="989"/>
      <c r="J196" s="989">
        <f>(P124/$R124*100*($E124/366))+(P125/$R125*100*($E125/366))</f>
        <v>88.726800028887112</v>
      </c>
      <c r="K196" s="989"/>
      <c r="L196" s="989">
        <f>(Q124/$R124*100*($E124/366))+(Q125/$R125*100*($E125/366))</f>
        <v>11.273199971112877</v>
      </c>
      <c r="M196" s="989"/>
      <c r="N196" s="990">
        <f t="shared" si="22"/>
        <v>99.999999999999986</v>
      </c>
      <c r="O196" s="1020"/>
      <c r="P196" s="816"/>
      <c r="Q196" s="816"/>
      <c r="R196" s="816">
        <v>2016</v>
      </c>
      <c r="S196" s="814">
        <f>(O124*($E124/366))+(O125*($E125/366))</f>
        <v>0</v>
      </c>
      <c r="T196" s="814">
        <f>(P124*($E124/366))+(P125*($E125/366))</f>
        <v>36.488524590163934</v>
      </c>
      <c r="U196" s="814">
        <f>(Q124*($E124/366))+(Q125*($E125/366))</f>
        <v>7.6770491803278693</v>
      </c>
      <c r="V196" s="12"/>
      <c r="W196" s="815">
        <f>S196+T196+U196</f>
        <v>44.165573770491804</v>
      </c>
    </row>
    <row r="197" spans="1:23">
      <c r="A197" s="920">
        <v>2017</v>
      </c>
      <c r="B197" s="915">
        <f>(K126*($E126/365))+(K127*($E127/365))</f>
        <v>0</v>
      </c>
      <c r="C197" s="915">
        <f t="shared" ref="C197:D197" si="23">(L126*($E126/365))+(L127*($E127/365))</f>
        <v>80</v>
      </c>
      <c r="D197" s="915">
        <f t="shared" si="23"/>
        <v>0</v>
      </c>
      <c r="E197" s="52">
        <f>B197+C197+D197</f>
        <v>80</v>
      </c>
      <c r="F197" s="920"/>
      <c r="G197" s="920">
        <v>2017</v>
      </c>
      <c r="H197" s="989">
        <f>(O126/$R126*100*($E126/365))+(O127/$R127*100*($E127/365))</f>
        <v>0</v>
      </c>
      <c r="I197" s="989"/>
      <c r="J197" s="989">
        <f>(P126/$R126*100*($E126/365))+(P127/$R127*100*($E127/365))</f>
        <v>100</v>
      </c>
      <c r="K197" s="989"/>
      <c r="L197" s="989">
        <f>(Q126/$R126*100*($E126/365))+(Q127/$R127*100*($E127/365))</f>
        <v>0</v>
      </c>
      <c r="M197" s="989"/>
      <c r="N197" s="990">
        <f t="shared" si="22"/>
        <v>100</v>
      </c>
      <c r="O197" s="1020"/>
      <c r="P197" s="920"/>
      <c r="Q197" s="920"/>
      <c r="R197" s="920">
        <v>2017</v>
      </c>
      <c r="S197" s="915">
        <f>(O126*($E126/365))+(O127*($E127/365))</f>
        <v>0</v>
      </c>
      <c r="T197" s="915">
        <f t="shared" ref="T197:U197" si="24">(P126*($E126/365))+(P127*($E127/365))</f>
        <v>31.599999999999998</v>
      </c>
      <c r="U197" s="915">
        <f t="shared" si="24"/>
        <v>0</v>
      </c>
      <c r="V197" s="12"/>
      <c r="W197" s="917">
        <f>S197+T197+U197</f>
        <v>31.599999999999998</v>
      </c>
    </row>
    <row r="198" spans="1:23">
      <c r="A198" s="939">
        <v>2018</v>
      </c>
      <c r="B198" s="930">
        <f>(K128*($E128/365))+(K129*($E129/365))</f>
        <v>0</v>
      </c>
      <c r="C198" s="930">
        <f>(L128*($E128/365))+(L129*($E129/365))</f>
        <v>81.497716894977174</v>
      </c>
      <c r="D198" s="930">
        <f>(M128*($E128/365))+(M129*($E129/365))</f>
        <v>0</v>
      </c>
      <c r="E198" s="52">
        <f t="shared" ref="E198" si="25">B198+C198+D198</f>
        <v>81.497716894977174</v>
      </c>
      <c r="F198" s="939"/>
      <c r="G198" s="939">
        <v>2018</v>
      </c>
      <c r="H198" s="989">
        <f>(O128/$R128*100*($E128/365))+(O129/$R129*100*($E129/365))</f>
        <v>0</v>
      </c>
      <c r="I198" s="989"/>
      <c r="J198" s="989">
        <f>(P128/$R128*100*($E128/365))+(P129/$R129*100*($E129/365))</f>
        <v>100</v>
      </c>
      <c r="K198" s="989"/>
      <c r="L198" s="989">
        <f>(Q128/$R128*100*($E128/365))+(Q129/$R129*100*($E129/365))</f>
        <v>0</v>
      </c>
      <c r="M198" s="989"/>
      <c r="N198" s="990">
        <f t="shared" ref="N198" si="26">H198+J198+L198</f>
        <v>100</v>
      </c>
      <c r="O198" s="1020"/>
      <c r="P198" s="939"/>
      <c r="Q198" s="939"/>
      <c r="R198" s="939">
        <v>2018</v>
      </c>
      <c r="S198" s="930">
        <f>(O128*($E128/365))+(O129*($E129/365))</f>
        <v>0</v>
      </c>
      <c r="T198" s="930">
        <f>(P128*($E128/365))+(P129*($E129/365))</f>
        <v>31.6</v>
      </c>
      <c r="U198" s="930">
        <f>(Q128*($E128/365))+(Q129*($E129/365))</f>
        <v>0</v>
      </c>
      <c r="V198" s="12"/>
      <c r="W198" s="935">
        <f t="shared" ref="W198" si="27">S198+T198+U198</f>
        <v>31.6</v>
      </c>
    </row>
  </sheetData>
  <mergeCells count="392">
    <mergeCell ref="N181:O181"/>
    <mergeCell ref="N184:O184"/>
    <mergeCell ref="N185:O185"/>
    <mergeCell ref="N186:O186"/>
    <mergeCell ref="L187:M187"/>
    <mergeCell ref="H196:I196"/>
    <mergeCell ref="J196:K196"/>
    <mergeCell ref="L196:M196"/>
    <mergeCell ref="N196:O196"/>
    <mergeCell ref="H195:I195"/>
    <mergeCell ref="J195:K195"/>
    <mergeCell ref="L195:M195"/>
    <mergeCell ref="N195:O195"/>
    <mergeCell ref="L189:M189"/>
    <mergeCell ref="H189:I189"/>
    <mergeCell ref="H192:I192"/>
    <mergeCell ref="J192:K192"/>
    <mergeCell ref="L192:M192"/>
    <mergeCell ref="L186:M186"/>
    <mergeCell ref="H188:I188"/>
    <mergeCell ref="J185:K185"/>
    <mergeCell ref="J186:K186"/>
    <mergeCell ref="J187:K187"/>
    <mergeCell ref="L185:M185"/>
    <mergeCell ref="AT4:AW4"/>
    <mergeCell ref="AX4:BA4"/>
    <mergeCell ref="H193:I193"/>
    <mergeCell ref="J193:K193"/>
    <mergeCell ref="L193:M193"/>
    <mergeCell ref="N193:O193"/>
    <mergeCell ref="N188:O188"/>
    <mergeCell ref="N189:O189"/>
    <mergeCell ref="L188:M188"/>
    <mergeCell ref="N187:O187"/>
    <mergeCell ref="L176:M176"/>
    <mergeCell ref="L179:M179"/>
    <mergeCell ref="L180:M180"/>
    <mergeCell ref="J188:K188"/>
    <mergeCell ref="J189:K189"/>
    <mergeCell ref="J190:K190"/>
    <mergeCell ref="J191:K191"/>
    <mergeCell ref="J182:K182"/>
    <mergeCell ref="N192:O192"/>
    <mergeCell ref="N190:O190"/>
    <mergeCell ref="N191:O191"/>
    <mergeCell ref="L191:M191"/>
    <mergeCell ref="H191:I191"/>
    <mergeCell ref="L190:M190"/>
    <mergeCell ref="J168:K168"/>
    <mergeCell ref="J169:K169"/>
    <mergeCell ref="J170:K170"/>
    <mergeCell ref="J171:K171"/>
    <mergeCell ref="J172:K172"/>
    <mergeCell ref="J173:K173"/>
    <mergeCell ref="J174:K174"/>
    <mergeCell ref="C122:D122"/>
    <mergeCell ref="C123:D123"/>
    <mergeCell ref="C124:D124"/>
    <mergeCell ref="C125:D125"/>
    <mergeCell ref="H173:I173"/>
    <mergeCell ref="H174:I174"/>
    <mergeCell ref="H163:I163"/>
    <mergeCell ref="J163:K163"/>
    <mergeCell ref="H159:I159"/>
    <mergeCell ref="J159:K159"/>
    <mergeCell ref="H155:I155"/>
    <mergeCell ref="J155:K155"/>
    <mergeCell ref="H151:I151"/>
    <mergeCell ref="J151:K151"/>
    <mergeCell ref="H147:I147"/>
    <mergeCell ref="J147:K147"/>
    <mergeCell ref="J150:K150"/>
    <mergeCell ref="H175:I175"/>
    <mergeCell ref="H176:I176"/>
    <mergeCell ref="J180:K180"/>
    <mergeCell ref="J181:K181"/>
    <mergeCell ref="J175:K175"/>
    <mergeCell ref="J176:K176"/>
    <mergeCell ref="J177:K177"/>
    <mergeCell ref="J178:K178"/>
    <mergeCell ref="L184:M184"/>
    <mergeCell ref="J184:K184"/>
    <mergeCell ref="L181:M181"/>
    <mergeCell ref="L182:M182"/>
    <mergeCell ref="J183:K183"/>
    <mergeCell ref="L173:M173"/>
    <mergeCell ref="L174:M174"/>
    <mergeCell ref="L175:M175"/>
    <mergeCell ref="C117:D117"/>
    <mergeCell ref="B133:G133"/>
    <mergeCell ref="O133:Q133"/>
    <mergeCell ref="H169:I169"/>
    <mergeCell ref="H170:I170"/>
    <mergeCell ref="H171:I171"/>
    <mergeCell ref="H172:I172"/>
    <mergeCell ref="H165:I165"/>
    <mergeCell ref="J165:K165"/>
    <mergeCell ref="L165:M165"/>
    <mergeCell ref="L168:M168"/>
    <mergeCell ref="L169:M169"/>
    <mergeCell ref="L170:M170"/>
    <mergeCell ref="L171:M171"/>
    <mergeCell ref="L172:M172"/>
    <mergeCell ref="N165:O165"/>
    <mergeCell ref="H166:I166"/>
    <mergeCell ref="J166:K166"/>
    <mergeCell ref="L166:M166"/>
    <mergeCell ref="N166:O166"/>
    <mergeCell ref="L167:M167"/>
    <mergeCell ref="R136:W136"/>
    <mergeCell ref="N182:O182"/>
    <mergeCell ref="N183:O183"/>
    <mergeCell ref="N167:O167"/>
    <mergeCell ref="N168:O168"/>
    <mergeCell ref="C118:D118"/>
    <mergeCell ref="N171:O171"/>
    <mergeCell ref="N176:O176"/>
    <mergeCell ref="N177:O177"/>
    <mergeCell ref="N178:O178"/>
    <mergeCell ref="N179:O179"/>
    <mergeCell ref="L183:M183"/>
    <mergeCell ref="L177:M177"/>
    <mergeCell ref="L178:M178"/>
    <mergeCell ref="N172:O172"/>
    <mergeCell ref="N173:O173"/>
    <mergeCell ref="N174:O174"/>
    <mergeCell ref="N175:O175"/>
    <mergeCell ref="N169:O169"/>
    <mergeCell ref="N170:O170"/>
    <mergeCell ref="N180:O180"/>
    <mergeCell ref="J179:K179"/>
    <mergeCell ref="H167:I167"/>
    <mergeCell ref="H168:I168"/>
    <mergeCell ref="H190:I190"/>
    <mergeCell ref="H179:I179"/>
    <mergeCell ref="H180:I180"/>
    <mergeCell ref="H181:I181"/>
    <mergeCell ref="H182:I182"/>
    <mergeCell ref="H183:I183"/>
    <mergeCell ref="H184:I184"/>
    <mergeCell ref="H177:I177"/>
    <mergeCell ref="H178:I178"/>
    <mergeCell ref="H185:I185"/>
    <mergeCell ref="H186:I186"/>
    <mergeCell ref="H187:I187"/>
    <mergeCell ref="L163:M163"/>
    <mergeCell ref="N163:O163"/>
    <mergeCell ref="H164:I164"/>
    <mergeCell ref="J164:K164"/>
    <mergeCell ref="L164:M164"/>
    <mergeCell ref="N164:O164"/>
    <mergeCell ref="J167:K167"/>
    <mergeCell ref="H161:I161"/>
    <mergeCell ref="J161:K161"/>
    <mergeCell ref="L161:M161"/>
    <mergeCell ref="N161:O161"/>
    <mergeCell ref="H162:I162"/>
    <mergeCell ref="J162:K162"/>
    <mergeCell ref="L162:M162"/>
    <mergeCell ref="N162:O162"/>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L150:M150"/>
    <mergeCell ref="N150:O150"/>
    <mergeCell ref="H149:I149"/>
    <mergeCell ref="J149:K149"/>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L152:M152"/>
    <mergeCell ref="N152:O152"/>
    <mergeCell ref="L149:M149"/>
    <mergeCell ref="N149:O149"/>
    <mergeCell ref="H150:I150"/>
    <mergeCell ref="G3:M3"/>
    <mergeCell ref="O3:Q3"/>
    <mergeCell ref="H140:I140"/>
    <mergeCell ref="J140:K140"/>
    <mergeCell ref="L140:M140"/>
    <mergeCell ref="N140:O140"/>
    <mergeCell ref="H139:I139"/>
    <mergeCell ref="J139:K139"/>
    <mergeCell ref="H145:I145"/>
    <mergeCell ref="J145:K145"/>
    <mergeCell ref="L145:M145"/>
    <mergeCell ref="N145:O145"/>
    <mergeCell ref="H143:I143"/>
    <mergeCell ref="J143:K143"/>
    <mergeCell ref="L143:M143"/>
    <mergeCell ref="N143:O143"/>
    <mergeCell ref="H144:I144"/>
    <mergeCell ref="J144:K144"/>
    <mergeCell ref="L144:M144"/>
    <mergeCell ref="N144:O144"/>
    <mergeCell ref="L142:M142"/>
    <mergeCell ref="N142:O142"/>
    <mergeCell ref="A4:A5"/>
    <mergeCell ref="B4:B5"/>
    <mergeCell ref="C4:D5"/>
    <mergeCell ref="E4:E5"/>
    <mergeCell ref="H138:I138"/>
    <mergeCell ref="J138:K138"/>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AH4:AK4"/>
    <mergeCell ref="AL4:AO4"/>
    <mergeCell ref="U4:U5"/>
    <mergeCell ref="V4:Y4"/>
    <mergeCell ref="AP4:AS4"/>
    <mergeCell ref="C8:D8"/>
    <mergeCell ref="K4:N4"/>
    <mergeCell ref="O4:R4"/>
    <mergeCell ref="S4:S5"/>
    <mergeCell ref="T4:T5"/>
    <mergeCell ref="Z4:AC4"/>
    <mergeCell ref="AD4:AG4"/>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119:D119"/>
    <mergeCell ref="C126:D126"/>
    <mergeCell ref="C88:D88"/>
    <mergeCell ref="C89:D89"/>
    <mergeCell ref="C90:D90"/>
    <mergeCell ref="C91:D91"/>
    <mergeCell ref="C92:D92"/>
    <mergeCell ref="C93:D93"/>
    <mergeCell ref="C94:D94"/>
    <mergeCell ref="C95:D95"/>
    <mergeCell ref="C96:D96"/>
    <mergeCell ref="C106:D106"/>
    <mergeCell ref="C107:D107"/>
    <mergeCell ref="C108:D108"/>
    <mergeCell ref="C115:D115"/>
    <mergeCell ref="C116:D116"/>
    <mergeCell ref="C109:D109"/>
    <mergeCell ref="C110:D110"/>
    <mergeCell ref="C111:D111"/>
    <mergeCell ref="C112:D112"/>
    <mergeCell ref="C113:D113"/>
    <mergeCell ref="C114:D114"/>
    <mergeCell ref="C97:D97"/>
    <mergeCell ref="C98:D98"/>
    <mergeCell ref="C99:D99"/>
    <mergeCell ref="C100:D100"/>
    <mergeCell ref="C101:D101"/>
    <mergeCell ref="C102:D102"/>
    <mergeCell ref="C103:D103"/>
    <mergeCell ref="C104:D104"/>
    <mergeCell ref="C105:D105"/>
    <mergeCell ref="C127:D127"/>
    <mergeCell ref="N194:O194"/>
    <mergeCell ref="C120:D120"/>
    <mergeCell ref="C121:D121"/>
    <mergeCell ref="H194:I194"/>
    <mergeCell ref="J194:K194"/>
    <mergeCell ref="L194:M194"/>
    <mergeCell ref="L139:M139"/>
    <mergeCell ref="N139:O139"/>
    <mergeCell ref="L138:M138"/>
    <mergeCell ref="N138:O138"/>
    <mergeCell ref="H141:I141"/>
    <mergeCell ref="J141:K141"/>
    <mergeCell ref="L141:M141"/>
    <mergeCell ref="N141:O141"/>
    <mergeCell ref="H142:I142"/>
    <mergeCell ref="J142:K142"/>
    <mergeCell ref="H146:I146"/>
    <mergeCell ref="J146:K146"/>
    <mergeCell ref="L146:M146"/>
    <mergeCell ref="C128:D128"/>
    <mergeCell ref="C129:D129"/>
    <mergeCell ref="H198:I198"/>
    <mergeCell ref="J198:K198"/>
    <mergeCell ref="L198:M198"/>
    <mergeCell ref="N198:O198"/>
    <mergeCell ref="H197:I197"/>
    <mergeCell ref="J197:K197"/>
    <mergeCell ref="L197:M197"/>
    <mergeCell ref="N197:O197"/>
    <mergeCell ref="N146:O146"/>
    <mergeCell ref="L147:M147"/>
    <mergeCell ref="N147:O147"/>
    <mergeCell ref="H148:I148"/>
    <mergeCell ref="J148:K148"/>
    <mergeCell ref="L148:M148"/>
    <mergeCell ref="N148:O148"/>
    <mergeCell ref="L151:M151"/>
    <mergeCell ref="N151:O151"/>
    <mergeCell ref="H152:I152"/>
    <mergeCell ref="J152:K15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FD213"/>
  <sheetViews>
    <sheetView zoomScale="166" zoomScaleNormal="120" workbookViewId="0">
      <pane xSplit="1" ySplit="5" topLeftCell="B138" activePane="bottomRight" state="frozen"/>
      <selection pane="topRight" activeCell="B1" sqref="B1"/>
      <selection pane="bottomLeft" activeCell="A6" sqref="A6"/>
      <selection pane="bottomRight" activeCell="D213" sqref="B213:D21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37" customWidth="1"/>
    <col min="47" max="52" width="5.6640625" style="1" customWidth="1"/>
    <col min="53" max="53" width="5.6640625" style="2" customWidth="1"/>
    <col min="54" max="16384" width="10.6640625" style="1"/>
  </cols>
  <sheetData>
    <row r="1" spans="1:53" s="2" customFormat="1" ht="15" customHeight="1">
      <c r="B1" s="22" t="s">
        <v>14</v>
      </c>
      <c r="AT1" s="36"/>
      <c r="BA1" s="3"/>
    </row>
    <row r="2" spans="1:53" s="2" customFormat="1" ht="15" customHeight="1">
      <c r="B2" s="22" t="s">
        <v>59</v>
      </c>
      <c r="AT2" s="36"/>
      <c r="BA2" s="3"/>
    </row>
    <row r="3" spans="1:53" s="2" customFormat="1">
      <c r="G3" s="994"/>
      <c r="H3" s="994"/>
      <c r="I3" s="994"/>
      <c r="J3" s="994"/>
      <c r="K3" s="994"/>
      <c r="L3" s="994"/>
      <c r="M3" s="994"/>
      <c r="O3" s="994"/>
      <c r="P3" s="994"/>
      <c r="Q3" s="994"/>
      <c r="AT3" s="36"/>
      <c r="BA3" s="3"/>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c r="A6" s="263">
        <v>1959</v>
      </c>
      <c r="B6" s="542"/>
      <c r="C6" s="995" t="s">
        <v>1245</v>
      </c>
      <c r="D6" s="995"/>
      <c r="E6" s="545">
        <v>46</v>
      </c>
      <c r="F6" s="545"/>
      <c r="G6" s="265"/>
      <c r="H6" s="545">
        <v>17</v>
      </c>
      <c r="I6" s="545">
        <v>3</v>
      </c>
      <c r="J6" s="272">
        <v>20</v>
      </c>
      <c r="K6" s="248">
        <f t="shared" ref="K6:M8" si="0">G6/$J6*100</f>
        <v>0</v>
      </c>
      <c r="L6" s="248">
        <f t="shared" si="0"/>
        <v>85</v>
      </c>
      <c r="M6" s="248">
        <f t="shared" si="0"/>
        <v>15</v>
      </c>
      <c r="N6" s="267">
        <f>K6+L6+M6</f>
        <v>100</v>
      </c>
      <c r="O6" s="247"/>
      <c r="P6" s="248">
        <v>45.8</v>
      </c>
      <c r="Q6" s="248">
        <v>3.7</v>
      </c>
      <c r="R6" s="249">
        <f>O6+P6+Q6</f>
        <v>49.5</v>
      </c>
      <c r="S6" s="545">
        <v>5</v>
      </c>
      <c r="T6" s="278"/>
      <c r="U6" s="545"/>
      <c r="V6" s="256" t="s">
        <v>513</v>
      </c>
      <c r="W6" s="257" t="s">
        <v>17</v>
      </c>
      <c r="X6" s="257" t="s">
        <v>18</v>
      </c>
      <c r="Y6" s="258">
        <v>45.8</v>
      </c>
      <c r="Z6" s="257" t="s">
        <v>514</v>
      </c>
      <c r="AA6" s="257" t="s">
        <v>97</v>
      </c>
      <c r="AB6" s="257" t="s">
        <v>12</v>
      </c>
      <c r="AC6" s="257">
        <v>3.7</v>
      </c>
      <c r="AD6" s="256"/>
      <c r="AG6" s="258"/>
      <c r="AL6" s="256"/>
      <c r="AO6" s="258"/>
      <c r="AP6" s="256"/>
      <c r="AT6" s="287"/>
      <c r="AU6" s="288"/>
      <c r="AV6" s="288"/>
      <c r="AW6" s="289"/>
      <c r="BA6" s="259"/>
    </row>
    <row r="7" spans="1:53" s="257" customFormat="1">
      <c r="A7" s="263">
        <v>1959</v>
      </c>
      <c r="B7" s="542">
        <v>21597</v>
      </c>
      <c r="C7" s="995" t="s">
        <v>715</v>
      </c>
      <c r="D7" s="995"/>
      <c r="E7" s="545">
        <f xml:space="preserve"> 365-E6</f>
        <v>319</v>
      </c>
      <c r="F7" s="545">
        <v>4</v>
      </c>
      <c r="G7" s="265"/>
      <c r="H7" s="545">
        <v>21</v>
      </c>
      <c r="I7" s="545"/>
      <c r="J7" s="272">
        <v>21</v>
      </c>
      <c r="K7" s="248">
        <f t="shared" si="0"/>
        <v>0</v>
      </c>
      <c r="L7" s="248">
        <f t="shared" si="0"/>
        <v>100</v>
      </c>
      <c r="M7" s="248">
        <f t="shared" si="0"/>
        <v>0</v>
      </c>
      <c r="N7" s="267">
        <f>K7+L7+M7</f>
        <v>100</v>
      </c>
      <c r="O7" s="247"/>
      <c r="P7" s="248">
        <v>45.8</v>
      </c>
      <c r="Q7" s="248"/>
      <c r="R7" s="249">
        <f>O7+P7+Q7</f>
        <v>45.8</v>
      </c>
      <c r="S7" s="545">
        <v>4</v>
      </c>
      <c r="T7" s="278"/>
      <c r="U7" s="542">
        <v>21597</v>
      </c>
      <c r="V7" s="256" t="s">
        <v>513</v>
      </c>
      <c r="W7" s="257" t="s">
        <v>17</v>
      </c>
      <c r="X7" s="257" t="s">
        <v>18</v>
      </c>
      <c r="Y7" s="258">
        <v>45.8</v>
      </c>
      <c r="AD7" s="256"/>
      <c r="AG7" s="258"/>
      <c r="AL7" s="256"/>
      <c r="AO7" s="258"/>
      <c r="AP7" s="256"/>
      <c r="AS7" s="258"/>
      <c r="AT7" s="282"/>
      <c r="AU7" s="326"/>
      <c r="AV7" s="326"/>
      <c r="AW7" s="258"/>
      <c r="BA7" s="259"/>
    </row>
    <row r="8" spans="1:53" s="73" customFormat="1">
      <c r="A8" s="102">
        <v>1960</v>
      </c>
      <c r="B8" s="540"/>
      <c r="C8" s="988" t="s">
        <v>715</v>
      </c>
      <c r="D8" s="988"/>
      <c r="E8" s="543">
        <v>84</v>
      </c>
      <c r="F8" s="543"/>
      <c r="G8" s="480"/>
      <c r="H8" s="543">
        <v>21</v>
      </c>
      <c r="I8" s="543"/>
      <c r="J8" s="482">
        <v>21</v>
      </c>
      <c r="K8" s="477">
        <f t="shared" si="0"/>
        <v>0</v>
      </c>
      <c r="L8" s="477">
        <f t="shared" si="0"/>
        <v>100</v>
      </c>
      <c r="M8" s="477">
        <f t="shared" si="0"/>
        <v>0</v>
      </c>
      <c r="N8" s="481">
        <f>K8+L8+M8</f>
        <v>100</v>
      </c>
      <c r="O8" s="476"/>
      <c r="P8" s="477">
        <v>45.8</v>
      </c>
      <c r="Q8" s="477"/>
      <c r="R8" s="478">
        <f>O8+P8+Q8</f>
        <v>45.8</v>
      </c>
      <c r="S8" s="543">
        <v>4</v>
      </c>
      <c r="T8" s="471"/>
      <c r="U8" s="543"/>
      <c r="V8" s="82" t="s">
        <v>513</v>
      </c>
      <c r="W8" s="73" t="s">
        <v>17</v>
      </c>
      <c r="X8" s="73" t="s">
        <v>18</v>
      </c>
      <c r="Y8" s="83">
        <v>45.8</v>
      </c>
      <c r="AD8" s="82"/>
      <c r="AG8" s="83"/>
      <c r="AL8" s="82"/>
      <c r="AO8" s="83"/>
      <c r="AP8" s="82"/>
      <c r="AT8" s="161"/>
      <c r="AU8" s="325"/>
      <c r="AV8" s="325"/>
      <c r="AW8" s="83"/>
      <c r="BA8" s="84"/>
    </row>
    <row r="9" spans="1:53" s="334" customFormat="1">
      <c r="A9" s="386">
        <v>1960</v>
      </c>
      <c r="B9" s="541">
        <v>22000</v>
      </c>
      <c r="C9" s="992" t="s">
        <v>716</v>
      </c>
      <c r="D9" s="992"/>
      <c r="E9" s="544">
        <v>123</v>
      </c>
      <c r="F9" s="544">
        <v>5</v>
      </c>
      <c r="G9" s="497"/>
      <c r="H9" s="544">
        <v>22</v>
      </c>
      <c r="I9" s="544"/>
      <c r="J9" s="499">
        <v>22</v>
      </c>
      <c r="K9" s="495">
        <f t="shared" ref="K9:M24" si="1">G9/$J9*100</f>
        <v>0</v>
      </c>
      <c r="L9" s="495">
        <f t="shared" si="1"/>
        <v>100</v>
      </c>
      <c r="M9" s="495">
        <f t="shared" si="1"/>
        <v>0</v>
      </c>
      <c r="N9" s="498">
        <f t="shared" ref="N9:N72" si="2">K9+L9+M9</f>
        <v>100</v>
      </c>
      <c r="O9" s="494"/>
      <c r="P9" s="495">
        <v>45.8</v>
      </c>
      <c r="Q9" s="495"/>
      <c r="R9" s="496">
        <f t="shared" ref="R9:R72" si="3">O9+P9+Q9</f>
        <v>45.8</v>
      </c>
      <c r="S9" s="544">
        <v>4</v>
      </c>
      <c r="T9" s="492"/>
      <c r="U9" s="541">
        <v>22000</v>
      </c>
      <c r="V9" s="343" t="s">
        <v>513</v>
      </c>
      <c r="W9" s="334" t="s">
        <v>17</v>
      </c>
      <c r="X9" s="334" t="s">
        <v>18</v>
      </c>
      <c r="Y9" s="344">
        <v>45.8</v>
      </c>
      <c r="AD9" s="343"/>
      <c r="AG9" s="344"/>
      <c r="AL9" s="343"/>
      <c r="AO9" s="344"/>
      <c r="AP9" s="343"/>
      <c r="AT9" s="449"/>
      <c r="AW9" s="344"/>
      <c r="BA9" s="345"/>
    </row>
    <row r="10" spans="1:53" s="73" customFormat="1">
      <c r="A10" s="102">
        <v>1960</v>
      </c>
      <c r="B10" s="540">
        <v>22123</v>
      </c>
      <c r="C10" s="988" t="s">
        <v>717</v>
      </c>
      <c r="D10" s="988"/>
      <c r="E10" s="543">
        <f>366-E9-E8</f>
        <v>159</v>
      </c>
      <c r="F10" s="543">
        <v>5</v>
      </c>
      <c r="G10" s="480"/>
      <c r="H10" s="543">
        <v>24</v>
      </c>
      <c r="I10" s="543"/>
      <c r="J10" s="482">
        <v>24</v>
      </c>
      <c r="K10" s="477">
        <f t="shared" si="1"/>
        <v>0</v>
      </c>
      <c r="L10" s="477">
        <f t="shared" si="1"/>
        <v>100</v>
      </c>
      <c r="M10" s="477">
        <f t="shared" si="1"/>
        <v>0</v>
      </c>
      <c r="N10" s="481">
        <f t="shared" si="2"/>
        <v>100</v>
      </c>
      <c r="O10" s="476"/>
      <c r="P10" s="477">
        <v>45.8</v>
      </c>
      <c r="Q10" s="477"/>
      <c r="R10" s="478">
        <f t="shared" si="3"/>
        <v>45.8</v>
      </c>
      <c r="S10" s="543">
        <v>4</v>
      </c>
      <c r="T10" s="471"/>
      <c r="U10" s="540">
        <v>22123</v>
      </c>
      <c r="V10" s="82" t="s">
        <v>513</v>
      </c>
      <c r="W10" s="73" t="s">
        <v>17</v>
      </c>
      <c r="X10" s="73" t="s">
        <v>18</v>
      </c>
      <c r="Y10" s="83">
        <v>45.8</v>
      </c>
      <c r="AD10" s="82"/>
      <c r="AG10" s="83"/>
      <c r="AL10" s="82"/>
      <c r="AO10" s="83"/>
      <c r="AP10" s="82"/>
      <c r="AT10" s="161"/>
      <c r="AW10" s="83"/>
      <c r="BA10" s="84"/>
    </row>
    <row r="11" spans="1:53" s="73" customFormat="1">
      <c r="A11" s="102">
        <v>1961</v>
      </c>
      <c r="B11" s="540"/>
      <c r="C11" s="988" t="s">
        <v>717</v>
      </c>
      <c r="D11" s="988"/>
      <c r="E11" s="543">
        <v>0</v>
      </c>
      <c r="F11" s="543"/>
      <c r="G11" s="480"/>
      <c r="H11" s="543">
        <v>24</v>
      </c>
      <c r="I11" s="543"/>
      <c r="J11" s="482">
        <v>24</v>
      </c>
      <c r="K11" s="477">
        <f t="shared" si="1"/>
        <v>0</v>
      </c>
      <c r="L11" s="477">
        <f t="shared" si="1"/>
        <v>100</v>
      </c>
      <c r="M11" s="477">
        <f t="shared" si="1"/>
        <v>0</v>
      </c>
      <c r="N11" s="481">
        <f t="shared" si="2"/>
        <v>100</v>
      </c>
      <c r="O11" s="476"/>
      <c r="P11" s="477">
        <v>45.8</v>
      </c>
      <c r="Q11" s="477"/>
      <c r="R11" s="478">
        <f t="shared" si="3"/>
        <v>45.8</v>
      </c>
      <c r="S11" s="543">
        <v>4</v>
      </c>
      <c r="T11" s="471"/>
      <c r="U11" s="543"/>
      <c r="V11" s="82" t="s">
        <v>513</v>
      </c>
      <c r="W11" s="73" t="s">
        <v>17</v>
      </c>
      <c r="X11" s="73" t="s">
        <v>18</v>
      </c>
      <c r="Y11" s="83">
        <v>45.8</v>
      </c>
      <c r="AD11" s="82"/>
      <c r="AG11" s="83"/>
      <c r="AL11" s="82"/>
      <c r="AO11" s="83"/>
      <c r="AP11" s="82"/>
      <c r="AT11" s="161"/>
      <c r="AW11" s="83"/>
      <c r="BA11" s="84"/>
    </row>
    <row r="12" spans="1:53" s="73" customFormat="1">
      <c r="A12" s="102">
        <v>1961</v>
      </c>
      <c r="B12" s="540"/>
      <c r="C12" s="988" t="s">
        <v>717</v>
      </c>
      <c r="D12" s="988"/>
      <c r="E12" s="543">
        <v>365</v>
      </c>
      <c r="F12" s="543"/>
      <c r="G12" s="480"/>
      <c r="H12" s="543">
        <v>24</v>
      </c>
      <c r="I12" s="543"/>
      <c r="J12" s="482">
        <v>24</v>
      </c>
      <c r="K12" s="477">
        <f t="shared" si="1"/>
        <v>0</v>
      </c>
      <c r="L12" s="477">
        <f t="shared" si="1"/>
        <v>100</v>
      </c>
      <c r="M12" s="477">
        <f t="shared" si="1"/>
        <v>0</v>
      </c>
      <c r="N12" s="481">
        <f t="shared" si="2"/>
        <v>100</v>
      </c>
      <c r="O12" s="476"/>
      <c r="P12" s="477">
        <v>45.8</v>
      </c>
      <c r="Q12" s="477"/>
      <c r="R12" s="478">
        <f t="shared" si="3"/>
        <v>45.8</v>
      </c>
      <c r="S12" s="543">
        <v>4</v>
      </c>
      <c r="T12" s="471"/>
      <c r="U12" s="543"/>
      <c r="V12" s="82" t="s">
        <v>513</v>
      </c>
      <c r="W12" s="73" t="s">
        <v>17</v>
      </c>
      <c r="X12" s="73" t="s">
        <v>18</v>
      </c>
      <c r="Y12" s="83">
        <v>45.8</v>
      </c>
      <c r="AD12" s="82"/>
      <c r="AG12" s="83"/>
      <c r="AL12" s="82"/>
      <c r="AO12" s="83"/>
      <c r="AP12" s="82"/>
      <c r="AT12" s="161"/>
      <c r="AW12" s="83"/>
      <c r="BA12" s="84"/>
    </row>
    <row r="13" spans="1:53" s="73" customFormat="1">
      <c r="A13" s="102">
        <v>1962</v>
      </c>
      <c r="B13" s="540"/>
      <c r="C13" s="988" t="s">
        <v>717</v>
      </c>
      <c r="D13" s="988"/>
      <c r="E13" s="543">
        <v>51</v>
      </c>
      <c r="F13" s="543"/>
      <c r="G13" s="480"/>
      <c r="H13" s="543">
        <v>24</v>
      </c>
      <c r="I13" s="543"/>
      <c r="J13" s="482">
        <v>24</v>
      </c>
      <c r="K13" s="477">
        <f t="shared" si="1"/>
        <v>0</v>
      </c>
      <c r="L13" s="477">
        <f t="shared" si="1"/>
        <v>100</v>
      </c>
      <c r="M13" s="477">
        <f t="shared" si="1"/>
        <v>0</v>
      </c>
      <c r="N13" s="481">
        <f t="shared" si="2"/>
        <v>100</v>
      </c>
      <c r="O13" s="476"/>
      <c r="P13" s="477">
        <v>45.8</v>
      </c>
      <c r="Q13" s="477"/>
      <c r="R13" s="478">
        <f t="shared" si="3"/>
        <v>45.8</v>
      </c>
      <c r="S13" s="543">
        <v>4</v>
      </c>
      <c r="T13" s="471"/>
      <c r="U13" s="543"/>
      <c r="V13" s="82" t="s">
        <v>513</v>
      </c>
      <c r="W13" s="73" t="s">
        <v>17</v>
      </c>
      <c r="X13" s="73" t="s">
        <v>18</v>
      </c>
      <c r="Y13" s="83">
        <v>45.8</v>
      </c>
      <c r="AD13" s="82"/>
      <c r="AG13" s="83"/>
      <c r="AL13" s="82"/>
      <c r="AO13" s="83"/>
      <c r="AP13" s="82"/>
      <c r="AT13" s="161"/>
      <c r="AW13" s="83"/>
      <c r="BA13" s="84"/>
    </row>
    <row r="14" spans="1:53" s="334" customFormat="1">
      <c r="A14" s="386">
        <v>1962</v>
      </c>
      <c r="B14" s="541">
        <v>22698</v>
      </c>
      <c r="C14" s="992" t="s">
        <v>718</v>
      </c>
      <c r="D14" s="992"/>
      <c r="E14" s="544">
        <f>365-E13</f>
        <v>314</v>
      </c>
      <c r="F14" s="544">
        <v>2</v>
      </c>
      <c r="G14" s="497"/>
      <c r="H14" s="544">
        <v>21</v>
      </c>
      <c r="I14" s="544">
        <v>3</v>
      </c>
      <c r="J14" s="499">
        <v>24</v>
      </c>
      <c r="K14" s="495">
        <f t="shared" si="1"/>
        <v>0</v>
      </c>
      <c r="L14" s="495">
        <f t="shared" si="1"/>
        <v>87.5</v>
      </c>
      <c r="M14" s="495">
        <f t="shared" si="1"/>
        <v>12.5</v>
      </c>
      <c r="N14" s="498">
        <f t="shared" si="2"/>
        <v>100</v>
      </c>
      <c r="O14" s="494"/>
      <c r="P14" s="495">
        <v>46.8</v>
      </c>
      <c r="Q14" s="495">
        <v>3.7</v>
      </c>
      <c r="R14" s="496">
        <f t="shared" si="3"/>
        <v>50.5</v>
      </c>
      <c r="S14" s="544">
        <v>2</v>
      </c>
      <c r="T14" s="492"/>
      <c r="U14" s="541">
        <v>22698</v>
      </c>
      <c r="V14" s="343" t="s">
        <v>513</v>
      </c>
      <c r="W14" s="334" t="s">
        <v>17</v>
      </c>
      <c r="X14" s="334" t="s">
        <v>18</v>
      </c>
      <c r="Y14" s="344">
        <v>45.8</v>
      </c>
      <c r="Z14" s="334" t="s">
        <v>514</v>
      </c>
      <c r="AA14" s="334" t="s">
        <v>97</v>
      </c>
      <c r="AB14" s="334" t="s">
        <v>12</v>
      </c>
      <c r="AC14" s="334">
        <v>3.7</v>
      </c>
      <c r="AD14" s="343" t="s">
        <v>515</v>
      </c>
      <c r="AE14" s="334" t="s">
        <v>88</v>
      </c>
      <c r="AF14" s="334" t="s">
        <v>18</v>
      </c>
      <c r="AG14" s="344">
        <v>1</v>
      </c>
      <c r="AL14" s="343"/>
      <c r="AO14" s="344"/>
      <c r="AP14" s="343"/>
      <c r="AT14" s="449"/>
      <c r="AW14" s="344"/>
      <c r="BA14" s="345"/>
    </row>
    <row r="15" spans="1:53" s="334" customFormat="1">
      <c r="A15" s="386">
        <v>1962.6</v>
      </c>
      <c r="B15" s="541"/>
      <c r="C15" s="992" t="s">
        <v>718</v>
      </c>
      <c r="D15" s="992"/>
      <c r="E15" s="544">
        <v>171</v>
      </c>
      <c r="F15" s="544"/>
      <c r="G15" s="497"/>
      <c r="H15" s="544">
        <v>21</v>
      </c>
      <c r="I15" s="544">
        <v>3</v>
      </c>
      <c r="J15" s="499">
        <v>24</v>
      </c>
      <c r="K15" s="495">
        <f t="shared" si="1"/>
        <v>0</v>
      </c>
      <c r="L15" s="495">
        <f t="shared" si="1"/>
        <v>87.5</v>
      </c>
      <c r="M15" s="495">
        <f t="shared" si="1"/>
        <v>12.5</v>
      </c>
      <c r="N15" s="498">
        <f t="shared" si="2"/>
        <v>100</v>
      </c>
      <c r="O15" s="494"/>
      <c r="P15" s="495">
        <v>46.8</v>
      </c>
      <c r="Q15" s="495">
        <v>3.7</v>
      </c>
      <c r="R15" s="496">
        <f t="shared" si="3"/>
        <v>50.5</v>
      </c>
      <c r="S15" s="544">
        <v>2</v>
      </c>
      <c r="T15" s="492"/>
      <c r="U15" s="544"/>
      <c r="V15" s="343" t="s">
        <v>513</v>
      </c>
      <c r="W15" s="334" t="s">
        <v>17</v>
      </c>
      <c r="X15" s="334" t="s">
        <v>18</v>
      </c>
      <c r="Y15" s="344">
        <v>45.8</v>
      </c>
      <c r="Z15" s="334" t="s">
        <v>514</v>
      </c>
      <c r="AA15" s="334" t="s">
        <v>97</v>
      </c>
      <c r="AB15" s="334" t="s">
        <v>12</v>
      </c>
      <c r="AC15" s="334">
        <v>3.7</v>
      </c>
      <c r="AD15" s="343" t="s">
        <v>515</v>
      </c>
      <c r="AE15" s="334" t="s">
        <v>88</v>
      </c>
      <c r="AF15" s="334" t="s">
        <v>18</v>
      </c>
      <c r="AG15" s="344">
        <v>1</v>
      </c>
      <c r="AL15" s="343"/>
      <c r="AO15" s="344"/>
      <c r="AP15" s="343"/>
      <c r="AT15" s="449"/>
      <c r="AW15" s="344"/>
      <c r="BA15" s="345"/>
    </row>
    <row r="16" spans="1:53" s="73" customFormat="1">
      <c r="A16" s="102">
        <v>1963.05714285714</v>
      </c>
      <c r="B16" s="540">
        <v>23183</v>
      </c>
      <c r="C16" s="988" t="s">
        <v>719</v>
      </c>
      <c r="D16" s="988"/>
      <c r="E16" s="543">
        <v>167</v>
      </c>
      <c r="F16" s="543">
        <v>1</v>
      </c>
      <c r="G16" s="480"/>
      <c r="H16" s="543">
        <v>23</v>
      </c>
      <c r="I16" s="543"/>
      <c r="J16" s="482">
        <v>23</v>
      </c>
      <c r="K16" s="477">
        <f t="shared" si="1"/>
        <v>0</v>
      </c>
      <c r="L16" s="477">
        <f t="shared" si="1"/>
        <v>100</v>
      </c>
      <c r="M16" s="477">
        <f t="shared" si="1"/>
        <v>0</v>
      </c>
      <c r="N16" s="481">
        <f t="shared" si="2"/>
        <v>100</v>
      </c>
      <c r="O16" s="476"/>
      <c r="P16" s="477">
        <v>41.3</v>
      </c>
      <c r="Q16" s="477"/>
      <c r="R16" s="478">
        <f t="shared" si="3"/>
        <v>41.3</v>
      </c>
      <c r="S16" s="543">
        <v>6</v>
      </c>
      <c r="T16" s="479">
        <v>23129</v>
      </c>
      <c r="U16" s="540">
        <v>23183</v>
      </c>
      <c r="V16" s="82" t="s">
        <v>513</v>
      </c>
      <c r="W16" s="73" t="s">
        <v>17</v>
      </c>
      <c r="X16" s="73" t="s">
        <v>18</v>
      </c>
      <c r="Y16" s="83">
        <v>41.3</v>
      </c>
      <c r="AD16" s="82"/>
      <c r="AG16" s="83"/>
      <c r="AL16" s="82"/>
      <c r="AO16" s="83"/>
      <c r="AP16" s="82"/>
      <c r="AT16" s="161"/>
      <c r="AW16" s="83"/>
      <c r="BA16" s="84"/>
    </row>
    <row r="17" spans="1:53" s="334" customFormat="1">
      <c r="A17" s="386">
        <v>1963</v>
      </c>
      <c r="B17" s="541">
        <v>23350</v>
      </c>
      <c r="C17" s="992" t="s">
        <v>720</v>
      </c>
      <c r="D17" s="992"/>
      <c r="E17" s="544">
        <f>365-E16-E15</f>
        <v>27</v>
      </c>
      <c r="F17" s="544">
        <v>2</v>
      </c>
      <c r="G17" s="497"/>
      <c r="H17" s="544">
        <v>17</v>
      </c>
      <c r="I17" s="544">
        <v>9</v>
      </c>
      <c r="J17" s="499">
        <v>26</v>
      </c>
      <c r="K17" s="495">
        <f t="shared" si="1"/>
        <v>0</v>
      </c>
      <c r="L17" s="495">
        <f t="shared" si="1"/>
        <v>65.384615384615387</v>
      </c>
      <c r="M17" s="495">
        <f t="shared" si="1"/>
        <v>34.615384615384613</v>
      </c>
      <c r="N17" s="498">
        <f t="shared" si="2"/>
        <v>100</v>
      </c>
      <c r="O17" s="494"/>
      <c r="P17" s="495">
        <v>42.3</v>
      </c>
      <c r="Q17" s="495">
        <v>18.899999999999999</v>
      </c>
      <c r="R17" s="496">
        <f t="shared" si="3"/>
        <v>61.199999999999996</v>
      </c>
      <c r="S17" s="544">
        <v>3</v>
      </c>
      <c r="T17" s="492"/>
      <c r="U17" s="541">
        <v>23350</v>
      </c>
      <c r="V17" s="343" t="s">
        <v>513</v>
      </c>
      <c r="W17" s="334" t="s">
        <v>17</v>
      </c>
      <c r="X17" s="334" t="s">
        <v>18</v>
      </c>
      <c r="Y17" s="344">
        <v>41.3</v>
      </c>
      <c r="Z17" s="334" t="s">
        <v>516</v>
      </c>
      <c r="AA17" s="334" t="s">
        <v>20</v>
      </c>
      <c r="AB17" s="334" t="s">
        <v>12</v>
      </c>
      <c r="AC17" s="334">
        <v>13.8</v>
      </c>
      <c r="AD17" s="343" t="s">
        <v>514</v>
      </c>
      <c r="AE17" s="334" t="s">
        <v>97</v>
      </c>
      <c r="AF17" s="334" t="s">
        <v>12</v>
      </c>
      <c r="AG17" s="334">
        <v>5.0999999999999996</v>
      </c>
      <c r="AH17" s="343" t="s">
        <v>515</v>
      </c>
      <c r="AI17" s="334" t="s">
        <v>88</v>
      </c>
      <c r="AJ17" s="334" t="s">
        <v>18</v>
      </c>
      <c r="AK17" s="334">
        <v>1</v>
      </c>
      <c r="AL17" s="343"/>
      <c r="AO17" s="344"/>
      <c r="AP17" s="343"/>
      <c r="AT17" s="449"/>
      <c r="AW17" s="344"/>
      <c r="BA17" s="345"/>
    </row>
    <row r="18" spans="1:53" s="334" customFormat="1">
      <c r="A18" s="386">
        <v>1963.5142857142901</v>
      </c>
      <c r="B18" s="541"/>
      <c r="C18" s="992" t="s">
        <v>720</v>
      </c>
      <c r="D18" s="992"/>
      <c r="E18" s="544">
        <v>203</v>
      </c>
      <c r="F18" s="544"/>
      <c r="G18" s="497"/>
      <c r="H18" s="544">
        <v>17</v>
      </c>
      <c r="I18" s="544">
        <v>9</v>
      </c>
      <c r="J18" s="499">
        <v>26</v>
      </c>
      <c r="K18" s="495">
        <f t="shared" si="1"/>
        <v>0</v>
      </c>
      <c r="L18" s="495">
        <f t="shared" si="1"/>
        <v>65.384615384615387</v>
      </c>
      <c r="M18" s="495">
        <f t="shared" si="1"/>
        <v>34.615384615384613</v>
      </c>
      <c r="N18" s="498">
        <f t="shared" si="2"/>
        <v>100</v>
      </c>
      <c r="O18" s="494"/>
      <c r="P18" s="495">
        <v>42.3</v>
      </c>
      <c r="Q18" s="495">
        <v>18.899999999999999</v>
      </c>
      <c r="R18" s="496">
        <f t="shared" si="3"/>
        <v>61.199999999999996</v>
      </c>
      <c r="S18" s="544">
        <v>3</v>
      </c>
      <c r="T18" s="492"/>
      <c r="U18" s="544"/>
      <c r="V18" s="343" t="s">
        <v>513</v>
      </c>
      <c r="W18" s="334" t="s">
        <v>17</v>
      </c>
      <c r="X18" s="334" t="s">
        <v>18</v>
      </c>
      <c r="Y18" s="344">
        <v>41.3</v>
      </c>
      <c r="Z18" s="334" t="s">
        <v>516</v>
      </c>
      <c r="AA18" s="334" t="s">
        <v>20</v>
      </c>
      <c r="AB18" s="334" t="s">
        <v>12</v>
      </c>
      <c r="AC18" s="334">
        <v>13.8</v>
      </c>
      <c r="AD18" s="343" t="s">
        <v>514</v>
      </c>
      <c r="AE18" s="334" t="s">
        <v>97</v>
      </c>
      <c r="AF18" s="334" t="s">
        <v>12</v>
      </c>
      <c r="AG18" s="334">
        <v>5.0999999999999996</v>
      </c>
      <c r="AH18" s="343" t="s">
        <v>515</v>
      </c>
      <c r="AI18" s="334" t="s">
        <v>88</v>
      </c>
      <c r="AJ18" s="334" t="s">
        <v>18</v>
      </c>
      <c r="AK18" s="334">
        <v>1</v>
      </c>
      <c r="AL18" s="343"/>
      <c r="AO18" s="344"/>
      <c r="AP18" s="343"/>
      <c r="AT18" s="449"/>
      <c r="AW18" s="344"/>
      <c r="BA18" s="345"/>
    </row>
    <row r="19" spans="1:53" s="73" customFormat="1">
      <c r="A19" s="102">
        <v>1963.9714285714299</v>
      </c>
      <c r="B19" s="540">
        <v>23580</v>
      </c>
      <c r="C19" s="988" t="s">
        <v>721</v>
      </c>
      <c r="D19" s="988"/>
      <c r="E19" s="543">
        <f>366-E18</f>
        <v>163</v>
      </c>
      <c r="F19" s="543">
        <v>5</v>
      </c>
      <c r="G19" s="480"/>
      <c r="H19" s="543">
        <v>17</v>
      </c>
      <c r="I19" s="543">
        <v>9</v>
      </c>
      <c r="J19" s="482">
        <v>26</v>
      </c>
      <c r="K19" s="477">
        <f t="shared" si="1"/>
        <v>0</v>
      </c>
      <c r="L19" s="477">
        <f t="shared" si="1"/>
        <v>65.384615384615387</v>
      </c>
      <c r="M19" s="477">
        <f t="shared" si="1"/>
        <v>34.615384615384613</v>
      </c>
      <c r="N19" s="481">
        <f t="shared" si="2"/>
        <v>100</v>
      </c>
      <c r="O19" s="476"/>
      <c r="P19" s="477">
        <v>42.3</v>
      </c>
      <c r="Q19" s="477">
        <v>18.899999999999999</v>
      </c>
      <c r="R19" s="478">
        <f t="shared" si="3"/>
        <v>61.199999999999996</v>
      </c>
      <c r="S19" s="543">
        <v>3</v>
      </c>
      <c r="T19" s="471"/>
      <c r="U19" s="540">
        <v>23580</v>
      </c>
      <c r="V19" s="82" t="s">
        <v>513</v>
      </c>
      <c r="W19" s="73" t="s">
        <v>17</v>
      </c>
      <c r="X19" s="73" t="s">
        <v>18</v>
      </c>
      <c r="Y19" s="83">
        <v>41.3</v>
      </c>
      <c r="Z19" s="73" t="s">
        <v>516</v>
      </c>
      <c r="AA19" s="73" t="s">
        <v>20</v>
      </c>
      <c r="AB19" s="73" t="s">
        <v>12</v>
      </c>
      <c r="AC19" s="73">
        <v>13.8</v>
      </c>
      <c r="AD19" s="82" t="s">
        <v>514</v>
      </c>
      <c r="AE19" s="73" t="s">
        <v>97</v>
      </c>
      <c r="AF19" s="73" t="s">
        <v>12</v>
      </c>
      <c r="AG19" s="73">
        <v>5.0999999999999996</v>
      </c>
      <c r="AH19" s="82" t="s">
        <v>515</v>
      </c>
      <c r="AI19" s="73" t="s">
        <v>88</v>
      </c>
      <c r="AJ19" s="73" t="s">
        <v>18</v>
      </c>
      <c r="AK19" s="73">
        <v>1</v>
      </c>
      <c r="AL19" s="82"/>
      <c r="AO19" s="83"/>
      <c r="AP19" s="82"/>
      <c r="AT19" s="161"/>
      <c r="AW19" s="83"/>
      <c r="BA19" s="84"/>
    </row>
    <row r="20" spans="1:53" s="73" customFormat="1">
      <c r="A20" s="102">
        <v>1965</v>
      </c>
      <c r="B20" s="540"/>
      <c r="C20" s="988" t="s">
        <v>721</v>
      </c>
      <c r="D20" s="988"/>
      <c r="E20" s="543">
        <v>0</v>
      </c>
      <c r="F20" s="543"/>
      <c r="G20" s="480"/>
      <c r="H20" s="543">
        <v>17</v>
      </c>
      <c r="I20" s="543">
        <v>9</v>
      </c>
      <c r="J20" s="482">
        <v>26</v>
      </c>
      <c r="K20" s="477">
        <f t="shared" si="1"/>
        <v>0</v>
      </c>
      <c r="L20" s="477">
        <f t="shared" si="1"/>
        <v>65.384615384615387</v>
      </c>
      <c r="M20" s="477">
        <f t="shared" si="1"/>
        <v>34.615384615384613</v>
      </c>
      <c r="N20" s="481">
        <f t="shared" si="2"/>
        <v>100</v>
      </c>
      <c r="O20" s="476"/>
      <c r="P20" s="477">
        <v>42.3</v>
      </c>
      <c r="Q20" s="477">
        <v>18.899999999999999</v>
      </c>
      <c r="R20" s="478">
        <f t="shared" si="3"/>
        <v>61.199999999999996</v>
      </c>
      <c r="S20" s="543">
        <v>3</v>
      </c>
      <c r="T20" s="471"/>
      <c r="U20" s="543"/>
      <c r="V20" s="82" t="s">
        <v>513</v>
      </c>
      <c r="W20" s="73" t="s">
        <v>17</v>
      </c>
      <c r="X20" s="73" t="s">
        <v>18</v>
      </c>
      <c r="Y20" s="83">
        <v>41.3</v>
      </c>
      <c r="Z20" s="73" t="s">
        <v>516</v>
      </c>
      <c r="AA20" s="73" t="s">
        <v>20</v>
      </c>
      <c r="AB20" s="73" t="s">
        <v>12</v>
      </c>
      <c r="AC20" s="73">
        <v>13.8</v>
      </c>
      <c r="AD20" s="82" t="s">
        <v>514</v>
      </c>
      <c r="AE20" s="73" t="s">
        <v>97</v>
      </c>
      <c r="AF20" s="73" t="s">
        <v>12</v>
      </c>
      <c r="AG20" s="73">
        <v>5.0999999999999996</v>
      </c>
      <c r="AH20" s="82" t="s">
        <v>515</v>
      </c>
      <c r="AI20" s="73" t="s">
        <v>88</v>
      </c>
      <c r="AJ20" s="73" t="s">
        <v>18</v>
      </c>
      <c r="AK20" s="73">
        <v>1</v>
      </c>
      <c r="AL20" s="82"/>
      <c r="AO20" s="83"/>
      <c r="AP20" s="82"/>
      <c r="AT20" s="161"/>
      <c r="AW20" s="83"/>
      <c r="BA20" s="84"/>
    </row>
    <row r="21" spans="1:53" s="73" customFormat="1">
      <c r="A21" s="102">
        <v>1964.88571428572</v>
      </c>
      <c r="B21" s="540"/>
      <c r="C21" s="988" t="s">
        <v>721</v>
      </c>
      <c r="D21" s="988"/>
      <c r="E21" s="543">
        <v>365</v>
      </c>
      <c r="F21" s="543"/>
      <c r="G21" s="480"/>
      <c r="H21" s="543">
        <v>17</v>
      </c>
      <c r="I21" s="543">
        <v>9</v>
      </c>
      <c r="J21" s="482">
        <v>26</v>
      </c>
      <c r="K21" s="477">
        <f t="shared" si="1"/>
        <v>0</v>
      </c>
      <c r="L21" s="477">
        <f t="shared" si="1"/>
        <v>65.384615384615387</v>
      </c>
      <c r="M21" s="477">
        <f t="shared" si="1"/>
        <v>34.615384615384613</v>
      </c>
      <c r="N21" s="481">
        <f t="shared" si="2"/>
        <v>100</v>
      </c>
      <c r="O21" s="476"/>
      <c r="P21" s="477">
        <v>42.3</v>
      </c>
      <c r="Q21" s="477">
        <v>18.899999999999999</v>
      </c>
      <c r="R21" s="478">
        <f t="shared" si="3"/>
        <v>61.199999999999996</v>
      </c>
      <c r="S21" s="543">
        <v>3</v>
      </c>
      <c r="T21" s="471"/>
      <c r="U21" s="543"/>
      <c r="V21" s="82" t="s">
        <v>513</v>
      </c>
      <c r="W21" s="73" t="s">
        <v>17</v>
      </c>
      <c r="X21" s="73" t="s">
        <v>18</v>
      </c>
      <c r="Y21" s="83">
        <v>41.3</v>
      </c>
      <c r="Z21" s="73" t="s">
        <v>516</v>
      </c>
      <c r="AA21" s="73" t="s">
        <v>20</v>
      </c>
      <c r="AB21" s="73" t="s">
        <v>12</v>
      </c>
      <c r="AC21" s="73">
        <v>13.8</v>
      </c>
      <c r="AD21" s="82" t="s">
        <v>514</v>
      </c>
      <c r="AE21" s="73" t="s">
        <v>97</v>
      </c>
      <c r="AF21" s="73" t="s">
        <v>12</v>
      </c>
      <c r="AG21" s="73">
        <v>5.0999999999999996</v>
      </c>
      <c r="AH21" s="82" t="s">
        <v>515</v>
      </c>
      <c r="AI21" s="73" t="s">
        <v>88</v>
      </c>
      <c r="AJ21" s="73" t="s">
        <v>18</v>
      </c>
      <c r="AK21" s="73">
        <v>1</v>
      </c>
      <c r="AL21" s="82"/>
      <c r="AO21" s="83"/>
      <c r="AP21" s="82"/>
      <c r="AT21" s="161"/>
      <c r="AW21" s="83"/>
      <c r="BA21" s="84"/>
    </row>
    <row r="22" spans="1:53" s="73" customFormat="1">
      <c r="A22" s="102">
        <v>1966</v>
      </c>
      <c r="B22" s="540"/>
      <c r="C22" s="988" t="s">
        <v>721</v>
      </c>
      <c r="D22" s="988"/>
      <c r="E22" s="543">
        <v>53</v>
      </c>
      <c r="F22" s="543"/>
      <c r="G22" s="480"/>
      <c r="H22" s="543">
        <v>17</v>
      </c>
      <c r="I22" s="543">
        <v>9</v>
      </c>
      <c r="J22" s="482">
        <v>26</v>
      </c>
      <c r="K22" s="477">
        <f t="shared" si="1"/>
        <v>0</v>
      </c>
      <c r="L22" s="477">
        <f t="shared" si="1"/>
        <v>65.384615384615387</v>
      </c>
      <c r="M22" s="477">
        <f t="shared" si="1"/>
        <v>34.615384615384613</v>
      </c>
      <c r="N22" s="481">
        <f t="shared" si="2"/>
        <v>100</v>
      </c>
      <c r="O22" s="476"/>
      <c r="P22" s="477">
        <v>42.3</v>
      </c>
      <c r="Q22" s="477">
        <v>18.899999999999999</v>
      </c>
      <c r="R22" s="478">
        <f t="shared" si="3"/>
        <v>61.199999999999996</v>
      </c>
      <c r="S22" s="543">
        <v>3</v>
      </c>
      <c r="T22" s="471"/>
      <c r="U22" s="543"/>
      <c r="V22" s="82" t="s">
        <v>513</v>
      </c>
      <c r="W22" s="73" t="s">
        <v>17</v>
      </c>
      <c r="X22" s="73" t="s">
        <v>18</v>
      </c>
      <c r="Y22" s="83">
        <v>41.3</v>
      </c>
      <c r="Z22" s="73" t="s">
        <v>516</v>
      </c>
      <c r="AA22" s="73" t="s">
        <v>20</v>
      </c>
      <c r="AB22" s="73" t="s">
        <v>12</v>
      </c>
      <c r="AC22" s="73">
        <v>13.8</v>
      </c>
      <c r="AD22" s="82" t="s">
        <v>514</v>
      </c>
      <c r="AE22" s="73" t="s">
        <v>97</v>
      </c>
      <c r="AF22" s="73" t="s">
        <v>12</v>
      </c>
      <c r="AG22" s="73">
        <v>5.0999999999999996</v>
      </c>
      <c r="AH22" s="82" t="s">
        <v>515</v>
      </c>
      <c r="AI22" s="73" t="s">
        <v>88</v>
      </c>
      <c r="AJ22" s="73" t="s">
        <v>18</v>
      </c>
      <c r="AK22" s="73">
        <v>1</v>
      </c>
      <c r="AL22" s="82"/>
      <c r="AO22" s="83"/>
      <c r="AP22" s="82"/>
      <c r="AT22" s="161"/>
      <c r="AW22" s="83"/>
      <c r="BA22" s="84"/>
    </row>
    <row r="23" spans="1:53" s="334" customFormat="1">
      <c r="A23" s="386">
        <v>1965.8</v>
      </c>
      <c r="B23" s="541">
        <v>24161</v>
      </c>
      <c r="C23" s="992" t="s">
        <v>722</v>
      </c>
      <c r="D23" s="992"/>
      <c r="E23" s="544">
        <f>365-E22</f>
        <v>312</v>
      </c>
      <c r="F23" s="544">
        <v>5</v>
      </c>
      <c r="G23" s="497"/>
      <c r="H23" s="544">
        <v>17</v>
      </c>
      <c r="I23" s="544">
        <v>9</v>
      </c>
      <c r="J23" s="499">
        <v>26</v>
      </c>
      <c r="K23" s="495">
        <f t="shared" si="1"/>
        <v>0</v>
      </c>
      <c r="L23" s="495">
        <f t="shared" si="1"/>
        <v>65.384615384615387</v>
      </c>
      <c r="M23" s="495">
        <f t="shared" si="1"/>
        <v>34.615384615384613</v>
      </c>
      <c r="N23" s="498">
        <f t="shared" si="2"/>
        <v>100</v>
      </c>
      <c r="O23" s="494"/>
      <c r="P23" s="495">
        <v>42.3</v>
      </c>
      <c r="Q23" s="495">
        <v>18.899999999999999</v>
      </c>
      <c r="R23" s="496">
        <f t="shared" si="3"/>
        <v>61.199999999999996</v>
      </c>
      <c r="S23" s="544">
        <v>3</v>
      </c>
      <c r="T23" s="492"/>
      <c r="U23" s="541">
        <v>24161</v>
      </c>
      <c r="V23" s="343" t="s">
        <v>513</v>
      </c>
      <c r="W23" s="334" t="s">
        <v>17</v>
      </c>
      <c r="X23" s="334" t="s">
        <v>18</v>
      </c>
      <c r="Y23" s="344">
        <v>41.3</v>
      </c>
      <c r="Z23" s="334" t="s">
        <v>516</v>
      </c>
      <c r="AA23" s="334" t="s">
        <v>20</v>
      </c>
      <c r="AB23" s="334" t="s">
        <v>12</v>
      </c>
      <c r="AC23" s="334">
        <v>13.8</v>
      </c>
      <c r="AD23" s="343" t="s">
        <v>514</v>
      </c>
      <c r="AE23" s="334" t="s">
        <v>97</v>
      </c>
      <c r="AF23" s="334" t="s">
        <v>12</v>
      </c>
      <c r="AG23" s="334">
        <v>5.0999999999999996</v>
      </c>
      <c r="AH23" s="343" t="s">
        <v>515</v>
      </c>
      <c r="AI23" s="334" t="s">
        <v>88</v>
      </c>
      <c r="AJ23" s="334" t="s">
        <v>18</v>
      </c>
      <c r="AK23" s="334">
        <v>1</v>
      </c>
      <c r="AL23" s="343"/>
      <c r="AO23" s="344"/>
      <c r="AP23" s="343"/>
      <c r="AT23" s="449"/>
      <c r="AW23" s="344"/>
      <c r="BA23" s="345"/>
    </row>
    <row r="24" spans="1:53" s="334" customFormat="1">
      <c r="A24" s="386">
        <v>1967</v>
      </c>
      <c r="B24" s="541"/>
      <c r="C24" s="992" t="s">
        <v>722</v>
      </c>
      <c r="D24" s="992"/>
      <c r="E24" s="544">
        <v>0</v>
      </c>
      <c r="F24" s="544"/>
      <c r="G24" s="497"/>
      <c r="H24" s="544">
        <v>17</v>
      </c>
      <c r="I24" s="544">
        <v>9</v>
      </c>
      <c r="J24" s="499">
        <v>26</v>
      </c>
      <c r="K24" s="495">
        <f t="shared" si="1"/>
        <v>0</v>
      </c>
      <c r="L24" s="495">
        <f t="shared" si="1"/>
        <v>65.384615384615387</v>
      </c>
      <c r="M24" s="495">
        <f t="shared" si="1"/>
        <v>34.615384615384613</v>
      </c>
      <c r="N24" s="498">
        <f t="shared" si="2"/>
        <v>100</v>
      </c>
      <c r="O24" s="494"/>
      <c r="P24" s="495">
        <v>42.3</v>
      </c>
      <c r="Q24" s="495">
        <v>18.899999999999999</v>
      </c>
      <c r="R24" s="496">
        <f t="shared" si="3"/>
        <v>61.199999999999996</v>
      </c>
      <c r="S24" s="544">
        <v>3</v>
      </c>
      <c r="T24" s="492"/>
      <c r="U24" s="544"/>
      <c r="V24" s="343" t="s">
        <v>513</v>
      </c>
      <c r="W24" s="334" t="s">
        <v>17</v>
      </c>
      <c r="X24" s="334" t="s">
        <v>18</v>
      </c>
      <c r="Y24" s="344">
        <v>41.3</v>
      </c>
      <c r="Z24" s="334" t="s">
        <v>516</v>
      </c>
      <c r="AA24" s="334" t="s">
        <v>20</v>
      </c>
      <c r="AB24" s="334" t="s">
        <v>12</v>
      </c>
      <c r="AC24" s="334">
        <v>13.8</v>
      </c>
      <c r="AD24" s="343" t="s">
        <v>514</v>
      </c>
      <c r="AE24" s="334" t="s">
        <v>97</v>
      </c>
      <c r="AF24" s="334" t="s">
        <v>12</v>
      </c>
      <c r="AG24" s="334">
        <v>5.0999999999999996</v>
      </c>
      <c r="AH24" s="343" t="s">
        <v>515</v>
      </c>
      <c r="AI24" s="334" t="s">
        <v>88</v>
      </c>
      <c r="AJ24" s="334" t="s">
        <v>18</v>
      </c>
      <c r="AK24" s="334">
        <v>1</v>
      </c>
      <c r="AL24" s="343"/>
      <c r="AO24" s="344"/>
      <c r="AP24" s="343"/>
      <c r="AT24" s="449"/>
      <c r="AW24" s="344"/>
      <c r="BA24" s="345"/>
    </row>
    <row r="25" spans="1:53" s="334" customFormat="1">
      <c r="A25" s="386">
        <v>1966.7142857142901</v>
      </c>
      <c r="B25" s="541"/>
      <c r="C25" s="992" t="s">
        <v>722</v>
      </c>
      <c r="D25" s="992"/>
      <c r="E25" s="544">
        <v>365</v>
      </c>
      <c r="F25" s="544"/>
      <c r="G25" s="497"/>
      <c r="H25" s="544">
        <v>17</v>
      </c>
      <c r="I25" s="544">
        <v>9</v>
      </c>
      <c r="J25" s="499">
        <v>26</v>
      </c>
      <c r="K25" s="495">
        <f t="shared" ref="K25:M66" si="4">G25/$J25*100</f>
        <v>0</v>
      </c>
      <c r="L25" s="495">
        <f t="shared" si="4"/>
        <v>65.384615384615387</v>
      </c>
      <c r="M25" s="495">
        <f t="shared" si="4"/>
        <v>34.615384615384613</v>
      </c>
      <c r="N25" s="498">
        <f t="shared" si="2"/>
        <v>100</v>
      </c>
      <c r="O25" s="494"/>
      <c r="P25" s="495">
        <v>42.3</v>
      </c>
      <c r="Q25" s="495">
        <v>18.899999999999999</v>
      </c>
      <c r="R25" s="496">
        <f t="shared" si="3"/>
        <v>61.199999999999996</v>
      </c>
      <c r="S25" s="544">
        <v>3</v>
      </c>
      <c r="T25" s="492"/>
      <c r="U25" s="544"/>
      <c r="V25" s="343" t="s">
        <v>513</v>
      </c>
      <c r="W25" s="334" t="s">
        <v>17</v>
      </c>
      <c r="X25" s="334" t="s">
        <v>18</v>
      </c>
      <c r="Y25" s="344">
        <v>41.3</v>
      </c>
      <c r="Z25" s="334" t="s">
        <v>516</v>
      </c>
      <c r="AA25" s="334" t="s">
        <v>20</v>
      </c>
      <c r="AB25" s="334" t="s">
        <v>12</v>
      </c>
      <c r="AC25" s="334">
        <v>13.8</v>
      </c>
      <c r="AD25" s="343" t="s">
        <v>514</v>
      </c>
      <c r="AE25" s="334" t="s">
        <v>97</v>
      </c>
      <c r="AF25" s="334" t="s">
        <v>12</v>
      </c>
      <c r="AG25" s="334">
        <v>5.0999999999999996</v>
      </c>
      <c r="AH25" s="343" t="s">
        <v>515</v>
      </c>
      <c r="AI25" s="334" t="s">
        <v>88</v>
      </c>
      <c r="AJ25" s="334" t="s">
        <v>18</v>
      </c>
      <c r="AK25" s="334">
        <v>1</v>
      </c>
      <c r="AL25" s="343"/>
      <c r="AO25" s="344"/>
      <c r="AP25" s="343"/>
      <c r="AT25" s="449"/>
      <c r="AW25" s="344"/>
      <c r="BA25" s="345"/>
    </row>
    <row r="26" spans="1:53" s="334" customFormat="1">
      <c r="A26" s="386">
        <v>1968</v>
      </c>
      <c r="B26" s="541"/>
      <c r="C26" s="992" t="s">
        <v>722</v>
      </c>
      <c r="D26" s="992"/>
      <c r="E26" s="544">
        <v>176</v>
      </c>
      <c r="F26" s="544"/>
      <c r="G26" s="497"/>
      <c r="H26" s="544">
        <v>17</v>
      </c>
      <c r="I26" s="544">
        <v>9</v>
      </c>
      <c r="J26" s="499">
        <v>26</v>
      </c>
      <c r="K26" s="495">
        <f t="shared" si="4"/>
        <v>0</v>
      </c>
      <c r="L26" s="495">
        <f t="shared" si="4"/>
        <v>65.384615384615387</v>
      </c>
      <c r="M26" s="495">
        <f t="shared" si="4"/>
        <v>34.615384615384613</v>
      </c>
      <c r="N26" s="498">
        <f t="shared" si="2"/>
        <v>100</v>
      </c>
      <c r="O26" s="494"/>
      <c r="P26" s="495">
        <v>42.3</v>
      </c>
      <c r="Q26" s="495">
        <v>18.899999999999999</v>
      </c>
      <c r="R26" s="496">
        <f t="shared" si="3"/>
        <v>61.199999999999996</v>
      </c>
      <c r="S26" s="544">
        <v>3</v>
      </c>
      <c r="T26" s="492"/>
      <c r="U26" s="544"/>
      <c r="V26" s="343" t="s">
        <v>513</v>
      </c>
      <c r="W26" s="334" t="s">
        <v>17</v>
      </c>
      <c r="X26" s="334" t="s">
        <v>18</v>
      </c>
      <c r="Y26" s="344">
        <v>41.3</v>
      </c>
      <c r="Z26" s="334" t="s">
        <v>516</v>
      </c>
      <c r="AA26" s="334" t="s">
        <v>20</v>
      </c>
      <c r="AB26" s="334" t="s">
        <v>12</v>
      </c>
      <c r="AC26" s="334">
        <v>13.8</v>
      </c>
      <c r="AD26" s="343" t="s">
        <v>514</v>
      </c>
      <c r="AE26" s="334" t="s">
        <v>97</v>
      </c>
      <c r="AF26" s="334" t="s">
        <v>12</v>
      </c>
      <c r="AG26" s="334">
        <v>5.0999999999999996</v>
      </c>
      <c r="AH26" s="343" t="s">
        <v>515</v>
      </c>
      <c r="AI26" s="334" t="s">
        <v>88</v>
      </c>
      <c r="AJ26" s="334" t="s">
        <v>18</v>
      </c>
      <c r="AK26" s="334">
        <v>1</v>
      </c>
      <c r="AL26" s="343"/>
      <c r="AO26" s="344"/>
      <c r="AP26" s="343"/>
      <c r="AT26" s="449"/>
      <c r="AW26" s="344"/>
      <c r="BA26" s="345"/>
    </row>
    <row r="27" spans="1:53" s="73" customFormat="1">
      <c r="A27" s="102">
        <v>1967.62857142857</v>
      </c>
      <c r="B27" s="540">
        <v>25014</v>
      </c>
      <c r="C27" s="988" t="s">
        <v>723</v>
      </c>
      <c r="D27" s="988"/>
      <c r="E27" s="543">
        <v>170</v>
      </c>
      <c r="F27" s="543">
        <v>1</v>
      </c>
      <c r="G27" s="480"/>
      <c r="H27" s="543">
        <v>23</v>
      </c>
      <c r="I27" s="543"/>
      <c r="J27" s="482">
        <v>23</v>
      </c>
      <c r="K27" s="477">
        <f t="shared" si="4"/>
        <v>0</v>
      </c>
      <c r="L27" s="477">
        <f t="shared" si="4"/>
        <v>100</v>
      </c>
      <c r="M27" s="477">
        <f t="shared" si="4"/>
        <v>0</v>
      </c>
      <c r="N27" s="481">
        <f t="shared" si="2"/>
        <v>100</v>
      </c>
      <c r="O27" s="476"/>
      <c r="P27" s="477">
        <v>42.2</v>
      </c>
      <c r="Q27" s="477"/>
      <c r="R27" s="478">
        <f t="shared" si="3"/>
        <v>42.2</v>
      </c>
      <c r="S27" s="543">
        <v>4</v>
      </c>
      <c r="T27" s="479">
        <v>24977</v>
      </c>
      <c r="U27" s="540">
        <v>25014</v>
      </c>
      <c r="V27" s="82" t="s">
        <v>513</v>
      </c>
      <c r="W27" s="73" t="s">
        <v>17</v>
      </c>
      <c r="X27" s="73" t="s">
        <v>18</v>
      </c>
      <c r="Y27" s="83">
        <v>42.2</v>
      </c>
      <c r="AD27" s="82"/>
      <c r="AG27" s="83"/>
      <c r="AL27" s="82"/>
      <c r="AO27" s="83"/>
      <c r="AP27" s="82"/>
      <c r="AT27" s="161"/>
      <c r="AW27" s="83"/>
      <c r="BA27" s="84"/>
    </row>
    <row r="28" spans="1:53" s="334" customFormat="1">
      <c r="A28" s="386">
        <v>1968</v>
      </c>
      <c r="B28" s="541">
        <v>25184</v>
      </c>
      <c r="C28" s="992" t="s">
        <v>724</v>
      </c>
      <c r="D28" s="992"/>
      <c r="E28" s="544">
        <f>366-E27-E26</f>
        <v>20</v>
      </c>
      <c r="F28" s="544">
        <v>2</v>
      </c>
      <c r="G28" s="497"/>
      <c r="H28" s="544">
        <v>18</v>
      </c>
      <c r="I28" s="544">
        <v>9</v>
      </c>
      <c r="J28" s="499">
        <v>27</v>
      </c>
      <c r="K28" s="495">
        <f t="shared" si="4"/>
        <v>0</v>
      </c>
      <c r="L28" s="495">
        <f t="shared" si="4"/>
        <v>66.666666666666657</v>
      </c>
      <c r="M28" s="495">
        <f t="shared" si="4"/>
        <v>33.333333333333329</v>
      </c>
      <c r="N28" s="498">
        <f t="shared" si="2"/>
        <v>99.999999999999986</v>
      </c>
      <c r="O28" s="494"/>
      <c r="P28" s="495">
        <v>43.6</v>
      </c>
      <c r="Q28" s="495">
        <v>14.4</v>
      </c>
      <c r="R28" s="496">
        <f t="shared" si="3"/>
        <v>58</v>
      </c>
      <c r="S28" s="544">
        <v>3</v>
      </c>
      <c r="T28" s="492"/>
      <c r="U28" s="541">
        <v>25184</v>
      </c>
      <c r="V28" s="343" t="s">
        <v>513</v>
      </c>
      <c r="W28" s="334" t="s">
        <v>17</v>
      </c>
      <c r="X28" s="334" t="s">
        <v>18</v>
      </c>
      <c r="Y28" s="344">
        <v>42.2</v>
      </c>
      <c r="Z28" s="334" t="s">
        <v>517</v>
      </c>
      <c r="AA28" s="334" t="s">
        <v>98</v>
      </c>
      <c r="AB28" s="334" t="s">
        <v>12</v>
      </c>
      <c r="AC28" s="334">
        <v>14.4</v>
      </c>
      <c r="AD28" s="343" t="s">
        <v>515</v>
      </c>
      <c r="AE28" s="334" t="s">
        <v>88</v>
      </c>
      <c r="AF28" s="334" t="s">
        <v>18</v>
      </c>
      <c r="AG28" s="344">
        <v>1.4</v>
      </c>
      <c r="AL28" s="343"/>
      <c r="AO28" s="344"/>
      <c r="AP28" s="343"/>
      <c r="AT28" s="449"/>
      <c r="AW28" s="344"/>
      <c r="BA28" s="345"/>
    </row>
    <row r="29" spans="1:53" s="334" customFormat="1">
      <c r="A29" s="386">
        <v>1969</v>
      </c>
      <c r="B29" s="541"/>
      <c r="C29" s="992" t="s">
        <v>724</v>
      </c>
      <c r="D29" s="992"/>
      <c r="E29" s="544">
        <v>216</v>
      </c>
      <c r="F29" s="544"/>
      <c r="G29" s="497"/>
      <c r="H29" s="544">
        <v>18</v>
      </c>
      <c r="I29" s="544">
        <v>9</v>
      </c>
      <c r="J29" s="499">
        <v>27</v>
      </c>
      <c r="K29" s="495">
        <f t="shared" si="4"/>
        <v>0</v>
      </c>
      <c r="L29" s="495">
        <f t="shared" si="4"/>
        <v>66.666666666666657</v>
      </c>
      <c r="M29" s="495">
        <f t="shared" si="4"/>
        <v>33.333333333333329</v>
      </c>
      <c r="N29" s="498">
        <f t="shared" si="2"/>
        <v>99.999999999999986</v>
      </c>
      <c r="O29" s="494"/>
      <c r="P29" s="495">
        <v>43.6</v>
      </c>
      <c r="Q29" s="495">
        <v>14.4</v>
      </c>
      <c r="R29" s="496">
        <f t="shared" si="3"/>
        <v>58</v>
      </c>
      <c r="S29" s="544">
        <v>3</v>
      </c>
      <c r="T29" s="492"/>
      <c r="U29" s="544"/>
      <c r="V29" s="343" t="s">
        <v>513</v>
      </c>
      <c r="W29" s="334" t="s">
        <v>17</v>
      </c>
      <c r="X29" s="334" t="s">
        <v>18</v>
      </c>
      <c r="Y29" s="344">
        <v>42.2</v>
      </c>
      <c r="Z29" s="334" t="s">
        <v>517</v>
      </c>
      <c r="AA29" s="334" t="s">
        <v>98</v>
      </c>
      <c r="AB29" s="334" t="s">
        <v>12</v>
      </c>
      <c r="AC29" s="334">
        <v>14.4</v>
      </c>
      <c r="AD29" s="343" t="s">
        <v>515</v>
      </c>
      <c r="AE29" s="334" t="s">
        <v>88</v>
      </c>
      <c r="AF29" s="334" t="s">
        <v>18</v>
      </c>
      <c r="AG29" s="344">
        <v>1.4</v>
      </c>
      <c r="AL29" s="343"/>
      <c r="AO29" s="344"/>
      <c r="AP29" s="343"/>
      <c r="AT29" s="449"/>
      <c r="AW29" s="344"/>
      <c r="BA29" s="345"/>
    </row>
    <row r="30" spans="1:53" s="73" customFormat="1">
      <c r="A30" s="102">
        <v>1968.5428571428599</v>
      </c>
      <c r="B30" s="540">
        <v>25420</v>
      </c>
      <c r="C30" s="988" t="s">
        <v>725</v>
      </c>
      <c r="D30" s="988"/>
      <c r="E30" s="543">
        <f>365-E29</f>
        <v>149</v>
      </c>
      <c r="F30" s="543">
        <v>4</v>
      </c>
      <c r="G30" s="480"/>
      <c r="H30" s="543">
        <v>24</v>
      </c>
      <c r="I30" s="543"/>
      <c r="J30" s="482">
        <v>24</v>
      </c>
      <c r="K30" s="477">
        <f t="shared" si="4"/>
        <v>0</v>
      </c>
      <c r="L30" s="477">
        <f t="shared" si="4"/>
        <v>100</v>
      </c>
      <c r="M30" s="477">
        <f t="shared" si="4"/>
        <v>0</v>
      </c>
      <c r="N30" s="481">
        <f t="shared" si="2"/>
        <v>100</v>
      </c>
      <c r="O30" s="476"/>
      <c r="P30" s="477">
        <v>42.2</v>
      </c>
      <c r="Q30" s="477"/>
      <c r="R30" s="478">
        <f t="shared" si="3"/>
        <v>42.2</v>
      </c>
      <c r="S30" s="543">
        <v>4</v>
      </c>
      <c r="T30" s="471"/>
      <c r="U30" s="540">
        <v>25420</v>
      </c>
      <c r="V30" s="82" t="s">
        <v>513</v>
      </c>
      <c r="W30" s="73" t="s">
        <v>17</v>
      </c>
      <c r="X30" s="73" t="s">
        <v>18</v>
      </c>
      <c r="Y30" s="83">
        <v>42.2</v>
      </c>
      <c r="AD30" s="82"/>
      <c r="AG30" s="83"/>
      <c r="AL30" s="82"/>
      <c r="AO30" s="83"/>
      <c r="AP30" s="82"/>
      <c r="AT30" s="161"/>
      <c r="AW30" s="83"/>
      <c r="BA30" s="84"/>
    </row>
    <row r="31" spans="1:53" s="73" customFormat="1">
      <c r="A31" s="102">
        <v>1970</v>
      </c>
      <c r="B31" s="540"/>
      <c r="C31" s="988" t="s">
        <v>725</v>
      </c>
      <c r="D31" s="988"/>
      <c r="E31" s="543">
        <v>85</v>
      </c>
      <c r="F31" s="543"/>
      <c r="G31" s="480"/>
      <c r="H31" s="543">
        <v>24</v>
      </c>
      <c r="I31" s="543"/>
      <c r="J31" s="482">
        <v>24</v>
      </c>
      <c r="K31" s="477">
        <f t="shared" si="4"/>
        <v>0</v>
      </c>
      <c r="L31" s="477">
        <f t="shared" si="4"/>
        <v>100</v>
      </c>
      <c r="M31" s="477">
        <f t="shared" si="4"/>
        <v>0</v>
      </c>
      <c r="N31" s="481">
        <f t="shared" si="2"/>
        <v>100</v>
      </c>
      <c r="O31" s="476"/>
      <c r="P31" s="477">
        <v>42.2</v>
      </c>
      <c r="Q31" s="477"/>
      <c r="R31" s="478">
        <f t="shared" si="3"/>
        <v>42.2</v>
      </c>
      <c r="S31" s="543">
        <v>4</v>
      </c>
      <c r="T31" s="471"/>
      <c r="U31" s="543"/>
      <c r="V31" s="82" t="s">
        <v>513</v>
      </c>
      <c r="W31" s="73" t="s">
        <v>17</v>
      </c>
      <c r="X31" s="73" t="s">
        <v>18</v>
      </c>
      <c r="Y31" s="83">
        <v>42.2</v>
      </c>
      <c r="AD31" s="82"/>
      <c r="AG31" s="83"/>
      <c r="AL31" s="82"/>
      <c r="AO31" s="83"/>
      <c r="AP31" s="82"/>
      <c r="AT31" s="161"/>
      <c r="AW31" s="83"/>
      <c r="BA31" s="84"/>
    </row>
    <row r="32" spans="1:53" s="334" customFormat="1">
      <c r="A32" s="386">
        <v>1970</v>
      </c>
      <c r="B32" s="541">
        <v>25654</v>
      </c>
      <c r="C32" s="992" t="s">
        <v>726</v>
      </c>
      <c r="D32" s="992"/>
      <c r="E32" s="544">
        <v>132</v>
      </c>
      <c r="F32" s="544">
        <v>2</v>
      </c>
      <c r="G32" s="497"/>
      <c r="H32" s="544">
        <v>18</v>
      </c>
      <c r="I32" s="544">
        <v>9</v>
      </c>
      <c r="J32" s="499">
        <v>27</v>
      </c>
      <c r="K32" s="495">
        <f t="shared" si="4"/>
        <v>0</v>
      </c>
      <c r="L32" s="495">
        <f t="shared" si="4"/>
        <v>66.666666666666657</v>
      </c>
      <c r="M32" s="495">
        <f t="shared" si="4"/>
        <v>33.333333333333329</v>
      </c>
      <c r="N32" s="498">
        <f t="shared" si="2"/>
        <v>99.999999999999986</v>
      </c>
      <c r="O32" s="494"/>
      <c r="P32" s="495">
        <v>43.6</v>
      </c>
      <c r="Q32" s="495">
        <v>14.4</v>
      </c>
      <c r="R32" s="496">
        <f t="shared" si="3"/>
        <v>58</v>
      </c>
      <c r="S32" s="544">
        <v>3</v>
      </c>
      <c r="T32" s="492"/>
      <c r="U32" s="541">
        <v>25654</v>
      </c>
      <c r="V32" s="343" t="s">
        <v>513</v>
      </c>
      <c r="W32" s="334" t="s">
        <v>17</v>
      </c>
      <c r="X32" s="334" t="s">
        <v>18</v>
      </c>
      <c r="Y32" s="344">
        <v>42.2</v>
      </c>
      <c r="Z32" s="334" t="s">
        <v>517</v>
      </c>
      <c r="AA32" s="334" t="s">
        <v>98</v>
      </c>
      <c r="AB32" s="334" t="s">
        <v>12</v>
      </c>
      <c r="AC32" s="334">
        <v>14.4</v>
      </c>
      <c r="AD32" s="343" t="s">
        <v>515</v>
      </c>
      <c r="AE32" s="334" t="s">
        <v>88</v>
      </c>
      <c r="AF32" s="334" t="s">
        <v>18</v>
      </c>
      <c r="AG32" s="344">
        <v>1.4</v>
      </c>
      <c r="AL32" s="343"/>
      <c r="AO32" s="344"/>
      <c r="AP32" s="343"/>
      <c r="AT32" s="449"/>
      <c r="AW32" s="344"/>
      <c r="BA32" s="345"/>
    </row>
    <row r="33" spans="1:53" s="73" customFormat="1">
      <c r="A33" s="102">
        <v>1970</v>
      </c>
      <c r="B33" s="540">
        <v>25786</v>
      </c>
      <c r="C33" s="988" t="s">
        <v>727</v>
      </c>
      <c r="D33" s="988"/>
      <c r="E33" s="543">
        <f>365-E32-E31</f>
        <v>148</v>
      </c>
      <c r="F33" s="543">
        <v>4</v>
      </c>
      <c r="G33" s="480"/>
      <c r="H33" s="543">
        <v>18</v>
      </c>
      <c r="I33" s="543">
        <v>10</v>
      </c>
      <c r="J33" s="482">
        <v>28</v>
      </c>
      <c r="K33" s="477">
        <f t="shared" si="4"/>
        <v>0</v>
      </c>
      <c r="L33" s="477">
        <f t="shared" si="4"/>
        <v>64.285714285714292</v>
      </c>
      <c r="M33" s="477">
        <f t="shared" si="4"/>
        <v>35.714285714285715</v>
      </c>
      <c r="N33" s="481">
        <f t="shared" si="2"/>
        <v>100</v>
      </c>
      <c r="O33" s="476"/>
      <c r="P33" s="477">
        <v>43.6</v>
      </c>
      <c r="Q33" s="477">
        <v>14.4</v>
      </c>
      <c r="R33" s="478">
        <f t="shared" si="3"/>
        <v>58</v>
      </c>
      <c r="S33" s="543">
        <v>3</v>
      </c>
      <c r="T33" s="471"/>
      <c r="U33" s="540">
        <v>25786</v>
      </c>
      <c r="V33" s="82" t="s">
        <v>513</v>
      </c>
      <c r="W33" s="73" t="s">
        <v>17</v>
      </c>
      <c r="X33" s="73" t="s">
        <v>18</v>
      </c>
      <c r="Y33" s="83">
        <v>42.2</v>
      </c>
      <c r="Z33" s="73" t="s">
        <v>517</v>
      </c>
      <c r="AA33" s="73" t="s">
        <v>98</v>
      </c>
      <c r="AB33" s="73" t="s">
        <v>12</v>
      </c>
      <c r="AC33" s="73">
        <v>14.4</v>
      </c>
      <c r="AD33" s="82" t="s">
        <v>515</v>
      </c>
      <c r="AE33" s="73" t="s">
        <v>88</v>
      </c>
      <c r="AF33" s="73" t="s">
        <v>18</v>
      </c>
      <c r="AG33" s="83">
        <v>1.4</v>
      </c>
      <c r="AL33" s="82"/>
      <c r="AO33" s="83"/>
      <c r="AP33" s="82"/>
      <c r="AT33" s="161"/>
      <c r="AW33" s="83"/>
      <c r="BA33" s="84"/>
    </row>
    <row r="34" spans="1:53" s="73" customFormat="1">
      <c r="A34" s="102">
        <v>1971</v>
      </c>
      <c r="B34" s="540"/>
      <c r="C34" s="988" t="s">
        <v>727</v>
      </c>
      <c r="D34" s="988"/>
      <c r="E34" s="543">
        <v>57</v>
      </c>
      <c r="F34" s="543"/>
      <c r="G34" s="480"/>
      <c r="H34" s="543">
        <v>18</v>
      </c>
      <c r="I34" s="543">
        <v>10</v>
      </c>
      <c r="J34" s="482">
        <v>28</v>
      </c>
      <c r="K34" s="477">
        <f t="shared" si="4"/>
        <v>0</v>
      </c>
      <c r="L34" s="477">
        <f t="shared" si="4"/>
        <v>64.285714285714292</v>
      </c>
      <c r="M34" s="477">
        <f t="shared" si="4"/>
        <v>35.714285714285715</v>
      </c>
      <c r="N34" s="481">
        <f t="shared" si="2"/>
        <v>100</v>
      </c>
      <c r="O34" s="476"/>
      <c r="P34" s="477">
        <v>43.6</v>
      </c>
      <c r="Q34" s="477">
        <v>14.4</v>
      </c>
      <c r="R34" s="478">
        <f t="shared" si="3"/>
        <v>58</v>
      </c>
      <c r="S34" s="543">
        <v>3</v>
      </c>
      <c r="T34" s="471"/>
      <c r="U34" s="543"/>
      <c r="V34" s="82" t="s">
        <v>513</v>
      </c>
      <c r="W34" s="73" t="s">
        <v>17</v>
      </c>
      <c r="X34" s="73" t="s">
        <v>18</v>
      </c>
      <c r="Y34" s="83">
        <v>42.2</v>
      </c>
      <c r="Z34" s="73" t="s">
        <v>517</v>
      </c>
      <c r="AA34" s="73" t="s">
        <v>98</v>
      </c>
      <c r="AB34" s="73" t="s">
        <v>12</v>
      </c>
      <c r="AC34" s="73">
        <v>14.4</v>
      </c>
      <c r="AD34" s="82" t="s">
        <v>515</v>
      </c>
      <c r="AE34" s="73" t="s">
        <v>88</v>
      </c>
      <c r="AF34" s="73" t="s">
        <v>18</v>
      </c>
      <c r="AG34" s="83">
        <v>1.4</v>
      </c>
      <c r="AL34" s="82"/>
      <c r="AO34" s="83"/>
      <c r="AP34" s="82"/>
      <c r="AT34" s="161"/>
      <c r="AW34" s="83"/>
      <c r="BA34" s="84"/>
    </row>
    <row r="35" spans="1:53" s="334" customFormat="1">
      <c r="A35" s="386">
        <v>1971</v>
      </c>
      <c r="B35" s="541">
        <v>25991</v>
      </c>
      <c r="C35" s="992" t="s">
        <v>728</v>
      </c>
      <c r="D35" s="992"/>
      <c r="E35" s="544">
        <v>308</v>
      </c>
      <c r="F35" s="544">
        <v>4</v>
      </c>
      <c r="G35" s="497"/>
      <c r="H35" s="544">
        <v>17</v>
      </c>
      <c r="I35" s="544">
        <v>10</v>
      </c>
      <c r="J35" s="499">
        <v>27</v>
      </c>
      <c r="K35" s="495">
        <f t="shared" si="4"/>
        <v>0</v>
      </c>
      <c r="L35" s="495">
        <f t="shared" si="4"/>
        <v>62.962962962962962</v>
      </c>
      <c r="M35" s="495">
        <f t="shared" si="4"/>
        <v>37.037037037037038</v>
      </c>
      <c r="N35" s="498">
        <f t="shared" si="2"/>
        <v>100</v>
      </c>
      <c r="O35" s="494"/>
      <c r="P35" s="495">
        <v>42.2</v>
      </c>
      <c r="Q35" s="495">
        <v>14.4</v>
      </c>
      <c r="R35" s="496">
        <f t="shared" si="3"/>
        <v>56.6</v>
      </c>
      <c r="S35" s="544">
        <v>3</v>
      </c>
      <c r="T35" s="492"/>
      <c r="U35" s="541">
        <v>25991</v>
      </c>
      <c r="V35" s="343" t="s">
        <v>513</v>
      </c>
      <c r="W35" s="334" t="s">
        <v>17</v>
      </c>
      <c r="X35" s="334" t="s">
        <v>18</v>
      </c>
      <c r="Y35" s="344">
        <v>42.2</v>
      </c>
      <c r="Z35" s="334" t="s">
        <v>517</v>
      </c>
      <c r="AA35" s="334" t="s">
        <v>98</v>
      </c>
      <c r="AB35" s="334" t="s">
        <v>12</v>
      </c>
      <c r="AC35" s="334">
        <v>14.4</v>
      </c>
      <c r="AD35" s="343"/>
      <c r="AG35" s="344"/>
      <c r="AL35" s="343"/>
      <c r="AO35" s="344"/>
      <c r="AP35" s="343"/>
      <c r="AT35" s="449"/>
      <c r="AW35" s="344"/>
      <c r="BA35" s="345"/>
    </row>
    <row r="36" spans="1:53" s="334" customFormat="1">
      <c r="A36" s="386">
        <v>1972</v>
      </c>
      <c r="B36" s="541"/>
      <c r="C36" s="992" t="s">
        <v>728</v>
      </c>
      <c r="D36" s="992"/>
      <c r="E36" s="544">
        <v>48</v>
      </c>
      <c r="F36" s="544"/>
      <c r="G36" s="497"/>
      <c r="H36" s="544">
        <v>17</v>
      </c>
      <c r="I36" s="544">
        <v>10</v>
      </c>
      <c r="J36" s="499">
        <v>27</v>
      </c>
      <c r="K36" s="495">
        <f t="shared" si="4"/>
        <v>0</v>
      </c>
      <c r="L36" s="495">
        <f t="shared" si="4"/>
        <v>62.962962962962962</v>
      </c>
      <c r="M36" s="495">
        <f t="shared" si="4"/>
        <v>37.037037037037038</v>
      </c>
      <c r="N36" s="498">
        <f t="shared" si="2"/>
        <v>100</v>
      </c>
      <c r="O36" s="494"/>
      <c r="P36" s="495">
        <v>42.2</v>
      </c>
      <c r="Q36" s="495">
        <v>14.4</v>
      </c>
      <c r="R36" s="496">
        <f t="shared" si="3"/>
        <v>56.6</v>
      </c>
      <c r="S36" s="544">
        <v>3</v>
      </c>
      <c r="T36" s="492"/>
      <c r="U36" s="544"/>
      <c r="V36" s="343" t="s">
        <v>513</v>
      </c>
      <c r="W36" s="334" t="s">
        <v>17</v>
      </c>
      <c r="X36" s="334" t="s">
        <v>18</v>
      </c>
      <c r="Y36" s="344">
        <v>42.2</v>
      </c>
      <c r="Z36" s="334" t="s">
        <v>517</v>
      </c>
      <c r="AA36" s="334" t="s">
        <v>98</v>
      </c>
      <c r="AB36" s="334" t="s">
        <v>12</v>
      </c>
      <c r="AC36" s="334">
        <v>14.4</v>
      </c>
      <c r="AD36" s="343"/>
      <c r="AG36" s="344"/>
      <c r="AL36" s="343"/>
      <c r="AO36" s="344"/>
      <c r="AP36" s="343"/>
      <c r="AT36" s="449"/>
      <c r="AW36" s="344"/>
      <c r="BA36" s="345"/>
    </row>
    <row r="37" spans="1:53" s="73" customFormat="1">
      <c r="A37" s="102">
        <v>1972</v>
      </c>
      <c r="B37" s="540">
        <v>26347</v>
      </c>
      <c r="C37" s="988" t="s">
        <v>729</v>
      </c>
      <c r="D37" s="988"/>
      <c r="E37" s="543">
        <v>129</v>
      </c>
      <c r="F37" s="543">
        <v>4</v>
      </c>
      <c r="G37" s="480"/>
      <c r="H37" s="543">
        <v>25</v>
      </c>
      <c r="I37" s="543"/>
      <c r="J37" s="482">
        <v>25</v>
      </c>
      <c r="K37" s="477">
        <f t="shared" si="4"/>
        <v>0</v>
      </c>
      <c r="L37" s="477">
        <f t="shared" si="4"/>
        <v>100</v>
      </c>
      <c r="M37" s="477">
        <f t="shared" si="4"/>
        <v>0</v>
      </c>
      <c r="N37" s="481">
        <f t="shared" si="2"/>
        <v>100</v>
      </c>
      <c r="O37" s="476"/>
      <c r="P37" s="477">
        <v>42.2</v>
      </c>
      <c r="Q37" s="477"/>
      <c r="R37" s="478">
        <f t="shared" si="3"/>
        <v>42.2</v>
      </c>
      <c r="S37" s="543">
        <v>4</v>
      </c>
      <c r="T37" s="471"/>
      <c r="U37" s="540">
        <v>26347</v>
      </c>
      <c r="V37" s="82" t="s">
        <v>513</v>
      </c>
      <c r="W37" s="73" t="s">
        <v>17</v>
      </c>
      <c r="X37" s="73" t="s">
        <v>18</v>
      </c>
      <c r="Y37" s="83">
        <v>42.2</v>
      </c>
      <c r="AD37" s="82"/>
      <c r="AG37" s="83"/>
      <c r="AL37" s="82"/>
      <c r="AO37" s="83"/>
      <c r="AP37" s="82"/>
      <c r="AT37" s="161"/>
      <c r="AW37" s="83"/>
      <c r="BA37" s="84"/>
    </row>
    <row r="38" spans="1:53" s="334" customFormat="1">
      <c r="A38" s="386">
        <v>1972</v>
      </c>
      <c r="B38" s="541">
        <v>26476</v>
      </c>
      <c r="C38" s="992" t="s">
        <v>730</v>
      </c>
      <c r="D38" s="992"/>
      <c r="E38" s="544">
        <f>366-E36-E37</f>
        <v>189</v>
      </c>
      <c r="F38" s="544">
        <v>1</v>
      </c>
      <c r="G38" s="497">
        <v>4</v>
      </c>
      <c r="H38" s="544">
        <v>17</v>
      </c>
      <c r="I38" s="544">
        <v>5</v>
      </c>
      <c r="J38" s="499">
        <v>26</v>
      </c>
      <c r="K38" s="495">
        <f t="shared" si="4"/>
        <v>15.384615384615385</v>
      </c>
      <c r="L38" s="495">
        <f t="shared" si="4"/>
        <v>65.384615384615387</v>
      </c>
      <c r="M38" s="495">
        <f t="shared" si="4"/>
        <v>19.230769230769234</v>
      </c>
      <c r="N38" s="498">
        <f t="shared" si="2"/>
        <v>100</v>
      </c>
      <c r="O38" s="494">
        <v>3.3</v>
      </c>
      <c r="P38" s="495">
        <v>42.4</v>
      </c>
      <c r="Q38" s="495">
        <v>4.5999999999999996</v>
      </c>
      <c r="R38" s="496">
        <f t="shared" si="3"/>
        <v>50.3</v>
      </c>
      <c r="S38" s="544">
        <v>2</v>
      </c>
      <c r="T38" s="487">
        <v>26426</v>
      </c>
      <c r="U38" s="541">
        <v>26476</v>
      </c>
      <c r="V38" s="343" t="s">
        <v>513</v>
      </c>
      <c r="W38" s="334" t="s">
        <v>17</v>
      </c>
      <c r="X38" s="334" t="s">
        <v>18</v>
      </c>
      <c r="Y38" s="344">
        <v>42.4</v>
      </c>
      <c r="Z38" s="334" t="s">
        <v>514</v>
      </c>
      <c r="AA38" s="334" t="s">
        <v>97</v>
      </c>
      <c r="AB38" s="334" t="s">
        <v>12</v>
      </c>
      <c r="AC38" s="334">
        <v>4.5999999999999996</v>
      </c>
      <c r="AD38" s="343" t="s">
        <v>518</v>
      </c>
      <c r="AE38" s="334" t="s">
        <v>22</v>
      </c>
      <c r="AF38" s="334" t="s">
        <v>11</v>
      </c>
      <c r="AG38" s="344">
        <v>3.3</v>
      </c>
      <c r="AL38" s="343"/>
      <c r="AO38" s="344"/>
      <c r="AP38" s="343"/>
      <c r="AT38" s="449"/>
      <c r="AW38" s="344"/>
      <c r="BA38" s="345"/>
    </row>
    <row r="39" spans="1:53" s="334" customFormat="1">
      <c r="A39" s="386">
        <v>1973</v>
      </c>
      <c r="B39" s="541"/>
      <c r="C39" s="992" t="s">
        <v>730</v>
      </c>
      <c r="D39" s="992"/>
      <c r="E39" s="544">
        <v>250</v>
      </c>
      <c r="F39" s="544"/>
      <c r="G39" s="497">
        <v>4</v>
      </c>
      <c r="H39" s="544">
        <v>17</v>
      </c>
      <c r="I39" s="544">
        <v>5</v>
      </c>
      <c r="J39" s="499">
        <v>26</v>
      </c>
      <c r="K39" s="495">
        <f t="shared" si="4"/>
        <v>15.384615384615385</v>
      </c>
      <c r="L39" s="495">
        <f t="shared" si="4"/>
        <v>65.384615384615387</v>
      </c>
      <c r="M39" s="495">
        <f t="shared" si="4"/>
        <v>19.230769230769234</v>
      </c>
      <c r="N39" s="498">
        <f t="shared" si="2"/>
        <v>100</v>
      </c>
      <c r="O39" s="494">
        <v>3.3</v>
      </c>
      <c r="P39" s="495">
        <v>42.4</v>
      </c>
      <c r="Q39" s="495">
        <v>4.5999999999999996</v>
      </c>
      <c r="R39" s="496">
        <f t="shared" si="3"/>
        <v>50.3</v>
      </c>
      <c r="S39" s="544">
        <v>2</v>
      </c>
      <c r="T39" s="492"/>
      <c r="U39" s="544"/>
      <c r="V39" s="343" t="s">
        <v>513</v>
      </c>
      <c r="W39" s="334" t="s">
        <v>17</v>
      </c>
      <c r="X39" s="334" t="s">
        <v>18</v>
      </c>
      <c r="Y39" s="344">
        <v>42.4</v>
      </c>
      <c r="Z39" s="334" t="s">
        <v>514</v>
      </c>
      <c r="AA39" s="334" t="s">
        <v>97</v>
      </c>
      <c r="AB39" s="334" t="s">
        <v>12</v>
      </c>
      <c r="AC39" s="334">
        <v>4.5999999999999996</v>
      </c>
      <c r="AD39" s="343" t="s">
        <v>518</v>
      </c>
      <c r="AE39" s="334" t="s">
        <v>22</v>
      </c>
      <c r="AF39" s="334" t="s">
        <v>11</v>
      </c>
      <c r="AG39" s="344">
        <v>3.3</v>
      </c>
      <c r="AL39" s="343"/>
      <c r="AO39" s="344"/>
      <c r="AP39" s="343"/>
      <c r="AT39" s="449"/>
      <c r="AW39" s="344"/>
      <c r="BA39" s="345"/>
    </row>
    <row r="40" spans="1:53" s="73" customFormat="1">
      <c r="A40" s="102">
        <v>1973</v>
      </c>
      <c r="B40" s="540">
        <v>26915</v>
      </c>
      <c r="C40" s="988" t="s">
        <v>731</v>
      </c>
      <c r="D40" s="988"/>
      <c r="E40" s="543">
        <v>115</v>
      </c>
      <c r="F40" s="543">
        <v>5</v>
      </c>
      <c r="G40" s="480"/>
      <c r="H40" s="543">
        <v>19</v>
      </c>
      <c r="I40" s="543">
        <v>10</v>
      </c>
      <c r="J40" s="482">
        <v>29</v>
      </c>
      <c r="K40" s="477">
        <f t="shared" si="4"/>
        <v>0</v>
      </c>
      <c r="L40" s="477">
        <f t="shared" si="4"/>
        <v>65.517241379310349</v>
      </c>
      <c r="M40" s="477">
        <f t="shared" si="4"/>
        <v>34.482758620689658</v>
      </c>
      <c r="N40" s="481">
        <f t="shared" si="2"/>
        <v>100</v>
      </c>
      <c r="O40" s="476"/>
      <c r="P40" s="477">
        <v>44.6</v>
      </c>
      <c r="Q40" s="477">
        <v>14.3</v>
      </c>
      <c r="R40" s="478">
        <f t="shared" si="3"/>
        <v>58.900000000000006</v>
      </c>
      <c r="S40" s="543">
        <v>3</v>
      </c>
      <c r="T40" s="471"/>
      <c r="U40" s="540">
        <v>26915</v>
      </c>
      <c r="V40" s="82" t="s">
        <v>513</v>
      </c>
      <c r="W40" s="73" t="s">
        <v>17</v>
      </c>
      <c r="X40" s="73" t="s">
        <v>18</v>
      </c>
      <c r="Y40" s="83">
        <v>42.4</v>
      </c>
      <c r="Z40" s="73" t="s">
        <v>516</v>
      </c>
      <c r="AA40" s="73" t="s">
        <v>20</v>
      </c>
      <c r="AB40" s="73" t="s">
        <v>12</v>
      </c>
      <c r="AC40" s="73">
        <v>9.6999999999999993</v>
      </c>
      <c r="AD40" s="82" t="s">
        <v>514</v>
      </c>
      <c r="AE40" s="73" t="s">
        <v>97</v>
      </c>
      <c r="AF40" s="73" t="s">
        <v>12</v>
      </c>
      <c r="AG40" s="83">
        <v>4.5999999999999996</v>
      </c>
      <c r="AH40" s="82" t="s">
        <v>515</v>
      </c>
      <c r="AI40" s="73" t="s">
        <v>88</v>
      </c>
      <c r="AJ40" s="73" t="s">
        <v>18</v>
      </c>
      <c r="AK40" s="73">
        <v>2.2000000000000002</v>
      </c>
      <c r="AL40" s="82"/>
      <c r="AO40" s="83"/>
      <c r="AP40" s="82"/>
      <c r="AT40" s="161"/>
      <c r="AW40" s="83"/>
      <c r="BA40" s="84"/>
    </row>
    <row r="41" spans="1:53" s="73" customFormat="1">
      <c r="A41" s="102">
        <v>1974</v>
      </c>
      <c r="B41" s="540"/>
      <c r="C41" s="988" t="s">
        <v>731</v>
      </c>
      <c r="D41" s="988"/>
      <c r="E41" s="543">
        <v>72</v>
      </c>
      <c r="F41" s="543"/>
      <c r="G41" s="480"/>
      <c r="H41" s="543">
        <v>19</v>
      </c>
      <c r="I41" s="543">
        <v>10</v>
      </c>
      <c r="J41" s="482">
        <v>29</v>
      </c>
      <c r="K41" s="477">
        <f t="shared" si="4"/>
        <v>0</v>
      </c>
      <c r="L41" s="477">
        <f t="shared" si="4"/>
        <v>65.517241379310349</v>
      </c>
      <c r="M41" s="477">
        <f t="shared" si="4"/>
        <v>34.482758620689658</v>
      </c>
      <c r="N41" s="481">
        <f t="shared" si="2"/>
        <v>100</v>
      </c>
      <c r="O41" s="476"/>
      <c r="P41" s="477">
        <v>44.6</v>
      </c>
      <c r="Q41" s="477">
        <v>14.3</v>
      </c>
      <c r="R41" s="478">
        <f t="shared" si="3"/>
        <v>58.900000000000006</v>
      </c>
      <c r="S41" s="543">
        <v>3</v>
      </c>
      <c r="T41" s="471"/>
      <c r="U41" s="543"/>
      <c r="V41" s="82" t="s">
        <v>513</v>
      </c>
      <c r="W41" s="73" t="s">
        <v>17</v>
      </c>
      <c r="X41" s="73" t="s">
        <v>18</v>
      </c>
      <c r="Y41" s="83">
        <v>42.4</v>
      </c>
      <c r="Z41" s="73" t="s">
        <v>516</v>
      </c>
      <c r="AA41" s="73" t="s">
        <v>20</v>
      </c>
      <c r="AB41" s="73" t="s">
        <v>12</v>
      </c>
      <c r="AC41" s="73">
        <v>9.6999999999999993</v>
      </c>
      <c r="AD41" s="82" t="s">
        <v>514</v>
      </c>
      <c r="AE41" s="73" t="s">
        <v>97</v>
      </c>
      <c r="AF41" s="73" t="s">
        <v>12</v>
      </c>
      <c r="AG41" s="83">
        <v>4.5999999999999996</v>
      </c>
      <c r="AH41" s="82" t="s">
        <v>515</v>
      </c>
      <c r="AI41" s="73" t="s">
        <v>88</v>
      </c>
      <c r="AJ41" s="73" t="s">
        <v>18</v>
      </c>
      <c r="AK41" s="73">
        <v>2.2000000000000002</v>
      </c>
      <c r="AL41" s="82"/>
      <c r="AO41" s="83"/>
      <c r="AP41" s="82"/>
      <c r="AT41" s="161"/>
      <c r="AW41" s="83"/>
      <c r="BA41" s="84"/>
    </row>
    <row r="42" spans="1:53" s="334" customFormat="1">
      <c r="A42" s="386">
        <v>1974</v>
      </c>
      <c r="B42" s="541">
        <v>27102</v>
      </c>
      <c r="C42" s="992" t="s">
        <v>732</v>
      </c>
      <c r="D42" s="992"/>
      <c r="E42" s="544">
        <v>254</v>
      </c>
      <c r="F42" s="544">
        <v>4</v>
      </c>
      <c r="G42" s="497"/>
      <c r="H42" s="544">
        <v>16</v>
      </c>
      <c r="I42" s="544">
        <v>10</v>
      </c>
      <c r="J42" s="499">
        <v>26</v>
      </c>
      <c r="K42" s="495">
        <f t="shared" si="4"/>
        <v>0</v>
      </c>
      <c r="L42" s="495">
        <f t="shared" si="4"/>
        <v>61.53846153846154</v>
      </c>
      <c r="M42" s="495">
        <f t="shared" si="4"/>
        <v>38.461538461538467</v>
      </c>
      <c r="N42" s="498">
        <f t="shared" si="2"/>
        <v>100</v>
      </c>
      <c r="O42" s="494"/>
      <c r="P42" s="495">
        <v>42.4</v>
      </c>
      <c r="Q42" s="495">
        <v>14.3</v>
      </c>
      <c r="R42" s="496">
        <f t="shared" si="3"/>
        <v>56.7</v>
      </c>
      <c r="S42" s="544">
        <v>3</v>
      </c>
      <c r="T42" s="492"/>
      <c r="U42" s="541">
        <v>27102</v>
      </c>
      <c r="V42" s="343" t="s">
        <v>513</v>
      </c>
      <c r="W42" s="334" t="s">
        <v>17</v>
      </c>
      <c r="X42" s="334" t="s">
        <v>18</v>
      </c>
      <c r="Y42" s="344">
        <v>42.4</v>
      </c>
      <c r="Z42" s="334" t="s">
        <v>516</v>
      </c>
      <c r="AA42" s="334" t="s">
        <v>20</v>
      </c>
      <c r="AB42" s="334" t="s">
        <v>12</v>
      </c>
      <c r="AC42" s="334">
        <v>9.6999999999999993</v>
      </c>
      <c r="AD42" s="343" t="s">
        <v>514</v>
      </c>
      <c r="AE42" s="334" t="s">
        <v>97</v>
      </c>
      <c r="AF42" s="334" t="s">
        <v>12</v>
      </c>
      <c r="AG42" s="344">
        <v>4.5999999999999996</v>
      </c>
      <c r="AH42" s="343"/>
      <c r="AL42" s="343"/>
      <c r="AO42" s="344"/>
      <c r="AP42" s="343"/>
      <c r="AT42" s="449"/>
      <c r="AW42" s="344"/>
      <c r="BA42" s="345"/>
    </row>
    <row r="43" spans="1:53" s="73" customFormat="1">
      <c r="A43" s="102">
        <v>1974</v>
      </c>
      <c r="B43" s="540">
        <v>27356</v>
      </c>
      <c r="C43" s="988" t="s">
        <v>733</v>
      </c>
      <c r="D43" s="988"/>
      <c r="E43" s="543">
        <f>365-E42-E41</f>
        <v>39</v>
      </c>
      <c r="F43" s="543">
        <v>4</v>
      </c>
      <c r="G43" s="480"/>
      <c r="H43" s="543">
        <v>25</v>
      </c>
      <c r="I43" s="543"/>
      <c r="J43" s="482">
        <v>25</v>
      </c>
      <c r="K43" s="477">
        <f t="shared" si="4"/>
        <v>0</v>
      </c>
      <c r="L43" s="477">
        <f t="shared" si="4"/>
        <v>100</v>
      </c>
      <c r="M43" s="477">
        <f t="shared" si="4"/>
        <v>0</v>
      </c>
      <c r="N43" s="481">
        <f t="shared" si="2"/>
        <v>100</v>
      </c>
      <c r="O43" s="476"/>
      <c r="P43" s="477">
        <v>44.6</v>
      </c>
      <c r="Q43" s="477"/>
      <c r="R43" s="478">
        <f t="shared" si="3"/>
        <v>44.6</v>
      </c>
      <c r="S43" s="543">
        <v>5</v>
      </c>
      <c r="T43" s="471"/>
      <c r="U43" s="540">
        <v>27356</v>
      </c>
      <c r="V43" s="82" t="s">
        <v>513</v>
      </c>
      <c r="W43" s="73" t="s">
        <v>17</v>
      </c>
      <c r="X43" s="73" t="s">
        <v>18</v>
      </c>
      <c r="Y43" s="83">
        <v>42.4</v>
      </c>
      <c r="Z43" s="82" t="s">
        <v>515</v>
      </c>
      <c r="AA43" s="73" t="s">
        <v>88</v>
      </c>
      <c r="AB43" s="73" t="s">
        <v>18</v>
      </c>
      <c r="AC43" s="73">
        <v>2.2000000000000002</v>
      </c>
      <c r="AD43" s="82"/>
      <c r="AG43" s="83"/>
      <c r="AL43" s="82"/>
      <c r="AO43" s="83"/>
      <c r="AP43" s="82"/>
      <c r="AT43" s="161"/>
      <c r="AW43" s="83"/>
      <c r="BA43" s="84"/>
    </row>
    <row r="44" spans="1:53" s="73" customFormat="1">
      <c r="A44" s="102">
        <v>1975</v>
      </c>
      <c r="B44" s="540"/>
      <c r="C44" s="988" t="s">
        <v>733</v>
      </c>
      <c r="D44" s="988"/>
      <c r="E44" s="543">
        <v>0</v>
      </c>
      <c r="F44" s="543"/>
      <c r="G44" s="480"/>
      <c r="H44" s="543">
        <v>25</v>
      </c>
      <c r="I44" s="543"/>
      <c r="J44" s="482">
        <v>25</v>
      </c>
      <c r="K44" s="477">
        <f t="shared" si="4"/>
        <v>0</v>
      </c>
      <c r="L44" s="477">
        <f t="shared" si="4"/>
        <v>100</v>
      </c>
      <c r="M44" s="477">
        <f t="shared" si="4"/>
        <v>0</v>
      </c>
      <c r="N44" s="481">
        <f t="shared" si="2"/>
        <v>100</v>
      </c>
      <c r="O44" s="476"/>
      <c r="P44" s="477">
        <v>44.6</v>
      </c>
      <c r="Q44" s="477"/>
      <c r="R44" s="478">
        <f t="shared" si="3"/>
        <v>44.6</v>
      </c>
      <c r="S44" s="543">
        <v>5</v>
      </c>
      <c r="T44" s="471"/>
      <c r="U44" s="543"/>
      <c r="V44" s="82" t="s">
        <v>513</v>
      </c>
      <c r="W44" s="73" t="s">
        <v>17</v>
      </c>
      <c r="X44" s="73" t="s">
        <v>18</v>
      </c>
      <c r="Y44" s="83">
        <v>42.4</v>
      </c>
      <c r="Z44" s="82" t="s">
        <v>515</v>
      </c>
      <c r="AA44" s="73" t="s">
        <v>88</v>
      </c>
      <c r="AB44" s="73" t="s">
        <v>18</v>
      </c>
      <c r="AC44" s="73">
        <v>2.2000000000000002</v>
      </c>
      <c r="AD44" s="82"/>
      <c r="AG44" s="83"/>
      <c r="AL44" s="82"/>
      <c r="AO44" s="83"/>
      <c r="AP44" s="82"/>
      <c r="AT44" s="161"/>
      <c r="AW44" s="83"/>
      <c r="BA44" s="84"/>
    </row>
    <row r="45" spans="1:53" s="73" customFormat="1">
      <c r="A45" s="102">
        <v>1975</v>
      </c>
      <c r="B45" s="540"/>
      <c r="C45" s="988" t="s">
        <v>733</v>
      </c>
      <c r="D45" s="988"/>
      <c r="E45" s="543">
        <v>365</v>
      </c>
      <c r="F45" s="543"/>
      <c r="G45" s="480"/>
      <c r="H45" s="543">
        <v>25</v>
      </c>
      <c r="I45" s="543"/>
      <c r="J45" s="482">
        <v>25</v>
      </c>
      <c r="K45" s="477">
        <f t="shared" si="4"/>
        <v>0</v>
      </c>
      <c r="L45" s="477">
        <f t="shared" si="4"/>
        <v>100</v>
      </c>
      <c r="M45" s="477">
        <f t="shared" si="4"/>
        <v>0</v>
      </c>
      <c r="N45" s="481">
        <f t="shared" si="2"/>
        <v>100</v>
      </c>
      <c r="O45" s="476"/>
      <c r="P45" s="477">
        <v>44.6</v>
      </c>
      <c r="Q45" s="477"/>
      <c r="R45" s="478">
        <f t="shared" si="3"/>
        <v>44.6</v>
      </c>
      <c r="S45" s="543">
        <v>5</v>
      </c>
      <c r="T45" s="471"/>
      <c r="U45" s="543"/>
      <c r="V45" s="82" t="s">
        <v>513</v>
      </c>
      <c r="W45" s="73" t="s">
        <v>17</v>
      </c>
      <c r="X45" s="73" t="s">
        <v>18</v>
      </c>
      <c r="Y45" s="83">
        <v>42.4</v>
      </c>
      <c r="Z45" s="82" t="s">
        <v>515</v>
      </c>
      <c r="AA45" s="73" t="s">
        <v>88</v>
      </c>
      <c r="AB45" s="73" t="s">
        <v>18</v>
      </c>
      <c r="AC45" s="73">
        <v>2.2000000000000002</v>
      </c>
      <c r="AD45" s="82"/>
      <c r="AG45" s="83"/>
      <c r="AL45" s="82"/>
      <c r="AO45" s="83"/>
      <c r="AP45" s="82"/>
      <c r="AT45" s="161"/>
      <c r="AW45" s="83"/>
      <c r="BA45" s="84"/>
    </row>
    <row r="46" spans="1:53" s="73" customFormat="1">
      <c r="A46" s="102">
        <v>1976</v>
      </c>
      <c r="B46" s="540"/>
      <c r="C46" s="988" t="s">
        <v>733</v>
      </c>
      <c r="D46" s="988"/>
      <c r="E46" s="543">
        <v>43</v>
      </c>
      <c r="F46" s="543"/>
      <c r="G46" s="480"/>
      <c r="H46" s="543">
        <v>25</v>
      </c>
      <c r="I46" s="543"/>
      <c r="J46" s="482">
        <v>25</v>
      </c>
      <c r="K46" s="477">
        <f t="shared" si="4"/>
        <v>0</v>
      </c>
      <c r="L46" s="477">
        <f t="shared" si="4"/>
        <v>100</v>
      </c>
      <c r="M46" s="477">
        <f t="shared" si="4"/>
        <v>0</v>
      </c>
      <c r="N46" s="481">
        <f t="shared" si="2"/>
        <v>100</v>
      </c>
      <c r="O46" s="476"/>
      <c r="P46" s="477">
        <v>44.6</v>
      </c>
      <c r="Q46" s="477"/>
      <c r="R46" s="478">
        <f t="shared" si="3"/>
        <v>44.6</v>
      </c>
      <c r="S46" s="543">
        <v>5</v>
      </c>
      <c r="T46" s="471"/>
      <c r="U46" s="543"/>
      <c r="V46" s="82" t="s">
        <v>513</v>
      </c>
      <c r="W46" s="73" t="s">
        <v>17</v>
      </c>
      <c r="X46" s="73" t="s">
        <v>18</v>
      </c>
      <c r="Y46" s="83">
        <v>42.4</v>
      </c>
      <c r="Z46" s="82" t="s">
        <v>515</v>
      </c>
      <c r="AA46" s="73" t="s">
        <v>88</v>
      </c>
      <c r="AB46" s="73" t="s">
        <v>18</v>
      </c>
      <c r="AC46" s="73">
        <v>2.2000000000000002</v>
      </c>
      <c r="AD46" s="82"/>
      <c r="AG46" s="83"/>
      <c r="AL46" s="82"/>
      <c r="AO46" s="83"/>
      <c r="AP46" s="82"/>
      <c r="AT46" s="161"/>
      <c r="AW46" s="83"/>
      <c r="BA46" s="84"/>
    </row>
    <row r="47" spans="1:53" s="334" customFormat="1">
      <c r="A47" s="386">
        <v>1976</v>
      </c>
      <c r="B47" s="541">
        <v>27803</v>
      </c>
      <c r="C47" s="992" t="s">
        <v>734</v>
      </c>
      <c r="D47" s="992"/>
      <c r="E47" s="544">
        <v>167</v>
      </c>
      <c r="F47" s="544">
        <v>5</v>
      </c>
      <c r="G47" s="497"/>
      <c r="H47" s="544">
        <v>22</v>
      </c>
      <c r="I47" s="544"/>
      <c r="J47" s="499">
        <v>22</v>
      </c>
      <c r="K47" s="495">
        <f t="shared" si="4"/>
        <v>0</v>
      </c>
      <c r="L47" s="495">
        <f t="shared" si="4"/>
        <v>100</v>
      </c>
      <c r="M47" s="495">
        <f t="shared" si="4"/>
        <v>0</v>
      </c>
      <c r="N47" s="498">
        <f t="shared" si="2"/>
        <v>100</v>
      </c>
      <c r="O47" s="494"/>
      <c r="P47" s="495">
        <v>42.4</v>
      </c>
      <c r="Q47" s="495"/>
      <c r="R47" s="496">
        <f t="shared" si="3"/>
        <v>42.4</v>
      </c>
      <c r="S47" s="544">
        <v>6</v>
      </c>
      <c r="T47" s="492"/>
      <c r="U47" s="541">
        <v>27803</v>
      </c>
      <c r="V47" s="343" t="s">
        <v>513</v>
      </c>
      <c r="W47" s="334" t="s">
        <v>17</v>
      </c>
      <c r="X47" s="334" t="s">
        <v>18</v>
      </c>
      <c r="Y47" s="344">
        <v>42.4</v>
      </c>
      <c r="Z47" s="343"/>
      <c r="AD47" s="343"/>
      <c r="AG47" s="344"/>
      <c r="AL47" s="343"/>
      <c r="AO47" s="344"/>
      <c r="AP47" s="343"/>
      <c r="AT47" s="449"/>
      <c r="AW47" s="344"/>
      <c r="BA47" s="345"/>
    </row>
    <row r="48" spans="1:53" s="73" customFormat="1">
      <c r="A48" s="102">
        <v>1976</v>
      </c>
      <c r="B48" s="540">
        <v>27970</v>
      </c>
      <c r="C48" s="988" t="s">
        <v>735</v>
      </c>
      <c r="D48" s="988"/>
      <c r="E48" s="543">
        <f>366-E47-E46</f>
        <v>156</v>
      </c>
      <c r="F48" s="543">
        <v>1</v>
      </c>
      <c r="G48" s="480"/>
      <c r="H48" s="543">
        <v>21</v>
      </c>
      <c r="I48" s="543"/>
      <c r="J48" s="482">
        <v>22</v>
      </c>
      <c r="K48" s="477">
        <f t="shared" si="4"/>
        <v>0</v>
      </c>
      <c r="L48" s="477">
        <f t="shared" si="4"/>
        <v>95.454545454545453</v>
      </c>
      <c r="M48" s="477">
        <f t="shared" si="4"/>
        <v>0</v>
      </c>
      <c r="N48" s="481">
        <f t="shared" si="2"/>
        <v>95.454545454545453</v>
      </c>
      <c r="O48" s="476"/>
      <c r="P48" s="477">
        <v>41.7</v>
      </c>
      <c r="Q48" s="477"/>
      <c r="R48" s="478">
        <f t="shared" si="3"/>
        <v>41.7</v>
      </c>
      <c r="S48" s="543">
        <v>4</v>
      </c>
      <c r="T48" s="479">
        <v>27931</v>
      </c>
      <c r="U48" s="540">
        <v>27970</v>
      </c>
      <c r="V48" s="82" t="s">
        <v>513</v>
      </c>
      <c r="W48" s="73" t="s">
        <v>17</v>
      </c>
      <c r="X48" s="73" t="s">
        <v>18</v>
      </c>
      <c r="Y48" s="83">
        <v>41.7</v>
      </c>
      <c r="AD48" s="82"/>
      <c r="AG48" s="83"/>
      <c r="AL48" s="82"/>
      <c r="AO48" s="83"/>
      <c r="AP48" s="82"/>
      <c r="AT48" s="161"/>
      <c r="AW48" s="83"/>
      <c r="BA48" s="84"/>
    </row>
    <row r="49" spans="1:53" s="73" customFormat="1">
      <c r="A49" s="102">
        <v>1977</v>
      </c>
      <c r="B49" s="540"/>
      <c r="C49" s="988" t="s">
        <v>735</v>
      </c>
      <c r="D49" s="988"/>
      <c r="E49" s="543">
        <v>0</v>
      </c>
      <c r="F49" s="543"/>
      <c r="G49" s="480"/>
      <c r="H49" s="543">
        <v>21</v>
      </c>
      <c r="I49" s="543"/>
      <c r="J49" s="482">
        <v>22</v>
      </c>
      <c r="K49" s="477">
        <f t="shared" si="4"/>
        <v>0</v>
      </c>
      <c r="L49" s="477">
        <f t="shared" si="4"/>
        <v>95.454545454545453</v>
      </c>
      <c r="M49" s="477">
        <f t="shared" si="4"/>
        <v>0</v>
      </c>
      <c r="N49" s="481">
        <f t="shared" si="2"/>
        <v>95.454545454545453</v>
      </c>
      <c r="O49" s="476"/>
      <c r="P49" s="477">
        <v>41.7</v>
      </c>
      <c r="Q49" s="477"/>
      <c r="R49" s="478">
        <f t="shared" si="3"/>
        <v>41.7</v>
      </c>
      <c r="S49" s="543">
        <v>4</v>
      </c>
      <c r="T49" s="471"/>
      <c r="U49" s="543"/>
      <c r="V49" s="82" t="s">
        <v>513</v>
      </c>
      <c r="W49" s="73" t="s">
        <v>17</v>
      </c>
      <c r="X49" s="73" t="s">
        <v>18</v>
      </c>
      <c r="Y49" s="83">
        <v>41.7</v>
      </c>
      <c r="AD49" s="82"/>
      <c r="AG49" s="83"/>
      <c r="AL49" s="82"/>
      <c r="AO49" s="83"/>
      <c r="AP49" s="82"/>
      <c r="AT49" s="161"/>
      <c r="AW49" s="83"/>
      <c r="BA49" s="84"/>
    </row>
    <row r="50" spans="1:53" s="73" customFormat="1">
      <c r="A50" s="102">
        <v>1977</v>
      </c>
      <c r="B50" s="540"/>
      <c r="C50" s="988" t="s">
        <v>735</v>
      </c>
      <c r="D50" s="988"/>
      <c r="E50" s="543">
        <v>365</v>
      </c>
      <c r="F50" s="543"/>
      <c r="G50" s="480"/>
      <c r="H50" s="543">
        <v>21</v>
      </c>
      <c r="I50" s="543"/>
      <c r="J50" s="482">
        <v>22</v>
      </c>
      <c r="K50" s="477">
        <f t="shared" si="4"/>
        <v>0</v>
      </c>
      <c r="L50" s="477">
        <f t="shared" si="4"/>
        <v>95.454545454545453</v>
      </c>
      <c r="M50" s="477">
        <f t="shared" si="4"/>
        <v>0</v>
      </c>
      <c r="N50" s="481">
        <f t="shared" si="2"/>
        <v>95.454545454545453</v>
      </c>
      <c r="O50" s="476"/>
      <c r="P50" s="477">
        <v>41.7</v>
      </c>
      <c r="Q50" s="477"/>
      <c r="R50" s="478">
        <f t="shared" si="3"/>
        <v>41.7</v>
      </c>
      <c r="S50" s="543">
        <v>4</v>
      </c>
      <c r="T50" s="471"/>
      <c r="U50" s="543"/>
      <c r="V50" s="82" t="s">
        <v>513</v>
      </c>
      <c r="W50" s="73" t="s">
        <v>17</v>
      </c>
      <c r="X50" s="73" t="s">
        <v>18</v>
      </c>
      <c r="Y50" s="83">
        <v>41.7</v>
      </c>
      <c r="AD50" s="82"/>
      <c r="AG50" s="83"/>
      <c r="AL50" s="82"/>
      <c r="AO50" s="83"/>
      <c r="AP50" s="82"/>
      <c r="AT50" s="161"/>
      <c r="AW50" s="83"/>
      <c r="BA50" s="84"/>
    </row>
    <row r="51" spans="1:53" s="73" customFormat="1">
      <c r="A51" s="102">
        <v>1978</v>
      </c>
      <c r="B51" s="540"/>
      <c r="C51" s="988" t="s">
        <v>735</v>
      </c>
      <c r="D51" s="988"/>
      <c r="E51" s="543">
        <v>71</v>
      </c>
      <c r="F51" s="543"/>
      <c r="G51" s="480"/>
      <c r="H51" s="543">
        <v>21</v>
      </c>
      <c r="I51" s="543"/>
      <c r="J51" s="482">
        <v>22</v>
      </c>
      <c r="K51" s="477">
        <f t="shared" si="4"/>
        <v>0</v>
      </c>
      <c r="L51" s="477">
        <f t="shared" si="4"/>
        <v>95.454545454545453</v>
      </c>
      <c r="M51" s="477">
        <f t="shared" si="4"/>
        <v>0</v>
      </c>
      <c r="N51" s="481">
        <f t="shared" si="2"/>
        <v>95.454545454545453</v>
      </c>
      <c r="O51" s="476"/>
      <c r="P51" s="477">
        <v>41.7</v>
      </c>
      <c r="Q51" s="477"/>
      <c r="R51" s="478">
        <f t="shared" si="3"/>
        <v>41.7</v>
      </c>
      <c r="S51" s="543">
        <v>4</v>
      </c>
      <c r="T51" s="471"/>
      <c r="U51" s="543"/>
      <c r="V51" s="82" t="s">
        <v>513</v>
      </c>
      <c r="W51" s="73" t="s">
        <v>17</v>
      </c>
      <c r="X51" s="73" t="s">
        <v>18</v>
      </c>
      <c r="Y51" s="83">
        <v>41.7</v>
      </c>
      <c r="AD51" s="82"/>
      <c r="AG51" s="83"/>
      <c r="AL51" s="82"/>
      <c r="AO51" s="83"/>
      <c r="AP51" s="82"/>
      <c r="AT51" s="161"/>
      <c r="AW51" s="83"/>
      <c r="BA51" s="84"/>
    </row>
    <row r="52" spans="1:53" s="334" customFormat="1">
      <c r="A52" s="386">
        <v>1978</v>
      </c>
      <c r="B52" s="541">
        <v>28562</v>
      </c>
      <c r="C52" s="992" t="s">
        <v>736</v>
      </c>
      <c r="D52" s="992"/>
      <c r="E52" s="544">
        <f>365-E51</f>
        <v>294</v>
      </c>
      <c r="F52" s="544">
        <v>5</v>
      </c>
      <c r="G52" s="497"/>
      <c r="H52" s="544">
        <v>20</v>
      </c>
      <c r="I52" s="544"/>
      <c r="J52" s="499">
        <v>21</v>
      </c>
      <c r="K52" s="495">
        <f t="shared" si="4"/>
        <v>0</v>
      </c>
      <c r="L52" s="495">
        <f t="shared" si="4"/>
        <v>95.238095238095227</v>
      </c>
      <c r="M52" s="495">
        <f t="shared" si="4"/>
        <v>0</v>
      </c>
      <c r="N52" s="498">
        <f t="shared" si="2"/>
        <v>95.238095238095227</v>
      </c>
      <c r="O52" s="494"/>
      <c r="P52" s="495">
        <v>41.7</v>
      </c>
      <c r="Q52" s="495"/>
      <c r="R52" s="496">
        <f t="shared" si="3"/>
        <v>41.7</v>
      </c>
      <c r="S52" s="544">
        <v>4</v>
      </c>
      <c r="T52" s="492"/>
      <c r="U52" s="541">
        <v>28562</v>
      </c>
      <c r="V52" s="343" t="s">
        <v>513</v>
      </c>
      <c r="W52" s="334" t="s">
        <v>17</v>
      </c>
      <c r="X52" s="334" t="s">
        <v>18</v>
      </c>
      <c r="Y52" s="344">
        <v>41.7</v>
      </c>
      <c r="AD52" s="343"/>
      <c r="AG52" s="344"/>
      <c r="AL52" s="343"/>
      <c r="AO52" s="344"/>
      <c r="AP52" s="343"/>
      <c r="AT52" s="449"/>
      <c r="AW52" s="344"/>
      <c r="BA52" s="345"/>
    </row>
    <row r="53" spans="1:53" s="334" customFormat="1">
      <c r="A53" s="386">
        <v>1979</v>
      </c>
      <c r="B53" s="541"/>
      <c r="C53" s="992" t="s">
        <v>736</v>
      </c>
      <c r="D53" s="992"/>
      <c r="E53" s="544">
        <v>79</v>
      </c>
      <c r="F53" s="544"/>
      <c r="G53" s="497"/>
      <c r="H53" s="544">
        <v>20</v>
      </c>
      <c r="I53" s="544"/>
      <c r="J53" s="499">
        <v>21</v>
      </c>
      <c r="K53" s="495">
        <f t="shared" si="4"/>
        <v>0</v>
      </c>
      <c r="L53" s="495">
        <f t="shared" si="4"/>
        <v>95.238095238095227</v>
      </c>
      <c r="M53" s="495">
        <f t="shared" si="4"/>
        <v>0</v>
      </c>
      <c r="N53" s="498">
        <f t="shared" si="2"/>
        <v>95.238095238095227</v>
      </c>
      <c r="O53" s="494"/>
      <c r="P53" s="495">
        <v>41.7</v>
      </c>
      <c r="Q53" s="495"/>
      <c r="R53" s="496">
        <f t="shared" si="3"/>
        <v>41.7</v>
      </c>
      <c r="S53" s="544">
        <v>4</v>
      </c>
      <c r="T53" s="492"/>
      <c r="U53" s="544"/>
      <c r="V53" s="343" t="s">
        <v>513</v>
      </c>
      <c r="W53" s="334" t="s">
        <v>17</v>
      </c>
      <c r="X53" s="334" t="s">
        <v>18</v>
      </c>
      <c r="Y53" s="344">
        <v>41.7</v>
      </c>
      <c r="AD53" s="343"/>
      <c r="AG53" s="344"/>
      <c r="AL53" s="343"/>
      <c r="AO53" s="344"/>
      <c r="AP53" s="343"/>
      <c r="AT53" s="449"/>
      <c r="AW53" s="344"/>
      <c r="BA53" s="345"/>
    </row>
    <row r="54" spans="1:53" s="73" customFormat="1">
      <c r="A54" s="102">
        <v>1979</v>
      </c>
      <c r="B54" s="540">
        <v>28935</v>
      </c>
      <c r="C54" s="988" t="s">
        <v>737</v>
      </c>
      <c r="D54" s="988"/>
      <c r="E54" s="543">
        <v>137</v>
      </c>
      <c r="F54" s="543">
        <v>5</v>
      </c>
      <c r="G54" s="480"/>
      <c r="H54" s="543">
        <v>17</v>
      </c>
      <c r="I54" s="543">
        <v>4</v>
      </c>
      <c r="J54" s="482">
        <v>21</v>
      </c>
      <c r="K54" s="477">
        <f t="shared" si="4"/>
        <v>0</v>
      </c>
      <c r="L54" s="477">
        <f t="shared" si="4"/>
        <v>80.952380952380949</v>
      </c>
      <c r="M54" s="477">
        <f t="shared" si="4"/>
        <v>19.047619047619047</v>
      </c>
      <c r="N54" s="481">
        <f t="shared" si="2"/>
        <v>100</v>
      </c>
      <c r="O54" s="476"/>
      <c r="P54" s="477">
        <v>43.9</v>
      </c>
      <c r="Q54" s="477">
        <v>2.4</v>
      </c>
      <c r="R54" s="478">
        <f t="shared" si="3"/>
        <v>46.3</v>
      </c>
      <c r="S54" s="543">
        <v>6</v>
      </c>
      <c r="T54" s="471"/>
      <c r="U54" s="540">
        <v>28935</v>
      </c>
      <c r="V54" s="82" t="s">
        <v>513</v>
      </c>
      <c r="W54" s="73" t="s">
        <v>17</v>
      </c>
      <c r="X54" s="73" t="s">
        <v>18</v>
      </c>
      <c r="Y54" s="83">
        <v>41.7</v>
      </c>
      <c r="Z54" s="73" t="s">
        <v>514</v>
      </c>
      <c r="AA54" s="73" t="s">
        <v>97</v>
      </c>
      <c r="AB54" s="73" t="s">
        <v>12</v>
      </c>
      <c r="AC54" s="73">
        <v>2.4</v>
      </c>
      <c r="AD54" s="82" t="s">
        <v>515</v>
      </c>
      <c r="AE54" s="73" t="s">
        <v>88</v>
      </c>
      <c r="AF54" s="73" t="s">
        <v>18</v>
      </c>
      <c r="AG54" s="83">
        <v>2.2000000000000002</v>
      </c>
      <c r="AL54" s="82"/>
      <c r="AO54" s="83"/>
      <c r="AP54" s="82"/>
      <c r="AT54" s="161"/>
      <c r="AW54" s="83"/>
      <c r="BA54" s="84"/>
    </row>
    <row r="55" spans="1:53" s="334" customFormat="1">
      <c r="A55" s="386">
        <v>1979</v>
      </c>
      <c r="B55" s="541">
        <v>29072</v>
      </c>
      <c r="C55" s="992" t="s">
        <v>738</v>
      </c>
      <c r="D55" s="992"/>
      <c r="E55" s="544">
        <f>365-E54-E53</f>
        <v>149</v>
      </c>
      <c r="F55" s="544">
        <v>1</v>
      </c>
      <c r="G55" s="497">
        <v>2</v>
      </c>
      <c r="H55" s="544">
        <v>17</v>
      </c>
      <c r="I55" s="544">
        <v>4</v>
      </c>
      <c r="J55" s="499">
        <v>25</v>
      </c>
      <c r="K55" s="495">
        <f t="shared" si="4"/>
        <v>8</v>
      </c>
      <c r="L55" s="495">
        <f t="shared" si="4"/>
        <v>68</v>
      </c>
      <c r="M55" s="495">
        <f t="shared" si="4"/>
        <v>16</v>
      </c>
      <c r="N55" s="498">
        <f t="shared" si="2"/>
        <v>92</v>
      </c>
      <c r="O55" s="494">
        <v>1.5</v>
      </c>
      <c r="P55" s="495">
        <v>41.4</v>
      </c>
      <c r="Q55" s="495">
        <v>3.3</v>
      </c>
      <c r="R55" s="496">
        <f t="shared" si="3"/>
        <v>46.199999999999996</v>
      </c>
      <c r="S55" s="544">
        <v>5</v>
      </c>
      <c r="T55" s="487">
        <v>29009</v>
      </c>
      <c r="U55" s="541">
        <v>29072</v>
      </c>
      <c r="V55" s="343" t="s">
        <v>513</v>
      </c>
      <c r="W55" s="334" t="s">
        <v>17</v>
      </c>
      <c r="X55" s="334" t="s">
        <v>18</v>
      </c>
      <c r="Y55" s="344">
        <v>41.4</v>
      </c>
      <c r="Z55" s="334" t="s">
        <v>514</v>
      </c>
      <c r="AA55" s="334" t="s">
        <v>97</v>
      </c>
      <c r="AB55" s="334" t="s">
        <v>12</v>
      </c>
      <c r="AC55" s="334">
        <v>3.3</v>
      </c>
      <c r="AD55" s="343" t="s">
        <v>518</v>
      </c>
      <c r="AE55" s="334" t="s">
        <v>22</v>
      </c>
      <c r="AF55" s="334" t="s">
        <v>11</v>
      </c>
      <c r="AG55" s="344">
        <v>1.5</v>
      </c>
      <c r="AL55" s="343"/>
      <c r="AO55" s="344"/>
      <c r="AP55" s="343"/>
      <c r="AT55" s="449"/>
      <c r="AW55" s="344"/>
      <c r="BA55" s="345"/>
    </row>
    <row r="56" spans="1:53" s="334" customFormat="1">
      <c r="A56" s="386">
        <v>1980</v>
      </c>
      <c r="B56" s="541"/>
      <c r="C56" s="992" t="s">
        <v>738</v>
      </c>
      <c r="D56" s="992"/>
      <c r="E56" s="544">
        <v>94</v>
      </c>
      <c r="F56" s="544"/>
      <c r="G56" s="497">
        <v>2</v>
      </c>
      <c r="H56" s="544">
        <v>17</v>
      </c>
      <c r="I56" s="544">
        <v>4</v>
      </c>
      <c r="J56" s="499">
        <v>25</v>
      </c>
      <c r="K56" s="495">
        <f t="shared" si="4"/>
        <v>8</v>
      </c>
      <c r="L56" s="495">
        <f t="shared" si="4"/>
        <v>68</v>
      </c>
      <c r="M56" s="495">
        <f t="shared" si="4"/>
        <v>16</v>
      </c>
      <c r="N56" s="498">
        <f t="shared" si="2"/>
        <v>92</v>
      </c>
      <c r="O56" s="494">
        <v>1.5</v>
      </c>
      <c r="P56" s="495">
        <v>41.4</v>
      </c>
      <c r="Q56" s="495">
        <v>3.3</v>
      </c>
      <c r="R56" s="496">
        <f t="shared" si="3"/>
        <v>46.199999999999996</v>
      </c>
      <c r="S56" s="544">
        <v>5</v>
      </c>
      <c r="T56" s="492"/>
      <c r="U56" s="544"/>
      <c r="V56" s="343" t="s">
        <v>513</v>
      </c>
      <c r="W56" s="334" t="s">
        <v>17</v>
      </c>
      <c r="X56" s="334" t="s">
        <v>18</v>
      </c>
      <c r="Y56" s="344">
        <v>41.4</v>
      </c>
      <c r="Z56" s="334" t="s">
        <v>514</v>
      </c>
      <c r="AA56" s="334" t="s">
        <v>97</v>
      </c>
      <c r="AB56" s="334" t="s">
        <v>12</v>
      </c>
      <c r="AC56" s="334">
        <v>3.3</v>
      </c>
      <c r="AD56" s="343" t="s">
        <v>518</v>
      </c>
      <c r="AE56" s="334" t="s">
        <v>22</v>
      </c>
      <c r="AF56" s="334" t="s">
        <v>11</v>
      </c>
      <c r="AG56" s="344">
        <v>1.5</v>
      </c>
      <c r="AL56" s="343"/>
      <c r="AO56" s="344"/>
      <c r="AP56" s="343"/>
      <c r="AT56" s="449"/>
      <c r="AW56" s="344"/>
      <c r="BA56" s="345"/>
    </row>
    <row r="57" spans="1:53" s="73" customFormat="1">
      <c r="A57" s="102">
        <v>1980</v>
      </c>
      <c r="B57" s="540">
        <v>29315</v>
      </c>
      <c r="C57" s="988" t="s">
        <v>739</v>
      </c>
      <c r="D57" s="988"/>
      <c r="E57" s="543">
        <v>198</v>
      </c>
      <c r="F57" s="543">
        <v>5</v>
      </c>
      <c r="G57" s="480"/>
      <c r="H57" s="543">
        <v>19</v>
      </c>
      <c r="I57" s="543">
        <v>9</v>
      </c>
      <c r="J57" s="482">
        <v>28</v>
      </c>
      <c r="K57" s="477">
        <f t="shared" si="4"/>
        <v>0</v>
      </c>
      <c r="L57" s="477">
        <f t="shared" si="4"/>
        <v>67.857142857142861</v>
      </c>
      <c r="M57" s="477">
        <f t="shared" si="4"/>
        <v>32.142857142857146</v>
      </c>
      <c r="N57" s="481">
        <f t="shared" si="2"/>
        <v>100</v>
      </c>
      <c r="O57" s="476"/>
      <c r="P57" s="477">
        <v>43.8</v>
      </c>
      <c r="Q57" s="477">
        <v>9.8000000000000007</v>
      </c>
      <c r="R57" s="478">
        <f t="shared" si="3"/>
        <v>53.599999999999994</v>
      </c>
      <c r="S57" s="543">
        <v>3</v>
      </c>
      <c r="T57" s="471"/>
      <c r="U57" s="540">
        <v>29315</v>
      </c>
      <c r="V57" s="82" t="s">
        <v>513</v>
      </c>
      <c r="W57" s="73" t="s">
        <v>17</v>
      </c>
      <c r="X57" s="73" t="s">
        <v>18</v>
      </c>
      <c r="Y57" s="83">
        <v>41.4</v>
      </c>
      <c r="Z57" s="73" t="s">
        <v>516</v>
      </c>
      <c r="AA57" s="73" t="s">
        <v>20</v>
      </c>
      <c r="AB57" s="73" t="s">
        <v>12</v>
      </c>
      <c r="AC57" s="73">
        <v>9.8000000000000007</v>
      </c>
      <c r="AD57" s="82" t="s">
        <v>515</v>
      </c>
      <c r="AE57" s="73" t="s">
        <v>88</v>
      </c>
      <c r="AF57" s="73" t="s">
        <v>18</v>
      </c>
      <c r="AG57" s="83">
        <v>2.4</v>
      </c>
      <c r="AL57" s="82"/>
      <c r="AO57" s="83"/>
      <c r="AP57" s="82"/>
      <c r="AT57" s="161"/>
      <c r="AW57" s="83"/>
      <c r="BA57" s="84"/>
    </row>
    <row r="58" spans="1:53" s="334" customFormat="1">
      <c r="A58" s="386">
        <v>1980</v>
      </c>
      <c r="B58" s="541">
        <v>29513</v>
      </c>
      <c r="C58" s="992" t="s">
        <v>740</v>
      </c>
      <c r="D58" s="992"/>
      <c r="E58" s="544">
        <f>366-E57-E56</f>
        <v>74</v>
      </c>
      <c r="F58" s="544">
        <v>5</v>
      </c>
      <c r="G58" s="497"/>
      <c r="H58" s="544">
        <v>17</v>
      </c>
      <c r="I58" s="544">
        <v>10</v>
      </c>
      <c r="J58" s="499">
        <v>27</v>
      </c>
      <c r="K58" s="495">
        <f>G58/$J58*100</f>
        <v>0</v>
      </c>
      <c r="L58" s="495">
        <f t="shared" si="4"/>
        <v>62.962962962962962</v>
      </c>
      <c r="M58" s="495">
        <f t="shared" si="4"/>
        <v>37.037037037037038</v>
      </c>
      <c r="N58" s="498">
        <f t="shared" si="2"/>
        <v>100</v>
      </c>
      <c r="O58" s="494"/>
      <c r="P58" s="495">
        <v>43.8</v>
      </c>
      <c r="Q58" s="495">
        <v>13.1</v>
      </c>
      <c r="R58" s="496">
        <f>O58+P58+Q58</f>
        <v>56.9</v>
      </c>
      <c r="S58" s="544">
        <v>3</v>
      </c>
      <c r="T58" s="492"/>
      <c r="U58" s="541">
        <v>29513</v>
      </c>
      <c r="V58" s="343" t="s">
        <v>513</v>
      </c>
      <c r="W58" s="334" t="s">
        <v>17</v>
      </c>
      <c r="X58" s="334" t="s">
        <v>18</v>
      </c>
      <c r="Y58" s="344">
        <v>41.4</v>
      </c>
      <c r="Z58" s="334" t="s">
        <v>516</v>
      </c>
      <c r="AA58" s="334" t="s">
        <v>20</v>
      </c>
      <c r="AB58" s="334" t="s">
        <v>12</v>
      </c>
      <c r="AC58" s="334">
        <v>9.8000000000000007</v>
      </c>
      <c r="AD58" s="343" t="s">
        <v>514</v>
      </c>
      <c r="AE58" s="334" t="s">
        <v>97</v>
      </c>
      <c r="AF58" s="334" t="s">
        <v>12</v>
      </c>
      <c r="AG58" s="344">
        <v>3.3</v>
      </c>
      <c r="AH58" s="343" t="s">
        <v>515</v>
      </c>
      <c r="AI58" s="334" t="s">
        <v>88</v>
      </c>
      <c r="AJ58" s="334" t="s">
        <v>18</v>
      </c>
      <c r="AK58" s="334">
        <v>2.4</v>
      </c>
      <c r="AL58" s="343"/>
      <c r="AO58" s="344"/>
      <c r="AP58" s="343"/>
      <c r="AT58" s="449"/>
      <c r="AW58" s="344"/>
      <c r="BA58" s="345"/>
    </row>
    <row r="59" spans="1:53" s="334" customFormat="1">
      <c r="A59" s="386">
        <v>1981</v>
      </c>
      <c r="B59" s="541"/>
      <c r="C59" s="992" t="s">
        <v>740</v>
      </c>
      <c r="D59" s="992"/>
      <c r="E59" s="544">
        <v>178</v>
      </c>
      <c r="F59" s="544"/>
      <c r="G59" s="497"/>
      <c r="H59" s="544">
        <v>17</v>
      </c>
      <c r="I59" s="544">
        <v>10</v>
      </c>
      <c r="J59" s="499">
        <v>27</v>
      </c>
      <c r="K59" s="495">
        <f t="shared" ref="K59:M101" si="5">G59/$J59*100</f>
        <v>0</v>
      </c>
      <c r="L59" s="495">
        <f t="shared" si="4"/>
        <v>62.962962962962962</v>
      </c>
      <c r="M59" s="495">
        <f t="shared" si="4"/>
        <v>37.037037037037038</v>
      </c>
      <c r="N59" s="498">
        <f t="shared" si="2"/>
        <v>100</v>
      </c>
      <c r="O59" s="494"/>
      <c r="P59" s="495">
        <v>43.8</v>
      </c>
      <c r="Q59" s="495">
        <v>13.1</v>
      </c>
      <c r="R59" s="496">
        <f t="shared" si="3"/>
        <v>56.9</v>
      </c>
      <c r="S59" s="544">
        <v>3</v>
      </c>
      <c r="T59" s="492"/>
      <c r="U59" s="544"/>
      <c r="V59" s="343" t="s">
        <v>513</v>
      </c>
      <c r="W59" s="334" t="s">
        <v>17</v>
      </c>
      <c r="X59" s="334" t="s">
        <v>18</v>
      </c>
      <c r="Y59" s="344">
        <v>41.4</v>
      </c>
      <c r="Z59" s="334" t="s">
        <v>516</v>
      </c>
      <c r="AA59" s="334" t="s">
        <v>20</v>
      </c>
      <c r="AB59" s="334" t="s">
        <v>12</v>
      </c>
      <c r="AC59" s="334">
        <v>9.8000000000000007</v>
      </c>
      <c r="AD59" s="343" t="s">
        <v>514</v>
      </c>
      <c r="AE59" s="334" t="s">
        <v>97</v>
      </c>
      <c r="AF59" s="334" t="s">
        <v>12</v>
      </c>
      <c r="AG59" s="344">
        <v>3.3</v>
      </c>
      <c r="AH59" s="343" t="s">
        <v>515</v>
      </c>
      <c r="AI59" s="334" t="s">
        <v>88</v>
      </c>
      <c r="AJ59" s="334" t="s">
        <v>18</v>
      </c>
      <c r="AK59" s="334">
        <v>2.4</v>
      </c>
      <c r="AL59" s="343"/>
      <c r="AO59" s="344"/>
      <c r="AP59" s="343"/>
      <c r="AT59" s="449"/>
      <c r="AW59" s="344"/>
      <c r="BA59" s="345"/>
    </row>
    <row r="60" spans="1:53" s="73" customFormat="1">
      <c r="A60" s="102">
        <v>1981</v>
      </c>
      <c r="B60" s="540">
        <v>29765</v>
      </c>
      <c r="C60" s="988" t="s">
        <v>741</v>
      </c>
      <c r="D60" s="988"/>
      <c r="E60" s="543">
        <f>365-E59</f>
        <v>187</v>
      </c>
      <c r="F60" s="543">
        <v>5</v>
      </c>
      <c r="G60" s="480">
        <v>1</v>
      </c>
      <c r="H60" s="543">
        <v>17</v>
      </c>
      <c r="I60" s="543">
        <v>10</v>
      </c>
      <c r="J60" s="482">
        <v>28</v>
      </c>
      <c r="K60" s="477">
        <f t="shared" si="5"/>
        <v>3.5714285714285712</v>
      </c>
      <c r="L60" s="477">
        <f t="shared" si="4"/>
        <v>60.714285714285708</v>
      </c>
      <c r="M60" s="477">
        <f t="shared" si="4"/>
        <v>35.714285714285715</v>
      </c>
      <c r="N60" s="481">
        <f t="shared" si="2"/>
        <v>100</v>
      </c>
      <c r="O60" s="476">
        <v>1.5</v>
      </c>
      <c r="P60" s="477">
        <v>43.8</v>
      </c>
      <c r="Q60" s="477">
        <v>13.1</v>
      </c>
      <c r="R60" s="478">
        <f t="shared" si="3"/>
        <v>58.4</v>
      </c>
      <c r="S60" s="543">
        <v>3</v>
      </c>
      <c r="T60" s="471"/>
      <c r="U60" s="540">
        <v>29765</v>
      </c>
      <c r="V60" s="82" t="s">
        <v>513</v>
      </c>
      <c r="W60" s="73" t="s">
        <v>17</v>
      </c>
      <c r="X60" s="73" t="s">
        <v>18</v>
      </c>
      <c r="Y60" s="83">
        <v>41.4</v>
      </c>
      <c r="Z60" s="73" t="s">
        <v>516</v>
      </c>
      <c r="AA60" s="73" t="s">
        <v>20</v>
      </c>
      <c r="AB60" s="73" t="s">
        <v>12</v>
      </c>
      <c r="AC60" s="73">
        <v>9.8000000000000007</v>
      </c>
      <c r="AD60" s="82" t="s">
        <v>514</v>
      </c>
      <c r="AE60" s="73" t="s">
        <v>97</v>
      </c>
      <c r="AF60" s="73" t="s">
        <v>12</v>
      </c>
      <c r="AG60" s="83">
        <v>3.3</v>
      </c>
      <c r="AH60" s="82" t="s">
        <v>515</v>
      </c>
      <c r="AI60" s="73" t="s">
        <v>88</v>
      </c>
      <c r="AJ60" s="73" t="s">
        <v>18</v>
      </c>
      <c r="AK60" s="73">
        <v>2.4</v>
      </c>
      <c r="AL60" s="82" t="s">
        <v>518</v>
      </c>
      <c r="AM60" s="73" t="s">
        <v>22</v>
      </c>
      <c r="AN60" s="73" t="s">
        <v>11</v>
      </c>
      <c r="AO60" s="83">
        <v>1.5</v>
      </c>
      <c r="AP60" s="82"/>
      <c r="AT60" s="161"/>
      <c r="AW60" s="83"/>
      <c r="BA60" s="84"/>
    </row>
    <row r="61" spans="1:53" s="73" customFormat="1">
      <c r="A61" s="102">
        <v>1982</v>
      </c>
      <c r="B61" s="540"/>
      <c r="C61" s="988" t="s">
        <v>741</v>
      </c>
      <c r="D61" s="988"/>
      <c r="E61" s="543">
        <v>234</v>
      </c>
      <c r="F61" s="543"/>
      <c r="G61" s="480">
        <v>1</v>
      </c>
      <c r="H61" s="543">
        <v>17</v>
      </c>
      <c r="I61" s="543">
        <v>10</v>
      </c>
      <c r="J61" s="482">
        <v>28</v>
      </c>
      <c r="K61" s="477">
        <f t="shared" si="5"/>
        <v>3.5714285714285712</v>
      </c>
      <c r="L61" s="477">
        <f t="shared" si="4"/>
        <v>60.714285714285708</v>
      </c>
      <c r="M61" s="477">
        <f t="shared" si="4"/>
        <v>35.714285714285715</v>
      </c>
      <c r="N61" s="481">
        <f t="shared" si="2"/>
        <v>100</v>
      </c>
      <c r="O61" s="476">
        <v>1.5</v>
      </c>
      <c r="P61" s="477">
        <v>43.8</v>
      </c>
      <c r="Q61" s="477">
        <v>13.1</v>
      </c>
      <c r="R61" s="478">
        <f t="shared" si="3"/>
        <v>58.4</v>
      </c>
      <c r="S61" s="543">
        <v>3</v>
      </c>
      <c r="T61" s="471"/>
      <c r="U61" s="543"/>
      <c r="V61" s="82" t="s">
        <v>513</v>
      </c>
      <c r="W61" s="73" t="s">
        <v>17</v>
      </c>
      <c r="X61" s="73" t="s">
        <v>18</v>
      </c>
      <c r="Y61" s="83">
        <v>41.4</v>
      </c>
      <c r="Z61" s="73" t="s">
        <v>516</v>
      </c>
      <c r="AA61" s="73" t="s">
        <v>20</v>
      </c>
      <c r="AB61" s="73" t="s">
        <v>12</v>
      </c>
      <c r="AC61" s="73">
        <v>9.8000000000000007</v>
      </c>
      <c r="AD61" s="82" t="s">
        <v>514</v>
      </c>
      <c r="AE61" s="73" t="s">
        <v>97</v>
      </c>
      <c r="AF61" s="73" t="s">
        <v>12</v>
      </c>
      <c r="AG61" s="83">
        <v>3.3</v>
      </c>
      <c r="AH61" s="82" t="s">
        <v>515</v>
      </c>
      <c r="AI61" s="73" t="s">
        <v>88</v>
      </c>
      <c r="AJ61" s="73" t="s">
        <v>18</v>
      </c>
      <c r="AK61" s="73">
        <v>2.4</v>
      </c>
      <c r="AL61" s="82" t="s">
        <v>518</v>
      </c>
      <c r="AM61" s="73" t="s">
        <v>22</v>
      </c>
      <c r="AN61" s="73" t="s">
        <v>11</v>
      </c>
      <c r="AO61" s="83">
        <v>1.5</v>
      </c>
      <c r="AP61" s="82"/>
      <c r="AT61" s="161"/>
      <c r="AW61" s="83"/>
      <c r="BA61" s="84"/>
    </row>
    <row r="62" spans="1:53" s="334" customFormat="1">
      <c r="A62" s="386">
        <v>1982</v>
      </c>
      <c r="B62" s="541">
        <v>30186</v>
      </c>
      <c r="C62" s="992" t="s">
        <v>742</v>
      </c>
      <c r="D62" s="992"/>
      <c r="E62" s="544">
        <v>110</v>
      </c>
      <c r="F62" s="544">
        <v>4</v>
      </c>
      <c r="G62" s="497">
        <v>1</v>
      </c>
      <c r="H62" s="544">
        <v>17</v>
      </c>
      <c r="I62" s="544">
        <v>10</v>
      </c>
      <c r="J62" s="499">
        <v>28</v>
      </c>
      <c r="K62" s="495">
        <f t="shared" si="5"/>
        <v>3.5714285714285712</v>
      </c>
      <c r="L62" s="495">
        <f t="shared" si="4"/>
        <v>60.714285714285708</v>
      </c>
      <c r="M62" s="495">
        <f t="shared" si="4"/>
        <v>35.714285714285715</v>
      </c>
      <c r="N62" s="498">
        <f t="shared" si="2"/>
        <v>100</v>
      </c>
      <c r="O62" s="494">
        <v>1.5</v>
      </c>
      <c r="P62" s="495">
        <v>43.8</v>
      </c>
      <c r="Q62" s="495">
        <v>13.1</v>
      </c>
      <c r="R62" s="496">
        <f t="shared" si="3"/>
        <v>58.4</v>
      </c>
      <c r="S62" s="544">
        <v>3</v>
      </c>
      <c r="T62" s="492"/>
      <c r="U62" s="541">
        <v>30186</v>
      </c>
      <c r="V62" s="343" t="s">
        <v>513</v>
      </c>
      <c r="W62" s="334" t="s">
        <v>17</v>
      </c>
      <c r="X62" s="334" t="s">
        <v>18</v>
      </c>
      <c r="Y62" s="344">
        <v>41.4</v>
      </c>
      <c r="Z62" s="334" t="s">
        <v>516</v>
      </c>
      <c r="AA62" s="334" t="s">
        <v>20</v>
      </c>
      <c r="AB62" s="334" t="s">
        <v>12</v>
      </c>
      <c r="AC62" s="334">
        <v>9.8000000000000007</v>
      </c>
      <c r="AD62" s="343" t="s">
        <v>514</v>
      </c>
      <c r="AE62" s="334" t="s">
        <v>97</v>
      </c>
      <c r="AF62" s="334" t="s">
        <v>12</v>
      </c>
      <c r="AG62" s="344">
        <v>3.3</v>
      </c>
      <c r="AH62" s="343" t="s">
        <v>515</v>
      </c>
      <c r="AI62" s="334" t="s">
        <v>88</v>
      </c>
      <c r="AJ62" s="334" t="s">
        <v>18</v>
      </c>
      <c r="AK62" s="334">
        <v>2.4</v>
      </c>
      <c r="AL62" s="343" t="s">
        <v>518</v>
      </c>
      <c r="AM62" s="334" t="s">
        <v>22</v>
      </c>
      <c r="AN62" s="334" t="s">
        <v>11</v>
      </c>
      <c r="AO62" s="344">
        <v>1.5</v>
      </c>
      <c r="AP62" s="343"/>
      <c r="AT62" s="449"/>
      <c r="AW62" s="344"/>
      <c r="BA62" s="345"/>
    </row>
    <row r="63" spans="1:53" s="73" customFormat="1">
      <c r="A63" s="102">
        <v>1982</v>
      </c>
      <c r="B63" s="540">
        <v>30296</v>
      </c>
      <c r="C63" s="988" t="s">
        <v>743</v>
      </c>
      <c r="D63" s="988"/>
      <c r="E63" s="543">
        <f>365-E62-E61</f>
        <v>21</v>
      </c>
      <c r="F63" s="543">
        <v>4</v>
      </c>
      <c r="G63" s="480">
        <v>2</v>
      </c>
      <c r="H63" s="543">
        <v>14</v>
      </c>
      <c r="I63" s="543">
        <v>12</v>
      </c>
      <c r="J63" s="482">
        <v>28</v>
      </c>
      <c r="K63" s="477">
        <f t="shared" si="5"/>
        <v>7.1428571428571423</v>
      </c>
      <c r="L63" s="477">
        <f t="shared" si="4"/>
        <v>50</v>
      </c>
      <c r="M63" s="477">
        <f t="shared" si="4"/>
        <v>42.857142857142854</v>
      </c>
      <c r="N63" s="481">
        <f t="shared" si="2"/>
        <v>100</v>
      </c>
      <c r="O63" s="476">
        <v>1.5</v>
      </c>
      <c r="P63" s="477">
        <v>41.4</v>
      </c>
      <c r="Q63" s="477">
        <v>13.1</v>
      </c>
      <c r="R63" s="478">
        <f t="shared" si="3"/>
        <v>56</v>
      </c>
      <c r="S63" s="543">
        <v>3</v>
      </c>
      <c r="T63" s="471"/>
      <c r="U63" s="540">
        <v>30296</v>
      </c>
      <c r="V63" s="82" t="s">
        <v>513</v>
      </c>
      <c r="W63" s="73" t="s">
        <v>17</v>
      </c>
      <c r="X63" s="73" t="s">
        <v>18</v>
      </c>
      <c r="Y63" s="83">
        <v>41.4</v>
      </c>
      <c r="Z63" s="73" t="s">
        <v>516</v>
      </c>
      <c r="AA63" s="73" t="s">
        <v>20</v>
      </c>
      <c r="AB63" s="73" t="s">
        <v>12</v>
      </c>
      <c r="AC63" s="73">
        <v>9.8000000000000007</v>
      </c>
      <c r="AD63" s="82" t="s">
        <v>514</v>
      </c>
      <c r="AE63" s="73" t="s">
        <v>97</v>
      </c>
      <c r="AF63" s="73" t="s">
        <v>12</v>
      </c>
      <c r="AG63" s="83">
        <v>3.3</v>
      </c>
      <c r="AH63" s="82" t="s">
        <v>518</v>
      </c>
      <c r="AI63" s="73" t="s">
        <v>22</v>
      </c>
      <c r="AJ63" s="73" t="s">
        <v>11</v>
      </c>
      <c r="AK63" s="73">
        <v>1.5</v>
      </c>
      <c r="AL63" s="82"/>
      <c r="AO63" s="83"/>
      <c r="AP63" s="82"/>
      <c r="AT63" s="161"/>
      <c r="AW63" s="83"/>
      <c r="BA63" s="84"/>
    </row>
    <row r="64" spans="1:53" s="73" customFormat="1">
      <c r="A64" s="102">
        <v>1983</v>
      </c>
      <c r="B64" s="540"/>
      <c r="C64" s="988" t="s">
        <v>743</v>
      </c>
      <c r="D64" s="988"/>
      <c r="E64" s="543">
        <v>215</v>
      </c>
      <c r="F64" s="543"/>
      <c r="G64" s="480">
        <v>2</v>
      </c>
      <c r="H64" s="543">
        <v>14</v>
      </c>
      <c r="I64" s="543">
        <v>12</v>
      </c>
      <c r="J64" s="482">
        <v>28</v>
      </c>
      <c r="K64" s="477">
        <f t="shared" si="5"/>
        <v>7.1428571428571423</v>
      </c>
      <c r="L64" s="477">
        <f t="shared" si="4"/>
        <v>50</v>
      </c>
      <c r="M64" s="477">
        <f t="shared" si="4"/>
        <v>42.857142857142854</v>
      </c>
      <c r="N64" s="481">
        <f t="shared" si="2"/>
        <v>100</v>
      </c>
      <c r="O64" s="476">
        <v>1.5</v>
      </c>
      <c r="P64" s="477">
        <v>41.4</v>
      </c>
      <c r="Q64" s="477">
        <v>13.1</v>
      </c>
      <c r="R64" s="478">
        <f t="shared" si="3"/>
        <v>56</v>
      </c>
      <c r="S64" s="543">
        <v>3</v>
      </c>
      <c r="T64" s="471"/>
      <c r="U64" s="543"/>
      <c r="V64" s="82" t="s">
        <v>513</v>
      </c>
      <c r="W64" s="73" t="s">
        <v>17</v>
      </c>
      <c r="X64" s="73" t="s">
        <v>18</v>
      </c>
      <c r="Y64" s="83">
        <v>41.4</v>
      </c>
      <c r="Z64" s="73" t="s">
        <v>516</v>
      </c>
      <c r="AA64" s="73" t="s">
        <v>20</v>
      </c>
      <c r="AB64" s="73" t="s">
        <v>12</v>
      </c>
      <c r="AC64" s="73">
        <v>9.8000000000000007</v>
      </c>
      <c r="AD64" s="82" t="s">
        <v>514</v>
      </c>
      <c r="AE64" s="73" t="s">
        <v>97</v>
      </c>
      <c r="AF64" s="73" t="s">
        <v>12</v>
      </c>
      <c r="AG64" s="83">
        <v>3.3</v>
      </c>
      <c r="AH64" s="82" t="s">
        <v>518</v>
      </c>
      <c r="AI64" s="73" t="s">
        <v>22</v>
      </c>
      <c r="AJ64" s="73" t="s">
        <v>11</v>
      </c>
      <c r="AK64" s="73">
        <v>1.5</v>
      </c>
      <c r="AL64" s="82"/>
      <c r="AO64" s="83"/>
      <c r="AP64" s="82"/>
      <c r="AT64" s="161"/>
      <c r="AW64" s="83"/>
      <c r="BA64" s="84"/>
    </row>
    <row r="65" spans="1:53" s="334" customFormat="1">
      <c r="A65" s="386">
        <v>1983</v>
      </c>
      <c r="B65" s="541">
        <v>30532</v>
      </c>
      <c r="C65" s="992" t="s">
        <v>744</v>
      </c>
      <c r="D65" s="992"/>
      <c r="E65" s="544">
        <f>365-E64</f>
        <v>150</v>
      </c>
      <c r="F65" s="544">
        <v>1</v>
      </c>
      <c r="G65" s="497">
        <v>2</v>
      </c>
      <c r="H65" s="544">
        <v>19</v>
      </c>
      <c r="I65" s="544">
        <v>9</v>
      </c>
      <c r="J65" s="499">
        <v>30</v>
      </c>
      <c r="K65" s="495">
        <f t="shared" si="5"/>
        <v>6.666666666666667</v>
      </c>
      <c r="L65" s="495">
        <f t="shared" si="4"/>
        <v>63.333333333333329</v>
      </c>
      <c r="M65" s="495">
        <f t="shared" si="4"/>
        <v>30</v>
      </c>
      <c r="N65" s="498">
        <f t="shared" si="2"/>
        <v>100</v>
      </c>
      <c r="O65" s="494">
        <v>2.5</v>
      </c>
      <c r="P65" s="495">
        <v>40.299999999999997</v>
      </c>
      <c r="Q65" s="495">
        <v>15.3</v>
      </c>
      <c r="R65" s="496">
        <f t="shared" si="3"/>
        <v>58.099999999999994</v>
      </c>
      <c r="S65" s="544">
        <v>3</v>
      </c>
      <c r="T65" s="487">
        <v>30493</v>
      </c>
      <c r="U65" s="541">
        <v>30532</v>
      </c>
      <c r="V65" s="343" t="s">
        <v>513</v>
      </c>
      <c r="W65" s="334" t="s">
        <v>17</v>
      </c>
      <c r="X65" s="334" t="s">
        <v>18</v>
      </c>
      <c r="Y65" s="344">
        <v>35.700000000000003</v>
      </c>
      <c r="Z65" s="334" t="s">
        <v>516</v>
      </c>
      <c r="AA65" s="334" t="s">
        <v>20</v>
      </c>
      <c r="AB65" s="334" t="s">
        <v>12</v>
      </c>
      <c r="AC65" s="334">
        <v>11.6</v>
      </c>
      <c r="AD65" s="343" t="s">
        <v>514</v>
      </c>
      <c r="AE65" s="334" t="s">
        <v>97</v>
      </c>
      <c r="AF65" s="334" t="s">
        <v>12</v>
      </c>
      <c r="AG65" s="344">
        <v>3.7</v>
      </c>
      <c r="AH65" s="343" t="s">
        <v>518</v>
      </c>
      <c r="AI65" s="334" t="s">
        <v>22</v>
      </c>
      <c r="AJ65" s="334" t="s">
        <v>11</v>
      </c>
      <c r="AK65" s="334">
        <v>2.5</v>
      </c>
      <c r="AL65" s="343" t="s">
        <v>515</v>
      </c>
      <c r="AM65" s="334" t="s">
        <v>88</v>
      </c>
      <c r="AN65" s="334" t="s">
        <v>18</v>
      </c>
      <c r="AO65" s="344">
        <v>4.5999999999999996</v>
      </c>
      <c r="AP65" s="343"/>
      <c r="AT65" s="449"/>
      <c r="AW65" s="344"/>
      <c r="BA65" s="345"/>
    </row>
    <row r="66" spans="1:53" s="334" customFormat="1">
      <c r="A66" s="386">
        <v>1984</v>
      </c>
      <c r="B66" s="541"/>
      <c r="C66" s="992" t="s">
        <v>744</v>
      </c>
      <c r="D66" s="992"/>
      <c r="E66" s="544">
        <v>0</v>
      </c>
      <c r="F66" s="544"/>
      <c r="G66" s="497">
        <v>2</v>
      </c>
      <c r="H66" s="544">
        <v>19</v>
      </c>
      <c r="I66" s="544">
        <v>9</v>
      </c>
      <c r="J66" s="499">
        <v>30</v>
      </c>
      <c r="K66" s="495">
        <f t="shared" si="5"/>
        <v>6.666666666666667</v>
      </c>
      <c r="L66" s="495">
        <f t="shared" si="4"/>
        <v>63.333333333333329</v>
      </c>
      <c r="M66" s="495">
        <f t="shared" si="4"/>
        <v>30</v>
      </c>
      <c r="N66" s="498">
        <f t="shared" si="2"/>
        <v>100</v>
      </c>
      <c r="O66" s="494">
        <v>2.5</v>
      </c>
      <c r="P66" s="495">
        <v>40.299999999999997</v>
      </c>
      <c r="Q66" s="495">
        <v>15.3</v>
      </c>
      <c r="R66" s="496">
        <f t="shared" si="3"/>
        <v>58.099999999999994</v>
      </c>
      <c r="S66" s="544">
        <v>3</v>
      </c>
      <c r="T66" s="492"/>
      <c r="U66" s="544"/>
      <c r="V66" s="343" t="s">
        <v>513</v>
      </c>
      <c r="W66" s="334" t="s">
        <v>17</v>
      </c>
      <c r="X66" s="334" t="s">
        <v>18</v>
      </c>
      <c r="Y66" s="344">
        <v>35.700000000000003</v>
      </c>
      <c r="Z66" s="334" t="s">
        <v>516</v>
      </c>
      <c r="AA66" s="334" t="s">
        <v>20</v>
      </c>
      <c r="AB66" s="334" t="s">
        <v>12</v>
      </c>
      <c r="AC66" s="334">
        <v>11.6</v>
      </c>
      <c r="AD66" s="343" t="s">
        <v>514</v>
      </c>
      <c r="AE66" s="334" t="s">
        <v>97</v>
      </c>
      <c r="AF66" s="334" t="s">
        <v>12</v>
      </c>
      <c r="AG66" s="344">
        <v>3.7</v>
      </c>
      <c r="AH66" s="343" t="s">
        <v>518</v>
      </c>
      <c r="AI66" s="334" t="s">
        <v>22</v>
      </c>
      <c r="AJ66" s="334" t="s">
        <v>11</v>
      </c>
      <c r="AK66" s="334">
        <v>2.5</v>
      </c>
      <c r="AL66" s="343" t="s">
        <v>515</v>
      </c>
      <c r="AM66" s="334" t="s">
        <v>88</v>
      </c>
      <c r="AN66" s="334" t="s">
        <v>18</v>
      </c>
      <c r="AO66" s="344">
        <v>4.5999999999999996</v>
      </c>
      <c r="AP66" s="343"/>
      <c r="AT66" s="449"/>
      <c r="AW66" s="344"/>
      <c r="BA66" s="345"/>
    </row>
    <row r="67" spans="1:53" s="334" customFormat="1">
      <c r="A67" s="386">
        <v>1984</v>
      </c>
      <c r="B67" s="541"/>
      <c r="C67" s="992" t="s">
        <v>744</v>
      </c>
      <c r="D67" s="992"/>
      <c r="E67" s="544">
        <v>366</v>
      </c>
      <c r="F67" s="544"/>
      <c r="G67" s="497">
        <v>2</v>
      </c>
      <c r="H67" s="544">
        <v>19</v>
      </c>
      <c r="I67" s="544">
        <v>9</v>
      </c>
      <c r="J67" s="499">
        <v>30</v>
      </c>
      <c r="K67" s="495">
        <f t="shared" si="5"/>
        <v>6.666666666666667</v>
      </c>
      <c r="L67" s="495">
        <f t="shared" si="5"/>
        <v>63.333333333333329</v>
      </c>
      <c r="M67" s="495">
        <f t="shared" si="5"/>
        <v>30</v>
      </c>
      <c r="N67" s="498">
        <f t="shared" si="2"/>
        <v>100</v>
      </c>
      <c r="O67" s="494">
        <v>2.5</v>
      </c>
      <c r="P67" s="495">
        <v>40.299999999999997</v>
      </c>
      <c r="Q67" s="495">
        <v>15.3</v>
      </c>
      <c r="R67" s="496">
        <f t="shared" si="3"/>
        <v>58.099999999999994</v>
      </c>
      <c r="S67" s="544">
        <v>3</v>
      </c>
      <c r="T67" s="492"/>
      <c r="U67" s="544"/>
      <c r="V67" s="343" t="s">
        <v>513</v>
      </c>
      <c r="W67" s="334" t="s">
        <v>17</v>
      </c>
      <c r="X67" s="334" t="s">
        <v>18</v>
      </c>
      <c r="Y67" s="344">
        <v>35.700000000000003</v>
      </c>
      <c r="Z67" s="334" t="s">
        <v>516</v>
      </c>
      <c r="AA67" s="334" t="s">
        <v>20</v>
      </c>
      <c r="AB67" s="334" t="s">
        <v>12</v>
      </c>
      <c r="AC67" s="334">
        <v>11.6</v>
      </c>
      <c r="AD67" s="343" t="s">
        <v>514</v>
      </c>
      <c r="AE67" s="334" t="s">
        <v>97</v>
      </c>
      <c r="AF67" s="334" t="s">
        <v>12</v>
      </c>
      <c r="AG67" s="344">
        <v>3.7</v>
      </c>
      <c r="AH67" s="343" t="s">
        <v>518</v>
      </c>
      <c r="AI67" s="334" t="s">
        <v>22</v>
      </c>
      <c r="AJ67" s="334" t="s">
        <v>11</v>
      </c>
      <c r="AK67" s="334">
        <v>2.5</v>
      </c>
      <c r="AL67" s="343" t="s">
        <v>515</v>
      </c>
      <c r="AM67" s="334" t="s">
        <v>88</v>
      </c>
      <c r="AN67" s="334" t="s">
        <v>18</v>
      </c>
      <c r="AO67" s="344">
        <v>4.5999999999999996</v>
      </c>
      <c r="AP67" s="343"/>
      <c r="AT67" s="449"/>
      <c r="AW67" s="344"/>
      <c r="BA67" s="345"/>
    </row>
    <row r="68" spans="1:53" s="334" customFormat="1">
      <c r="A68" s="386">
        <v>1985</v>
      </c>
      <c r="B68" s="541"/>
      <c r="C68" s="992" t="s">
        <v>744</v>
      </c>
      <c r="D68" s="992"/>
      <c r="E68" s="544">
        <v>0</v>
      </c>
      <c r="F68" s="544"/>
      <c r="G68" s="497">
        <v>2</v>
      </c>
      <c r="H68" s="544">
        <v>19</v>
      </c>
      <c r="I68" s="544">
        <v>9</v>
      </c>
      <c r="J68" s="499">
        <v>30</v>
      </c>
      <c r="K68" s="495">
        <f t="shared" si="5"/>
        <v>6.666666666666667</v>
      </c>
      <c r="L68" s="495">
        <f t="shared" si="5"/>
        <v>63.333333333333329</v>
      </c>
      <c r="M68" s="495">
        <f t="shared" si="5"/>
        <v>30</v>
      </c>
      <c r="N68" s="498">
        <f t="shared" si="2"/>
        <v>100</v>
      </c>
      <c r="O68" s="494">
        <v>2.5</v>
      </c>
      <c r="P68" s="495">
        <v>40.299999999999997</v>
      </c>
      <c r="Q68" s="495">
        <v>15.3</v>
      </c>
      <c r="R68" s="496">
        <f t="shared" si="3"/>
        <v>58.099999999999994</v>
      </c>
      <c r="S68" s="544">
        <v>3</v>
      </c>
      <c r="T68" s="492"/>
      <c r="U68" s="544"/>
      <c r="V68" s="343" t="s">
        <v>513</v>
      </c>
      <c r="W68" s="334" t="s">
        <v>17</v>
      </c>
      <c r="X68" s="334" t="s">
        <v>18</v>
      </c>
      <c r="Y68" s="344">
        <v>35.700000000000003</v>
      </c>
      <c r="Z68" s="334" t="s">
        <v>516</v>
      </c>
      <c r="AA68" s="334" t="s">
        <v>20</v>
      </c>
      <c r="AB68" s="334" t="s">
        <v>12</v>
      </c>
      <c r="AC68" s="334">
        <v>11.6</v>
      </c>
      <c r="AD68" s="343" t="s">
        <v>514</v>
      </c>
      <c r="AE68" s="334" t="s">
        <v>97</v>
      </c>
      <c r="AF68" s="334" t="s">
        <v>12</v>
      </c>
      <c r="AG68" s="344">
        <v>3.7</v>
      </c>
      <c r="AH68" s="343" t="s">
        <v>518</v>
      </c>
      <c r="AI68" s="334" t="s">
        <v>22</v>
      </c>
      <c r="AJ68" s="334" t="s">
        <v>11</v>
      </c>
      <c r="AK68" s="334">
        <v>2.5</v>
      </c>
      <c r="AL68" s="343" t="s">
        <v>515</v>
      </c>
      <c r="AM68" s="334" t="s">
        <v>88</v>
      </c>
      <c r="AN68" s="334" t="s">
        <v>18</v>
      </c>
      <c r="AO68" s="344">
        <v>4.5999999999999996</v>
      </c>
      <c r="AP68" s="343"/>
      <c r="AT68" s="449"/>
      <c r="AW68" s="344"/>
      <c r="BA68" s="345"/>
    </row>
    <row r="69" spans="1:53" s="334" customFormat="1">
      <c r="A69" s="386">
        <v>1985</v>
      </c>
      <c r="B69" s="541"/>
      <c r="C69" s="992" t="s">
        <v>744</v>
      </c>
      <c r="D69" s="992"/>
      <c r="E69" s="544">
        <v>365</v>
      </c>
      <c r="F69" s="544"/>
      <c r="G69" s="497">
        <v>2</v>
      </c>
      <c r="H69" s="544">
        <v>19</v>
      </c>
      <c r="I69" s="544">
        <v>9</v>
      </c>
      <c r="J69" s="499">
        <v>30</v>
      </c>
      <c r="K69" s="495">
        <f t="shared" si="5"/>
        <v>6.666666666666667</v>
      </c>
      <c r="L69" s="495">
        <f t="shared" si="5"/>
        <v>63.333333333333329</v>
      </c>
      <c r="M69" s="495">
        <f t="shared" si="5"/>
        <v>30</v>
      </c>
      <c r="N69" s="498">
        <f t="shared" si="2"/>
        <v>100</v>
      </c>
      <c r="O69" s="494">
        <v>2.5</v>
      </c>
      <c r="P69" s="495">
        <v>40.299999999999997</v>
      </c>
      <c r="Q69" s="495">
        <v>15.3</v>
      </c>
      <c r="R69" s="496">
        <f t="shared" si="3"/>
        <v>58.099999999999994</v>
      </c>
      <c r="S69" s="544">
        <v>3</v>
      </c>
      <c r="T69" s="492"/>
      <c r="U69" s="544"/>
      <c r="V69" s="343" t="s">
        <v>513</v>
      </c>
      <c r="W69" s="334" t="s">
        <v>17</v>
      </c>
      <c r="X69" s="334" t="s">
        <v>18</v>
      </c>
      <c r="Y69" s="344">
        <v>35.700000000000003</v>
      </c>
      <c r="Z69" s="334" t="s">
        <v>516</v>
      </c>
      <c r="AA69" s="334" t="s">
        <v>20</v>
      </c>
      <c r="AB69" s="334" t="s">
        <v>12</v>
      </c>
      <c r="AC69" s="334">
        <v>11.6</v>
      </c>
      <c r="AD69" s="343" t="s">
        <v>514</v>
      </c>
      <c r="AE69" s="334" t="s">
        <v>97</v>
      </c>
      <c r="AF69" s="334" t="s">
        <v>12</v>
      </c>
      <c r="AG69" s="344">
        <v>3.7</v>
      </c>
      <c r="AH69" s="343" t="s">
        <v>518</v>
      </c>
      <c r="AI69" s="334" t="s">
        <v>22</v>
      </c>
      <c r="AJ69" s="334" t="s">
        <v>11</v>
      </c>
      <c r="AK69" s="334">
        <v>2.5</v>
      </c>
      <c r="AL69" s="343" t="s">
        <v>515</v>
      </c>
      <c r="AM69" s="334" t="s">
        <v>88</v>
      </c>
      <c r="AN69" s="334" t="s">
        <v>18</v>
      </c>
      <c r="AO69" s="344">
        <v>4.5999999999999996</v>
      </c>
      <c r="AP69" s="343"/>
      <c r="AT69" s="449"/>
      <c r="AW69" s="344"/>
      <c r="BA69" s="345"/>
    </row>
    <row r="70" spans="1:53" s="334" customFormat="1">
      <c r="A70" s="386">
        <v>1986</v>
      </c>
      <c r="B70" s="541"/>
      <c r="C70" s="992" t="s">
        <v>744</v>
      </c>
      <c r="D70" s="992"/>
      <c r="E70" s="544">
        <v>213</v>
      </c>
      <c r="F70" s="544"/>
      <c r="G70" s="497">
        <v>2</v>
      </c>
      <c r="H70" s="544">
        <v>19</v>
      </c>
      <c r="I70" s="544">
        <v>9</v>
      </c>
      <c r="J70" s="499">
        <v>30</v>
      </c>
      <c r="K70" s="495">
        <f t="shared" si="5"/>
        <v>6.666666666666667</v>
      </c>
      <c r="L70" s="495">
        <f t="shared" si="5"/>
        <v>63.333333333333329</v>
      </c>
      <c r="M70" s="495">
        <f t="shared" si="5"/>
        <v>30</v>
      </c>
      <c r="N70" s="498">
        <f t="shared" si="2"/>
        <v>100</v>
      </c>
      <c r="O70" s="494">
        <v>2.5</v>
      </c>
      <c r="P70" s="495">
        <v>40.299999999999997</v>
      </c>
      <c r="Q70" s="495">
        <v>15.3</v>
      </c>
      <c r="R70" s="496">
        <f t="shared" si="3"/>
        <v>58.099999999999994</v>
      </c>
      <c r="S70" s="544">
        <v>3</v>
      </c>
      <c r="T70" s="492"/>
      <c r="U70" s="544"/>
      <c r="V70" s="343" t="s">
        <v>513</v>
      </c>
      <c r="W70" s="334" t="s">
        <v>17</v>
      </c>
      <c r="X70" s="334" t="s">
        <v>18</v>
      </c>
      <c r="Y70" s="344">
        <v>35.700000000000003</v>
      </c>
      <c r="Z70" s="334" t="s">
        <v>516</v>
      </c>
      <c r="AA70" s="334" t="s">
        <v>20</v>
      </c>
      <c r="AB70" s="334" t="s">
        <v>12</v>
      </c>
      <c r="AC70" s="334">
        <v>11.6</v>
      </c>
      <c r="AD70" s="343" t="s">
        <v>514</v>
      </c>
      <c r="AE70" s="334" t="s">
        <v>97</v>
      </c>
      <c r="AF70" s="334" t="s">
        <v>12</v>
      </c>
      <c r="AG70" s="344">
        <v>3.7</v>
      </c>
      <c r="AH70" s="343" t="s">
        <v>518</v>
      </c>
      <c r="AI70" s="334" t="s">
        <v>22</v>
      </c>
      <c r="AJ70" s="334" t="s">
        <v>11</v>
      </c>
      <c r="AK70" s="334">
        <v>2.5</v>
      </c>
      <c r="AL70" s="343" t="s">
        <v>515</v>
      </c>
      <c r="AM70" s="334" t="s">
        <v>88</v>
      </c>
      <c r="AN70" s="334" t="s">
        <v>18</v>
      </c>
      <c r="AO70" s="344">
        <v>4.5999999999999996</v>
      </c>
      <c r="AP70" s="343"/>
      <c r="AT70" s="449"/>
      <c r="AW70" s="344"/>
      <c r="BA70" s="345"/>
    </row>
    <row r="71" spans="1:53" s="73" customFormat="1">
      <c r="A71" s="102">
        <v>1986</v>
      </c>
      <c r="B71" s="540">
        <v>31626</v>
      </c>
      <c r="C71" s="988" t="s">
        <v>745</v>
      </c>
      <c r="D71" s="988"/>
      <c r="E71" s="543">
        <f>365-E70</f>
        <v>152</v>
      </c>
      <c r="F71" s="543">
        <v>5</v>
      </c>
      <c r="G71" s="480">
        <v>2</v>
      </c>
      <c r="H71" s="543">
        <v>19</v>
      </c>
      <c r="I71" s="543">
        <v>9</v>
      </c>
      <c r="J71" s="482">
        <v>30</v>
      </c>
      <c r="K71" s="477">
        <f t="shared" si="5"/>
        <v>6.666666666666667</v>
      </c>
      <c r="L71" s="477">
        <f t="shared" si="5"/>
        <v>63.333333333333329</v>
      </c>
      <c r="M71" s="477">
        <f t="shared" si="5"/>
        <v>30</v>
      </c>
      <c r="N71" s="481">
        <f t="shared" si="2"/>
        <v>100</v>
      </c>
      <c r="O71" s="476">
        <v>2.5</v>
      </c>
      <c r="P71" s="477">
        <v>40.299999999999997</v>
      </c>
      <c r="Q71" s="477">
        <v>15.3</v>
      </c>
      <c r="R71" s="478">
        <f t="shared" si="3"/>
        <v>58.099999999999994</v>
      </c>
      <c r="S71" s="543">
        <v>3</v>
      </c>
      <c r="T71" s="471"/>
      <c r="U71" s="540">
        <v>31626</v>
      </c>
      <c r="V71" s="82" t="s">
        <v>513</v>
      </c>
      <c r="W71" s="73" t="s">
        <v>17</v>
      </c>
      <c r="X71" s="73" t="s">
        <v>18</v>
      </c>
      <c r="Y71" s="83">
        <v>35.700000000000003</v>
      </c>
      <c r="Z71" s="73" t="s">
        <v>516</v>
      </c>
      <c r="AA71" s="73" t="s">
        <v>20</v>
      </c>
      <c r="AB71" s="73" t="s">
        <v>12</v>
      </c>
      <c r="AC71" s="73">
        <v>11.6</v>
      </c>
      <c r="AD71" s="82" t="s">
        <v>514</v>
      </c>
      <c r="AE71" s="73" t="s">
        <v>97</v>
      </c>
      <c r="AF71" s="73" t="s">
        <v>12</v>
      </c>
      <c r="AG71" s="83">
        <v>3.7</v>
      </c>
      <c r="AH71" s="82" t="s">
        <v>518</v>
      </c>
      <c r="AI71" s="73" t="s">
        <v>22</v>
      </c>
      <c r="AJ71" s="73" t="s">
        <v>11</v>
      </c>
      <c r="AK71" s="73">
        <v>2.5</v>
      </c>
      <c r="AL71" s="82" t="s">
        <v>515</v>
      </c>
      <c r="AM71" s="73" t="s">
        <v>88</v>
      </c>
      <c r="AN71" s="73" t="s">
        <v>18</v>
      </c>
      <c r="AO71" s="83">
        <v>4.5999999999999996</v>
      </c>
      <c r="AP71" s="82"/>
      <c r="AT71" s="161"/>
      <c r="AW71" s="83"/>
      <c r="BA71" s="84"/>
    </row>
    <row r="72" spans="1:53" s="73" customFormat="1">
      <c r="A72" s="102">
        <v>1987</v>
      </c>
      <c r="B72" s="540"/>
      <c r="C72" s="988" t="s">
        <v>745</v>
      </c>
      <c r="D72" s="988"/>
      <c r="E72" s="543">
        <v>107</v>
      </c>
      <c r="F72" s="543"/>
      <c r="G72" s="480">
        <v>2</v>
      </c>
      <c r="H72" s="543">
        <v>19</v>
      </c>
      <c r="I72" s="543">
        <v>9</v>
      </c>
      <c r="J72" s="482">
        <v>30</v>
      </c>
      <c r="K72" s="477">
        <f t="shared" si="5"/>
        <v>6.666666666666667</v>
      </c>
      <c r="L72" s="477">
        <f t="shared" si="5"/>
        <v>63.333333333333329</v>
      </c>
      <c r="M72" s="477">
        <f t="shared" si="5"/>
        <v>30</v>
      </c>
      <c r="N72" s="481">
        <f t="shared" si="2"/>
        <v>100</v>
      </c>
      <c r="O72" s="476">
        <v>2.5</v>
      </c>
      <c r="P72" s="477">
        <v>40.299999999999997</v>
      </c>
      <c r="Q72" s="477">
        <v>15.3</v>
      </c>
      <c r="R72" s="478">
        <f t="shared" si="3"/>
        <v>58.099999999999994</v>
      </c>
      <c r="S72" s="543">
        <v>3</v>
      </c>
      <c r="T72" s="471"/>
      <c r="U72" s="543"/>
      <c r="V72" s="82" t="s">
        <v>513</v>
      </c>
      <c r="W72" s="73" t="s">
        <v>17</v>
      </c>
      <c r="X72" s="73" t="s">
        <v>18</v>
      </c>
      <c r="Y72" s="83">
        <v>35.700000000000003</v>
      </c>
      <c r="Z72" s="73" t="s">
        <v>516</v>
      </c>
      <c r="AA72" s="73" t="s">
        <v>20</v>
      </c>
      <c r="AB72" s="73" t="s">
        <v>12</v>
      </c>
      <c r="AC72" s="73">
        <v>11.6</v>
      </c>
      <c r="AD72" s="82" t="s">
        <v>514</v>
      </c>
      <c r="AE72" s="73" t="s">
        <v>97</v>
      </c>
      <c r="AF72" s="73" t="s">
        <v>12</v>
      </c>
      <c r="AG72" s="83">
        <v>3.7</v>
      </c>
      <c r="AH72" s="82" t="s">
        <v>518</v>
      </c>
      <c r="AI72" s="73" t="s">
        <v>22</v>
      </c>
      <c r="AJ72" s="73" t="s">
        <v>11</v>
      </c>
      <c r="AK72" s="73">
        <v>2.5</v>
      </c>
      <c r="AL72" s="82" t="s">
        <v>515</v>
      </c>
      <c r="AM72" s="73" t="s">
        <v>88</v>
      </c>
      <c r="AN72" s="73" t="s">
        <v>18</v>
      </c>
      <c r="AO72" s="83">
        <v>4.5999999999999996</v>
      </c>
      <c r="AP72" s="82"/>
      <c r="AT72" s="161"/>
      <c r="AW72" s="83"/>
      <c r="BA72" s="84"/>
    </row>
    <row r="73" spans="1:53" s="334" customFormat="1">
      <c r="A73" s="386">
        <v>1987</v>
      </c>
      <c r="B73" s="541">
        <v>31885</v>
      </c>
      <c r="C73" s="992" t="s">
        <v>746</v>
      </c>
      <c r="D73" s="992"/>
      <c r="E73" s="544">
        <v>102</v>
      </c>
      <c r="F73" s="544">
        <v>1</v>
      </c>
      <c r="G73" s="497"/>
      <c r="H73" s="544">
        <v>16</v>
      </c>
      <c r="I73" s="544"/>
      <c r="J73" s="499">
        <v>25</v>
      </c>
      <c r="K73" s="495">
        <f t="shared" si="5"/>
        <v>0</v>
      </c>
      <c r="L73" s="495">
        <f t="shared" si="5"/>
        <v>64</v>
      </c>
      <c r="M73" s="495">
        <f t="shared" si="5"/>
        <v>0</v>
      </c>
      <c r="N73" s="498">
        <f t="shared" ref="N73:N133" si="6">K73+L73+M73</f>
        <v>64</v>
      </c>
      <c r="O73" s="494"/>
      <c r="P73" s="495">
        <v>35.700000000000003</v>
      </c>
      <c r="Q73" s="495"/>
      <c r="R73" s="496">
        <f t="shared" ref="R73:R136" si="7">O73+P73+Q73</f>
        <v>35.700000000000003</v>
      </c>
      <c r="S73" s="544">
        <v>4</v>
      </c>
      <c r="T73" s="492"/>
      <c r="U73" s="541">
        <v>31885</v>
      </c>
      <c r="V73" s="343" t="s">
        <v>513</v>
      </c>
      <c r="W73" s="334" t="s">
        <v>17</v>
      </c>
      <c r="X73" s="334" t="s">
        <v>18</v>
      </c>
      <c r="Y73" s="344">
        <v>35.700000000000003</v>
      </c>
      <c r="AD73" s="343"/>
      <c r="AG73" s="344"/>
      <c r="AL73" s="343"/>
      <c r="AO73" s="344"/>
      <c r="AP73" s="343"/>
      <c r="AT73" s="449"/>
      <c r="AW73" s="344"/>
      <c r="BA73" s="345"/>
    </row>
    <row r="74" spans="1:53" s="73" customFormat="1">
      <c r="A74" s="102">
        <v>1987</v>
      </c>
      <c r="B74" s="540">
        <v>31987</v>
      </c>
      <c r="C74" s="988" t="s">
        <v>747</v>
      </c>
      <c r="D74" s="988"/>
      <c r="E74" s="543">
        <f>365-E73-E72</f>
        <v>156</v>
      </c>
      <c r="F74" s="543">
        <v>1</v>
      </c>
      <c r="G74" s="480">
        <v>1</v>
      </c>
      <c r="H74" s="543">
        <v>18</v>
      </c>
      <c r="I74" s="543">
        <v>11</v>
      </c>
      <c r="J74" s="482">
        <v>30</v>
      </c>
      <c r="K74" s="477">
        <f t="shared" si="5"/>
        <v>3.3333333333333335</v>
      </c>
      <c r="L74" s="477">
        <f t="shared" si="5"/>
        <v>60</v>
      </c>
      <c r="M74" s="477">
        <f t="shared" si="5"/>
        <v>36.666666666666664</v>
      </c>
      <c r="N74" s="481">
        <f t="shared" si="6"/>
        <v>100</v>
      </c>
      <c r="O74" s="476">
        <v>1.7</v>
      </c>
      <c r="P74" s="477">
        <v>40.4</v>
      </c>
      <c r="Q74" s="477">
        <v>17.600000000000001</v>
      </c>
      <c r="R74" s="478">
        <f t="shared" si="7"/>
        <v>59.7</v>
      </c>
      <c r="S74" s="543">
        <v>3</v>
      </c>
      <c r="T74" s="479">
        <v>31942</v>
      </c>
      <c r="U74" s="540">
        <v>31987</v>
      </c>
      <c r="V74" s="82" t="s">
        <v>513</v>
      </c>
      <c r="W74" s="73" t="s">
        <v>17</v>
      </c>
      <c r="X74" s="73" t="s">
        <v>18</v>
      </c>
      <c r="Y74" s="83">
        <v>37.1</v>
      </c>
      <c r="Z74" s="73" t="s">
        <v>516</v>
      </c>
      <c r="AA74" s="73" t="s">
        <v>20</v>
      </c>
      <c r="AB74" s="73" t="s">
        <v>12</v>
      </c>
      <c r="AC74" s="73">
        <v>14.9</v>
      </c>
      <c r="AD74" s="82" t="s">
        <v>515</v>
      </c>
      <c r="AE74" s="73" t="s">
        <v>88</v>
      </c>
      <c r="AF74" s="73" t="s">
        <v>18</v>
      </c>
      <c r="AG74" s="83">
        <v>3.3</v>
      </c>
      <c r="AH74" s="73" t="s">
        <v>514</v>
      </c>
      <c r="AI74" s="73" t="s">
        <v>97</v>
      </c>
      <c r="AJ74" s="73" t="s">
        <v>12</v>
      </c>
      <c r="AK74" s="73">
        <v>2.7</v>
      </c>
      <c r="AL74" s="82" t="s">
        <v>518</v>
      </c>
      <c r="AM74" s="73" t="s">
        <v>22</v>
      </c>
      <c r="AN74" s="73" t="s">
        <v>11</v>
      </c>
      <c r="AO74" s="83">
        <v>1.7</v>
      </c>
      <c r="AP74" s="82"/>
      <c r="AT74" s="161"/>
      <c r="AW74" s="83"/>
      <c r="BA74" s="84"/>
    </row>
    <row r="75" spans="1:53" s="73" customFormat="1">
      <c r="A75" s="102">
        <v>1988</v>
      </c>
      <c r="B75" s="540"/>
      <c r="C75" s="988" t="s">
        <v>747</v>
      </c>
      <c r="D75" s="988"/>
      <c r="E75" s="543">
        <v>103</v>
      </c>
      <c r="F75" s="543"/>
      <c r="G75" s="480">
        <v>1</v>
      </c>
      <c r="H75" s="543">
        <v>18</v>
      </c>
      <c r="I75" s="543">
        <v>11</v>
      </c>
      <c r="J75" s="482">
        <v>30</v>
      </c>
      <c r="K75" s="477">
        <f t="shared" si="5"/>
        <v>3.3333333333333335</v>
      </c>
      <c r="L75" s="477">
        <f t="shared" si="5"/>
        <v>60</v>
      </c>
      <c r="M75" s="477">
        <f t="shared" si="5"/>
        <v>36.666666666666664</v>
      </c>
      <c r="N75" s="481">
        <f t="shared" si="6"/>
        <v>100</v>
      </c>
      <c r="O75" s="476">
        <v>1.7</v>
      </c>
      <c r="P75" s="477">
        <v>40.4</v>
      </c>
      <c r="Q75" s="477">
        <v>17.600000000000001</v>
      </c>
      <c r="R75" s="478">
        <f t="shared" si="7"/>
        <v>59.7</v>
      </c>
      <c r="S75" s="543">
        <v>3</v>
      </c>
      <c r="T75" s="471"/>
      <c r="U75" s="543"/>
      <c r="V75" s="82" t="s">
        <v>513</v>
      </c>
      <c r="W75" s="73" t="s">
        <v>17</v>
      </c>
      <c r="X75" s="73" t="s">
        <v>18</v>
      </c>
      <c r="Y75" s="83">
        <v>37.1</v>
      </c>
      <c r="Z75" s="73" t="s">
        <v>516</v>
      </c>
      <c r="AA75" s="73" t="s">
        <v>20</v>
      </c>
      <c r="AB75" s="73" t="s">
        <v>12</v>
      </c>
      <c r="AC75" s="73">
        <v>14.9</v>
      </c>
      <c r="AD75" s="82" t="s">
        <v>515</v>
      </c>
      <c r="AE75" s="73" t="s">
        <v>88</v>
      </c>
      <c r="AF75" s="73" t="s">
        <v>18</v>
      </c>
      <c r="AG75" s="83">
        <v>3.3</v>
      </c>
      <c r="AH75" s="73" t="s">
        <v>514</v>
      </c>
      <c r="AI75" s="73" t="s">
        <v>97</v>
      </c>
      <c r="AJ75" s="73" t="s">
        <v>12</v>
      </c>
      <c r="AK75" s="73">
        <v>2.7</v>
      </c>
      <c r="AL75" s="82" t="s">
        <v>518</v>
      </c>
      <c r="AM75" s="73" t="s">
        <v>22</v>
      </c>
      <c r="AN75" s="73" t="s">
        <v>11</v>
      </c>
      <c r="AO75" s="83">
        <v>1.7</v>
      </c>
      <c r="AP75" s="82"/>
      <c r="AT75" s="161"/>
      <c r="AW75" s="83"/>
      <c r="BA75" s="84"/>
    </row>
    <row r="76" spans="1:53" s="334" customFormat="1">
      <c r="A76" s="386">
        <v>1988</v>
      </c>
      <c r="B76" s="541">
        <v>32246</v>
      </c>
      <c r="C76" s="992" t="s">
        <v>748</v>
      </c>
      <c r="D76" s="992"/>
      <c r="E76" s="544">
        <f>366-E75</f>
        <v>263</v>
      </c>
      <c r="F76" s="544">
        <v>4</v>
      </c>
      <c r="G76" s="497">
        <v>1</v>
      </c>
      <c r="H76" s="544">
        <v>19</v>
      </c>
      <c r="I76" s="544">
        <v>10</v>
      </c>
      <c r="J76" s="499">
        <v>30</v>
      </c>
      <c r="K76" s="495">
        <f t="shared" si="5"/>
        <v>3.3333333333333335</v>
      </c>
      <c r="L76" s="495">
        <f t="shared" si="5"/>
        <v>63.333333333333329</v>
      </c>
      <c r="M76" s="495">
        <f t="shared" si="5"/>
        <v>33.333333333333329</v>
      </c>
      <c r="N76" s="498">
        <f t="shared" si="6"/>
        <v>99.999999999999986</v>
      </c>
      <c r="O76" s="494">
        <v>1.7</v>
      </c>
      <c r="P76" s="495">
        <v>40.4</v>
      </c>
      <c r="Q76" s="495">
        <v>17.600000000000001</v>
      </c>
      <c r="R76" s="496">
        <f t="shared" si="7"/>
        <v>59.7</v>
      </c>
      <c r="S76" s="544">
        <v>3</v>
      </c>
      <c r="T76" s="492"/>
      <c r="U76" s="541">
        <v>32246</v>
      </c>
      <c r="V76" s="343" t="s">
        <v>513</v>
      </c>
      <c r="W76" s="334" t="s">
        <v>17</v>
      </c>
      <c r="X76" s="334" t="s">
        <v>18</v>
      </c>
      <c r="Y76" s="344">
        <v>37.1</v>
      </c>
      <c r="Z76" s="334" t="s">
        <v>516</v>
      </c>
      <c r="AA76" s="334" t="s">
        <v>20</v>
      </c>
      <c r="AB76" s="334" t="s">
        <v>12</v>
      </c>
      <c r="AC76" s="334">
        <v>14.9</v>
      </c>
      <c r="AD76" s="343" t="s">
        <v>515</v>
      </c>
      <c r="AE76" s="334" t="s">
        <v>88</v>
      </c>
      <c r="AF76" s="334" t="s">
        <v>18</v>
      </c>
      <c r="AG76" s="344">
        <v>3.3</v>
      </c>
      <c r="AH76" s="334" t="s">
        <v>514</v>
      </c>
      <c r="AI76" s="334" t="s">
        <v>97</v>
      </c>
      <c r="AJ76" s="334" t="s">
        <v>12</v>
      </c>
      <c r="AK76" s="334">
        <v>2.7</v>
      </c>
      <c r="AL76" s="343" t="s">
        <v>518</v>
      </c>
      <c r="AM76" s="334" t="s">
        <v>22</v>
      </c>
      <c r="AN76" s="334" t="s">
        <v>11</v>
      </c>
      <c r="AO76" s="344">
        <v>1.7</v>
      </c>
      <c r="AP76" s="343"/>
      <c r="AT76" s="449"/>
      <c r="AW76" s="344"/>
      <c r="BA76" s="345"/>
    </row>
    <row r="77" spans="1:53" s="334" customFormat="1">
      <c r="A77" s="386">
        <v>1989</v>
      </c>
      <c r="B77" s="541"/>
      <c r="C77" s="992" t="s">
        <v>748</v>
      </c>
      <c r="D77" s="992"/>
      <c r="E77" s="544">
        <v>203</v>
      </c>
      <c r="F77" s="544"/>
      <c r="G77" s="497">
        <v>1</v>
      </c>
      <c r="H77" s="544">
        <v>19</v>
      </c>
      <c r="I77" s="544">
        <v>10</v>
      </c>
      <c r="J77" s="499">
        <v>30</v>
      </c>
      <c r="K77" s="495">
        <f t="shared" si="5"/>
        <v>3.3333333333333335</v>
      </c>
      <c r="L77" s="495">
        <f t="shared" si="5"/>
        <v>63.333333333333329</v>
      </c>
      <c r="M77" s="495">
        <f t="shared" si="5"/>
        <v>33.333333333333329</v>
      </c>
      <c r="N77" s="498">
        <f t="shared" si="6"/>
        <v>99.999999999999986</v>
      </c>
      <c r="O77" s="494">
        <v>1.7</v>
      </c>
      <c r="P77" s="495">
        <v>40.4</v>
      </c>
      <c r="Q77" s="495">
        <v>17.600000000000001</v>
      </c>
      <c r="R77" s="496">
        <f t="shared" si="7"/>
        <v>59.7</v>
      </c>
      <c r="S77" s="544">
        <v>3</v>
      </c>
      <c r="T77" s="492"/>
      <c r="U77" s="544"/>
      <c r="V77" s="343" t="s">
        <v>513</v>
      </c>
      <c r="W77" s="334" t="s">
        <v>17</v>
      </c>
      <c r="X77" s="334" t="s">
        <v>18</v>
      </c>
      <c r="Y77" s="344">
        <v>37.1</v>
      </c>
      <c r="Z77" s="334" t="s">
        <v>516</v>
      </c>
      <c r="AA77" s="334" t="s">
        <v>20</v>
      </c>
      <c r="AB77" s="334" t="s">
        <v>12</v>
      </c>
      <c r="AC77" s="334">
        <v>14.9</v>
      </c>
      <c r="AD77" s="343" t="s">
        <v>515</v>
      </c>
      <c r="AE77" s="334" t="s">
        <v>88</v>
      </c>
      <c r="AF77" s="334" t="s">
        <v>18</v>
      </c>
      <c r="AG77" s="344">
        <v>3.3</v>
      </c>
      <c r="AH77" s="334" t="s">
        <v>514</v>
      </c>
      <c r="AI77" s="334" t="s">
        <v>97</v>
      </c>
      <c r="AJ77" s="334" t="s">
        <v>12</v>
      </c>
      <c r="AK77" s="334">
        <v>2.7</v>
      </c>
      <c r="AL77" s="343" t="s">
        <v>518</v>
      </c>
      <c r="AM77" s="334" t="s">
        <v>22</v>
      </c>
      <c r="AN77" s="334" t="s">
        <v>11</v>
      </c>
      <c r="AO77" s="344">
        <v>1.7</v>
      </c>
      <c r="AP77" s="343"/>
      <c r="AT77" s="449"/>
      <c r="AW77" s="344"/>
      <c r="BA77" s="345"/>
    </row>
    <row r="78" spans="1:53" s="73" customFormat="1">
      <c r="A78" s="102">
        <v>1989</v>
      </c>
      <c r="B78" s="540">
        <v>32712</v>
      </c>
      <c r="C78" s="988" t="s">
        <v>749</v>
      </c>
      <c r="D78" s="988"/>
      <c r="E78" s="543">
        <f>365-E77</f>
        <v>162</v>
      </c>
      <c r="F78" s="543">
        <v>5</v>
      </c>
      <c r="G78" s="480">
        <v>2</v>
      </c>
      <c r="H78" s="543">
        <v>18</v>
      </c>
      <c r="I78" s="543">
        <v>12</v>
      </c>
      <c r="J78" s="482">
        <v>32</v>
      </c>
      <c r="K78" s="477">
        <f t="shared" si="5"/>
        <v>6.25</v>
      </c>
      <c r="L78" s="477">
        <f t="shared" si="5"/>
        <v>56.25</v>
      </c>
      <c r="M78" s="477">
        <f t="shared" si="5"/>
        <v>37.5</v>
      </c>
      <c r="N78" s="481">
        <f t="shared" si="6"/>
        <v>100</v>
      </c>
      <c r="O78" s="476">
        <v>1.7</v>
      </c>
      <c r="P78" s="477">
        <v>40.4</v>
      </c>
      <c r="Q78" s="477">
        <v>17.600000000000001</v>
      </c>
      <c r="R78" s="478">
        <f t="shared" si="7"/>
        <v>59.7</v>
      </c>
      <c r="S78" s="543">
        <v>3</v>
      </c>
      <c r="T78" s="471"/>
      <c r="U78" s="540">
        <v>32712</v>
      </c>
      <c r="V78" s="82" t="s">
        <v>513</v>
      </c>
      <c r="W78" s="73" t="s">
        <v>17</v>
      </c>
      <c r="X78" s="73" t="s">
        <v>18</v>
      </c>
      <c r="Y78" s="83">
        <v>37.1</v>
      </c>
      <c r="Z78" s="73" t="s">
        <v>516</v>
      </c>
      <c r="AA78" s="73" t="s">
        <v>20</v>
      </c>
      <c r="AB78" s="73" t="s">
        <v>12</v>
      </c>
      <c r="AC78" s="73">
        <v>14.9</v>
      </c>
      <c r="AD78" s="82" t="s">
        <v>515</v>
      </c>
      <c r="AE78" s="73" t="s">
        <v>88</v>
      </c>
      <c r="AF78" s="73" t="s">
        <v>18</v>
      </c>
      <c r="AG78" s="83">
        <v>3.3</v>
      </c>
      <c r="AH78" s="73" t="s">
        <v>514</v>
      </c>
      <c r="AI78" s="73" t="s">
        <v>97</v>
      </c>
      <c r="AJ78" s="73" t="s">
        <v>12</v>
      </c>
      <c r="AK78" s="73">
        <v>2.7</v>
      </c>
      <c r="AL78" s="82" t="s">
        <v>518</v>
      </c>
      <c r="AM78" s="73" t="s">
        <v>22</v>
      </c>
      <c r="AN78" s="73" t="s">
        <v>11</v>
      </c>
      <c r="AO78" s="83">
        <v>1.7</v>
      </c>
      <c r="AP78" s="82"/>
      <c r="AT78" s="161"/>
      <c r="AW78" s="83"/>
      <c r="BA78" s="84"/>
    </row>
    <row r="79" spans="1:53" s="151" customFormat="1">
      <c r="A79" s="546">
        <v>1990</v>
      </c>
      <c r="B79" s="546"/>
      <c r="C79" s="1032" t="s">
        <v>749</v>
      </c>
      <c r="D79" s="1032"/>
      <c r="E79" s="546">
        <v>0</v>
      </c>
      <c r="F79" s="546"/>
      <c r="G79" s="165">
        <v>2</v>
      </c>
      <c r="H79" s="546">
        <v>17</v>
      </c>
      <c r="I79" s="546">
        <v>11</v>
      </c>
      <c r="J79" s="166">
        <v>30</v>
      </c>
      <c r="K79" s="167">
        <f t="shared" si="5"/>
        <v>6.666666666666667</v>
      </c>
      <c r="L79" s="167">
        <f t="shared" si="5"/>
        <v>56.666666666666664</v>
      </c>
      <c r="M79" s="167">
        <f t="shared" si="5"/>
        <v>36.666666666666664</v>
      </c>
      <c r="N79" s="168">
        <f t="shared" si="6"/>
        <v>100</v>
      </c>
      <c r="O79" s="169">
        <v>1.7</v>
      </c>
      <c r="P79" s="167">
        <v>40.4</v>
      </c>
      <c r="Q79" s="167">
        <v>17.600000000000001</v>
      </c>
      <c r="R79" s="170">
        <f t="shared" si="7"/>
        <v>59.7</v>
      </c>
      <c r="S79" s="546">
        <v>3</v>
      </c>
      <c r="T79" s="171"/>
      <c r="U79" s="546"/>
      <c r="V79" s="172" t="s">
        <v>513</v>
      </c>
      <c r="W79" s="151" t="s">
        <v>17</v>
      </c>
      <c r="X79" s="151" t="s">
        <v>18</v>
      </c>
      <c r="Y79" s="173">
        <v>37.1</v>
      </c>
      <c r="Z79" s="151" t="s">
        <v>516</v>
      </c>
      <c r="AA79" s="151" t="s">
        <v>20</v>
      </c>
      <c r="AB79" s="151" t="s">
        <v>12</v>
      </c>
      <c r="AC79" s="151">
        <v>14.9</v>
      </c>
      <c r="AD79" s="172" t="s">
        <v>515</v>
      </c>
      <c r="AE79" s="151" t="s">
        <v>88</v>
      </c>
      <c r="AF79" s="151" t="s">
        <v>18</v>
      </c>
      <c r="AG79" s="173">
        <v>3.3</v>
      </c>
      <c r="AH79" s="151" t="s">
        <v>514</v>
      </c>
      <c r="AI79" s="151" t="s">
        <v>97</v>
      </c>
      <c r="AJ79" s="151" t="s">
        <v>12</v>
      </c>
      <c r="AK79" s="151">
        <v>2.7</v>
      </c>
      <c r="AL79" s="172" t="s">
        <v>518</v>
      </c>
      <c r="AM79" s="151" t="s">
        <v>22</v>
      </c>
      <c r="AN79" s="151" t="s">
        <v>11</v>
      </c>
      <c r="AO79" s="173">
        <v>1.7</v>
      </c>
      <c r="AP79" s="172"/>
      <c r="AT79" s="185"/>
      <c r="AW79" s="173"/>
      <c r="BA79" s="174"/>
    </row>
    <row r="80" spans="1:53" s="73" customFormat="1">
      <c r="A80" s="543">
        <v>1990</v>
      </c>
      <c r="B80" s="543"/>
      <c r="C80" s="988" t="s">
        <v>749</v>
      </c>
      <c r="D80" s="988"/>
      <c r="E80" s="543">
        <f>365-E79</f>
        <v>365</v>
      </c>
      <c r="F80" s="543"/>
      <c r="G80" s="480">
        <v>2</v>
      </c>
      <c r="H80" s="543">
        <v>17</v>
      </c>
      <c r="I80" s="543">
        <v>11</v>
      </c>
      <c r="J80" s="482">
        <v>30</v>
      </c>
      <c r="K80" s="477">
        <f t="shared" si="5"/>
        <v>6.666666666666667</v>
      </c>
      <c r="L80" s="477">
        <f t="shared" si="5"/>
        <v>56.666666666666664</v>
      </c>
      <c r="M80" s="477">
        <f t="shared" si="5"/>
        <v>36.666666666666664</v>
      </c>
      <c r="N80" s="481">
        <f t="shared" si="6"/>
        <v>100</v>
      </c>
      <c r="O80" s="476">
        <v>1.7</v>
      </c>
      <c r="P80" s="477">
        <v>40.4</v>
      </c>
      <c r="Q80" s="477">
        <v>17.600000000000001</v>
      </c>
      <c r="R80" s="478">
        <f t="shared" si="7"/>
        <v>59.7</v>
      </c>
      <c r="S80" s="543">
        <v>3</v>
      </c>
      <c r="T80" s="471"/>
      <c r="U80" s="543"/>
      <c r="V80" s="82" t="s">
        <v>513</v>
      </c>
      <c r="W80" s="73" t="s">
        <v>17</v>
      </c>
      <c r="X80" s="73" t="s">
        <v>18</v>
      </c>
      <c r="Y80" s="83">
        <v>37.1</v>
      </c>
      <c r="Z80" s="73" t="s">
        <v>516</v>
      </c>
      <c r="AA80" s="73" t="s">
        <v>20</v>
      </c>
      <c r="AB80" s="73" t="s">
        <v>12</v>
      </c>
      <c r="AC80" s="73">
        <v>14.9</v>
      </c>
      <c r="AD80" s="82" t="s">
        <v>515</v>
      </c>
      <c r="AE80" s="73" t="s">
        <v>88</v>
      </c>
      <c r="AF80" s="73" t="s">
        <v>18</v>
      </c>
      <c r="AG80" s="83">
        <v>3.3</v>
      </c>
      <c r="AH80" s="73" t="s">
        <v>514</v>
      </c>
      <c r="AI80" s="73" t="s">
        <v>97</v>
      </c>
      <c r="AJ80" s="73" t="s">
        <v>12</v>
      </c>
      <c r="AK80" s="73">
        <v>2.7</v>
      </c>
      <c r="AL80" s="82" t="s">
        <v>518</v>
      </c>
      <c r="AM80" s="73" t="s">
        <v>22</v>
      </c>
      <c r="AN80" s="73" t="s">
        <v>11</v>
      </c>
      <c r="AO80" s="83">
        <v>1.7</v>
      </c>
      <c r="AP80" s="82"/>
      <c r="AT80" s="161"/>
      <c r="AW80" s="83"/>
      <c r="BA80" s="84"/>
    </row>
    <row r="81" spans="1:53" s="73" customFormat="1">
      <c r="A81" s="543">
        <v>1991</v>
      </c>
      <c r="B81" s="543"/>
      <c r="C81" s="988" t="s">
        <v>749</v>
      </c>
      <c r="D81" s="988"/>
      <c r="E81" s="543">
        <v>108</v>
      </c>
      <c r="F81" s="543"/>
      <c r="G81" s="480">
        <v>2</v>
      </c>
      <c r="H81" s="543">
        <v>17</v>
      </c>
      <c r="I81" s="543">
        <v>11</v>
      </c>
      <c r="J81" s="482">
        <v>30</v>
      </c>
      <c r="K81" s="477">
        <f t="shared" si="5"/>
        <v>6.666666666666667</v>
      </c>
      <c r="L81" s="477">
        <f t="shared" si="5"/>
        <v>56.666666666666664</v>
      </c>
      <c r="M81" s="477">
        <f t="shared" si="5"/>
        <v>36.666666666666664</v>
      </c>
      <c r="N81" s="481">
        <f t="shared" si="6"/>
        <v>100</v>
      </c>
      <c r="O81" s="476">
        <v>1.7</v>
      </c>
      <c r="P81" s="477">
        <v>40.4</v>
      </c>
      <c r="Q81" s="477">
        <v>17.600000000000001</v>
      </c>
      <c r="R81" s="478">
        <f t="shared" si="7"/>
        <v>59.7</v>
      </c>
      <c r="S81" s="543">
        <v>3</v>
      </c>
      <c r="T81" s="471"/>
      <c r="U81" s="543"/>
      <c r="V81" s="82" t="s">
        <v>513</v>
      </c>
      <c r="W81" s="73" t="s">
        <v>17</v>
      </c>
      <c r="X81" s="73" t="s">
        <v>18</v>
      </c>
      <c r="Y81" s="83">
        <v>37.1</v>
      </c>
      <c r="Z81" s="73" t="s">
        <v>516</v>
      </c>
      <c r="AA81" s="73" t="s">
        <v>20</v>
      </c>
      <c r="AB81" s="73" t="s">
        <v>12</v>
      </c>
      <c r="AC81" s="73">
        <v>14.9</v>
      </c>
      <c r="AD81" s="82" t="s">
        <v>515</v>
      </c>
      <c r="AE81" s="73" t="s">
        <v>88</v>
      </c>
      <c r="AF81" s="73" t="s">
        <v>18</v>
      </c>
      <c r="AG81" s="83">
        <v>3.3</v>
      </c>
      <c r="AH81" s="73" t="s">
        <v>514</v>
      </c>
      <c r="AI81" s="73" t="s">
        <v>97</v>
      </c>
      <c r="AJ81" s="73" t="s">
        <v>12</v>
      </c>
      <c r="AK81" s="73">
        <v>2.7</v>
      </c>
      <c r="AL81" s="82" t="s">
        <v>518</v>
      </c>
      <c r="AM81" s="73" t="s">
        <v>22</v>
      </c>
      <c r="AN81" s="73" t="s">
        <v>11</v>
      </c>
      <c r="AO81" s="83">
        <v>1.7</v>
      </c>
      <c r="AP81" s="82"/>
      <c r="AT81" s="161"/>
      <c r="AW81" s="83"/>
      <c r="BA81" s="84"/>
    </row>
    <row r="82" spans="1:53" s="334" customFormat="1">
      <c r="A82" s="544">
        <v>1991</v>
      </c>
      <c r="B82" s="541">
        <v>33347</v>
      </c>
      <c r="C82" s="992" t="s">
        <v>300</v>
      </c>
      <c r="D82" s="992"/>
      <c r="E82" s="544">
        <f>365-E81</f>
        <v>257</v>
      </c>
      <c r="F82" s="544">
        <v>4</v>
      </c>
      <c r="G82" s="497">
        <v>2</v>
      </c>
      <c r="H82" s="544">
        <v>16</v>
      </c>
      <c r="I82" s="544">
        <v>12</v>
      </c>
      <c r="J82" s="499">
        <v>30</v>
      </c>
      <c r="K82" s="495">
        <f t="shared" si="5"/>
        <v>6.666666666666667</v>
      </c>
      <c r="L82" s="495">
        <f t="shared" si="5"/>
        <v>53.333333333333336</v>
      </c>
      <c r="M82" s="495">
        <f t="shared" si="5"/>
        <v>40</v>
      </c>
      <c r="N82" s="498">
        <f t="shared" si="6"/>
        <v>100</v>
      </c>
      <c r="O82" s="494">
        <v>1.7</v>
      </c>
      <c r="P82" s="495">
        <v>37.1</v>
      </c>
      <c r="Q82" s="495">
        <v>17.600000000000001</v>
      </c>
      <c r="R82" s="496">
        <f t="shared" si="7"/>
        <v>56.400000000000006</v>
      </c>
      <c r="S82" s="544">
        <v>3</v>
      </c>
      <c r="T82" s="492"/>
      <c r="U82" s="541">
        <v>33347</v>
      </c>
      <c r="V82" s="343" t="s">
        <v>513</v>
      </c>
      <c r="W82" s="334" t="s">
        <v>17</v>
      </c>
      <c r="X82" s="334" t="s">
        <v>18</v>
      </c>
      <c r="Y82" s="344">
        <v>37.1</v>
      </c>
      <c r="Z82" s="334" t="s">
        <v>516</v>
      </c>
      <c r="AA82" s="334" t="s">
        <v>20</v>
      </c>
      <c r="AB82" s="334" t="s">
        <v>12</v>
      </c>
      <c r="AC82" s="334">
        <v>14.9</v>
      </c>
      <c r="AD82" s="343" t="s">
        <v>514</v>
      </c>
      <c r="AE82" s="334" t="s">
        <v>97</v>
      </c>
      <c r="AF82" s="334" t="s">
        <v>12</v>
      </c>
      <c r="AG82" s="344">
        <v>2.7</v>
      </c>
      <c r="AH82" s="343" t="s">
        <v>518</v>
      </c>
      <c r="AI82" s="334" t="s">
        <v>22</v>
      </c>
      <c r="AJ82" s="334" t="s">
        <v>11</v>
      </c>
      <c r="AK82" s="334">
        <v>1.7</v>
      </c>
      <c r="AL82" s="343"/>
      <c r="AO82" s="344"/>
      <c r="AP82" s="343"/>
      <c r="AT82" s="449"/>
      <c r="AW82" s="344"/>
      <c r="BA82" s="345"/>
    </row>
    <row r="83" spans="1:53" s="334" customFormat="1">
      <c r="A83" s="544">
        <v>1992</v>
      </c>
      <c r="B83" s="544"/>
      <c r="C83" s="992" t="s">
        <v>300</v>
      </c>
      <c r="D83" s="992"/>
      <c r="E83" s="544">
        <v>8</v>
      </c>
      <c r="F83" s="544"/>
      <c r="G83" s="497">
        <v>2</v>
      </c>
      <c r="H83" s="544">
        <v>16</v>
      </c>
      <c r="I83" s="544">
        <v>12</v>
      </c>
      <c r="J83" s="499">
        <v>30</v>
      </c>
      <c r="K83" s="495">
        <f t="shared" si="5"/>
        <v>6.666666666666667</v>
      </c>
      <c r="L83" s="495">
        <f t="shared" si="5"/>
        <v>53.333333333333336</v>
      </c>
      <c r="M83" s="495">
        <f t="shared" si="5"/>
        <v>40</v>
      </c>
      <c r="N83" s="498">
        <f t="shared" si="6"/>
        <v>100</v>
      </c>
      <c r="O83" s="494">
        <v>1.7</v>
      </c>
      <c r="P83" s="495">
        <v>37.1</v>
      </c>
      <c r="Q83" s="495">
        <v>17.600000000000001</v>
      </c>
      <c r="R83" s="496">
        <f t="shared" si="7"/>
        <v>56.400000000000006</v>
      </c>
      <c r="S83" s="544">
        <v>3</v>
      </c>
      <c r="T83" s="492"/>
      <c r="U83" s="544"/>
      <c r="V83" s="343" t="s">
        <v>513</v>
      </c>
      <c r="W83" s="334" t="s">
        <v>17</v>
      </c>
      <c r="X83" s="334" t="s">
        <v>18</v>
      </c>
      <c r="Y83" s="344">
        <v>37.1</v>
      </c>
      <c r="Z83" s="334" t="s">
        <v>516</v>
      </c>
      <c r="AA83" s="334" t="s">
        <v>20</v>
      </c>
      <c r="AB83" s="334" t="s">
        <v>12</v>
      </c>
      <c r="AC83" s="334">
        <v>14.9</v>
      </c>
      <c r="AD83" s="343" t="s">
        <v>514</v>
      </c>
      <c r="AE83" s="334" t="s">
        <v>97</v>
      </c>
      <c r="AF83" s="334" t="s">
        <v>12</v>
      </c>
      <c r="AG83" s="344">
        <v>2.7</v>
      </c>
      <c r="AH83" s="343" t="s">
        <v>518</v>
      </c>
      <c r="AI83" s="334" t="s">
        <v>22</v>
      </c>
      <c r="AJ83" s="334" t="s">
        <v>11</v>
      </c>
      <c r="AK83" s="334">
        <v>1.7</v>
      </c>
      <c r="AL83" s="343"/>
      <c r="AO83" s="344"/>
      <c r="AP83" s="343"/>
      <c r="AT83" s="449"/>
      <c r="AW83" s="344"/>
      <c r="BA83" s="345"/>
    </row>
    <row r="84" spans="1:53" s="73" customFormat="1">
      <c r="A84" s="543">
        <v>1992</v>
      </c>
      <c r="B84" s="540">
        <v>33612</v>
      </c>
      <c r="C84" s="988" t="s">
        <v>750</v>
      </c>
      <c r="D84" s="988"/>
      <c r="E84" s="543">
        <v>171</v>
      </c>
      <c r="F84" s="543">
        <v>2</v>
      </c>
      <c r="G84" s="480">
        <v>2</v>
      </c>
      <c r="H84" s="543">
        <v>16</v>
      </c>
      <c r="I84" s="543">
        <v>12</v>
      </c>
      <c r="J84" s="482">
        <v>30</v>
      </c>
      <c r="K84" s="477">
        <f>G84/$J84*100</f>
        <v>6.666666666666667</v>
      </c>
      <c r="L84" s="477">
        <f>H84/$J84*100</f>
        <v>53.333333333333336</v>
      </c>
      <c r="M84" s="477">
        <f>I84/$J84*100</f>
        <v>40</v>
      </c>
      <c r="N84" s="481">
        <f>K84+L84+M84</f>
        <v>100</v>
      </c>
      <c r="O84" s="476">
        <v>1.7</v>
      </c>
      <c r="P84" s="477">
        <v>37.1</v>
      </c>
      <c r="Q84" s="477">
        <v>17.600000000000001</v>
      </c>
      <c r="R84" s="478">
        <f>O84+P84+Q84</f>
        <v>56.400000000000006</v>
      </c>
      <c r="S84" s="543">
        <v>6</v>
      </c>
      <c r="T84" s="471"/>
      <c r="U84" s="540">
        <v>33612</v>
      </c>
      <c r="V84" s="82" t="s">
        <v>513</v>
      </c>
      <c r="W84" s="73" t="s">
        <v>17</v>
      </c>
      <c r="X84" s="73" t="s">
        <v>18</v>
      </c>
      <c r="Y84" s="83">
        <v>37.1</v>
      </c>
      <c r="Z84" s="73" t="s">
        <v>516</v>
      </c>
      <c r="AA84" s="73" t="s">
        <v>20</v>
      </c>
      <c r="AB84" s="73" t="s">
        <v>12</v>
      </c>
      <c r="AC84" s="73">
        <v>14.9</v>
      </c>
      <c r="AD84" s="82" t="s">
        <v>514</v>
      </c>
      <c r="AE84" s="73" t="s">
        <v>97</v>
      </c>
      <c r="AF84" s="73" t="s">
        <v>12</v>
      </c>
      <c r="AG84" s="83">
        <v>2.7</v>
      </c>
      <c r="AH84" s="82" t="s">
        <v>518</v>
      </c>
      <c r="AI84" s="73" t="s">
        <v>22</v>
      </c>
      <c r="AJ84" s="73" t="s">
        <v>11</v>
      </c>
      <c r="AK84" s="73">
        <v>1.7</v>
      </c>
      <c r="AL84" s="82"/>
      <c r="AO84" s="83"/>
      <c r="AP84" s="82"/>
      <c r="AT84" s="161"/>
      <c r="AW84" s="83"/>
      <c r="BA84" s="84"/>
    </row>
    <row r="85" spans="1:53" s="334" customFormat="1">
      <c r="A85" s="544">
        <v>1992</v>
      </c>
      <c r="B85" s="541">
        <v>33783</v>
      </c>
      <c r="C85" s="992" t="s">
        <v>301</v>
      </c>
      <c r="D85" s="992"/>
      <c r="E85" s="544">
        <f>366-E83-E84</f>
        <v>187</v>
      </c>
      <c r="F85" s="544">
        <v>1</v>
      </c>
      <c r="G85" s="497">
        <v>2</v>
      </c>
      <c r="H85" s="544">
        <v>9</v>
      </c>
      <c r="I85" s="544">
        <v>9</v>
      </c>
      <c r="J85" s="499">
        <v>26</v>
      </c>
      <c r="K85" s="495">
        <f t="shared" si="5"/>
        <v>7.6923076923076925</v>
      </c>
      <c r="L85" s="495">
        <f t="shared" si="5"/>
        <v>34.615384615384613</v>
      </c>
      <c r="M85" s="495">
        <f t="shared" si="5"/>
        <v>34.615384615384613</v>
      </c>
      <c r="N85" s="498">
        <f t="shared" si="6"/>
        <v>76.92307692307692</v>
      </c>
      <c r="O85" s="494">
        <v>2.7</v>
      </c>
      <c r="P85" s="495">
        <v>32.700000000000003</v>
      </c>
      <c r="Q85" s="495">
        <v>17.100000000000001</v>
      </c>
      <c r="R85" s="496">
        <f t="shared" si="7"/>
        <v>52.500000000000007</v>
      </c>
      <c r="S85" s="544">
        <v>2</v>
      </c>
      <c r="T85" s="487">
        <v>33699</v>
      </c>
      <c r="U85" s="541">
        <v>33783</v>
      </c>
      <c r="V85" s="343" t="s">
        <v>513</v>
      </c>
      <c r="W85" s="334" t="s">
        <v>17</v>
      </c>
      <c r="X85" s="334" t="s">
        <v>18</v>
      </c>
      <c r="Y85" s="344">
        <v>32.700000000000003</v>
      </c>
      <c r="Z85" s="334" t="s">
        <v>516</v>
      </c>
      <c r="AA85" s="334" t="s">
        <v>20</v>
      </c>
      <c r="AB85" s="334" t="s">
        <v>12</v>
      </c>
      <c r="AC85" s="334">
        <v>14.6</v>
      </c>
      <c r="AD85" s="343" t="s">
        <v>514</v>
      </c>
      <c r="AE85" s="334" t="s">
        <v>97</v>
      </c>
      <c r="AF85" s="334" t="s">
        <v>12</v>
      </c>
      <c r="AG85" s="344">
        <v>2.5</v>
      </c>
      <c r="AH85" s="343" t="s">
        <v>518</v>
      </c>
      <c r="AI85" s="334" t="s">
        <v>22</v>
      </c>
      <c r="AJ85" s="334" t="s">
        <v>11</v>
      </c>
      <c r="AK85" s="334">
        <v>2.7</v>
      </c>
      <c r="AL85" s="343"/>
      <c r="AO85" s="344"/>
      <c r="AP85" s="343"/>
      <c r="AT85" s="449"/>
      <c r="AW85" s="344"/>
      <c r="BA85" s="345"/>
    </row>
    <row r="86" spans="1:53" s="334" customFormat="1">
      <c r="A86" s="544">
        <v>1993</v>
      </c>
      <c r="B86" s="544"/>
      <c r="C86" s="992" t="s">
        <v>301</v>
      </c>
      <c r="D86" s="992"/>
      <c r="E86" s="544">
        <v>126</v>
      </c>
      <c r="F86" s="544"/>
      <c r="G86" s="497">
        <v>2</v>
      </c>
      <c r="H86" s="544">
        <v>9</v>
      </c>
      <c r="I86" s="544">
        <v>9</v>
      </c>
      <c r="J86" s="499">
        <v>26</v>
      </c>
      <c r="K86" s="495">
        <f t="shared" si="5"/>
        <v>7.6923076923076925</v>
      </c>
      <c r="L86" s="495">
        <f t="shared" si="5"/>
        <v>34.615384615384613</v>
      </c>
      <c r="M86" s="495">
        <f t="shared" si="5"/>
        <v>34.615384615384613</v>
      </c>
      <c r="N86" s="498">
        <f t="shared" si="6"/>
        <v>76.92307692307692</v>
      </c>
      <c r="O86" s="494">
        <v>2.7</v>
      </c>
      <c r="P86" s="495">
        <v>32.700000000000003</v>
      </c>
      <c r="Q86" s="495">
        <v>17.100000000000001</v>
      </c>
      <c r="R86" s="496">
        <f t="shared" si="7"/>
        <v>52.500000000000007</v>
      </c>
      <c r="S86" s="544">
        <v>2</v>
      </c>
      <c r="T86" s="492"/>
      <c r="U86" s="544"/>
      <c r="V86" s="343" t="s">
        <v>513</v>
      </c>
      <c r="W86" s="334" t="s">
        <v>17</v>
      </c>
      <c r="X86" s="334" t="s">
        <v>18</v>
      </c>
      <c r="Y86" s="344">
        <v>32.700000000000003</v>
      </c>
      <c r="Z86" s="334" t="s">
        <v>516</v>
      </c>
      <c r="AA86" s="334" t="s">
        <v>20</v>
      </c>
      <c r="AB86" s="334" t="s">
        <v>12</v>
      </c>
      <c r="AC86" s="334">
        <v>14.6</v>
      </c>
      <c r="AD86" s="343" t="s">
        <v>514</v>
      </c>
      <c r="AE86" s="334" t="s">
        <v>97</v>
      </c>
      <c r="AF86" s="334" t="s">
        <v>12</v>
      </c>
      <c r="AG86" s="344">
        <v>2.5</v>
      </c>
      <c r="AH86" s="343" t="s">
        <v>518</v>
      </c>
      <c r="AI86" s="334" t="s">
        <v>22</v>
      </c>
      <c r="AJ86" s="334" t="s">
        <v>11</v>
      </c>
      <c r="AK86" s="334">
        <v>2.7</v>
      </c>
      <c r="AL86" s="343"/>
      <c r="AO86" s="344"/>
      <c r="AP86" s="343"/>
      <c r="AT86" s="449"/>
      <c r="AW86" s="344"/>
      <c r="BA86" s="345"/>
    </row>
    <row r="87" spans="1:53" s="73" customFormat="1">
      <c r="A87" s="543">
        <v>1993</v>
      </c>
      <c r="B87" s="540">
        <v>34096</v>
      </c>
      <c r="C87" s="988" t="s">
        <v>302</v>
      </c>
      <c r="D87" s="988"/>
      <c r="E87" s="543">
        <f>365-E86</f>
        <v>239</v>
      </c>
      <c r="F87" s="543">
        <v>4</v>
      </c>
      <c r="G87" s="480">
        <v>1</v>
      </c>
      <c r="H87" s="543">
        <v>7</v>
      </c>
      <c r="I87" s="543">
        <v>6</v>
      </c>
      <c r="J87" s="482">
        <v>25</v>
      </c>
      <c r="K87" s="477">
        <f t="shared" si="5"/>
        <v>4</v>
      </c>
      <c r="L87" s="477">
        <f t="shared" si="5"/>
        <v>28.000000000000004</v>
      </c>
      <c r="M87" s="477">
        <f t="shared" si="5"/>
        <v>24</v>
      </c>
      <c r="N87" s="481">
        <f t="shared" si="6"/>
        <v>56</v>
      </c>
      <c r="O87" s="476">
        <v>2.7</v>
      </c>
      <c r="P87" s="477">
        <v>32.700000000000003</v>
      </c>
      <c r="Q87" s="477">
        <v>17.100000000000001</v>
      </c>
      <c r="R87" s="478">
        <f t="shared" si="7"/>
        <v>52.500000000000007</v>
      </c>
      <c r="S87" s="543">
        <v>7</v>
      </c>
      <c r="T87" s="471"/>
      <c r="U87" s="540">
        <v>34096</v>
      </c>
      <c r="V87" s="158" t="s">
        <v>789</v>
      </c>
      <c r="Z87" s="82" t="s">
        <v>513</v>
      </c>
      <c r="AA87" s="73" t="s">
        <v>17</v>
      </c>
      <c r="AB87" s="73" t="s">
        <v>18</v>
      </c>
      <c r="AC87" s="83">
        <v>32.700000000000003</v>
      </c>
      <c r="AD87" s="73" t="s">
        <v>516</v>
      </c>
      <c r="AE87" s="73" t="s">
        <v>20</v>
      </c>
      <c r="AF87" s="73" t="s">
        <v>12</v>
      </c>
      <c r="AG87" s="73">
        <v>14.6</v>
      </c>
      <c r="AH87" s="82" t="s">
        <v>514</v>
      </c>
      <c r="AI87" s="73" t="s">
        <v>97</v>
      </c>
      <c r="AJ87" s="73" t="s">
        <v>12</v>
      </c>
      <c r="AK87" s="83">
        <v>2.5</v>
      </c>
      <c r="AL87" s="82" t="s">
        <v>518</v>
      </c>
      <c r="AM87" s="73" t="s">
        <v>22</v>
      </c>
      <c r="AN87" s="73" t="s">
        <v>11</v>
      </c>
      <c r="AO87" s="83">
        <v>2.7</v>
      </c>
      <c r="AP87" s="82"/>
      <c r="AT87" s="161"/>
      <c r="AW87" s="83"/>
      <c r="BA87" s="84"/>
    </row>
    <row r="88" spans="1:53" s="73" customFormat="1">
      <c r="A88" s="543">
        <v>1994</v>
      </c>
      <c r="B88" s="543"/>
      <c r="C88" s="988" t="s">
        <v>302</v>
      </c>
      <c r="D88" s="988"/>
      <c r="E88" s="543">
        <v>129</v>
      </c>
      <c r="F88" s="543"/>
      <c r="G88" s="480">
        <v>1</v>
      </c>
      <c r="H88" s="543">
        <v>7</v>
      </c>
      <c r="I88" s="543">
        <v>6</v>
      </c>
      <c r="J88" s="482">
        <v>25</v>
      </c>
      <c r="K88" s="477">
        <f t="shared" si="5"/>
        <v>4</v>
      </c>
      <c r="L88" s="477">
        <f t="shared" si="5"/>
        <v>28.000000000000004</v>
      </c>
      <c r="M88" s="477">
        <f t="shared" si="5"/>
        <v>24</v>
      </c>
      <c r="N88" s="481">
        <f t="shared" si="6"/>
        <v>56</v>
      </c>
      <c r="O88" s="476">
        <v>2.7</v>
      </c>
      <c r="P88" s="477">
        <v>32.700000000000003</v>
      </c>
      <c r="Q88" s="477">
        <v>17.100000000000001</v>
      </c>
      <c r="R88" s="478">
        <f t="shared" si="7"/>
        <v>52.500000000000007</v>
      </c>
      <c r="S88" s="543">
        <v>7</v>
      </c>
      <c r="T88" s="471"/>
      <c r="U88" s="543"/>
      <c r="V88" s="158" t="s">
        <v>789</v>
      </c>
      <c r="Z88" s="82" t="s">
        <v>513</v>
      </c>
      <c r="AA88" s="73" t="s">
        <v>17</v>
      </c>
      <c r="AB88" s="73" t="s">
        <v>18</v>
      </c>
      <c r="AC88" s="83">
        <v>32.700000000000003</v>
      </c>
      <c r="AD88" s="73" t="s">
        <v>516</v>
      </c>
      <c r="AE88" s="73" t="s">
        <v>20</v>
      </c>
      <c r="AF88" s="73" t="s">
        <v>12</v>
      </c>
      <c r="AG88" s="73">
        <v>14.6</v>
      </c>
      <c r="AH88" s="82" t="s">
        <v>514</v>
      </c>
      <c r="AI88" s="73" t="s">
        <v>97</v>
      </c>
      <c r="AJ88" s="73" t="s">
        <v>12</v>
      </c>
      <c r="AK88" s="83">
        <v>2.5</v>
      </c>
      <c r="AL88" s="82" t="s">
        <v>518</v>
      </c>
      <c r="AM88" s="73" t="s">
        <v>22</v>
      </c>
      <c r="AN88" s="73" t="s">
        <v>11</v>
      </c>
      <c r="AO88" s="83">
        <v>2.7</v>
      </c>
      <c r="AP88" s="82"/>
      <c r="AT88" s="161"/>
      <c r="AW88" s="83"/>
      <c r="BA88" s="84"/>
    </row>
    <row r="89" spans="1:53" s="334" customFormat="1">
      <c r="A89" s="544">
        <v>1994</v>
      </c>
      <c r="B89" s="541">
        <v>34464</v>
      </c>
      <c r="C89" s="992" t="s">
        <v>303</v>
      </c>
      <c r="D89" s="992"/>
      <c r="E89" s="544">
        <f>365-E88</f>
        <v>236</v>
      </c>
      <c r="F89" s="544">
        <v>1</v>
      </c>
      <c r="G89" s="497">
        <v>19</v>
      </c>
      <c r="H89" s="544">
        <v>4</v>
      </c>
      <c r="I89" s="544"/>
      <c r="J89" s="499">
        <v>26</v>
      </c>
      <c r="K89" s="495">
        <f t="shared" si="5"/>
        <v>73.076923076923066</v>
      </c>
      <c r="L89" s="495">
        <f t="shared" si="5"/>
        <v>15.384615384615385</v>
      </c>
      <c r="M89" s="495">
        <f t="shared" si="5"/>
        <v>0</v>
      </c>
      <c r="N89" s="498">
        <f t="shared" si="6"/>
        <v>88.461538461538453</v>
      </c>
      <c r="O89" s="494">
        <v>51.6</v>
      </c>
      <c r="P89" s="495">
        <v>5.2</v>
      </c>
      <c r="Q89" s="495"/>
      <c r="R89" s="496">
        <f t="shared" si="7"/>
        <v>56.800000000000004</v>
      </c>
      <c r="S89" s="544">
        <v>3</v>
      </c>
      <c r="T89" s="487">
        <v>34420</v>
      </c>
      <c r="U89" s="541">
        <v>34464</v>
      </c>
      <c r="V89" s="343" t="s">
        <v>519</v>
      </c>
      <c r="W89" s="334" t="s">
        <v>74</v>
      </c>
      <c r="X89" s="334" t="s">
        <v>11</v>
      </c>
      <c r="Y89" s="344">
        <v>15.7</v>
      </c>
      <c r="Z89" s="334" t="s">
        <v>520</v>
      </c>
      <c r="AA89" s="334" t="s">
        <v>304</v>
      </c>
      <c r="AB89" s="334" t="s">
        <v>11</v>
      </c>
      <c r="AC89" s="334">
        <v>18.600000000000001</v>
      </c>
      <c r="AD89" s="343" t="s">
        <v>524</v>
      </c>
      <c r="AE89" s="334" t="s">
        <v>27</v>
      </c>
      <c r="AF89" s="334" t="s">
        <v>11</v>
      </c>
      <c r="AG89" s="344">
        <v>17.3</v>
      </c>
      <c r="AH89" s="334" t="s">
        <v>581</v>
      </c>
      <c r="AI89" s="334" t="s">
        <v>337</v>
      </c>
      <c r="AJ89" s="334" t="s">
        <v>18</v>
      </c>
      <c r="AK89" s="334">
        <v>0.6</v>
      </c>
      <c r="AL89" s="343" t="s">
        <v>560</v>
      </c>
      <c r="AM89" s="334" t="s">
        <v>86</v>
      </c>
      <c r="AN89" s="334" t="s">
        <v>18</v>
      </c>
      <c r="AO89" s="344">
        <v>4.5999999999999996</v>
      </c>
      <c r="AP89" s="343"/>
      <c r="AT89" s="449"/>
      <c r="AW89" s="344"/>
      <c r="BA89" s="345"/>
    </row>
    <row r="90" spans="1:53" s="334" customFormat="1">
      <c r="A90" s="544">
        <v>1995</v>
      </c>
      <c r="B90" s="544"/>
      <c r="C90" s="992" t="s">
        <v>303</v>
      </c>
      <c r="D90" s="992"/>
      <c r="E90" s="544">
        <v>16</v>
      </c>
      <c r="F90" s="544"/>
      <c r="G90" s="497">
        <v>19</v>
      </c>
      <c r="H90" s="544">
        <v>4</v>
      </c>
      <c r="I90" s="544"/>
      <c r="J90" s="499">
        <v>26</v>
      </c>
      <c r="K90" s="495">
        <f t="shared" si="5"/>
        <v>73.076923076923066</v>
      </c>
      <c r="L90" s="495">
        <f t="shared" si="5"/>
        <v>15.384615384615385</v>
      </c>
      <c r="M90" s="495">
        <f t="shared" si="5"/>
        <v>0</v>
      </c>
      <c r="N90" s="498">
        <f t="shared" si="6"/>
        <v>88.461538461538453</v>
      </c>
      <c r="O90" s="494">
        <v>51.6</v>
      </c>
      <c r="P90" s="495">
        <v>5.2</v>
      </c>
      <c r="Q90" s="495"/>
      <c r="R90" s="496">
        <f t="shared" si="7"/>
        <v>56.800000000000004</v>
      </c>
      <c r="S90" s="544">
        <v>3</v>
      </c>
      <c r="T90" s="492"/>
      <c r="U90" s="544"/>
      <c r="V90" s="343" t="s">
        <v>519</v>
      </c>
      <c r="W90" s="334" t="s">
        <v>74</v>
      </c>
      <c r="X90" s="334" t="s">
        <v>11</v>
      </c>
      <c r="Y90" s="344">
        <v>15.7</v>
      </c>
      <c r="Z90" s="334" t="s">
        <v>520</v>
      </c>
      <c r="AA90" s="334" t="s">
        <v>304</v>
      </c>
      <c r="AB90" s="334" t="s">
        <v>11</v>
      </c>
      <c r="AC90" s="334">
        <v>18.600000000000001</v>
      </c>
      <c r="AD90" s="343" t="s">
        <v>524</v>
      </c>
      <c r="AE90" s="334" t="s">
        <v>27</v>
      </c>
      <c r="AF90" s="334" t="s">
        <v>11</v>
      </c>
      <c r="AG90" s="344">
        <v>17.3</v>
      </c>
      <c r="AH90" s="334" t="s">
        <v>581</v>
      </c>
      <c r="AI90" s="334" t="s">
        <v>337</v>
      </c>
      <c r="AJ90" s="334" t="s">
        <v>18</v>
      </c>
      <c r="AK90" s="334">
        <v>0.6</v>
      </c>
      <c r="AL90" s="343" t="s">
        <v>560</v>
      </c>
      <c r="AM90" s="334" t="s">
        <v>86</v>
      </c>
      <c r="AN90" s="334" t="s">
        <v>18</v>
      </c>
      <c r="AO90" s="344">
        <v>4.5999999999999996</v>
      </c>
      <c r="AP90" s="343"/>
      <c r="AT90" s="449"/>
      <c r="AW90" s="344"/>
      <c r="BA90" s="345"/>
    </row>
    <row r="91" spans="1:53" s="73" customFormat="1">
      <c r="A91" s="543">
        <v>1995</v>
      </c>
      <c r="B91" s="540">
        <v>34716</v>
      </c>
      <c r="C91" s="988" t="s">
        <v>305</v>
      </c>
      <c r="D91" s="988"/>
      <c r="E91" s="543">
        <f>365-E90</f>
        <v>349</v>
      </c>
      <c r="F91" s="543">
        <v>4</v>
      </c>
      <c r="G91" s="480">
        <v>0</v>
      </c>
      <c r="H91" s="543">
        <v>0</v>
      </c>
      <c r="I91" s="543">
        <v>0</v>
      </c>
      <c r="J91" s="482">
        <v>21</v>
      </c>
      <c r="K91" s="477">
        <f t="shared" si="5"/>
        <v>0</v>
      </c>
      <c r="L91" s="477">
        <f t="shared" si="5"/>
        <v>0</v>
      </c>
      <c r="M91" s="477">
        <f t="shared" si="5"/>
        <v>0</v>
      </c>
      <c r="N91" s="481">
        <f t="shared" si="6"/>
        <v>0</v>
      </c>
      <c r="O91" s="476">
        <v>0</v>
      </c>
      <c r="P91" s="477">
        <v>0</v>
      </c>
      <c r="Q91" s="477">
        <v>0</v>
      </c>
      <c r="R91" s="478">
        <f t="shared" si="7"/>
        <v>0</v>
      </c>
      <c r="S91" s="543">
        <v>7</v>
      </c>
      <c r="T91" s="471"/>
      <c r="U91" s="540">
        <v>34716</v>
      </c>
      <c r="V91" s="158" t="s">
        <v>809</v>
      </c>
      <c r="Y91" s="83"/>
      <c r="AD91" s="82"/>
      <c r="AG91" s="83"/>
      <c r="AL91" s="82"/>
      <c r="AO91" s="83"/>
      <c r="AP91" s="82"/>
      <c r="AT91" s="161"/>
      <c r="AW91" s="83"/>
      <c r="BA91" s="84"/>
    </row>
    <row r="92" spans="1:53" s="73" customFormat="1">
      <c r="A92" s="543">
        <v>1996</v>
      </c>
      <c r="B92" s="543"/>
      <c r="C92" s="988" t="s">
        <v>305</v>
      </c>
      <c r="D92" s="988"/>
      <c r="E92" s="543">
        <v>137</v>
      </c>
      <c r="F92" s="543"/>
      <c r="G92" s="480">
        <v>0</v>
      </c>
      <c r="H92" s="543">
        <v>0</v>
      </c>
      <c r="I92" s="543">
        <v>0</v>
      </c>
      <c r="J92" s="482">
        <v>21</v>
      </c>
      <c r="K92" s="477">
        <f t="shared" si="5"/>
        <v>0</v>
      </c>
      <c r="L92" s="477">
        <f t="shared" si="5"/>
        <v>0</v>
      </c>
      <c r="M92" s="477">
        <f t="shared" si="5"/>
        <v>0</v>
      </c>
      <c r="N92" s="481">
        <f t="shared" si="6"/>
        <v>0</v>
      </c>
      <c r="O92" s="476">
        <v>0</v>
      </c>
      <c r="P92" s="477">
        <v>0</v>
      </c>
      <c r="Q92" s="477">
        <v>0</v>
      </c>
      <c r="R92" s="478">
        <f t="shared" si="7"/>
        <v>0</v>
      </c>
      <c r="S92" s="543">
        <v>7</v>
      </c>
      <c r="T92" s="471"/>
      <c r="U92" s="543"/>
      <c r="V92" s="158" t="s">
        <v>809</v>
      </c>
      <c r="Y92" s="83"/>
      <c r="AD92" s="82"/>
      <c r="AG92" s="83"/>
      <c r="AL92" s="82"/>
      <c r="AO92" s="83"/>
      <c r="AP92" s="82"/>
      <c r="AT92" s="161"/>
      <c r="AW92" s="83"/>
      <c r="BA92" s="84"/>
    </row>
    <row r="93" spans="1:53" s="334" customFormat="1">
      <c r="A93" s="544">
        <v>1996</v>
      </c>
      <c r="B93" s="541">
        <v>35202</v>
      </c>
      <c r="C93" s="992" t="s">
        <v>306</v>
      </c>
      <c r="D93" s="992"/>
      <c r="E93" s="544">
        <f>366-E92</f>
        <v>229</v>
      </c>
      <c r="F93" s="544">
        <v>6</v>
      </c>
      <c r="G93" s="497"/>
      <c r="H93" s="544">
        <v>8</v>
      </c>
      <c r="I93" s="544">
        <v>10</v>
      </c>
      <c r="J93" s="499">
        <v>21</v>
      </c>
      <c r="K93" s="495">
        <f t="shared" si="5"/>
        <v>0</v>
      </c>
      <c r="L93" s="495">
        <f t="shared" si="5"/>
        <v>38.095238095238095</v>
      </c>
      <c r="M93" s="495">
        <f t="shared" si="5"/>
        <v>47.619047619047613</v>
      </c>
      <c r="N93" s="498">
        <f t="shared" si="6"/>
        <v>85.714285714285708</v>
      </c>
      <c r="O93" s="494"/>
      <c r="P93" s="495">
        <v>16.2</v>
      </c>
      <c r="Q93" s="495">
        <v>29.7</v>
      </c>
      <c r="R93" s="496">
        <f t="shared" si="7"/>
        <v>45.9</v>
      </c>
      <c r="S93" s="544">
        <v>5</v>
      </c>
      <c r="T93" s="487">
        <v>35176</v>
      </c>
      <c r="U93" s="541">
        <v>35202</v>
      </c>
      <c r="V93" s="343" t="s">
        <v>522</v>
      </c>
      <c r="W93" s="334" t="s">
        <v>307</v>
      </c>
      <c r="X93" s="334" t="s">
        <v>12</v>
      </c>
      <c r="Y93" s="344">
        <v>27.2</v>
      </c>
      <c r="Z93" s="334" t="s">
        <v>521</v>
      </c>
      <c r="AA93" s="334" t="s">
        <v>17</v>
      </c>
      <c r="AB93" s="334" t="s">
        <v>18</v>
      </c>
      <c r="AC93" s="334">
        <v>11.9</v>
      </c>
      <c r="AD93" s="343" t="s">
        <v>561</v>
      </c>
      <c r="AE93" s="334" t="s">
        <v>337</v>
      </c>
      <c r="AF93" s="334" t="s">
        <v>18</v>
      </c>
      <c r="AG93" s="455">
        <v>11.9</v>
      </c>
      <c r="AH93" s="334" t="s">
        <v>523</v>
      </c>
      <c r="AI93" s="334" t="s">
        <v>107</v>
      </c>
      <c r="AJ93" s="334" t="s">
        <v>18</v>
      </c>
      <c r="AK93" s="334">
        <v>4.3</v>
      </c>
      <c r="AL93" s="343" t="s">
        <v>308</v>
      </c>
      <c r="AM93" s="334" t="s">
        <v>218</v>
      </c>
      <c r="AN93" s="334" t="s">
        <v>12</v>
      </c>
      <c r="AO93" s="344">
        <v>2.5</v>
      </c>
      <c r="AP93" s="343"/>
      <c r="AT93" s="449"/>
      <c r="AW93" s="344"/>
      <c r="BA93" s="345"/>
    </row>
    <row r="94" spans="1:53" s="334" customFormat="1">
      <c r="A94" s="544">
        <v>1997</v>
      </c>
      <c r="B94" s="544"/>
      <c r="C94" s="992" t="s">
        <v>306</v>
      </c>
      <c r="D94" s="992"/>
      <c r="E94" s="544">
        <v>0</v>
      </c>
      <c r="F94" s="544"/>
      <c r="G94" s="497"/>
      <c r="H94" s="544">
        <v>8</v>
      </c>
      <c r="I94" s="544">
        <v>11</v>
      </c>
      <c r="J94" s="499">
        <v>22</v>
      </c>
      <c r="K94" s="495">
        <f t="shared" si="5"/>
        <v>0</v>
      </c>
      <c r="L94" s="495">
        <f t="shared" si="5"/>
        <v>36.363636363636367</v>
      </c>
      <c r="M94" s="495">
        <f t="shared" si="5"/>
        <v>50</v>
      </c>
      <c r="N94" s="498">
        <f t="shared" si="6"/>
        <v>86.363636363636374</v>
      </c>
      <c r="O94" s="494"/>
      <c r="P94" s="495">
        <v>16.2</v>
      </c>
      <c r="Q94" s="495">
        <v>29.7</v>
      </c>
      <c r="R94" s="496">
        <f t="shared" si="7"/>
        <v>45.9</v>
      </c>
      <c r="S94" s="544">
        <v>5</v>
      </c>
      <c r="T94" s="492"/>
      <c r="U94" s="544"/>
      <c r="V94" s="343" t="s">
        <v>522</v>
      </c>
      <c r="W94" s="334" t="s">
        <v>307</v>
      </c>
      <c r="X94" s="334" t="s">
        <v>12</v>
      </c>
      <c r="Y94" s="344">
        <v>27.2</v>
      </c>
      <c r="Z94" s="334" t="s">
        <v>521</v>
      </c>
      <c r="AA94" s="334" t="s">
        <v>17</v>
      </c>
      <c r="AB94" s="334" t="s">
        <v>18</v>
      </c>
      <c r="AC94" s="334">
        <v>11.9</v>
      </c>
      <c r="AD94" s="343" t="s">
        <v>561</v>
      </c>
      <c r="AE94" s="334" t="s">
        <v>337</v>
      </c>
      <c r="AF94" s="334" t="s">
        <v>18</v>
      </c>
      <c r="AG94" s="455">
        <v>11.9</v>
      </c>
      <c r="AH94" s="334" t="s">
        <v>523</v>
      </c>
      <c r="AI94" s="334" t="s">
        <v>107</v>
      </c>
      <c r="AJ94" s="334" t="s">
        <v>18</v>
      </c>
      <c r="AK94" s="334">
        <v>4.3</v>
      </c>
      <c r="AL94" s="343" t="s">
        <v>308</v>
      </c>
      <c r="AM94" s="334" t="s">
        <v>218</v>
      </c>
      <c r="AN94" s="334" t="s">
        <v>12</v>
      </c>
      <c r="AO94" s="344">
        <v>2.5</v>
      </c>
      <c r="AP94" s="343"/>
      <c r="AT94" s="449"/>
      <c r="AW94" s="344"/>
      <c r="BA94" s="345"/>
    </row>
    <row r="95" spans="1:53" s="334" customFormat="1">
      <c r="A95" s="544">
        <v>1997</v>
      </c>
      <c r="B95" s="544"/>
      <c r="C95" s="992" t="s">
        <v>306</v>
      </c>
      <c r="D95" s="992"/>
      <c r="E95" s="544">
        <f>365-E94</f>
        <v>365</v>
      </c>
      <c r="F95" s="544"/>
      <c r="G95" s="497"/>
      <c r="H95" s="544">
        <v>8</v>
      </c>
      <c r="I95" s="544">
        <v>11</v>
      </c>
      <c r="J95" s="499">
        <v>22</v>
      </c>
      <c r="K95" s="495">
        <f t="shared" si="5"/>
        <v>0</v>
      </c>
      <c r="L95" s="495">
        <f t="shared" si="5"/>
        <v>36.363636363636367</v>
      </c>
      <c r="M95" s="495">
        <f t="shared" si="5"/>
        <v>50</v>
      </c>
      <c r="N95" s="498">
        <f t="shared" si="6"/>
        <v>86.363636363636374</v>
      </c>
      <c r="O95" s="494"/>
      <c r="P95" s="495">
        <v>16.2</v>
      </c>
      <c r="Q95" s="495">
        <v>29.7</v>
      </c>
      <c r="R95" s="496">
        <f t="shared" si="7"/>
        <v>45.9</v>
      </c>
      <c r="S95" s="544">
        <v>5</v>
      </c>
      <c r="T95" s="492"/>
      <c r="U95" s="544"/>
      <c r="V95" s="343" t="s">
        <v>522</v>
      </c>
      <c r="W95" s="334" t="s">
        <v>307</v>
      </c>
      <c r="X95" s="334" t="s">
        <v>12</v>
      </c>
      <c r="Y95" s="344">
        <v>27.2</v>
      </c>
      <c r="Z95" s="334" t="s">
        <v>521</v>
      </c>
      <c r="AA95" s="334" t="s">
        <v>17</v>
      </c>
      <c r="AB95" s="334" t="s">
        <v>18</v>
      </c>
      <c r="AC95" s="334">
        <v>11.9</v>
      </c>
      <c r="AD95" s="343" t="s">
        <v>561</v>
      </c>
      <c r="AE95" s="334" t="s">
        <v>337</v>
      </c>
      <c r="AF95" s="334" t="s">
        <v>18</v>
      </c>
      <c r="AG95" s="455">
        <v>11.9</v>
      </c>
      <c r="AH95" s="334" t="s">
        <v>523</v>
      </c>
      <c r="AI95" s="334" t="s">
        <v>107</v>
      </c>
      <c r="AJ95" s="334" t="s">
        <v>18</v>
      </c>
      <c r="AK95" s="334">
        <v>4.3</v>
      </c>
      <c r="AL95" s="343" t="s">
        <v>308</v>
      </c>
      <c r="AM95" s="334" t="s">
        <v>218</v>
      </c>
      <c r="AN95" s="334" t="s">
        <v>12</v>
      </c>
      <c r="AO95" s="344">
        <v>2.5</v>
      </c>
      <c r="AP95" s="343"/>
      <c r="AT95" s="449"/>
      <c r="AW95" s="344"/>
      <c r="BA95" s="345"/>
    </row>
    <row r="96" spans="1:53" s="334" customFormat="1">
      <c r="A96" s="544">
        <v>1998</v>
      </c>
      <c r="B96" s="544"/>
      <c r="C96" s="992" t="s">
        <v>306</v>
      </c>
      <c r="D96" s="992"/>
      <c r="E96" s="544">
        <v>300</v>
      </c>
      <c r="F96" s="544"/>
      <c r="G96" s="497"/>
      <c r="H96" s="544">
        <v>8</v>
      </c>
      <c r="I96" s="544">
        <v>11</v>
      </c>
      <c r="J96" s="499">
        <v>22</v>
      </c>
      <c r="K96" s="495">
        <f t="shared" si="5"/>
        <v>0</v>
      </c>
      <c r="L96" s="495">
        <f t="shared" si="5"/>
        <v>36.363636363636367</v>
      </c>
      <c r="M96" s="495">
        <f t="shared" si="5"/>
        <v>50</v>
      </c>
      <c r="N96" s="498">
        <f t="shared" si="6"/>
        <v>86.363636363636374</v>
      </c>
      <c r="O96" s="494"/>
      <c r="P96" s="495">
        <v>16.2</v>
      </c>
      <c r="Q96" s="495">
        <v>29.7</v>
      </c>
      <c r="R96" s="496">
        <f t="shared" si="7"/>
        <v>45.9</v>
      </c>
      <c r="S96" s="544">
        <v>5</v>
      </c>
      <c r="T96" s="492"/>
      <c r="U96" s="544"/>
      <c r="V96" s="343" t="s">
        <v>522</v>
      </c>
      <c r="W96" s="334" t="s">
        <v>307</v>
      </c>
      <c r="X96" s="334" t="s">
        <v>12</v>
      </c>
      <c r="Y96" s="344">
        <v>27.2</v>
      </c>
      <c r="Z96" s="334" t="s">
        <v>521</v>
      </c>
      <c r="AA96" s="334" t="s">
        <v>17</v>
      </c>
      <c r="AB96" s="334" t="s">
        <v>18</v>
      </c>
      <c r="AC96" s="334">
        <v>11.9</v>
      </c>
      <c r="AD96" s="343" t="s">
        <v>561</v>
      </c>
      <c r="AE96" s="334" t="s">
        <v>337</v>
      </c>
      <c r="AF96" s="334" t="s">
        <v>18</v>
      </c>
      <c r="AG96" s="455">
        <v>11.9</v>
      </c>
      <c r="AH96" s="334" t="s">
        <v>523</v>
      </c>
      <c r="AI96" s="334" t="s">
        <v>107</v>
      </c>
      <c r="AJ96" s="334" t="s">
        <v>18</v>
      </c>
      <c r="AK96" s="334">
        <v>4.3</v>
      </c>
      <c r="AL96" s="343" t="s">
        <v>308</v>
      </c>
      <c r="AM96" s="334" t="s">
        <v>218</v>
      </c>
      <c r="AN96" s="334" t="s">
        <v>12</v>
      </c>
      <c r="AO96" s="344">
        <v>2.5</v>
      </c>
      <c r="AP96" s="343"/>
      <c r="AT96" s="449"/>
      <c r="AW96" s="344"/>
      <c r="BA96" s="345"/>
    </row>
    <row r="97" spans="1:53" s="73" customFormat="1">
      <c r="A97" s="543">
        <v>1998</v>
      </c>
      <c r="B97" s="540">
        <v>36096</v>
      </c>
      <c r="C97" s="988" t="s">
        <v>309</v>
      </c>
      <c r="D97" s="988"/>
      <c r="E97" s="543">
        <f>365-E96</f>
        <v>65</v>
      </c>
      <c r="F97" s="543">
        <v>5</v>
      </c>
      <c r="G97" s="480"/>
      <c r="H97" s="543">
        <v>12</v>
      </c>
      <c r="I97" s="543">
        <v>13</v>
      </c>
      <c r="J97" s="482">
        <v>27</v>
      </c>
      <c r="K97" s="477">
        <f t="shared" si="5"/>
        <v>0</v>
      </c>
      <c r="L97" s="477">
        <f t="shared" si="5"/>
        <v>44.444444444444443</v>
      </c>
      <c r="M97" s="477">
        <f t="shared" si="5"/>
        <v>48.148148148148145</v>
      </c>
      <c r="N97" s="481">
        <f t="shared" si="6"/>
        <v>92.592592592592581</v>
      </c>
      <c r="O97" s="476"/>
      <c r="P97" s="477">
        <v>16.2</v>
      </c>
      <c r="Q97" s="477">
        <v>29.7</v>
      </c>
      <c r="R97" s="478">
        <f t="shared" si="7"/>
        <v>45.9</v>
      </c>
      <c r="S97" s="543">
        <v>5</v>
      </c>
      <c r="T97" s="471"/>
      <c r="U97" s="540">
        <v>36096</v>
      </c>
      <c r="V97" s="82" t="s">
        <v>522</v>
      </c>
      <c r="W97" s="73" t="s">
        <v>307</v>
      </c>
      <c r="X97" s="73" t="s">
        <v>12</v>
      </c>
      <c r="Y97" s="83">
        <v>27.2</v>
      </c>
      <c r="Z97" s="73" t="s">
        <v>521</v>
      </c>
      <c r="AA97" s="73" t="s">
        <v>17</v>
      </c>
      <c r="AB97" s="73" t="s">
        <v>18</v>
      </c>
      <c r="AC97" s="73">
        <v>11.9</v>
      </c>
      <c r="AD97" s="82" t="s">
        <v>527</v>
      </c>
      <c r="AE97" s="73" t="s">
        <v>337</v>
      </c>
      <c r="AF97" s="73" t="s">
        <v>18</v>
      </c>
      <c r="AG97" s="83">
        <v>0</v>
      </c>
      <c r="AH97" s="82" t="s">
        <v>308</v>
      </c>
      <c r="AI97" s="73" t="s">
        <v>218</v>
      </c>
      <c r="AJ97" s="73" t="s">
        <v>12</v>
      </c>
      <c r="AK97" s="83">
        <v>2.5</v>
      </c>
      <c r="AL97" s="82" t="s">
        <v>530</v>
      </c>
      <c r="AM97" s="73" t="s">
        <v>114</v>
      </c>
      <c r="AN97" s="73" t="s">
        <v>12</v>
      </c>
      <c r="AO97" s="83">
        <v>0</v>
      </c>
      <c r="AP97" s="73" t="s">
        <v>523</v>
      </c>
      <c r="AQ97" s="73" t="s">
        <v>107</v>
      </c>
      <c r="AR97" s="73" t="s">
        <v>18</v>
      </c>
      <c r="AS97" s="73">
        <v>4.3</v>
      </c>
      <c r="AT97" s="161" t="s">
        <v>529</v>
      </c>
      <c r="AU97" s="73" t="s">
        <v>337</v>
      </c>
      <c r="AV97" s="73" t="s">
        <v>12</v>
      </c>
      <c r="AW97" s="83">
        <v>0</v>
      </c>
      <c r="BA97" s="84"/>
    </row>
    <row r="98" spans="1:53" s="73" customFormat="1">
      <c r="A98" s="543">
        <v>1999</v>
      </c>
      <c r="B98" s="543"/>
      <c r="C98" s="988" t="s">
        <v>309</v>
      </c>
      <c r="D98" s="988"/>
      <c r="E98" s="543">
        <v>354</v>
      </c>
      <c r="F98" s="543"/>
      <c r="G98" s="480"/>
      <c r="H98" s="543">
        <v>12</v>
      </c>
      <c r="I98" s="543">
        <v>13</v>
      </c>
      <c r="J98" s="482">
        <v>27</v>
      </c>
      <c r="K98" s="477">
        <f t="shared" si="5"/>
        <v>0</v>
      </c>
      <c r="L98" s="477">
        <f t="shared" si="5"/>
        <v>44.444444444444443</v>
      </c>
      <c r="M98" s="477">
        <f t="shared" si="5"/>
        <v>48.148148148148145</v>
      </c>
      <c r="N98" s="481">
        <f t="shared" si="6"/>
        <v>92.592592592592581</v>
      </c>
      <c r="O98" s="476"/>
      <c r="P98" s="477">
        <v>16.2</v>
      </c>
      <c r="Q98" s="477">
        <v>29.7</v>
      </c>
      <c r="R98" s="478">
        <f t="shared" si="7"/>
        <v>45.9</v>
      </c>
      <c r="S98" s="543">
        <v>5</v>
      </c>
      <c r="T98" s="471"/>
      <c r="U98" s="543"/>
      <c r="V98" s="82" t="s">
        <v>522</v>
      </c>
      <c r="W98" s="73" t="s">
        <v>307</v>
      </c>
      <c r="X98" s="73" t="s">
        <v>12</v>
      </c>
      <c r="Y98" s="83">
        <v>27.2</v>
      </c>
      <c r="Z98" s="73" t="s">
        <v>521</v>
      </c>
      <c r="AA98" s="73" t="s">
        <v>17</v>
      </c>
      <c r="AB98" s="73" t="s">
        <v>18</v>
      </c>
      <c r="AC98" s="73">
        <v>11.9</v>
      </c>
      <c r="AD98" s="82" t="s">
        <v>527</v>
      </c>
      <c r="AE98" s="73" t="s">
        <v>337</v>
      </c>
      <c r="AF98" s="73" t="s">
        <v>18</v>
      </c>
      <c r="AG98" s="83">
        <v>0</v>
      </c>
      <c r="AH98" s="73" t="s">
        <v>308</v>
      </c>
      <c r="AI98" s="73" t="s">
        <v>218</v>
      </c>
      <c r="AJ98" s="73" t="s">
        <v>12</v>
      </c>
      <c r="AK98" s="73">
        <v>2.5</v>
      </c>
      <c r="AL98" s="82" t="s">
        <v>530</v>
      </c>
      <c r="AM98" s="73" t="s">
        <v>114</v>
      </c>
      <c r="AN98" s="73" t="s">
        <v>12</v>
      </c>
      <c r="AO98" s="83">
        <v>0</v>
      </c>
      <c r="AP98" s="73" t="s">
        <v>523</v>
      </c>
      <c r="AQ98" s="73" t="s">
        <v>107</v>
      </c>
      <c r="AR98" s="73" t="s">
        <v>18</v>
      </c>
      <c r="AS98" s="73">
        <v>4.3</v>
      </c>
      <c r="AT98" s="161" t="s">
        <v>529</v>
      </c>
      <c r="AU98" s="73" t="s">
        <v>337</v>
      </c>
      <c r="AV98" s="73" t="s">
        <v>12</v>
      </c>
      <c r="AW98" s="83">
        <v>0</v>
      </c>
      <c r="BA98" s="84"/>
    </row>
    <row r="99" spans="1:53" s="334" customFormat="1">
      <c r="A99" s="544">
        <v>1999</v>
      </c>
      <c r="B99" s="541">
        <v>36515</v>
      </c>
      <c r="C99" s="992" t="s">
        <v>310</v>
      </c>
      <c r="D99" s="992"/>
      <c r="E99" s="544">
        <f>365-E98</f>
        <v>11</v>
      </c>
      <c r="F99" s="544">
        <v>4</v>
      </c>
      <c r="G99" s="497"/>
      <c r="H99" s="544">
        <v>8</v>
      </c>
      <c r="I99" s="544">
        <v>14</v>
      </c>
      <c r="J99" s="499">
        <v>24</v>
      </c>
      <c r="K99" s="495">
        <f t="shared" si="5"/>
        <v>0</v>
      </c>
      <c r="L99" s="495">
        <f t="shared" si="5"/>
        <v>33.333333333333329</v>
      </c>
      <c r="M99" s="495">
        <f t="shared" si="5"/>
        <v>58.333333333333336</v>
      </c>
      <c r="N99" s="498">
        <f t="shared" si="6"/>
        <v>91.666666666666657</v>
      </c>
      <c r="O99" s="494"/>
      <c r="P99" s="495">
        <v>16.2</v>
      </c>
      <c r="Q99" s="495">
        <v>29.7</v>
      </c>
      <c r="R99" s="496">
        <f t="shared" si="7"/>
        <v>45.9</v>
      </c>
      <c r="S99" s="544">
        <v>5</v>
      </c>
      <c r="T99" s="492"/>
      <c r="U99" s="541">
        <v>36515</v>
      </c>
      <c r="V99" s="343" t="s">
        <v>522</v>
      </c>
      <c r="W99" s="334" t="s">
        <v>307</v>
      </c>
      <c r="X99" s="334" t="s">
        <v>12</v>
      </c>
      <c r="Y99" s="344">
        <v>27.2</v>
      </c>
      <c r="Z99" s="334" t="s">
        <v>521</v>
      </c>
      <c r="AA99" s="334" t="s">
        <v>17</v>
      </c>
      <c r="AB99" s="334" t="s">
        <v>18</v>
      </c>
      <c r="AC99" s="334">
        <v>11.9</v>
      </c>
      <c r="AD99" s="343" t="s">
        <v>527</v>
      </c>
      <c r="AE99" s="334" t="s">
        <v>337</v>
      </c>
      <c r="AF99" s="334" t="s">
        <v>18</v>
      </c>
      <c r="AG99" s="344">
        <v>0</v>
      </c>
      <c r="AH99" s="334" t="s">
        <v>308</v>
      </c>
      <c r="AI99" s="334" t="s">
        <v>218</v>
      </c>
      <c r="AJ99" s="334" t="s">
        <v>12</v>
      </c>
      <c r="AK99" s="334">
        <v>2.5</v>
      </c>
      <c r="AL99" s="343" t="s">
        <v>530</v>
      </c>
      <c r="AM99" s="334" t="s">
        <v>114</v>
      </c>
      <c r="AN99" s="334" t="s">
        <v>12</v>
      </c>
      <c r="AO99" s="344">
        <v>0</v>
      </c>
      <c r="AP99" s="334" t="s">
        <v>523</v>
      </c>
      <c r="AQ99" s="334" t="s">
        <v>107</v>
      </c>
      <c r="AR99" s="334" t="s">
        <v>18</v>
      </c>
      <c r="AS99" s="334">
        <v>4.3</v>
      </c>
      <c r="AT99" s="449" t="s">
        <v>562</v>
      </c>
      <c r="AU99" s="334" t="s">
        <v>337</v>
      </c>
      <c r="AV99" s="334" t="s">
        <v>12</v>
      </c>
      <c r="AW99" s="344">
        <v>0</v>
      </c>
      <c r="BA99" s="345"/>
    </row>
    <row r="100" spans="1:53" s="334" customFormat="1">
      <c r="A100" s="544">
        <v>2000</v>
      </c>
      <c r="B100" s="544"/>
      <c r="C100" s="992" t="s">
        <v>310</v>
      </c>
      <c r="D100" s="992"/>
      <c r="E100" s="544">
        <v>118</v>
      </c>
      <c r="F100" s="544"/>
      <c r="G100" s="497"/>
      <c r="H100" s="544">
        <v>8</v>
      </c>
      <c r="I100" s="544">
        <v>17</v>
      </c>
      <c r="J100" s="499">
        <v>27</v>
      </c>
      <c r="K100" s="495">
        <f t="shared" si="5"/>
        <v>0</v>
      </c>
      <c r="L100" s="495">
        <f t="shared" si="5"/>
        <v>29.629629629629626</v>
      </c>
      <c r="M100" s="495">
        <f t="shared" si="5"/>
        <v>62.962962962962962</v>
      </c>
      <c r="N100" s="498">
        <f t="shared" si="6"/>
        <v>92.592592592592581</v>
      </c>
      <c r="O100" s="494"/>
      <c r="P100" s="495">
        <v>16.2</v>
      </c>
      <c r="Q100" s="495">
        <v>29.7</v>
      </c>
      <c r="R100" s="496">
        <f t="shared" si="7"/>
        <v>45.9</v>
      </c>
      <c r="S100" s="544">
        <v>5</v>
      </c>
      <c r="T100" s="492"/>
      <c r="U100" s="544"/>
      <c r="V100" s="343" t="s">
        <v>522</v>
      </c>
      <c r="W100" s="334" t="s">
        <v>307</v>
      </c>
      <c r="X100" s="334" t="s">
        <v>12</v>
      </c>
      <c r="Y100" s="344">
        <v>27.2</v>
      </c>
      <c r="Z100" s="334" t="s">
        <v>521</v>
      </c>
      <c r="AA100" s="334" t="s">
        <v>17</v>
      </c>
      <c r="AB100" s="334" t="s">
        <v>18</v>
      </c>
      <c r="AC100" s="334">
        <v>11.9</v>
      </c>
      <c r="AD100" s="343" t="s">
        <v>527</v>
      </c>
      <c r="AE100" s="334" t="s">
        <v>337</v>
      </c>
      <c r="AF100" s="334" t="s">
        <v>18</v>
      </c>
      <c r="AG100" s="344">
        <v>0</v>
      </c>
      <c r="AH100" s="334" t="s">
        <v>308</v>
      </c>
      <c r="AI100" s="334" t="s">
        <v>218</v>
      </c>
      <c r="AJ100" s="334" t="s">
        <v>12</v>
      </c>
      <c r="AK100" s="334">
        <v>2.5</v>
      </c>
      <c r="AL100" s="343" t="s">
        <v>530</v>
      </c>
      <c r="AM100" s="334" t="s">
        <v>114</v>
      </c>
      <c r="AN100" s="334" t="s">
        <v>12</v>
      </c>
      <c r="AO100" s="344">
        <v>0</v>
      </c>
      <c r="AP100" s="334" t="s">
        <v>523</v>
      </c>
      <c r="AQ100" s="334" t="s">
        <v>107</v>
      </c>
      <c r="AR100" s="334" t="s">
        <v>18</v>
      </c>
      <c r="AS100" s="334">
        <v>4.3</v>
      </c>
      <c r="AT100" s="449" t="s">
        <v>562</v>
      </c>
      <c r="AU100" s="334" t="s">
        <v>337</v>
      </c>
      <c r="AV100" s="334" t="s">
        <v>12</v>
      </c>
      <c r="AW100" s="344">
        <v>0</v>
      </c>
      <c r="BA100" s="345"/>
    </row>
    <row r="101" spans="1:53" s="73" customFormat="1">
      <c r="A101" s="543">
        <v>2000</v>
      </c>
      <c r="B101" s="540">
        <v>36644</v>
      </c>
      <c r="C101" s="988" t="s">
        <v>311</v>
      </c>
      <c r="D101" s="988"/>
      <c r="E101" s="543">
        <f>366-E100</f>
        <v>248</v>
      </c>
      <c r="F101" s="543">
        <v>2</v>
      </c>
      <c r="G101" s="480"/>
      <c r="H101" s="543">
        <v>7</v>
      </c>
      <c r="I101" s="543">
        <v>15</v>
      </c>
      <c r="J101" s="482">
        <v>27</v>
      </c>
      <c r="K101" s="477">
        <f t="shared" si="5"/>
        <v>0</v>
      </c>
      <c r="L101" s="477">
        <f t="shared" si="5"/>
        <v>25.925925925925924</v>
      </c>
      <c r="M101" s="477">
        <f t="shared" si="5"/>
        <v>55.555555555555557</v>
      </c>
      <c r="N101" s="481">
        <f t="shared" si="6"/>
        <v>81.481481481481481</v>
      </c>
      <c r="O101" s="476"/>
      <c r="P101" s="477">
        <v>16.2</v>
      </c>
      <c r="Q101" s="477">
        <v>29.7</v>
      </c>
      <c r="R101" s="478">
        <f t="shared" si="7"/>
        <v>45.9</v>
      </c>
      <c r="S101" s="543">
        <v>5</v>
      </c>
      <c r="T101" s="471"/>
      <c r="U101" s="540">
        <v>36644</v>
      </c>
      <c r="V101" s="82" t="s">
        <v>522</v>
      </c>
      <c r="W101" s="73" t="s">
        <v>307</v>
      </c>
      <c r="X101" s="73" t="s">
        <v>12</v>
      </c>
      <c r="Y101" s="83">
        <v>27.2</v>
      </c>
      <c r="Z101" s="73" t="s">
        <v>521</v>
      </c>
      <c r="AA101" s="73" t="s">
        <v>17</v>
      </c>
      <c r="AB101" s="73" t="s">
        <v>18</v>
      </c>
      <c r="AC101" s="73">
        <v>11.9</v>
      </c>
      <c r="AD101" s="82" t="s">
        <v>527</v>
      </c>
      <c r="AE101" s="73" t="s">
        <v>337</v>
      </c>
      <c r="AF101" s="73" t="s">
        <v>18</v>
      </c>
      <c r="AG101" s="83">
        <v>0</v>
      </c>
      <c r="AH101" s="73" t="s">
        <v>308</v>
      </c>
      <c r="AI101" s="73" t="s">
        <v>218</v>
      </c>
      <c r="AJ101" s="73" t="s">
        <v>12</v>
      </c>
      <c r="AK101" s="73">
        <v>2.5</v>
      </c>
      <c r="AL101" s="82" t="s">
        <v>530</v>
      </c>
      <c r="AM101" s="73" t="s">
        <v>114</v>
      </c>
      <c r="AN101" s="73" t="s">
        <v>12</v>
      </c>
      <c r="AO101" s="83">
        <v>0</v>
      </c>
      <c r="AP101" s="73" t="s">
        <v>523</v>
      </c>
      <c r="AQ101" s="73" t="s">
        <v>107</v>
      </c>
      <c r="AR101" s="73" t="s">
        <v>18</v>
      </c>
      <c r="AS101" s="73">
        <v>4.3</v>
      </c>
      <c r="AT101" s="161" t="s">
        <v>562</v>
      </c>
      <c r="AU101" s="73" t="s">
        <v>337</v>
      </c>
      <c r="AV101" s="73" t="s">
        <v>12</v>
      </c>
      <c r="AW101" s="83">
        <v>0</v>
      </c>
      <c r="AX101" s="164" t="s">
        <v>529</v>
      </c>
      <c r="AY101" s="73" t="s">
        <v>337</v>
      </c>
      <c r="AZ101" s="73" t="s">
        <v>12</v>
      </c>
      <c r="BA101" s="84">
        <v>0</v>
      </c>
    </row>
    <row r="102" spans="1:53" s="73" customFormat="1">
      <c r="A102" s="543">
        <v>2001</v>
      </c>
      <c r="B102" s="543"/>
      <c r="C102" s="988" t="s">
        <v>311</v>
      </c>
      <c r="D102" s="988"/>
      <c r="E102" s="543">
        <v>161</v>
      </c>
      <c r="F102" s="543"/>
      <c r="G102" s="480"/>
      <c r="H102" s="543">
        <v>7</v>
      </c>
      <c r="I102" s="543">
        <v>15</v>
      </c>
      <c r="J102" s="482">
        <v>27</v>
      </c>
      <c r="K102" s="477">
        <f>G102/$J102*100</f>
        <v>0</v>
      </c>
      <c r="L102" s="477">
        <f>H102/$J102*100</f>
        <v>25.925925925925924</v>
      </c>
      <c r="M102" s="477">
        <f>I102/$J102*100</f>
        <v>55.555555555555557</v>
      </c>
      <c r="N102" s="481">
        <f t="shared" si="6"/>
        <v>81.481481481481481</v>
      </c>
      <c r="O102" s="476"/>
      <c r="P102" s="477">
        <v>16.2</v>
      </c>
      <c r="Q102" s="477">
        <v>29.7</v>
      </c>
      <c r="R102" s="478">
        <f t="shared" si="7"/>
        <v>45.9</v>
      </c>
      <c r="S102" s="543">
        <v>5</v>
      </c>
      <c r="T102" s="471"/>
      <c r="U102" s="543"/>
      <c r="V102" s="82" t="s">
        <v>522</v>
      </c>
      <c r="W102" s="73" t="s">
        <v>307</v>
      </c>
      <c r="X102" s="73" t="s">
        <v>12</v>
      </c>
      <c r="Y102" s="83">
        <v>27.2</v>
      </c>
      <c r="Z102" s="73" t="s">
        <v>521</v>
      </c>
      <c r="AA102" s="73" t="s">
        <v>17</v>
      </c>
      <c r="AB102" s="73" t="s">
        <v>18</v>
      </c>
      <c r="AC102" s="73">
        <v>11.9</v>
      </c>
      <c r="AD102" s="82" t="s">
        <v>527</v>
      </c>
      <c r="AE102" s="73" t="s">
        <v>337</v>
      </c>
      <c r="AF102" s="73" t="s">
        <v>18</v>
      </c>
      <c r="AG102" s="83">
        <v>0</v>
      </c>
      <c r="AH102" s="73" t="s">
        <v>308</v>
      </c>
      <c r="AI102" s="73" t="s">
        <v>218</v>
      </c>
      <c r="AJ102" s="73" t="s">
        <v>12</v>
      </c>
      <c r="AK102" s="73">
        <v>2.5</v>
      </c>
      <c r="AL102" s="82" t="s">
        <v>530</v>
      </c>
      <c r="AM102" s="73" t="s">
        <v>114</v>
      </c>
      <c r="AN102" s="73" t="s">
        <v>12</v>
      </c>
      <c r="AO102" s="83">
        <v>0</v>
      </c>
      <c r="AP102" s="73" t="s">
        <v>523</v>
      </c>
      <c r="AQ102" s="73" t="s">
        <v>107</v>
      </c>
      <c r="AR102" s="73" t="s">
        <v>18</v>
      </c>
      <c r="AS102" s="73">
        <v>4.3</v>
      </c>
      <c r="AT102" s="161" t="s">
        <v>562</v>
      </c>
      <c r="AU102" s="73" t="s">
        <v>337</v>
      </c>
      <c r="AV102" s="73" t="s">
        <v>12</v>
      </c>
      <c r="AW102" s="83">
        <v>0</v>
      </c>
      <c r="AX102" s="164" t="s">
        <v>529</v>
      </c>
      <c r="AY102" s="73" t="s">
        <v>337</v>
      </c>
      <c r="AZ102" s="73" t="s">
        <v>12</v>
      </c>
      <c r="BA102" s="84">
        <v>0</v>
      </c>
    </row>
    <row r="103" spans="1:53" s="334" customFormat="1">
      <c r="A103" s="544">
        <v>2001</v>
      </c>
      <c r="B103" s="541">
        <v>37053</v>
      </c>
      <c r="C103" s="992" t="s">
        <v>312</v>
      </c>
      <c r="D103" s="992"/>
      <c r="E103" s="544">
        <f>365-E102</f>
        <v>204</v>
      </c>
      <c r="F103" s="544">
        <v>1</v>
      </c>
      <c r="G103" s="497">
        <v>18</v>
      </c>
      <c r="H103" s="544">
        <v>2</v>
      </c>
      <c r="I103" s="544"/>
      <c r="J103" s="499">
        <v>25</v>
      </c>
      <c r="K103" s="495">
        <f t="shared" ref="K103:K129" si="8">G103/$J103*100</f>
        <v>72</v>
      </c>
      <c r="L103" s="495">
        <f t="shared" ref="L103:L133" si="9">H103/$J103*100</f>
        <v>8</v>
      </c>
      <c r="M103" s="495">
        <f t="shared" ref="M103:M133" si="10">I103/$J103*100</f>
        <v>0</v>
      </c>
      <c r="N103" s="498">
        <f t="shared" si="6"/>
        <v>80</v>
      </c>
      <c r="O103" s="494">
        <v>49.9</v>
      </c>
      <c r="P103" s="495">
        <v>6.5</v>
      </c>
      <c r="Q103" s="495"/>
      <c r="R103" s="496">
        <f t="shared" si="7"/>
        <v>56.4</v>
      </c>
      <c r="S103" s="544">
        <v>3</v>
      </c>
      <c r="T103" s="487">
        <v>37024</v>
      </c>
      <c r="U103" s="541">
        <v>37053</v>
      </c>
      <c r="V103" s="343" t="s">
        <v>519</v>
      </c>
      <c r="W103" s="334" t="s">
        <v>74</v>
      </c>
      <c r="X103" s="334" t="s">
        <v>11</v>
      </c>
      <c r="Y103" s="344">
        <v>28.9</v>
      </c>
      <c r="Z103" s="343" t="s">
        <v>524</v>
      </c>
      <c r="AA103" s="334" t="s">
        <v>27</v>
      </c>
      <c r="AB103" s="334" t="s">
        <v>11</v>
      </c>
      <c r="AC103" s="334">
        <v>16.100000000000001</v>
      </c>
      <c r="AD103" s="343" t="s">
        <v>520</v>
      </c>
      <c r="AE103" s="334" t="s">
        <v>304</v>
      </c>
      <c r="AF103" s="334" t="s">
        <v>11</v>
      </c>
      <c r="AG103" s="344">
        <v>4.9000000000000004</v>
      </c>
      <c r="AH103" s="343" t="s">
        <v>560</v>
      </c>
      <c r="AI103" s="334" t="s">
        <v>86</v>
      </c>
      <c r="AJ103" s="334" t="s">
        <v>18</v>
      </c>
      <c r="AK103" s="334">
        <v>6.5</v>
      </c>
      <c r="AL103" s="343"/>
      <c r="AO103" s="344"/>
      <c r="AP103" s="343"/>
      <c r="AT103" s="449"/>
      <c r="AW103" s="344"/>
      <c r="BA103" s="345"/>
    </row>
    <row r="104" spans="1:53" s="334" customFormat="1">
      <c r="A104" s="544">
        <v>2002</v>
      </c>
      <c r="B104" s="544"/>
      <c r="C104" s="992" t="s">
        <v>312</v>
      </c>
      <c r="D104" s="992"/>
      <c r="E104" s="544">
        <v>0</v>
      </c>
      <c r="F104" s="544"/>
      <c r="G104" s="497">
        <v>18</v>
      </c>
      <c r="H104" s="544">
        <v>2</v>
      </c>
      <c r="I104" s="544"/>
      <c r="J104" s="499">
        <v>25</v>
      </c>
      <c r="K104" s="495">
        <f t="shared" si="8"/>
        <v>72</v>
      </c>
      <c r="L104" s="495">
        <f t="shared" si="9"/>
        <v>8</v>
      </c>
      <c r="M104" s="495">
        <f t="shared" si="10"/>
        <v>0</v>
      </c>
      <c r="N104" s="498">
        <f t="shared" si="6"/>
        <v>80</v>
      </c>
      <c r="O104" s="494">
        <v>49.9</v>
      </c>
      <c r="P104" s="495">
        <v>6.5</v>
      </c>
      <c r="Q104" s="495"/>
      <c r="R104" s="496">
        <f t="shared" si="7"/>
        <v>56.4</v>
      </c>
      <c r="S104" s="544">
        <v>3</v>
      </c>
      <c r="T104" s="492"/>
      <c r="U104" s="544"/>
      <c r="V104" s="343" t="s">
        <v>519</v>
      </c>
      <c r="W104" s="334" t="s">
        <v>74</v>
      </c>
      <c r="X104" s="334" t="s">
        <v>11</v>
      </c>
      <c r="Y104" s="344">
        <v>28.9</v>
      </c>
      <c r="Z104" s="343" t="s">
        <v>524</v>
      </c>
      <c r="AA104" s="334" t="s">
        <v>27</v>
      </c>
      <c r="AB104" s="334" t="s">
        <v>11</v>
      </c>
      <c r="AC104" s="334">
        <v>16.100000000000001</v>
      </c>
      <c r="AD104" s="343" t="s">
        <v>520</v>
      </c>
      <c r="AE104" s="334" t="s">
        <v>304</v>
      </c>
      <c r="AF104" s="334" t="s">
        <v>11</v>
      </c>
      <c r="AG104" s="344">
        <v>4.9000000000000004</v>
      </c>
      <c r="AH104" s="343" t="s">
        <v>560</v>
      </c>
      <c r="AI104" s="334" t="s">
        <v>86</v>
      </c>
      <c r="AJ104" s="334" t="s">
        <v>18</v>
      </c>
      <c r="AK104" s="334">
        <v>6.5</v>
      </c>
      <c r="AL104" s="343"/>
      <c r="AO104" s="344"/>
      <c r="AP104" s="343"/>
      <c r="AT104" s="449"/>
      <c r="AW104" s="344"/>
      <c r="BA104" s="345"/>
    </row>
    <row r="105" spans="1:53" s="334" customFormat="1">
      <c r="A105" s="544">
        <v>2002</v>
      </c>
      <c r="B105" s="544"/>
      <c r="C105" s="992" t="s">
        <v>312</v>
      </c>
      <c r="D105" s="992"/>
      <c r="E105" s="544">
        <f>365-E104</f>
        <v>365</v>
      </c>
      <c r="F105" s="544"/>
      <c r="G105" s="497">
        <v>18</v>
      </c>
      <c r="H105" s="544">
        <v>2</v>
      </c>
      <c r="I105" s="544"/>
      <c r="J105" s="499">
        <v>25</v>
      </c>
      <c r="K105" s="495">
        <f t="shared" si="8"/>
        <v>72</v>
      </c>
      <c r="L105" s="495">
        <f t="shared" si="9"/>
        <v>8</v>
      </c>
      <c r="M105" s="495">
        <f t="shared" si="10"/>
        <v>0</v>
      </c>
      <c r="N105" s="498">
        <f t="shared" si="6"/>
        <v>80</v>
      </c>
      <c r="O105" s="494">
        <v>49.9</v>
      </c>
      <c r="P105" s="495">
        <v>6.5</v>
      </c>
      <c r="Q105" s="495"/>
      <c r="R105" s="496">
        <f t="shared" si="7"/>
        <v>56.4</v>
      </c>
      <c r="S105" s="544">
        <v>3</v>
      </c>
      <c r="T105" s="492"/>
      <c r="U105" s="544"/>
      <c r="V105" s="343" t="s">
        <v>519</v>
      </c>
      <c r="W105" s="334" t="s">
        <v>74</v>
      </c>
      <c r="X105" s="334" t="s">
        <v>11</v>
      </c>
      <c r="Y105" s="344">
        <v>28.9</v>
      </c>
      <c r="Z105" s="343" t="s">
        <v>524</v>
      </c>
      <c r="AA105" s="334" t="s">
        <v>27</v>
      </c>
      <c r="AB105" s="334" t="s">
        <v>11</v>
      </c>
      <c r="AC105" s="334">
        <v>16.100000000000001</v>
      </c>
      <c r="AD105" s="343" t="s">
        <v>520</v>
      </c>
      <c r="AE105" s="334" t="s">
        <v>304</v>
      </c>
      <c r="AF105" s="334" t="s">
        <v>11</v>
      </c>
      <c r="AG105" s="344">
        <v>4.9000000000000004</v>
      </c>
      <c r="AH105" s="343" t="s">
        <v>560</v>
      </c>
      <c r="AI105" s="334" t="s">
        <v>86</v>
      </c>
      <c r="AJ105" s="334" t="s">
        <v>18</v>
      </c>
      <c r="AK105" s="334">
        <v>6.5</v>
      </c>
      <c r="AL105" s="343"/>
      <c r="AO105" s="344"/>
      <c r="AP105" s="343"/>
      <c r="AT105" s="449"/>
      <c r="AW105" s="344"/>
      <c r="BA105" s="345"/>
    </row>
    <row r="106" spans="1:53" s="334" customFormat="1">
      <c r="A106" s="544">
        <v>2003</v>
      </c>
      <c r="B106" s="544"/>
      <c r="C106" s="992" t="s">
        <v>312</v>
      </c>
      <c r="D106" s="992"/>
      <c r="E106" s="544">
        <v>0</v>
      </c>
      <c r="F106" s="544"/>
      <c r="G106" s="497">
        <v>18</v>
      </c>
      <c r="H106" s="544">
        <v>2</v>
      </c>
      <c r="I106" s="544"/>
      <c r="J106" s="499">
        <v>25</v>
      </c>
      <c r="K106" s="495">
        <f t="shared" si="8"/>
        <v>72</v>
      </c>
      <c r="L106" s="495">
        <f t="shared" si="9"/>
        <v>8</v>
      </c>
      <c r="M106" s="495">
        <f t="shared" si="10"/>
        <v>0</v>
      </c>
      <c r="N106" s="498">
        <f t="shared" si="6"/>
        <v>80</v>
      </c>
      <c r="O106" s="494">
        <v>49.9</v>
      </c>
      <c r="P106" s="495">
        <v>6.5</v>
      </c>
      <c r="Q106" s="495"/>
      <c r="R106" s="496">
        <f t="shared" si="7"/>
        <v>56.4</v>
      </c>
      <c r="S106" s="544">
        <v>3</v>
      </c>
      <c r="T106" s="492"/>
      <c r="U106" s="544"/>
      <c r="V106" s="343" t="s">
        <v>519</v>
      </c>
      <c r="W106" s="334" t="s">
        <v>74</v>
      </c>
      <c r="X106" s="334" t="s">
        <v>11</v>
      </c>
      <c r="Y106" s="344">
        <v>28.9</v>
      </c>
      <c r="Z106" s="343" t="s">
        <v>524</v>
      </c>
      <c r="AA106" s="334" t="s">
        <v>27</v>
      </c>
      <c r="AB106" s="334" t="s">
        <v>11</v>
      </c>
      <c r="AC106" s="334">
        <v>16.100000000000001</v>
      </c>
      <c r="AD106" s="343" t="s">
        <v>520</v>
      </c>
      <c r="AE106" s="334" t="s">
        <v>304</v>
      </c>
      <c r="AF106" s="334" t="s">
        <v>11</v>
      </c>
      <c r="AG106" s="344">
        <v>4.9000000000000004</v>
      </c>
      <c r="AH106" s="343" t="s">
        <v>560</v>
      </c>
      <c r="AI106" s="334" t="s">
        <v>86</v>
      </c>
      <c r="AJ106" s="334" t="s">
        <v>18</v>
      </c>
      <c r="AK106" s="334">
        <v>6.5</v>
      </c>
      <c r="AL106" s="343"/>
      <c r="AO106" s="344"/>
      <c r="AP106" s="343"/>
      <c r="AT106" s="449"/>
      <c r="AW106" s="344"/>
      <c r="BA106" s="345"/>
    </row>
    <row r="107" spans="1:53" s="334" customFormat="1">
      <c r="A107" s="544">
        <v>2003</v>
      </c>
      <c r="B107" s="544"/>
      <c r="C107" s="992" t="s">
        <v>312</v>
      </c>
      <c r="D107" s="992"/>
      <c r="E107" s="544">
        <f>365-E106</f>
        <v>365</v>
      </c>
      <c r="F107" s="544"/>
      <c r="G107" s="497">
        <v>18</v>
      </c>
      <c r="H107" s="544">
        <v>2</v>
      </c>
      <c r="I107" s="544"/>
      <c r="J107" s="499">
        <v>25</v>
      </c>
      <c r="K107" s="495">
        <f t="shared" si="8"/>
        <v>72</v>
      </c>
      <c r="L107" s="495">
        <f t="shared" si="9"/>
        <v>8</v>
      </c>
      <c r="M107" s="495">
        <f t="shared" si="10"/>
        <v>0</v>
      </c>
      <c r="N107" s="498">
        <f t="shared" si="6"/>
        <v>80</v>
      </c>
      <c r="O107" s="494">
        <v>49.9</v>
      </c>
      <c r="P107" s="495">
        <v>6.5</v>
      </c>
      <c r="Q107" s="495"/>
      <c r="R107" s="496">
        <f t="shared" si="7"/>
        <v>56.4</v>
      </c>
      <c r="S107" s="544">
        <v>3</v>
      </c>
      <c r="T107" s="492"/>
      <c r="U107" s="544"/>
      <c r="V107" s="343" t="s">
        <v>519</v>
      </c>
      <c r="W107" s="334" t="s">
        <v>74</v>
      </c>
      <c r="X107" s="334" t="s">
        <v>11</v>
      </c>
      <c r="Y107" s="344">
        <v>28.9</v>
      </c>
      <c r="Z107" s="343" t="s">
        <v>524</v>
      </c>
      <c r="AA107" s="334" t="s">
        <v>27</v>
      </c>
      <c r="AB107" s="334" t="s">
        <v>11</v>
      </c>
      <c r="AC107" s="334">
        <v>16.100000000000001</v>
      </c>
      <c r="AD107" s="343" t="s">
        <v>520</v>
      </c>
      <c r="AE107" s="334" t="s">
        <v>304</v>
      </c>
      <c r="AF107" s="334" t="s">
        <v>11</v>
      </c>
      <c r="AG107" s="344">
        <v>4.9000000000000004</v>
      </c>
      <c r="AH107" s="343" t="s">
        <v>560</v>
      </c>
      <c r="AI107" s="334" t="s">
        <v>86</v>
      </c>
      <c r="AJ107" s="334" t="s">
        <v>18</v>
      </c>
      <c r="AK107" s="334">
        <v>6.5</v>
      </c>
      <c r="AL107" s="343"/>
      <c r="AO107" s="344"/>
      <c r="AP107" s="343"/>
      <c r="AT107" s="449"/>
      <c r="AW107" s="344"/>
      <c r="BA107" s="345"/>
    </row>
    <row r="108" spans="1:53" s="334" customFormat="1">
      <c r="A108" s="544">
        <v>2004</v>
      </c>
      <c r="B108" s="544"/>
      <c r="C108" s="992" t="s">
        <v>312</v>
      </c>
      <c r="D108" s="992"/>
      <c r="E108" s="544">
        <v>0</v>
      </c>
      <c r="F108" s="544"/>
      <c r="G108" s="497">
        <v>19</v>
      </c>
      <c r="H108" s="544">
        <v>2</v>
      </c>
      <c r="I108" s="544"/>
      <c r="J108" s="499">
        <v>25</v>
      </c>
      <c r="K108" s="495">
        <f t="shared" si="8"/>
        <v>76</v>
      </c>
      <c r="L108" s="495">
        <f t="shared" si="9"/>
        <v>8</v>
      </c>
      <c r="M108" s="495">
        <f t="shared" si="10"/>
        <v>0</v>
      </c>
      <c r="N108" s="498">
        <f t="shared" si="6"/>
        <v>84</v>
      </c>
      <c r="O108" s="494">
        <v>49.9</v>
      </c>
      <c r="P108" s="495">
        <v>6.5</v>
      </c>
      <c r="Q108" s="495"/>
      <c r="R108" s="496">
        <f t="shared" si="7"/>
        <v>56.4</v>
      </c>
      <c r="S108" s="544">
        <v>3</v>
      </c>
      <c r="T108" s="492"/>
      <c r="U108" s="544"/>
      <c r="V108" s="343" t="s">
        <v>519</v>
      </c>
      <c r="W108" s="334" t="s">
        <v>74</v>
      </c>
      <c r="X108" s="334" t="s">
        <v>11</v>
      </c>
      <c r="Y108" s="344">
        <v>28.9</v>
      </c>
      <c r="Z108" s="343" t="s">
        <v>524</v>
      </c>
      <c r="AA108" s="334" t="s">
        <v>27</v>
      </c>
      <c r="AB108" s="334" t="s">
        <v>11</v>
      </c>
      <c r="AC108" s="334">
        <v>16.100000000000001</v>
      </c>
      <c r="AD108" s="343" t="s">
        <v>520</v>
      </c>
      <c r="AE108" s="334" t="s">
        <v>304</v>
      </c>
      <c r="AF108" s="334" t="s">
        <v>11</v>
      </c>
      <c r="AG108" s="344">
        <v>4.9000000000000004</v>
      </c>
      <c r="AH108" s="343" t="s">
        <v>560</v>
      </c>
      <c r="AI108" s="334" t="s">
        <v>86</v>
      </c>
      <c r="AJ108" s="334" t="s">
        <v>18</v>
      </c>
      <c r="AK108" s="334">
        <v>6.5</v>
      </c>
      <c r="AL108" s="343"/>
      <c r="AO108" s="344"/>
      <c r="AP108" s="343"/>
      <c r="AT108" s="449"/>
      <c r="AW108" s="344"/>
      <c r="BA108" s="345"/>
    </row>
    <row r="109" spans="1:53" s="334" customFormat="1">
      <c r="A109" s="544">
        <v>2004</v>
      </c>
      <c r="B109" s="544"/>
      <c r="C109" s="992" t="s">
        <v>312</v>
      </c>
      <c r="D109" s="992"/>
      <c r="E109" s="544">
        <f>366-E108</f>
        <v>366</v>
      </c>
      <c r="F109" s="544"/>
      <c r="G109" s="497">
        <v>19</v>
      </c>
      <c r="H109" s="544">
        <v>2</v>
      </c>
      <c r="I109" s="544"/>
      <c r="J109" s="499">
        <v>25</v>
      </c>
      <c r="K109" s="495">
        <f t="shared" si="8"/>
        <v>76</v>
      </c>
      <c r="L109" s="495">
        <f t="shared" si="9"/>
        <v>8</v>
      </c>
      <c r="M109" s="495">
        <f t="shared" si="10"/>
        <v>0</v>
      </c>
      <c r="N109" s="498">
        <f t="shared" si="6"/>
        <v>84</v>
      </c>
      <c r="O109" s="494">
        <v>49.9</v>
      </c>
      <c r="P109" s="495">
        <v>6.5</v>
      </c>
      <c r="Q109" s="495"/>
      <c r="R109" s="496">
        <f t="shared" si="7"/>
        <v>56.4</v>
      </c>
      <c r="S109" s="544">
        <v>3</v>
      </c>
      <c r="T109" s="492"/>
      <c r="U109" s="544"/>
      <c r="V109" s="343" t="s">
        <v>519</v>
      </c>
      <c r="W109" s="334" t="s">
        <v>74</v>
      </c>
      <c r="X109" s="334" t="s">
        <v>11</v>
      </c>
      <c r="Y109" s="344">
        <v>28.9</v>
      </c>
      <c r="Z109" s="343" t="s">
        <v>524</v>
      </c>
      <c r="AA109" s="334" t="s">
        <v>27</v>
      </c>
      <c r="AB109" s="334" t="s">
        <v>11</v>
      </c>
      <c r="AC109" s="334">
        <v>16.100000000000001</v>
      </c>
      <c r="AD109" s="343" t="s">
        <v>520</v>
      </c>
      <c r="AE109" s="334" t="s">
        <v>304</v>
      </c>
      <c r="AF109" s="334" t="s">
        <v>11</v>
      </c>
      <c r="AG109" s="344">
        <v>4.9000000000000004</v>
      </c>
      <c r="AH109" s="343" t="s">
        <v>560</v>
      </c>
      <c r="AI109" s="334" t="s">
        <v>86</v>
      </c>
      <c r="AJ109" s="334" t="s">
        <v>18</v>
      </c>
      <c r="AK109" s="334">
        <v>6.5</v>
      </c>
      <c r="AL109" s="343"/>
      <c r="AO109" s="344"/>
      <c r="AP109" s="343"/>
      <c r="AT109" s="449"/>
      <c r="AW109" s="344"/>
      <c r="BA109" s="345"/>
    </row>
    <row r="110" spans="1:53" s="334" customFormat="1">
      <c r="A110" s="544">
        <v>2005</v>
      </c>
      <c r="B110" s="544"/>
      <c r="C110" s="992" t="s">
        <v>312</v>
      </c>
      <c r="D110" s="992"/>
      <c r="E110" s="544">
        <v>147</v>
      </c>
      <c r="F110" s="544"/>
      <c r="G110" s="497">
        <v>19</v>
      </c>
      <c r="H110" s="544">
        <v>2</v>
      </c>
      <c r="I110" s="544"/>
      <c r="J110" s="499">
        <v>25</v>
      </c>
      <c r="K110" s="495">
        <f t="shared" si="8"/>
        <v>76</v>
      </c>
      <c r="L110" s="495">
        <f t="shared" si="9"/>
        <v>8</v>
      </c>
      <c r="M110" s="495">
        <f t="shared" si="10"/>
        <v>0</v>
      </c>
      <c r="N110" s="498">
        <f t="shared" si="6"/>
        <v>84</v>
      </c>
      <c r="O110" s="494">
        <v>49.9</v>
      </c>
      <c r="P110" s="495">
        <v>6.5</v>
      </c>
      <c r="Q110" s="495"/>
      <c r="R110" s="496">
        <f t="shared" si="7"/>
        <v>56.4</v>
      </c>
      <c r="S110" s="544">
        <v>3</v>
      </c>
      <c r="T110" s="492"/>
      <c r="U110" s="544"/>
      <c r="V110" s="343" t="s">
        <v>519</v>
      </c>
      <c r="W110" s="334" t="s">
        <v>74</v>
      </c>
      <c r="X110" s="334" t="s">
        <v>11</v>
      </c>
      <c r="Y110" s="344">
        <v>28.9</v>
      </c>
      <c r="Z110" s="343" t="s">
        <v>524</v>
      </c>
      <c r="AA110" s="334" t="s">
        <v>27</v>
      </c>
      <c r="AB110" s="334" t="s">
        <v>11</v>
      </c>
      <c r="AC110" s="334">
        <v>16.100000000000001</v>
      </c>
      <c r="AD110" s="343" t="s">
        <v>520</v>
      </c>
      <c r="AE110" s="334" t="s">
        <v>304</v>
      </c>
      <c r="AF110" s="334" t="s">
        <v>11</v>
      </c>
      <c r="AG110" s="344">
        <v>4.9000000000000004</v>
      </c>
      <c r="AH110" s="343" t="s">
        <v>560</v>
      </c>
      <c r="AI110" s="334" t="s">
        <v>86</v>
      </c>
      <c r="AJ110" s="334" t="s">
        <v>18</v>
      </c>
      <c r="AK110" s="334">
        <v>6.5</v>
      </c>
      <c r="AL110" s="343"/>
      <c r="AO110" s="344"/>
      <c r="AP110" s="343"/>
      <c r="AT110" s="449"/>
      <c r="AW110" s="344"/>
      <c r="BA110" s="345"/>
    </row>
    <row r="111" spans="1:53" s="73" customFormat="1">
      <c r="A111" s="543">
        <v>2005</v>
      </c>
      <c r="B111" s="540">
        <v>38500</v>
      </c>
      <c r="C111" s="988" t="s">
        <v>313</v>
      </c>
      <c r="D111" s="988"/>
      <c r="E111" s="543">
        <f>365-E110</f>
        <v>218</v>
      </c>
      <c r="F111" s="543">
        <v>4</v>
      </c>
      <c r="G111" s="480">
        <v>12</v>
      </c>
      <c r="H111" s="543">
        <v>1</v>
      </c>
      <c r="I111" s="543"/>
      <c r="J111" s="482">
        <v>15</v>
      </c>
      <c r="K111" s="477">
        <f t="shared" si="8"/>
        <v>80</v>
      </c>
      <c r="L111" s="477">
        <f t="shared" si="9"/>
        <v>6.666666666666667</v>
      </c>
      <c r="M111" s="477">
        <f t="shared" si="10"/>
        <v>0</v>
      </c>
      <c r="N111" s="481">
        <f t="shared" si="6"/>
        <v>86.666666666666671</v>
      </c>
      <c r="O111" s="476">
        <v>49.9</v>
      </c>
      <c r="P111" s="477">
        <v>6.5</v>
      </c>
      <c r="Q111" s="477"/>
      <c r="R111" s="478">
        <f t="shared" si="7"/>
        <v>56.4</v>
      </c>
      <c r="S111" s="543">
        <v>3</v>
      </c>
      <c r="T111" s="471"/>
      <c r="U111" s="540">
        <v>38500</v>
      </c>
      <c r="V111" s="82" t="s">
        <v>519</v>
      </c>
      <c r="W111" s="73" t="s">
        <v>74</v>
      </c>
      <c r="X111" s="73" t="s">
        <v>11</v>
      </c>
      <c r="Y111" s="83">
        <v>28.9</v>
      </c>
      <c r="Z111" s="82" t="s">
        <v>524</v>
      </c>
      <c r="AA111" s="73" t="s">
        <v>27</v>
      </c>
      <c r="AB111" s="73" t="s">
        <v>11</v>
      </c>
      <c r="AC111" s="73">
        <v>16.100000000000001</v>
      </c>
      <c r="AD111" s="82" t="s">
        <v>520</v>
      </c>
      <c r="AE111" s="73" t="s">
        <v>304</v>
      </c>
      <c r="AF111" s="73" t="s">
        <v>11</v>
      </c>
      <c r="AG111" s="83">
        <v>4.9000000000000004</v>
      </c>
      <c r="AH111" s="82" t="s">
        <v>560</v>
      </c>
      <c r="AI111" s="73" t="s">
        <v>86</v>
      </c>
      <c r="AJ111" s="73" t="s">
        <v>18</v>
      </c>
      <c r="AK111" s="73">
        <v>6.5</v>
      </c>
      <c r="AL111" s="82" t="s">
        <v>813</v>
      </c>
      <c r="AM111" s="73" t="s">
        <v>337</v>
      </c>
      <c r="AN111" s="73" t="s">
        <v>12</v>
      </c>
      <c r="AO111" s="83">
        <v>0</v>
      </c>
      <c r="AP111" s="82" t="s">
        <v>515</v>
      </c>
      <c r="AQ111" s="73" t="s">
        <v>88</v>
      </c>
      <c r="AR111" s="73" t="s">
        <v>18</v>
      </c>
      <c r="AS111" s="73">
        <v>0</v>
      </c>
      <c r="AT111" s="161"/>
      <c r="AW111" s="83"/>
      <c r="BA111" s="84"/>
    </row>
    <row r="112" spans="1:53" s="73" customFormat="1">
      <c r="A112" s="543">
        <v>2006</v>
      </c>
      <c r="B112" s="540"/>
      <c r="C112" s="988" t="s">
        <v>313</v>
      </c>
      <c r="D112" s="988"/>
      <c r="E112" s="543">
        <v>47</v>
      </c>
      <c r="F112" s="543"/>
      <c r="G112" s="480">
        <v>12</v>
      </c>
      <c r="H112" s="543">
        <v>1</v>
      </c>
      <c r="I112" s="543"/>
      <c r="J112" s="482">
        <v>15</v>
      </c>
      <c r="K112" s="477">
        <f>G112/$J112*100</f>
        <v>80</v>
      </c>
      <c r="L112" s="477">
        <f>H112/$J112*100</f>
        <v>6.666666666666667</v>
      </c>
      <c r="M112" s="477">
        <f>I112/$J112*100</f>
        <v>0</v>
      </c>
      <c r="N112" s="481">
        <f>K112+L112+M112</f>
        <v>86.666666666666671</v>
      </c>
      <c r="O112" s="476">
        <v>49.9</v>
      </c>
      <c r="P112" s="477">
        <v>6.5</v>
      </c>
      <c r="Q112" s="477"/>
      <c r="R112" s="478">
        <f>O112+P112+Q112</f>
        <v>56.4</v>
      </c>
      <c r="S112" s="543">
        <v>3</v>
      </c>
      <c r="T112" s="471"/>
      <c r="U112" s="540"/>
      <c r="V112" s="82" t="s">
        <v>519</v>
      </c>
      <c r="W112" s="73" t="s">
        <v>74</v>
      </c>
      <c r="X112" s="73" t="s">
        <v>11</v>
      </c>
      <c r="Y112" s="83">
        <v>28.9</v>
      </c>
      <c r="Z112" s="82" t="s">
        <v>524</v>
      </c>
      <c r="AA112" s="73" t="s">
        <v>27</v>
      </c>
      <c r="AB112" s="73" t="s">
        <v>11</v>
      </c>
      <c r="AC112" s="73">
        <v>16.100000000000001</v>
      </c>
      <c r="AD112" s="82" t="s">
        <v>520</v>
      </c>
      <c r="AE112" s="73" t="s">
        <v>304</v>
      </c>
      <c r="AF112" s="73" t="s">
        <v>11</v>
      </c>
      <c r="AG112" s="83">
        <v>4.9000000000000004</v>
      </c>
      <c r="AH112" s="82" t="s">
        <v>560</v>
      </c>
      <c r="AI112" s="73" t="s">
        <v>86</v>
      </c>
      <c r="AJ112" s="73" t="s">
        <v>18</v>
      </c>
      <c r="AK112" s="73">
        <v>6.5</v>
      </c>
      <c r="AL112" s="82" t="s">
        <v>813</v>
      </c>
      <c r="AM112" s="73" t="s">
        <v>337</v>
      </c>
      <c r="AN112" s="73" t="s">
        <v>12</v>
      </c>
      <c r="AO112" s="83">
        <v>0</v>
      </c>
      <c r="AP112" s="82" t="s">
        <v>515</v>
      </c>
      <c r="AQ112" s="73" t="s">
        <v>88</v>
      </c>
      <c r="AR112" s="73" t="s">
        <v>18</v>
      </c>
      <c r="AS112" s="73">
        <v>0</v>
      </c>
      <c r="AT112" s="161"/>
      <c r="AW112" s="83"/>
      <c r="BA112" s="84"/>
    </row>
    <row r="113" spans="1:53" s="73" customFormat="1">
      <c r="A113" s="543">
        <v>2006</v>
      </c>
      <c r="B113" s="483">
        <v>38765</v>
      </c>
      <c r="C113" s="988" t="s">
        <v>313</v>
      </c>
      <c r="D113" s="988"/>
      <c r="E113" s="543">
        <v>21</v>
      </c>
      <c r="F113" s="484">
        <v>0</v>
      </c>
      <c r="G113" s="480">
        <v>11</v>
      </c>
      <c r="H113" s="543">
        <v>1</v>
      </c>
      <c r="I113" s="543"/>
      <c r="J113" s="482">
        <v>14</v>
      </c>
      <c r="K113" s="477">
        <f t="shared" si="8"/>
        <v>78.571428571428569</v>
      </c>
      <c r="L113" s="477">
        <f t="shared" si="9"/>
        <v>7.1428571428571423</v>
      </c>
      <c r="M113" s="477">
        <f t="shared" si="10"/>
        <v>0</v>
      </c>
      <c r="N113" s="481">
        <f t="shared" si="6"/>
        <v>85.714285714285708</v>
      </c>
      <c r="O113" s="476">
        <v>49.9</v>
      </c>
      <c r="P113" s="477">
        <v>6.5</v>
      </c>
      <c r="Q113" s="477"/>
      <c r="R113" s="478">
        <f t="shared" si="7"/>
        <v>56.4</v>
      </c>
      <c r="S113" s="543">
        <v>3</v>
      </c>
      <c r="T113" s="471"/>
      <c r="U113" s="543"/>
      <c r="V113" s="82" t="s">
        <v>519</v>
      </c>
      <c r="W113" s="73" t="s">
        <v>74</v>
      </c>
      <c r="X113" s="73" t="s">
        <v>11</v>
      </c>
      <c r="Y113" s="83">
        <v>28.9</v>
      </c>
      <c r="Z113" s="82" t="s">
        <v>524</v>
      </c>
      <c r="AA113" s="73" t="s">
        <v>27</v>
      </c>
      <c r="AB113" s="73" t="s">
        <v>11</v>
      </c>
      <c r="AC113" s="73">
        <v>16.100000000000001</v>
      </c>
      <c r="AD113" s="82" t="s">
        <v>520</v>
      </c>
      <c r="AE113" s="73" t="s">
        <v>304</v>
      </c>
      <c r="AF113" s="73" t="s">
        <v>11</v>
      </c>
      <c r="AG113" s="83">
        <v>4.9000000000000004</v>
      </c>
      <c r="AH113" s="82" t="s">
        <v>560</v>
      </c>
      <c r="AI113" s="73" t="s">
        <v>86</v>
      </c>
      <c r="AJ113" s="73" t="s">
        <v>18</v>
      </c>
      <c r="AK113" s="73">
        <v>6.5</v>
      </c>
      <c r="AL113" s="82" t="s">
        <v>813</v>
      </c>
      <c r="AM113" s="73" t="s">
        <v>337</v>
      </c>
      <c r="AN113" s="73" t="s">
        <v>12</v>
      </c>
      <c r="AO113" s="83">
        <v>0</v>
      </c>
      <c r="AP113" s="82" t="s">
        <v>515</v>
      </c>
      <c r="AQ113" s="73" t="s">
        <v>88</v>
      </c>
      <c r="AR113" s="73" t="s">
        <v>18</v>
      </c>
      <c r="AS113" s="73">
        <v>0</v>
      </c>
      <c r="AT113" s="161"/>
      <c r="AW113" s="83"/>
      <c r="BA113" s="84"/>
    </row>
    <row r="114" spans="1:53" s="73" customFormat="1">
      <c r="A114" s="543">
        <v>2006</v>
      </c>
      <c r="B114" s="483">
        <v>38786</v>
      </c>
      <c r="C114" s="988" t="s">
        <v>313</v>
      </c>
      <c r="D114" s="988"/>
      <c r="E114" s="543">
        <v>68</v>
      </c>
      <c r="F114" s="484">
        <v>0</v>
      </c>
      <c r="G114" s="480">
        <v>10</v>
      </c>
      <c r="H114" s="543">
        <v>1</v>
      </c>
      <c r="I114" s="543"/>
      <c r="J114" s="482">
        <v>13</v>
      </c>
      <c r="K114" s="477">
        <f>G114/$J114*100</f>
        <v>76.923076923076934</v>
      </c>
      <c r="L114" s="477">
        <f>H114/$J114*100</f>
        <v>7.6923076923076925</v>
      </c>
      <c r="M114" s="477">
        <f>I114/$J114*100</f>
        <v>0</v>
      </c>
      <c r="N114" s="481">
        <f>K114+L114+M114</f>
        <v>84.615384615384627</v>
      </c>
      <c r="O114" s="476">
        <v>49.9</v>
      </c>
      <c r="P114" s="477">
        <v>6.5</v>
      </c>
      <c r="Q114" s="477"/>
      <c r="R114" s="478">
        <f>O114+P114+Q114</f>
        <v>56.4</v>
      </c>
      <c r="S114" s="543">
        <v>3</v>
      </c>
      <c r="T114" s="471"/>
      <c r="U114" s="543"/>
      <c r="V114" s="82" t="s">
        <v>519</v>
      </c>
      <c r="W114" s="73" t="s">
        <v>74</v>
      </c>
      <c r="X114" s="73" t="s">
        <v>11</v>
      </c>
      <c r="Y114" s="83">
        <v>28.9</v>
      </c>
      <c r="Z114" s="82" t="s">
        <v>524</v>
      </c>
      <c r="AA114" s="73" t="s">
        <v>27</v>
      </c>
      <c r="AB114" s="73" t="s">
        <v>11</v>
      </c>
      <c r="AC114" s="73">
        <v>16.100000000000001</v>
      </c>
      <c r="AD114" s="82" t="s">
        <v>520</v>
      </c>
      <c r="AE114" s="73" t="s">
        <v>304</v>
      </c>
      <c r="AF114" s="73" t="s">
        <v>11</v>
      </c>
      <c r="AG114" s="83">
        <v>4.9000000000000004</v>
      </c>
      <c r="AH114" s="82" t="s">
        <v>560</v>
      </c>
      <c r="AI114" s="73" t="s">
        <v>86</v>
      </c>
      <c r="AJ114" s="73" t="s">
        <v>18</v>
      </c>
      <c r="AK114" s="73">
        <v>6.5</v>
      </c>
      <c r="AL114" s="82" t="s">
        <v>813</v>
      </c>
      <c r="AM114" s="73" t="s">
        <v>337</v>
      </c>
      <c r="AN114" s="73" t="s">
        <v>12</v>
      </c>
      <c r="AO114" s="83">
        <v>0</v>
      </c>
      <c r="AP114" s="82" t="s">
        <v>515</v>
      </c>
      <c r="AQ114" s="73" t="s">
        <v>88</v>
      </c>
      <c r="AR114" s="73" t="s">
        <v>18</v>
      </c>
      <c r="AS114" s="73">
        <v>0</v>
      </c>
      <c r="AT114" s="161"/>
      <c r="AW114" s="83"/>
      <c r="BA114" s="84"/>
    </row>
    <row r="115" spans="1:53" s="334" customFormat="1">
      <c r="A115" s="544">
        <v>2006</v>
      </c>
      <c r="B115" s="541">
        <v>38854</v>
      </c>
      <c r="C115" s="992" t="s">
        <v>814</v>
      </c>
      <c r="D115" s="992"/>
      <c r="E115" s="544">
        <f>365-E113-E112-E114</f>
        <v>229</v>
      </c>
      <c r="F115" s="544">
        <v>1</v>
      </c>
      <c r="G115" s="497"/>
      <c r="H115" s="544">
        <v>1</v>
      </c>
      <c r="I115" s="544">
        <v>23</v>
      </c>
      <c r="J115" s="499">
        <v>27</v>
      </c>
      <c r="K115" s="495">
        <f t="shared" si="8"/>
        <v>0</v>
      </c>
      <c r="L115" s="495">
        <f t="shared" si="9"/>
        <v>3.7037037037037033</v>
      </c>
      <c r="M115" s="495">
        <f t="shared" si="10"/>
        <v>85.18518518518519</v>
      </c>
      <c r="N115" s="498">
        <f t="shared" si="6"/>
        <v>88.8888888888889</v>
      </c>
      <c r="O115" s="494"/>
      <c r="P115" s="495">
        <v>1.6</v>
      </c>
      <c r="Q115" s="495">
        <v>49.4</v>
      </c>
      <c r="R115" s="496">
        <f t="shared" si="7"/>
        <v>51</v>
      </c>
      <c r="S115" s="544">
        <v>2</v>
      </c>
      <c r="T115" s="487">
        <v>38816</v>
      </c>
      <c r="U115" s="541">
        <v>38854</v>
      </c>
      <c r="V115" s="343" t="s">
        <v>811</v>
      </c>
      <c r="W115" s="334" t="s">
        <v>314</v>
      </c>
      <c r="X115" s="334" t="s">
        <v>12</v>
      </c>
      <c r="Y115" s="344">
        <v>34.9</v>
      </c>
      <c r="Z115" s="343" t="s">
        <v>528</v>
      </c>
      <c r="AA115" s="334" t="s">
        <v>315</v>
      </c>
      <c r="AB115" s="334" t="s">
        <v>12</v>
      </c>
      <c r="AC115" s="344">
        <v>6.5</v>
      </c>
      <c r="AD115" s="334" t="s">
        <v>812</v>
      </c>
      <c r="AE115" s="334" t="s">
        <v>97</v>
      </c>
      <c r="AF115" s="334" t="s">
        <v>12</v>
      </c>
      <c r="AG115" s="334">
        <v>2.9</v>
      </c>
      <c r="AH115" s="343" t="s">
        <v>580</v>
      </c>
      <c r="AI115" s="334" t="s">
        <v>316</v>
      </c>
      <c r="AJ115" s="334" t="s">
        <v>12</v>
      </c>
      <c r="AK115" s="334">
        <v>2.7</v>
      </c>
      <c r="AL115" s="343" t="s">
        <v>308</v>
      </c>
      <c r="AM115" s="334" t="s">
        <v>218</v>
      </c>
      <c r="AN115" s="334" t="s">
        <v>12</v>
      </c>
      <c r="AO115" s="344">
        <v>2.4</v>
      </c>
      <c r="AP115" s="343" t="s">
        <v>527</v>
      </c>
      <c r="AQ115" s="334" t="s">
        <v>337</v>
      </c>
      <c r="AR115" s="334" t="s">
        <v>18</v>
      </c>
      <c r="AS115" s="334">
        <v>1.6</v>
      </c>
      <c r="AT115" s="449"/>
      <c r="AW115" s="344"/>
      <c r="BA115" s="345"/>
    </row>
    <row r="116" spans="1:53" s="334" customFormat="1">
      <c r="A116" s="544">
        <v>2007</v>
      </c>
      <c r="B116" s="544"/>
      <c r="C116" s="992" t="s">
        <v>814</v>
      </c>
      <c r="D116" s="992"/>
      <c r="E116" s="544">
        <v>0</v>
      </c>
      <c r="F116" s="544"/>
      <c r="G116" s="497"/>
      <c r="H116" s="544">
        <v>1</v>
      </c>
      <c r="I116" s="544">
        <v>23</v>
      </c>
      <c r="J116" s="499">
        <v>27</v>
      </c>
      <c r="K116" s="495">
        <f t="shared" si="8"/>
        <v>0</v>
      </c>
      <c r="L116" s="495">
        <f t="shared" si="9"/>
        <v>3.7037037037037033</v>
      </c>
      <c r="M116" s="495">
        <f t="shared" si="10"/>
        <v>85.18518518518519</v>
      </c>
      <c r="N116" s="498">
        <f t="shared" si="6"/>
        <v>88.8888888888889</v>
      </c>
      <c r="O116" s="494"/>
      <c r="P116" s="495">
        <v>1.6</v>
      </c>
      <c r="Q116" s="495">
        <v>49.4</v>
      </c>
      <c r="R116" s="496">
        <f t="shared" si="7"/>
        <v>51</v>
      </c>
      <c r="S116" s="544">
        <v>2</v>
      </c>
      <c r="T116" s="492"/>
      <c r="U116" s="544"/>
      <c r="V116" s="343" t="s">
        <v>811</v>
      </c>
      <c r="W116" s="334" t="s">
        <v>314</v>
      </c>
      <c r="X116" s="334" t="s">
        <v>12</v>
      </c>
      <c r="Y116" s="344">
        <v>34.9</v>
      </c>
      <c r="Z116" s="343" t="s">
        <v>528</v>
      </c>
      <c r="AA116" s="334" t="s">
        <v>315</v>
      </c>
      <c r="AB116" s="334" t="s">
        <v>12</v>
      </c>
      <c r="AC116" s="344">
        <v>6.5</v>
      </c>
      <c r="AD116" s="334" t="s">
        <v>812</v>
      </c>
      <c r="AE116" s="334" t="s">
        <v>97</v>
      </c>
      <c r="AF116" s="334" t="s">
        <v>12</v>
      </c>
      <c r="AG116" s="334">
        <v>2.9</v>
      </c>
      <c r="AH116" s="343" t="s">
        <v>580</v>
      </c>
      <c r="AI116" s="334" t="s">
        <v>316</v>
      </c>
      <c r="AJ116" s="334" t="s">
        <v>12</v>
      </c>
      <c r="AK116" s="334">
        <v>2.7</v>
      </c>
      <c r="AL116" s="343" t="s">
        <v>308</v>
      </c>
      <c r="AM116" s="334" t="s">
        <v>218</v>
      </c>
      <c r="AN116" s="334" t="s">
        <v>12</v>
      </c>
      <c r="AO116" s="344">
        <v>2.4</v>
      </c>
      <c r="AP116" s="343" t="s">
        <v>527</v>
      </c>
      <c r="AQ116" s="334" t="s">
        <v>337</v>
      </c>
      <c r="AR116" s="334" t="s">
        <v>18</v>
      </c>
      <c r="AS116" s="334">
        <v>1.6</v>
      </c>
      <c r="AT116" s="449"/>
      <c r="AW116" s="344"/>
      <c r="BA116" s="345"/>
    </row>
    <row r="117" spans="1:53" s="334" customFormat="1">
      <c r="A117" s="544">
        <v>2007</v>
      </c>
      <c r="B117" s="544"/>
      <c r="C117" s="992" t="s">
        <v>814</v>
      </c>
      <c r="D117" s="992"/>
      <c r="E117" s="544">
        <v>365</v>
      </c>
      <c r="F117" s="544"/>
      <c r="G117" s="497"/>
      <c r="H117" s="544">
        <v>1</v>
      </c>
      <c r="I117" s="544">
        <v>23</v>
      </c>
      <c r="J117" s="499">
        <v>27</v>
      </c>
      <c r="K117" s="495">
        <f t="shared" si="8"/>
        <v>0</v>
      </c>
      <c r="L117" s="495">
        <f t="shared" si="9"/>
        <v>3.7037037037037033</v>
      </c>
      <c r="M117" s="495">
        <f t="shared" si="10"/>
        <v>85.18518518518519</v>
      </c>
      <c r="N117" s="498">
        <f t="shared" si="6"/>
        <v>88.8888888888889</v>
      </c>
      <c r="O117" s="494"/>
      <c r="P117" s="495">
        <v>1.6</v>
      </c>
      <c r="Q117" s="495">
        <v>49.4</v>
      </c>
      <c r="R117" s="496">
        <f t="shared" si="7"/>
        <v>51</v>
      </c>
      <c r="S117" s="544">
        <v>2</v>
      </c>
      <c r="T117" s="492"/>
      <c r="U117" s="544"/>
      <c r="V117" s="343" t="s">
        <v>811</v>
      </c>
      <c r="W117" s="334" t="s">
        <v>314</v>
      </c>
      <c r="X117" s="334" t="s">
        <v>12</v>
      </c>
      <c r="Y117" s="344">
        <v>34.9</v>
      </c>
      <c r="Z117" s="343" t="s">
        <v>528</v>
      </c>
      <c r="AA117" s="334" t="s">
        <v>315</v>
      </c>
      <c r="AB117" s="334" t="s">
        <v>12</v>
      </c>
      <c r="AC117" s="344">
        <v>6.5</v>
      </c>
      <c r="AD117" s="334" t="s">
        <v>812</v>
      </c>
      <c r="AE117" s="334" t="s">
        <v>97</v>
      </c>
      <c r="AF117" s="334" t="s">
        <v>12</v>
      </c>
      <c r="AG117" s="334">
        <v>2.9</v>
      </c>
      <c r="AH117" s="343" t="s">
        <v>580</v>
      </c>
      <c r="AI117" s="334" t="s">
        <v>316</v>
      </c>
      <c r="AJ117" s="334" t="s">
        <v>12</v>
      </c>
      <c r="AK117" s="334">
        <v>2.7</v>
      </c>
      <c r="AL117" s="343" t="s">
        <v>308</v>
      </c>
      <c r="AM117" s="334" t="s">
        <v>218</v>
      </c>
      <c r="AN117" s="334" t="s">
        <v>12</v>
      </c>
      <c r="AO117" s="344">
        <v>2.4</v>
      </c>
      <c r="AP117" s="343" t="s">
        <v>527</v>
      </c>
      <c r="AQ117" s="334" t="s">
        <v>337</v>
      </c>
      <c r="AR117" s="334" t="s">
        <v>18</v>
      </c>
      <c r="AS117" s="334">
        <v>1.6</v>
      </c>
      <c r="AT117" s="449"/>
      <c r="AW117" s="344"/>
      <c r="BA117" s="345"/>
    </row>
    <row r="118" spans="1:53" s="334" customFormat="1">
      <c r="A118" s="544">
        <v>2008</v>
      </c>
      <c r="B118" s="544"/>
      <c r="C118" s="992" t="s">
        <v>814</v>
      </c>
      <c r="D118" s="992"/>
      <c r="E118" s="544">
        <v>128</v>
      </c>
      <c r="F118" s="544"/>
      <c r="G118" s="497"/>
      <c r="H118" s="544">
        <v>1</v>
      </c>
      <c r="I118" s="544">
        <v>23</v>
      </c>
      <c r="J118" s="499">
        <v>27</v>
      </c>
      <c r="K118" s="495">
        <f t="shared" si="8"/>
        <v>0</v>
      </c>
      <c r="L118" s="495">
        <f t="shared" si="9"/>
        <v>3.7037037037037033</v>
      </c>
      <c r="M118" s="495">
        <f t="shared" si="10"/>
        <v>85.18518518518519</v>
      </c>
      <c r="N118" s="498">
        <f t="shared" si="6"/>
        <v>88.8888888888889</v>
      </c>
      <c r="O118" s="494"/>
      <c r="P118" s="495">
        <v>1.6</v>
      </c>
      <c r="Q118" s="495">
        <v>49.4</v>
      </c>
      <c r="R118" s="496">
        <f t="shared" si="7"/>
        <v>51</v>
      </c>
      <c r="S118" s="544">
        <v>2</v>
      </c>
      <c r="T118" s="492"/>
      <c r="U118" s="544"/>
      <c r="V118" s="343" t="s">
        <v>811</v>
      </c>
      <c r="W118" s="334" t="s">
        <v>314</v>
      </c>
      <c r="X118" s="334" t="s">
        <v>12</v>
      </c>
      <c r="Y118" s="344">
        <v>34.9</v>
      </c>
      <c r="Z118" s="343" t="s">
        <v>528</v>
      </c>
      <c r="AA118" s="334" t="s">
        <v>315</v>
      </c>
      <c r="AB118" s="334" t="s">
        <v>12</v>
      </c>
      <c r="AC118" s="344">
        <v>6.5</v>
      </c>
      <c r="AD118" s="334" t="s">
        <v>812</v>
      </c>
      <c r="AE118" s="334" t="s">
        <v>97</v>
      </c>
      <c r="AF118" s="334" t="s">
        <v>12</v>
      </c>
      <c r="AG118" s="334">
        <v>2.9</v>
      </c>
      <c r="AH118" s="343" t="s">
        <v>580</v>
      </c>
      <c r="AI118" s="334" t="s">
        <v>316</v>
      </c>
      <c r="AJ118" s="334" t="s">
        <v>12</v>
      </c>
      <c r="AK118" s="334">
        <v>2.7</v>
      </c>
      <c r="AL118" s="343" t="s">
        <v>308</v>
      </c>
      <c r="AM118" s="334" t="s">
        <v>218</v>
      </c>
      <c r="AN118" s="334" t="s">
        <v>12</v>
      </c>
      <c r="AO118" s="344">
        <v>2.4</v>
      </c>
      <c r="AP118" s="343" t="s">
        <v>527</v>
      </c>
      <c r="AQ118" s="334" t="s">
        <v>337</v>
      </c>
      <c r="AR118" s="334" t="s">
        <v>18</v>
      </c>
      <c r="AS118" s="334">
        <v>1.6</v>
      </c>
      <c r="AT118" s="449"/>
      <c r="AW118" s="344"/>
      <c r="BA118" s="345"/>
    </row>
    <row r="119" spans="1:53" s="73" customFormat="1">
      <c r="A119" s="543">
        <v>2008</v>
      </c>
      <c r="B119" s="540">
        <v>39576</v>
      </c>
      <c r="C119" s="988" t="s">
        <v>317</v>
      </c>
      <c r="D119" s="988"/>
      <c r="E119" s="543">
        <f>366-E118</f>
        <v>238</v>
      </c>
      <c r="F119" s="543">
        <v>1</v>
      </c>
      <c r="G119" s="480">
        <f>13+4+4</f>
        <v>21</v>
      </c>
      <c r="H119" s="543">
        <v>1</v>
      </c>
      <c r="I119" s="543"/>
      <c r="J119" s="482">
        <v>22</v>
      </c>
      <c r="K119" s="477">
        <f t="shared" si="8"/>
        <v>95.454545454545453</v>
      </c>
      <c r="L119" s="477">
        <f t="shared" si="9"/>
        <v>4.5454545454545459</v>
      </c>
      <c r="M119" s="477">
        <f t="shared" si="10"/>
        <v>0</v>
      </c>
      <c r="N119" s="481">
        <f t="shared" si="6"/>
        <v>100</v>
      </c>
      <c r="O119" s="476">
        <f>43.8+9.5</f>
        <v>53.3</v>
      </c>
      <c r="P119" s="477"/>
      <c r="Q119" s="477"/>
      <c r="R119" s="478">
        <f t="shared" si="7"/>
        <v>53.3</v>
      </c>
      <c r="S119" s="543">
        <v>2</v>
      </c>
      <c r="T119" s="479">
        <v>39551</v>
      </c>
      <c r="U119" s="540">
        <v>39576</v>
      </c>
      <c r="V119" s="82" t="s">
        <v>525</v>
      </c>
      <c r="W119" s="73" t="s">
        <v>79</v>
      </c>
      <c r="X119" s="73" t="s">
        <v>11</v>
      </c>
      <c r="Y119" s="83">
        <v>43.8</v>
      </c>
      <c r="Z119" s="73" t="s">
        <v>520</v>
      </c>
      <c r="AA119" s="73" t="s">
        <v>304</v>
      </c>
      <c r="AB119" s="73" t="s">
        <v>11</v>
      </c>
      <c r="AC119" s="83">
        <v>9.5</v>
      </c>
      <c r="AD119" s="73" t="s">
        <v>526</v>
      </c>
      <c r="AE119" s="73" t="s">
        <v>337</v>
      </c>
      <c r="AF119" s="73" t="s">
        <v>18</v>
      </c>
      <c r="AG119" s="73">
        <v>0</v>
      </c>
      <c r="AH119" s="82"/>
      <c r="AL119" s="82"/>
      <c r="AO119" s="83"/>
      <c r="AP119" s="82"/>
      <c r="AT119" s="161"/>
      <c r="AW119" s="83"/>
      <c r="BA119" s="84"/>
    </row>
    <row r="120" spans="1:53" s="73" customFormat="1">
      <c r="A120" s="543">
        <v>2009</v>
      </c>
      <c r="B120" s="543"/>
      <c r="C120" s="988" t="s">
        <v>317</v>
      </c>
      <c r="D120" s="988"/>
      <c r="E120" s="543">
        <v>127</v>
      </c>
      <c r="F120" s="543"/>
      <c r="G120" s="480">
        <v>21</v>
      </c>
      <c r="H120" s="543">
        <v>1</v>
      </c>
      <c r="I120" s="543"/>
      <c r="J120" s="482">
        <v>22</v>
      </c>
      <c r="K120" s="477">
        <f t="shared" si="8"/>
        <v>95.454545454545453</v>
      </c>
      <c r="L120" s="477">
        <f t="shared" si="9"/>
        <v>4.5454545454545459</v>
      </c>
      <c r="M120" s="477">
        <f t="shared" si="10"/>
        <v>0</v>
      </c>
      <c r="N120" s="481">
        <f t="shared" si="6"/>
        <v>100</v>
      </c>
      <c r="O120" s="476">
        <v>53.3</v>
      </c>
      <c r="P120" s="477"/>
      <c r="Q120" s="477"/>
      <c r="R120" s="478">
        <f t="shared" si="7"/>
        <v>53.3</v>
      </c>
      <c r="S120" s="543">
        <v>2</v>
      </c>
      <c r="T120" s="471"/>
      <c r="U120" s="543"/>
      <c r="V120" s="82" t="s">
        <v>525</v>
      </c>
      <c r="W120" s="73" t="s">
        <v>79</v>
      </c>
      <c r="X120" s="73" t="s">
        <v>11</v>
      </c>
      <c r="Y120" s="83">
        <v>43.8</v>
      </c>
      <c r="Z120" s="73" t="s">
        <v>520</v>
      </c>
      <c r="AA120" s="73" t="s">
        <v>304</v>
      </c>
      <c r="AB120" s="73" t="s">
        <v>11</v>
      </c>
      <c r="AC120" s="83">
        <v>9.5</v>
      </c>
      <c r="AD120" s="73" t="s">
        <v>526</v>
      </c>
      <c r="AE120" s="73" t="s">
        <v>337</v>
      </c>
      <c r="AF120" s="73" t="s">
        <v>18</v>
      </c>
      <c r="AG120" s="73">
        <v>0</v>
      </c>
      <c r="AH120" s="82"/>
      <c r="AL120" s="82"/>
      <c r="AO120" s="83"/>
      <c r="AP120" s="82"/>
      <c r="AT120" s="161"/>
      <c r="AW120" s="83"/>
      <c r="BA120" s="84"/>
    </row>
    <row r="121" spans="1:53" s="73" customFormat="1">
      <c r="A121" s="543">
        <v>2009</v>
      </c>
      <c r="B121" s="483">
        <v>39941</v>
      </c>
      <c r="C121" s="988" t="s">
        <v>317</v>
      </c>
      <c r="D121" s="988"/>
      <c r="E121" s="543">
        <v>220</v>
      </c>
      <c r="F121" s="484">
        <v>0</v>
      </c>
      <c r="G121" s="480">
        <v>23</v>
      </c>
      <c r="H121" s="543"/>
      <c r="I121" s="543"/>
      <c r="J121" s="482">
        <v>23</v>
      </c>
      <c r="K121" s="477">
        <f t="shared" si="8"/>
        <v>100</v>
      </c>
      <c r="L121" s="477">
        <f t="shared" si="9"/>
        <v>0</v>
      </c>
      <c r="M121" s="477">
        <f t="shared" si="10"/>
        <v>0</v>
      </c>
      <c r="N121" s="481">
        <f t="shared" si="6"/>
        <v>100</v>
      </c>
      <c r="O121" s="476">
        <v>53.3</v>
      </c>
      <c r="P121" s="477"/>
      <c r="Q121" s="477"/>
      <c r="R121" s="478">
        <f t="shared" si="7"/>
        <v>53.3</v>
      </c>
      <c r="S121" s="543">
        <v>2</v>
      </c>
      <c r="T121" s="471"/>
      <c r="U121" s="543"/>
      <c r="V121" s="82" t="s">
        <v>525</v>
      </c>
      <c r="W121" s="73" t="s">
        <v>79</v>
      </c>
      <c r="X121" s="73" t="s">
        <v>11</v>
      </c>
      <c r="Y121" s="83">
        <v>43.8</v>
      </c>
      <c r="Z121" s="73" t="s">
        <v>520</v>
      </c>
      <c r="AA121" s="73" t="s">
        <v>304</v>
      </c>
      <c r="AB121" s="73" t="s">
        <v>11</v>
      </c>
      <c r="AC121" s="83">
        <v>9.5</v>
      </c>
      <c r="AD121" s="73" t="s">
        <v>526</v>
      </c>
      <c r="AE121" s="73" t="s">
        <v>337</v>
      </c>
      <c r="AF121" s="73" t="s">
        <v>18</v>
      </c>
      <c r="AG121" s="73">
        <v>0</v>
      </c>
      <c r="AH121" s="82"/>
      <c r="AL121" s="82"/>
      <c r="AO121" s="83"/>
      <c r="AP121" s="82"/>
      <c r="AT121" s="161"/>
      <c r="AW121" s="83"/>
      <c r="BA121" s="84"/>
    </row>
    <row r="122" spans="1:53" s="73" customFormat="1">
      <c r="A122" s="543">
        <v>2009</v>
      </c>
      <c r="B122" s="483">
        <v>40161</v>
      </c>
      <c r="C122" s="988" t="s">
        <v>317</v>
      </c>
      <c r="D122" s="988"/>
      <c r="E122" s="543">
        <f>365-E121-E120</f>
        <v>18</v>
      </c>
      <c r="F122" s="484">
        <v>0</v>
      </c>
      <c r="G122" s="480">
        <v>24</v>
      </c>
      <c r="H122" s="543"/>
      <c r="I122" s="543"/>
      <c r="J122" s="482">
        <v>24</v>
      </c>
      <c r="K122" s="477">
        <f t="shared" si="8"/>
        <v>100</v>
      </c>
      <c r="L122" s="477">
        <f t="shared" si="9"/>
        <v>0</v>
      </c>
      <c r="M122" s="477">
        <f t="shared" si="10"/>
        <v>0</v>
      </c>
      <c r="N122" s="481">
        <f t="shared" si="6"/>
        <v>100</v>
      </c>
      <c r="O122" s="476">
        <v>53.3</v>
      </c>
      <c r="P122" s="477"/>
      <c r="Q122" s="477"/>
      <c r="R122" s="478">
        <f t="shared" si="7"/>
        <v>53.3</v>
      </c>
      <c r="S122" s="543">
        <v>2</v>
      </c>
      <c r="T122" s="471"/>
      <c r="U122" s="543"/>
      <c r="V122" s="82" t="s">
        <v>525</v>
      </c>
      <c r="W122" s="73" t="s">
        <v>79</v>
      </c>
      <c r="X122" s="73" t="s">
        <v>11</v>
      </c>
      <c r="Y122" s="83">
        <v>43.8</v>
      </c>
      <c r="Z122" s="73" t="s">
        <v>520</v>
      </c>
      <c r="AA122" s="73" t="s">
        <v>304</v>
      </c>
      <c r="AB122" s="73" t="s">
        <v>11</v>
      </c>
      <c r="AC122" s="83">
        <v>9.5</v>
      </c>
      <c r="AD122" s="73" t="s">
        <v>526</v>
      </c>
      <c r="AE122" s="73" t="s">
        <v>337</v>
      </c>
      <c r="AF122" s="73" t="s">
        <v>18</v>
      </c>
      <c r="AG122" s="73">
        <v>0</v>
      </c>
      <c r="AH122" s="82"/>
      <c r="AL122" s="82"/>
      <c r="AO122" s="83"/>
      <c r="AP122" s="82"/>
      <c r="AT122" s="161"/>
      <c r="AW122" s="83"/>
      <c r="BA122" s="84"/>
    </row>
    <row r="123" spans="1:53" s="73" customFormat="1">
      <c r="A123" s="543">
        <v>2010</v>
      </c>
      <c r="B123" s="484"/>
      <c r="C123" s="988" t="s">
        <v>317</v>
      </c>
      <c r="D123" s="988"/>
      <c r="E123" s="543">
        <v>168</v>
      </c>
      <c r="F123" s="484"/>
      <c r="G123" s="480">
        <v>24</v>
      </c>
      <c r="H123" s="543"/>
      <c r="I123" s="543"/>
      <c r="J123" s="482">
        <v>24</v>
      </c>
      <c r="K123" s="477">
        <f t="shared" si="8"/>
        <v>100</v>
      </c>
      <c r="L123" s="477">
        <f t="shared" si="9"/>
        <v>0</v>
      </c>
      <c r="M123" s="477">
        <f t="shared" si="10"/>
        <v>0</v>
      </c>
      <c r="N123" s="481">
        <f t="shared" si="6"/>
        <v>100</v>
      </c>
      <c r="O123" s="476">
        <v>53.3</v>
      </c>
      <c r="P123" s="477"/>
      <c r="Q123" s="477"/>
      <c r="R123" s="478">
        <f t="shared" si="7"/>
        <v>53.3</v>
      </c>
      <c r="S123" s="543">
        <v>2</v>
      </c>
      <c r="T123" s="471"/>
      <c r="U123" s="543"/>
      <c r="V123" s="82" t="s">
        <v>525</v>
      </c>
      <c r="W123" s="73" t="s">
        <v>79</v>
      </c>
      <c r="X123" s="73" t="s">
        <v>11</v>
      </c>
      <c r="Y123" s="83">
        <v>43.8</v>
      </c>
      <c r="Z123" s="73" t="s">
        <v>520</v>
      </c>
      <c r="AA123" s="73" t="s">
        <v>304</v>
      </c>
      <c r="AB123" s="73" t="s">
        <v>11</v>
      </c>
      <c r="AC123" s="83">
        <v>9.5</v>
      </c>
      <c r="AD123" s="73" t="s">
        <v>526</v>
      </c>
      <c r="AE123" s="73" t="s">
        <v>337</v>
      </c>
      <c r="AF123" s="73" t="s">
        <v>18</v>
      </c>
      <c r="AG123" s="73">
        <v>0</v>
      </c>
      <c r="AH123" s="82"/>
      <c r="AL123" s="82"/>
      <c r="AO123" s="83"/>
      <c r="AP123" s="82"/>
      <c r="AT123" s="161"/>
      <c r="AW123" s="83"/>
      <c r="BA123" s="84"/>
    </row>
    <row r="124" spans="1:53" s="73" customFormat="1">
      <c r="A124" s="543">
        <v>2010</v>
      </c>
      <c r="B124" s="483">
        <v>40347</v>
      </c>
      <c r="C124" s="988" t="s">
        <v>317</v>
      </c>
      <c r="D124" s="988"/>
      <c r="E124" s="543">
        <v>18</v>
      </c>
      <c r="F124" s="484">
        <v>0</v>
      </c>
      <c r="G124" s="480">
        <v>25</v>
      </c>
      <c r="H124" s="543"/>
      <c r="I124" s="543"/>
      <c r="J124" s="482">
        <v>25</v>
      </c>
      <c r="K124" s="477">
        <f t="shared" si="8"/>
        <v>100</v>
      </c>
      <c r="L124" s="477">
        <f t="shared" si="9"/>
        <v>0</v>
      </c>
      <c r="M124" s="477">
        <f t="shared" si="10"/>
        <v>0</v>
      </c>
      <c r="N124" s="481">
        <f t="shared" si="6"/>
        <v>100</v>
      </c>
      <c r="O124" s="476">
        <v>53.3</v>
      </c>
      <c r="P124" s="477"/>
      <c r="Q124" s="477"/>
      <c r="R124" s="478">
        <f t="shared" si="7"/>
        <v>53.3</v>
      </c>
      <c r="S124" s="543">
        <v>2</v>
      </c>
      <c r="T124" s="471"/>
      <c r="U124" s="543"/>
      <c r="V124" s="82" t="s">
        <v>525</v>
      </c>
      <c r="W124" s="73" t="s">
        <v>79</v>
      </c>
      <c r="X124" s="73" t="s">
        <v>11</v>
      </c>
      <c r="Y124" s="83">
        <v>43.8</v>
      </c>
      <c r="Z124" s="73" t="s">
        <v>520</v>
      </c>
      <c r="AA124" s="73" t="s">
        <v>304</v>
      </c>
      <c r="AB124" s="73" t="s">
        <v>11</v>
      </c>
      <c r="AC124" s="83">
        <v>9.5</v>
      </c>
      <c r="AD124" s="73" t="s">
        <v>526</v>
      </c>
      <c r="AE124" s="73" t="s">
        <v>337</v>
      </c>
      <c r="AF124" s="73" t="s">
        <v>18</v>
      </c>
      <c r="AG124" s="73">
        <v>0</v>
      </c>
      <c r="AH124" s="82"/>
      <c r="AL124" s="82"/>
      <c r="AO124" s="83"/>
      <c r="AP124" s="82"/>
      <c r="AT124" s="161"/>
      <c r="AW124" s="83"/>
      <c r="BA124" s="84"/>
    </row>
    <row r="125" spans="1:53" s="73" customFormat="1">
      <c r="A125" s="543">
        <v>2010</v>
      </c>
      <c r="B125" s="483">
        <v>40365</v>
      </c>
      <c r="C125" s="988" t="s">
        <v>317</v>
      </c>
      <c r="D125" s="988"/>
      <c r="E125" s="543">
        <f>365-E124-E123</f>
        <v>179</v>
      </c>
      <c r="F125" s="484">
        <v>0</v>
      </c>
      <c r="G125" s="480">
        <v>24</v>
      </c>
      <c r="H125" s="543"/>
      <c r="I125" s="543"/>
      <c r="J125" s="482">
        <v>24</v>
      </c>
      <c r="K125" s="477">
        <f t="shared" si="8"/>
        <v>100</v>
      </c>
      <c r="L125" s="477">
        <f t="shared" si="9"/>
        <v>0</v>
      </c>
      <c r="M125" s="477">
        <f t="shared" si="10"/>
        <v>0</v>
      </c>
      <c r="N125" s="481">
        <f t="shared" si="6"/>
        <v>100</v>
      </c>
      <c r="O125" s="476">
        <v>53.3</v>
      </c>
      <c r="P125" s="477"/>
      <c r="Q125" s="477"/>
      <c r="R125" s="478">
        <f t="shared" si="7"/>
        <v>53.3</v>
      </c>
      <c r="S125" s="543">
        <v>2</v>
      </c>
      <c r="T125" s="471"/>
      <c r="U125" s="543"/>
      <c r="V125" s="82" t="s">
        <v>525</v>
      </c>
      <c r="W125" s="73" t="s">
        <v>79</v>
      </c>
      <c r="X125" s="73" t="s">
        <v>11</v>
      </c>
      <c r="Y125" s="83">
        <v>43.8</v>
      </c>
      <c r="Z125" s="73" t="s">
        <v>520</v>
      </c>
      <c r="AA125" s="73" t="s">
        <v>304</v>
      </c>
      <c r="AB125" s="73" t="s">
        <v>11</v>
      </c>
      <c r="AC125" s="83">
        <v>9.5</v>
      </c>
      <c r="AD125" s="73" t="s">
        <v>526</v>
      </c>
      <c r="AE125" s="73" t="s">
        <v>337</v>
      </c>
      <c r="AF125" s="73" t="s">
        <v>18</v>
      </c>
      <c r="AG125" s="73">
        <v>0</v>
      </c>
      <c r="AH125" s="82"/>
      <c r="AL125" s="82"/>
      <c r="AO125" s="83"/>
      <c r="AP125" s="82"/>
      <c r="AT125" s="161"/>
      <c r="AW125" s="83"/>
      <c r="BA125" s="84"/>
    </row>
    <row r="126" spans="1:53" s="73" customFormat="1">
      <c r="A126" s="543">
        <v>2011</v>
      </c>
      <c r="B126" s="186"/>
      <c r="C126" s="988" t="s">
        <v>317</v>
      </c>
      <c r="D126" s="988"/>
      <c r="E126" s="543">
        <v>207</v>
      </c>
      <c r="F126" s="484"/>
      <c r="G126" s="480">
        <v>24</v>
      </c>
      <c r="H126" s="543"/>
      <c r="I126" s="543"/>
      <c r="J126" s="482">
        <v>24</v>
      </c>
      <c r="K126" s="477">
        <f t="shared" si="8"/>
        <v>100</v>
      </c>
      <c r="L126" s="477">
        <f t="shared" si="9"/>
        <v>0</v>
      </c>
      <c r="M126" s="477">
        <f t="shared" si="10"/>
        <v>0</v>
      </c>
      <c r="N126" s="481">
        <f t="shared" si="6"/>
        <v>100</v>
      </c>
      <c r="O126" s="476">
        <v>53.3</v>
      </c>
      <c r="P126" s="477"/>
      <c r="Q126" s="477"/>
      <c r="R126" s="478">
        <f t="shared" si="7"/>
        <v>53.3</v>
      </c>
      <c r="S126" s="543">
        <v>2</v>
      </c>
      <c r="T126" s="471"/>
      <c r="U126" s="543"/>
      <c r="V126" s="82" t="s">
        <v>525</v>
      </c>
      <c r="W126" s="73" t="s">
        <v>79</v>
      </c>
      <c r="X126" s="73" t="s">
        <v>11</v>
      </c>
      <c r="Y126" s="83">
        <v>43.8</v>
      </c>
      <c r="Z126" s="73" t="s">
        <v>520</v>
      </c>
      <c r="AA126" s="73" t="s">
        <v>304</v>
      </c>
      <c r="AB126" s="73" t="s">
        <v>11</v>
      </c>
      <c r="AC126" s="83">
        <v>9.5</v>
      </c>
      <c r="AD126" s="73" t="s">
        <v>526</v>
      </c>
      <c r="AE126" s="73" t="s">
        <v>337</v>
      </c>
      <c r="AF126" s="73" t="s">
        <v>18</v>
      </c>
      <c r="AG126" s="73">
        <v>0</v>
      </c>
      <c r="AH126" s="82"/>
      <c r="AL126" s="82"/>
      <c r="AO126" s="83"/>
      <c r="AP126" s="82"/>
      <c r="AT126" s="161"/>
      <c r="AW126" s="83"/>
      <c r="BA126" s="84"/>
    </row>
    <row r="127" spans="1:53" s="73" customFormat="1">
      <c r="A127" s="543">
        <v>2011</v>
      </c>
      <c r="B127" s="483">
        <v>40751</v>
      </c>
      <c r="C127" s="988" t="s">
        <v>317</v>
      </c>
      <c r="D127" s="988"/>
      <c r="E127" s="543">
        <v>114</v>
      </c>
      <c r="F127" s="484">
        <v>0</v>
      </c>
      <c r="G127" s="480">
        <v>25</v>
      </c>
      <c r="H127" s="543"/>
      <c r="I127" s="543"/>
      <c r="J127" s="482">
        <v>25</v>
      </c>
      <c r="K127" s="477">
        <f t="shared" si="8"/>
        <v>100</v>
      </c>
      <c r="L127" s="477">
        <f t="shared" si="9"/>
        <v>0</v>
      </c>
      <c r="M127" s="477">
        <f t="shared" si="10"/>
        <v>0</v>
      </c>
      <c r="N127" s="481">
        <f t="shared" si="6"/>
        <v>100</v>
      </c>
      <c r="O127" s="476">
        <v>53.3</v>
      </c>
      <c r="P127" s="477"/>
      <c r="Q127" s="477"/>
      <c r="R127" s="478">
        <f t="shared" si="7"/>
        <v>53.3</v>
      </c>
      <c r="S127" s="543">
        <v>2</v>
      </c>
      <c r="T127" s="471"/>
      <c r="U127" s="543"/>
      <c r="V127" s="82" t="s">
        <v>525</v>
      </c>
      <c r="W127" s="73" t="s">
        <v>79</v>
      </c>
      <c r="X127" s="73" t="s">
        <v>11</v>
      </c>
      <c r="Y127" s="83">
        <v>43.8</v>
      </c>
      <c r="Z127" s="73" t="s">
        <v>520</v>
      </c>
      <c r="AA127" s="73" t="s">
        <v>304</v>
      </c>
      <c r="AB127" s="73" t="s">
        <v>11</v>
      </c>
      <c r="AC127" s="83">
        <v>9.5</v>
      </c>
      <c r="AD127" s="73" t="s">
        <v>526</v>
      </c>
      <c r="AE127" s="73" t="s">
        <v>337</v>
      </c>
      <c r="AF127" s="73" t="s">
        <v>18</v>
      </c>
      <c r="AG127" s="73">
        <v>0</v>
      </c>
      <c r="AH127" s="82"/>
      <c r="AL127" s="82"/>
      <c r="AO127" s="83"/>
      <c r="AP127" s="82"/>
      <c r="AT127" s="161"/>
      <c r="AW127" s="83"/>
      <c r="BA127" s="84"/>
    </row>
    <row r="128" spans="1:53" s="334" customFormat="1">
      <c r="A128" s="544">
        <v>2011</v>
      </c>
      <c r="B128" s="541">
        <v>40865</v>
      </c>
      <c r="C128" s="1025" t="s">
        <v>318</v>
      </c>
      <c r="D128" s="1025"/>
      <c r="E128" s="544">
        <v>44</v>
      </c>
      <c r="F128" s="544">
        <v>2</v>
      </c>
      <c r="G128" s="497">
        <v>0</v>
      </c>
      <c r="H128" s="544">
        <v>0</v>
      </c>
      <c r="I128" s="544">
        <v>0</v>
      </c>
      <c r="J128" s="499">
        <v>19</v>
      </c>
      <c r="K128" s="495">
        <f t="shared" si="8"/>
        <v>0</v>
      </c>
      <c r="L128" s="495">
        <f t="shared" si="9"/>
        <v>0</v>
      </c>
      <c r="M128" s="495">
        <f t="shared" si="10"/>
        <v>0</v>
      </c>
      <c r="N128" s="498">
        <f t="shared" si="6"/>
        <v>0</v>
      </c>
      <c r="O128" s="494">
        <v>0</v>
      </c>
      <c r="P128" s="495">
        <v>0</v>
      </c>
      <c r="Q128" s="495">
        <v>0</v>
      </c>
      <c r="R128" s="496">
        <f t="shared" si="7"/>
        <v>0</v>
      </c>
      <c r="S128" s="544">
        <v>7</v>
      </c>
      <c r="T128" s="492"/>
      <c r="U128" s="541">
        <v>40865</v>
      </c>
      <c r="V128" s="438" t="s">
        <v>809</v>
      </c>
      <c r="Y128" s="344"/>
      <c r="AD128" s="343"/>
      <c r="AG128" s="344"/>
      <c r="AL128" s="343"/>
      <c r="AO128" s="344"/>
      <c r="AP128" s="343"/>
      <c r="AT128" s="449"/>
      <c r="AW128" s="344"/>
      <c r="BA128" s="345"/>
    </row>
    <row r="129" spans="1:53" s="334" customFormat="1">
      <c r="A129" s="544">
        <v>2012</v>
      </c>
      <c r="B129" s="541"/>
      <c r="C129" s="1025" t="s">
        <v>318</v>
      </c>
      <c r="D129" s="1025"/>
      <c r="E129" s="544">
        <v>0</v>
      </c>
      <c r="F129" s="544"/>
      <c r="G129" s="497">
        <v>0</v>
      </c>
      <c r="H129" s="544">
        <v>0</v>
      </c>
      <c r="I129" s="544">
        <v>0</v>
      </c>
      <c r="J129" s="499">
        <v>19</v>
      </c>
      <c r="K129" s="495">
        <f t="shared" si="8"/>
        <v>0</v>
      </c>
      <c r="L129" s="495">
        <f t="shared" si="9"/>
        <v>0</v>
      </c>
      <c r="M129" s="495">
        <f t="shared" si="10"/>
        <v>0</v>
      </c>
      <c r="N129" s="498">
        <f t="shared" si="6"/>
        <v>0</v>
      </c>
      <c r="O129" s="494">
        <v>0</v>
      </c>
      <c r="P129" s="495">
        <v>0</v>
      </c>
      <c r="Q129" s="495">
        <v>0</v>
      </c>
      <c r="R129" s="496">
        <f t="shared" si="7"/>
        <v>0</v>
      </c>
      <c r="S129" s="544">
        <v>7</v>
      </c>
      <c r="T129" s="492"/>
      <c r="U129" s="544"/>
      <c r="V129" s="438" t="s">
        <v>809</v>
      </c>
      <c r="Y129" s="344"/>
      <c r="AD129" s="343"/>
      <c r="AG129" s="344"/>
      <c r="AL129" s="343"/>
      <c r="AO129" s="344"/>
      <c r="AP129" s="343"/>
      <c r="AT129" s="449"/>
      <c r="AW129" s="344"/>
      <c r="BA129" s="345"/>
    </row>
    <row r="130" spans="1:53" s="334" customFormat="1">
      <c r="A130" s="544">
        <v>2012</v>
      </c>
      <c r="B130" s="541"/>
      <c r="C130" s="1025" t="s">
        <v>318</v>
      </c>
      <c r="D130" s="1025"/>
      <c r="E130" s="544">
        <v>366</v>
      </c>
      <c r="F130" s="544"/>
      <c r="G130" s="497">
        <v>0</v>
      </c>
      <c r="H130" s="544">
        <v>0</v>
      </c>
      <c r="I130" s="544">
        <v>0</v>
      </c>
      <c r="J130" s="499">
        <v>19</v>
      </c>
      <c r="K130" s="495">
        <f t="shared" ref="K130:K136" si="11">G130/$J130*100</f>
        <v>0</v>
      </c>
      <c r="L130" s="495">
        <f t="shared" si="9"/>
        <v>0</v>
      </c>
      <c r="M130" s="495">
        <f t="shared" si="10"/>
        <v>0</v>
      </c>
      <c r="N130" s="498">
        <f t="shared" si="6"/>
        <v>0</v>
      </c>
      <c r="O130" s="494">
        <v>0</v>
      </c>
      <c r="P130" s="495">
        <v>0</v>
      </c>
      <c r="Q130" s="495">
        <v>0</v>
      </c>
      <c r="R130" s="496">
        <f t="shared" si="7"/>
        <v>0</v>
      </c>
      <c r="S130" s="544">
        <v>7</v>
      </c>
      <c r="T130" s="492"/>
      <c r="U130" s="544"/>
      <c r="V130" s="438" t="s">
        <v>809</v>
      </c>
      <c r="Y130" s="344"/>
      <c r="AD130" s="343"/>
      <c r="AG130" s="344"/>
      <c r="AL130" s="343"/>
      <c r="AO130" s="344"/>
      <c r="AP130" s="343"/>
      <c r="AT130" s="449"/>
      <c r="AW130" s="344"/>
      <c r="BA130" s="345"/>
    </row>
    <row r="131" spans="1:53" s="334" customFormat="1">
      <c r="A131" s="544">
        <v>2013</v>
      </c>
      <c r="B131" s="541"/>
      <c r="C131" s="1025" t="s">
        <v>318</v>
      </c>
      <c r="D131" s="1025"/>
      <c r="E131" s="544">
        <v>117</v>
      </c>
      <c r="F131" s="544"/>
      <c r="G131" s="497">
        <v>0</v>
      </c>
      <c r="H131" s="544">
        <v>0</v>
      </c>
      <c r="I131" s="544">
        <v>0</v>
      </c>
      <c r="J131" s="499">
        <v>19</v>
      </c>
      <c r="K131" s="495">
        <f t="shared" si="11"/>
        <v>0</v>
      </c>
      <c r="L131" s="495">
        <f t="shared" si="9"/>
        <v>0</v>
      </c>
      <c r="M131" s="495">
        <f t="shared" si="10"/>
        <v>0</v>
      </c>
      <c r="N131" s="498">
        <f t="shared" si="6"/>
        <v>0</v>
      </c>
      <c r="O131" s="494">
        <v>0</v>
      </c>
      <c r="P131" s="495">
        <v>0</v>
      </c>
      <c r="Q131" s="495">
        <v>0</v>
      </c>
      <c r="R131" s="496">
        <f t="shared" si="7"/>
        <v>0</v>
      </c>
      <c r="S131" s="544">
        <v>7</v>
      </c>
      <c r="T131" s="492"/>
      <c r="U131" s="544"/>
      <c r="V131" s="438" t="s">
        <v>809</v>
      </c>
      <c r="Y131" s="344"/>
      <c r="AD131" s="343"/>
      <c r="AG131" s="344"/>
      <c r="AL131" s="343"/>
      <c r="AO131" s="344"/>
      <c r="AP131" s="343"/>
      <c r="AT131" s="449"/>
      <c r="AW131" s="344"/>
      <c r="BA131" s="345"/>
    </row>
    <row r="132" spans="1:53" s="319" customFormat="1">
      <c r="A132" s="543">
        <v>2013</v>
      </c>
      <c r="B132" s="540">
        <v>41392</v>
      </c>
      <c r="C132" s="988" t="s">
        <v>1264</v>
      </c>
      <c r="D132" s="988"/>
      <c r="E132" s="543">
        <v>202</v>
      </c>
      <c r="F132" s="327">
        <v>1</v>
      </c>
      <c r="G132" s="480">
        <v>8</v>
      </c>
      <c r="H132" s="543">
        <v>1</v>
      </c>
      <c r="I132" s="543">
        <v>10</v>
      </c>
      <c r="J132" s="482">
        <v>22</v>
      </c>
      <c r="K132" s="477">
        <f t="shared" si="11"/>
        <v>36.363636363636367</v>
      </c>
      <c r="L132" s="477">
        <f t="shared" si="9"/>
        <v>4.5454545454545459</v>
      </c>
      <c r="M132" s="477">
        <f t="shared" si="10"/>
        <v>45.454545454545453</v>
      </c>
      <c r="N132" s="481">
        <f t="shared" si="6"/>
        <v>86.363636363636374</v>
      </c>
      <c r="O132" s="476">
        <v>21.8</v>
      </c>
      <c r="P132" s="477">
        <v>1.3</v>
      </c>
      <c r="Q132" s="477">
        <v>47.1</v>
      </c>
      <c r="R132" s="478">
        <f t="shared" si="7"/>
        <v>70.2</v>
      </c>
      <c r="S132" s="543">
        <v>3</v>
      </c>
      <c r="T132" s="479">
        <v>41329</v>
      </c>
      <c r="U132" s="540">
        <v>41392</v>
      </c>
      <c r="V132" s="82" t="s">
        <v>565</v>
      </c>
      <c r="W132" s="319" t="s">
        <v>314</v>
      </c>
      <c r="X132" s="319" t="s">
        <v>12</v>
      </c>
      <c r="Y132" s="83">
        <v>47.1</v>
      </c>
      <c r="Z132" s="319" t="s">
        <v>525</v>
      </c>
      <c r="AA132" s="319" t="s">
        <v>79</v>
      </c>
      <c r="AB132" s="319" t="s">
        <v>11</v>
      </c>
      <c r="AC132" s="83">
        <v>15.6</v>
      </c>
      <c r="AD132" s="319" t="s">
        <v>1271</v>
      </c>
      <c r="AE132" s="319" t="s">
        <v>905</v>
      </c>
      <c r="AF132" s="319" t="s">
        <v>11</v>
      </c>
      <c r="AG132" s="319">
        <v>6.2</v>
      </c>
      <c r="AH132" s="82" t="s">
        <v>581</v>
      </c>
      <c r="AI132" s="319" t="s">
        <v>337</v>
      </c>
      <c r="AJ132" s="319" t="s">
        <v>18</v>
      </c>
      <c r="AK132" s="319">
        <v>1.3</v>
      </c>
      <c r="AL132" s="82" t="s">
        <v>1270</v>
      </c>
      <c r="AM132" s="319" t="s">
        <v>337</v>
      </c>
      <c r="AN132" s="319" t="s">
        <v>11</v>
      </c>
      <c r="AO132" s="83">
        <v>0</v>
      </c>
      <c r="AP132" s="82"/>
      <c r="AT132" s="161"/>
      <c r="AW132" s="83"/>
      <c r="BA132" s="84"/>
    </row>
    <row r="133" spans="1:53" s="587" customFormat="1">
      <c r="A133" s="587">
        <v>2013</v>
      </c>
      <c r="B133" s="599">
        <v>41594</v>
      </c>
      <c r="C133" s="988" t="s">
        <v>1264</v>
      </c>
      <c r="D133" s="988"/>
      <c r="E133" s="587">
        <v>46</v>
      </c>
      <c r="F133" s="600">
        <v>0</v>
      </c>
      <c r="G133" s="596">
        <v>3</v>
      </c>
      <c r="H133" s="587">
        <v>6</v>
      </c>
      <c r="I133" s="587">
        <v>10</v>
      </c>
      <c r="J133" s="598">
        <v>22</v>
      </c>
      <c r="K133" s="593">
        <f t="shared" si="11"/>
        <v>13.636363636363635</v>
      </c>
      <c r="L133" s="593">
        <f t="shared" si="9"/>
        <v>27.27272727272727</v>
      </c>
      <c r="M133" s="593">
        <f t="shared" si="10"/>
        <v>45.454545454545453</v>
      </c>
      <c r="N133" s="597">
        <f t="shared" si="6"/>
        <v>86.36363636363636</v>
      </c>
      <c r="O133" s="592">
        <v>6.2</v>
      </c>
      <c r="P133" s="593">
        <v>5.9</v>
      </c>
      <c r="Q133" s="593">
        <v>47.1</v>
      </c>
      <c r="R133" s="594">
        <f t="shared" si="7"/>
        <v>59.2</v>
      </c>
      <c r="S133" s="587">
        <v>3</v>
      </c>
      <c r="T133" s="575"/>
      <c r="V133" s="588" t="s">
        <v>565</v>
      </c>
      <c r="W133" s="587" t="s">
        <v>314</v>
      </c>
      <c r="X133" s="587" t="s">
        <v>12</v>
      </c>
      <c r="Y133" s="589">
        <v>47.1</v>
      </c>
      <c r="Z133" s="587" t="s">
        <v>1271</v>
      </c>
      <c r="AA133" s="587" t="s">
        <v>905</v>
      </c>
      <c r="AB133" s="587" t="s">
        <v>11</v>
      </c>
      <c r="AC133" s="587">
        <v>6.2</v>
      </c>
      <c r="AD133" s="588" t="s">
        <v>581</v>
      </c>
      <c r="AE133" s="587" t="s">
        <v>337</v>
      </c>
      <c r="AF133" s="587" t="s">
        <v>18</v>
      </c>
      <c r="AG133" s="587">
        <v>1.3</v>
      </c>
      <c r="AH133" s="588" t="s">
        <v>1270</v>
      </c>
      <c r="AI133" s="587" t="s">
        <v>337</v>
      </c>
      <c r="AJ133" s="587" t="s">
        <v>11</v>
      </c>
      <c r="AK133" s="589">
        <v>0</v>
      </c>
      <c r="AL133" s="588" t="s">
        <v>1309</v>
      </c>
      <c r="AM133" s="587" t="s">
        <v>337</v>
      </c>
      <c r="AN133" s="587" t="s">
        <v>18</v>
      </c>
      <c r="AO133" s="589">
        <v>4.5999999999999996</v>
      </c>
      <c r="AP133" s="588"/>
      <c r="AS133" s="589"/>
      <c r="AT133" s="161"/>
      <c r="AW133" s="589"/>
      <c r="BA133" s="590"/>
    </row>
    <row r="134" spans="1:53" s="587" customFormat="1">
      <c r="A134" s="587">
        <v>2014</v>
      </c>
      <c r="C134" s="988" t="s">
        <v>1264</v>
      </c>
      <c r="D134" s="988"/>
      <c r="E134" s="587">
        <v>26</v>
      </c>
      <c r="G134" s="596">
        <v>3</v>
      </c>
      <c r="H134" s="587">
        <v>6</v>
      </c>
      <c r="I134" s="587">
        <v>10</v>
      </c>
      <c r="J134" s="598">
        <v>22</v>
      </c>
      <c r="K134" s="593">
        <f t="shared" si="11"/>
        <v>13.636363636363635</v>
      </c>
      <c r="L134" s="593">
        <f t="shared" ref="L134:M136" si="12">H134/$J134*100</f>
        <v>27.27272727272727</v>
      </c>
      <c r="M134" s="593">
        <f t="shared" si="12"/>
        <v>45.454545454545453</v>
      </c>
      <c r="N134" s="597">
        <f>K134+L134+M134</f>
        <v>86.36363636363636</v>
      </c>
      <c r="O134" s="592">
        <v>6.2</v>
      </c>
      <c r="P134" s="593">
        <v>5.9</v>
      </c>
      <c r="Q134" s="593">
        <v>47.1</v>
      </c>
      <c r="R134" s="594">
        <f t="shared" si="7"/>
        <v>59.2</v>
      </c>
      <c r="S134" s="587">
        <v>3</v>
      </c>
      <c r="T134" s="575"/>
      <c r="V134" s="588" t="s">
        <v>565</v>
      </c>
      <c r="W134" s="587" t="s">
        <v>314</v>
      </c>
      <c r="X134" s="587" t="s">
        <v>12</v>
      </c>
      <c r="Y134" s="589">
        <v>47.1</v>
      </c>
      <c r="Z134" s="587" t="s">
        <v>1271</v>
      </c>
      <c r="AA134" s="587" t="s">
        <v>905</v>
      </c>
      <c r="AB134" s="587" t="s">
        <v>11</v>
      </c>
      <c r="AC134" s="587">
        <v>6.2</v>
      </c>
      <c r="AD134" s="588" t="s">
        <v>581</v>
      </c>
      <c r="AE134" s="587" t="s">
        <v>337</v>
      </c>
      <c r="AF134" s="587" t="s">
        <v>18</v>
      </c>
      <c r="AG134" s="587">
        <v>1.3</v>
      </c>
      <c r="AH134" s="588" t="s">
        <v>1270</v>
      </c>
      <c r="AI134" s="587" t="s">
        <v>337</v>
      </c>
      <c r="AJ134" s="587" t="s">
        <v>11</v>
      </c>
      <c r="AK134" s="589">
        <v>0</v>
      </c>
      <c r="AL134" s="588" t="s">
        <v>1309</v>
      </c>
      <c r="AM134" s="587" t="s">
        <v>337</v>
      </c>
      <c r="AN134" s="587" t="s">
        <v>18</v>
      </c>
      <c r="AO134" s="589">
        <v>4.5999999999999996</v>
      </c>
      <c r="AP134" s="588"/>
      <c r="AT134" s="161"/>
      <c r="AW134" s="589"/>
      <c r="BA134" s="590"/>
    </row>
    <row r="135" spans="1:53" s="543" customFormat="1">
      <c r="A135" s="543">
        <v>2014</v>
      </c>
      <c r="B135" s="599">
        <v>41666</v>
      </c>
      <c r="C135" s="988" t="s">
        <v>1264</v>
      </c>
      <c r="D135" s="988"/>
      <c r="E135" s="543">
        <v>26</v>
      </c>
      <c r="F135" s="600">
        <v>0</v>
      </c>
      <c r="G135" s="480">
        <v>3</v>
      </c>
      <c r="H135" s="543">
        <v>5</v>
      </c>
      <c r="I135" s="543">
        <v>10</v>
      </c>
      <c r="J135" s="482">
        <v>21</v>
      </c>
      <c r="K135" s="593">
        <f t="shared" si="11"/>
        <v>14.285714285714285</v>
      </c>
      <c r="L135" s="593">
        <f t="shared" si="12"/>
        <v>23.809523809523807</v>
      </c>
      <c r="M135" s="593">
        <f t="shared" si="12"/>
        <v>47.619047619047613</v>
      </c>
      <c r="N135" s="597">
        <f>K135+L135+M135</f>
        <v>85.714285714285694</v>
      </c>
      <c r="O135" s="592">
        <v>6.2</v>
      </c>
      <c r="P135" s="593">
        <v>5.9</v>
      </c>
      <c r="Q135" s="593">
        <v>47.1</v>
      </c>
      <c r="R135" s="594">
        <f t="shared" si="7"/>
        <v>59.2</v>
      </c>
      <c r="S135" s="543">
        <v>3</v>
      </c>
      <c r="T135" s="479"/>
      <c r="U135" s="540"/>
      <c r="V135" s="588" t="s">
        <v>565</v>
      </c>
      <c r="W135" s="587" t="s">
        <v>314</v>
      </c>
      <c r="X135" s="587" t="s">
        <v>12</v>
      </c>
      <c r="Y135" s="589">
        <v>47.1</v>
      </c>
      <c r="Z135" s="587" t="s">
        <v>1271</v>
      </c>
      <c r="AA135" s="587" t="s">
        <v>905</v>
      </c>
      <c r="AB135" s="587" t="s">
        <v>11</v>
      </c>
      <c r="AC135" s="587">
        <v>6.2</v>
      </c>
      <c r="AD135" s="588" t="s">
        <v>581</v>
      </c>
      <c r="AE135" s="587" t="s">
        <v>337</v>
      </c>
      <c r="AF135" s="587" t="s">
        <v>18</v>
      </c>
      <c r="AG135" s="587">
        <v>1.3</v>
      </c>
      <c r="AH135" s="588" t="s">
        <v>1270</v>
      </c>
      <c r="AI135" s="587" t="s">
        <v>337</v>
      </c>
      <c r="AJ135" s="587" t="s">
        <v>11</v>
      </c>
      <c r="AK135" s="589">
        <v>0</v>
      </c>
      <c r="AL135" s="588" t="s">
        <v>1309</v>
      </c>
      <c r="AM135" s="587" t="s">
        <v>337</v>
      </c>
      <c r="AN135" s="587" t="s">
        <v>18</v>
      </c>
      <c r="AO135" s="589">
        <v>4.5999999999999996</v>
      </c>
      <c r="AP135" s="472"/>
      <c r="AT135" s="161"/>
      <c r="AW135" s="473"/>
      <c r="BA135" s="474"/>
    </row>
    <row r="136" spans="1:53" s="633" customFormat="1">
      <c r="A136" s="633">
        <v>2014</v>
      </c>
      <c r="B136" s="637">
        <v>41692</v>
      </c>
      <c r="C136" s="992" t="s">
        <v>1303</v>
      </c>
      <c r="D136" s="992"/>
      <c r="E136" s="633">
        <v>313</v>
      </c>
      <c r="F136" s="633">
        <v>2</v>
      </c>
      <c r="G136" s="642">
        <v>1</v>
      </c>
      <c r="H136" s="633">
        <v>4</v>
      </c>
      <c r="I136" s="633">
        <v>11</v>
      </c>
      <c r="J136" s="644">
        <v>17</v>
      </c>
      <c r="K136" s="640">
        <f t="shared" si="11"/>
        <v>5.8823529411764701</v>
      </c>
      <c r="L136" s="640">
        <f t="shared" si="12"/>
        <v>23.52941176470588</v>
      </c>
      <c r="M136" s="640">
        <f t="shared" si="12"/>
        <v>64.705882352941174</v>
      </c>
      <c r="N136" s="643">
        <f>K136+L136+M136</f>
        <v>94.117647058823522</v>
      </c>
      <c r="O136" s="639">
        <v>4.3</v>
      </c>
      <c r="P136" s="640">
        <v>4.5999999999999996</v>
      </c>
      <c r="Q136" s="640">
        <v>47.3</v>
      </c>
      <c r="R136" s="641">
        <f t="shared" si="7"/>
        <v>56.199999999999996</v>
      </c>
      <c r="S136" s="633">
        <v>3</v>
      </c>
      <c r="T136" s="487"/>
      <c r="U136" s="637">
        <v>41692</v>
      </c>
      <c r="V136" s="634" t="s">
        <v>565</v>
      </c>
      <c r="W136" s="633" t="s">
        <v>314</v>
      </c>
      <c r="X136" s="633" t="s">
        <v>12</v>
      </c>
      <c r="Y136" s="635">
        <v>47.3</v>
      </c>
      <c r="Z136" s="634" t="s">
        <v>1310</v>
      </c>
      <c r="AA136" s="633" t="s">
        <v>337</v>
      </c>
      <c r="AB136" s="633" t="s">
        <v>18</v>
      </c>
      <c r="AC136" s="635">
        <v>4.5999999999999996</v>
      </c>
      <c r="AD136" s="634" t="s">
        <v>1271</v>
      </c>
      <c r="AE136" s="633" t="s">
        <v>905</v>
      </c>
      <c r="AF136" s="633" t="s">
        <v>11</v>
      </c>
      <c r="AG136" s="633">
        <v>4.3</v>
      </c>
      <c r="AH136" s="634"/>
      <c r="AL136" s="634"/>
      <c r="AO136" s="635"/>
      <c r="AP136" s="634"/>
      <c r="AT136" s="449"/>
      <c r="AW136" s="635"/>
      <c r="BA136" s="636"/>
    </row>
    <row r="137" spans="1:53" s="735" customFormat="1">
      <c r="A137" s="735">
        <v>2015</v>
      </c>
      <c r="B137" s="502"/>
      <c r="C137" s="992" t="s">
        <v>1303</v>
      </c>
      <c r="D137" s="992"/>
      <c r="E137" s="735">
        <v>28</v>
      </c>
      <c r="G137" s="642">
        <v>1</v>
      </c>
      <c r="H137" s="735">
        <v>4</v>
      </c>
      <c r="I137" s="735">
        <v>11</v>
      </c>
      <c r="J137" s="644">
        <v>17</v>
      </c>
      <c r="K137" s="640">
        <f t="shared" ref="K137:K140" si="13">G137/$J137*100</f>
        <v>5.8823529411764701</v>
      </c>
      <c r="L137" s="640">
        <f t="shared" ref="L137:L140" si="14">H137/$J137*100</f>
        <v>23.52941176470588</v>
      </c>
      <c r="M137" s="640">
        <f t="shared" ref="M137:M140" si="15">I137/$J137*100</f>
        <v>64.705882352941174</v>
      </c>
      <c r="N137" s="643">
        <f t="shared" ref="N137:N140" si="16">K137+L137+M137</f>
        <v>94.117647058823522</v>
      </c>
      <c r="O137" s="639">
        <v>4.3</v>
      </c>
      <c r="P137" s="640">
        <v>4.5999999999999996</v>
      </c>
      <c r="Q137" s="640">
        <v>47.3</v>
      </c>
      <c r="R137" s="641">
        <f t="shared" ref="R137:R138" si="17">O137+P137+Q137</f>
        <v>56.199999999999996</v>
      </c>
      <c r="S137" s="735">
        <v>3</v>
      </c>
      <c r="T137" s="487"/>
      <c r="U137" s="730"/>
      <c r="V137" s="634" t="s">
        <v>565</v>
      </c>
      <c r="W137" s="735" t="s">
        <v>314</v>
      </c>
      <c r="X137" s="735" t="s">
        <v>12</v>
      </c>
      <c r="Y137" s="635">
        <v>47.3</v>
      </c>
      <c r="Z137" s="634" t="s">
        <v>1310</v>
      </c>
      <c r="AA137" s="735" t="s">
        <v>337</v>
      </c>
      <c r="AB137" s="735" t="s">
        <v>18</v>
      </c>
      <c r="AC137" s="635">
        <v>4.5999999999999996</v>
      </c>
      <c r="AD137" s="634" t="s">
        <v>1271</v>
      </c>
      <c r="AE137" s="735" t="s">
        <v>905</v>
      </c>
      <c r="AF137" s="735" t="s">
        <v>11</v>
      </c>
      <c r="AG137" s="735">
        <v>4.3</v>
      </c>
      <c r="AH137" s="634"/>
      <c r="AL137" s="634"/>
      <c r="AO137" s="635"/>
      <c r="AP137" s="634"/>
      <c r="AT137" s="449"/>
      <c r="AW137" s="635"/>
      <c r="BA137" s="636"/>
    </row>
    <row r="138" spans="1:53" s="735" customFormat="1">
      <c r="A138" s="735">
        <v>2015</v>
      </c>
      <c r="B138" s="502">
        <v>42033</v>
      </c>
      <c r="C138" s="992" t="s">
        <v>1303</v>
      </c>
      <c r="D138" s="992"/>
      <c r="E138" s="735">
        <v>8</v>
      </c>
      <c r="F138" s="501">
        <v>0</v>
      </c>
      <c r="G138" s="642">
        <v>1</v>
      </c>
      <c r="H138" s="735">
        <v>5</v>
      </c>
      <c r="I138" s="735">
        <v>10</v>
      </c>
      <c r="J138" s="644">
        <v>17</v>
      </c>
      <c r="K138" s="640">
        <f t="shared" si="13"/>
        <v>5.8823529411764701</v>
      </c>
      <c r="L138" s="640">
        <f t="shared" si="14"/>
        <v>29.411764705882355</v>
      </c>
      <c r="M138" s="640">
        <f t="shared" si="15"/>
        <v>58.82352941176471</v>
      </c>
      <c r="N138" s="643">
        <f t="shared" si="16"/>
        <v>94.117647058823536</v>
      </c>
      <c r="O138" s="639">
        <v>4.3</v>
      </c>
      <c r="P138" s="640">
        <v>4.5999999999999996</v>
      </c>
      <c r="Q138" s="640">
        <v>47.3</v>
      </c>
      <c r="R138" s="641">
        <f t="shared" si="17"/>
        <v>56.199999999999996</v>
      </c>
      <c r="S138" s="735">
        <v>3</v>
      </c>
      <c r="T138" s="487"/>
      <c r="U138" s="730"/>
      <c r="V138" s="634" t="s">
        <v>565</v>
      </c>
      <c r="W138" s="735" t="s">
        <v>314</v>
      </c>
      <c r="X138" s="735" t="s">
        <v>12</v>
      </c>
      <c r="Y138" s="635">
        <v>47.3</v>
      </c>
      <c r="Z138" s="634" t="s">
        <v>1310</v>
      </c>
      <c r="AA138" s="735" t="s">
        <v>337</v>
      </c>
      <c r="AB138" s="735" t="s">
        <v>18</v>
      </c>
      <c r="AC138" s="635">
        <v>4.5999999999999996</v>
      </c>
      <c r="AD138" s="634" t="s">
        <v>1271</v>
      </c>
      <c r="AE138" s="735" t="s">
        <v>905</v>
      </c>
      <c r="AF138" s="735" t="s">
        <v>11</v>
      </c>
      <c r="AG138" s="735">
        <v>4.3</v>
      </c>
      <c r="AH138" s="634"/>
      <c r="AL138" s="634"/>
      <c r="AO138" s="635"/>
      <c r="AP138" s="634"/>
      <c r="AT138" s="449"/>
      <c r="AW138" s="635"/>
      <c r="BA138" s="636"/>
    </row>
    <row r="139" spans="1:53" s="735" customFormat="1">
      <c r="A139" s="735">
        <v>2015</v>
      </c>
      <c r="B139" s="502">
        <v>42041</v>
      </c>
      <c r="C139" s="992" t="s">
        <v>1303</v>
      </c>
      <c r="D139" s="992"/>
      <c r="E139" s="735">
        <v>55</v>
      </c>
      <c r="F139" s="501">
        <v>0</v>
      </c>
      <c r="G139" s="642"/>
      <c r="H139" s="735">
        <v>5</v>
      </c>
      <c r="I139" s="735">
        <v>11</v>
      </c>
      <c r="J139" s="644">
        <v>17</v>
      </c>
      <c r="K139" s="640">
        <f t="shared" si="13"/>
        <v>0</v>
      </c>
      <c r="L139" s="640">
        <f t="shared" si="14"/>
        <v>29.411764705882355</v>
      </c>
      <c r="M139" s="640">
        <f t="shared" si="15"/>
        <v>64.705882352941174</v>
      </c>
      <c r="N139" s="643">
        <f t="shared" si="16"/>
        <v>94.117647058823536</v>
      </c>
      <c r="O139" s="639"/>
      <c r="P139" s="640">
        <v>4.5999999999999996</v>
      </c>
      <c r="Q139" s="640">
        <v>47.3</v>
      </c>
      <c r="R139" s="641">
        <f t="shared" ref="R139:R142" si="18">O139+P139+Q139</f>
        <v>51.9</v>
      </c>
      <c r="S139" s="735">
        <v>2</v>
      </c>
      <c r="T139" s="487"/>
      <c r="U139" s="730"/>
      <c r="V139" s="634" t="s">
        <v>565</v>
      </c>
      <c r="W139" s="735" t="s">
        <v>314</v>
      </c>
      <c r="X139" s="735" t="s">
        <v>12</v>
      </c>
      <c r="Y139" s="635">
        <v>47.3</v>
      </c>
      <c r="Z139" s="634" t="s">
        <v>1310</v>
      </c>
      <c r="AA139" s="735" t="s">
        <v>337</v>
      </c>
      <c r="AB139" s="735" t="s">
        <v>18</v>
      </c>
      <c r="AC139" s="635">
        <v>4.5999999999999996</v>
      </c>
      <c r="AD139" s="634"/>
      <c r="AG139" s="635"/>
      <c r="AH139" s="634"/>
      <c r="AL139" s="634"/>
      <c r="AO139" s="635"/>
      <c r="AP139" s="634"/>
      <c r="AT139" s="449"/>
      <c r="AW139" s="635"/>
      <c r="BA139" s="636"/>
    </row>
    <row r="140" spans="1:53" s="735" customFormat="1">
      <c r="A140" s="735">
        <v>2015</v>
      </c>
      <c r="B140" s="502">
        <v>42096</v>
      </c>
      <c r="C140" s="992" t="s">
        <v>1303</v>
      </c>
      <c r="D140" s="992"/>
      <c r="E140" s="735">
        <v>274</v>
      </c>
      <c r="F140" s="501">
        <v>0</v>
      </c>
      <c r="G140" s="642"/>
      <c r="H140" s="735">
        <v>4</v>
      </c>
      <c r="I140" s="735">
        <v>12</v>
      </c>
      <c r="J140" s="644">
        <v>17</v>
      </c>
      <c r="K140" s="640">
        <f t="shared" si="13"/>
        <v>0</v>
      </c>
      <c r="L140" s="640">
        <f t="shared" si="14"/>
        <v>23.52941176470588</v>
      </c>
      <c r="M140" s="640">
        <f t="shared" si="15"/>
        <v>70.588235294117652</v>
      </c>
      <c r="N140" s="643">
        <f t="shared" si="16"/>
        <v>94.117647058823536</v>
      </c>
      <c r="O140" s="639"/>
      <c r="P140" s="640">
        <v>4.5999999999999996</v>
      </c>
      <c r="Q140" s="640">
        <v>47.3</v>
      </c>
      <c r="R140" s="641">
        <f t="shared" si="18"/>
        <v>51.9</v>
      </c>
      <c r="S140" s="735">
        <v>2</v>
      </c>
      <c r="T140" s="487"/>
      <c r="U140" s="730"/>
      <c r="V140" s="634" t="s">
        <v>565</v>
      </c>
      <c r="W140" s="735" t="s">
        <v>314</v>
      </c>
      <c r="X140" s="735" t="s">
        <v>12</v>
      </c>
      <c r="Y140" s="635">
        <v>47.3</v>
      </c>
      <c r="Z140" s="634" t="s">
        <v>1310</v>
      </c>
      <c r="AA140" s="735" t="s">
        <v>337</v>
      </c>
      <c r="AB140" s="735" t="s">
        <v>18</v>
      </c>
      <c r="AC140" s="635">
        <v>4.5999999999999996</v>
      </c>
      <c r="AD140" s="634"/>
      <c r="AG140" s="635"/>
      <c r="AH140" s="634"/>
      <c r="AL140" s="634"/>
      <c r="AO140" s="635"/>
      <c r="AP140" s="634"/>
      <c r="AT140" s="449"/>
      <c r="AW140" s="635"/>
      <c r="BA140" s="636"/>
    </row>
    <row r="141" spans="1:53" s="812" customFormat="1">
      <c r="A141" s="812">
        <v>2016</v>
      </c>
      <c r="B141" s="502"/>
      <c r="C141" s="992" t="s">
        <v>1303</v>
      </c>
      <c r="D141" s="992"/>
      <c r="E141" s="812">
        <v>95</v>
      </c>
      <c r="F141" s="501"/>
      <c r="G141" s="642"/>
      <c r="H141" s="865">
        <v>4</v>
      </c>
      <c r="I141" s="865">
        <v>12</v>
      </c>
      <c r="J141" s="644">
        <v>17</v>
      </c>
      <c r="K141" s="640">
        <f t="shared" ref="K141" si="19">G141/$J141*100</f>
        <v>0</v>
      </c>
      <c r="L141" s="640">
        <f t="shared" ref="L141" si="20">H141/$J141*100</f>
        <v>23.52941176470588</v>
      </c>
      <c r="M141" s="640">
        <f t="shared" ref="M141" si="21">I141/$J141*100</f>
        <v>70.588235294117652</v>
      </c>
      <c r="N141" s="643">
        <f t="shared" ref="N141" si="22">K141+L141+M141</f>
        <v>94.117647058823536</v>
      </c>
      <c r="O141" s="639"/>
      <c r="P141" s="640">
        <v>4.5999999999999996</v>
      </c>
      <c r="Q141" s="640">
        <v>47.3</v>
      </c>
      <c r="R141" s="641">
        <f t="shared" si="18"/>
        <v>51.9</v>
      </c>
      <c r="S141" s="823">
        <v>2</v>
      </c>
      <c r="T141" s="487"/>
      <c r="U141" s="811"/>
      <c r="V141" s="634" t="s">
        <v>565</v>
      </c>
      <c r="W141" s="823" t="s">
        <v>314</v>
      </c>
      <c r="X141" s="823" t="s">
        <v>12</v>
      </c>
      <c r="Y141" s="635">
        <v>47.3</v>
      </c>
      <c r="Z141" s="634" t="s">
        <v>1310</v>
      </c>
      <c r="AA141" s="823" t="s">
        <v>337</v>
      </c>
      <c r="AB141" s="823" t="s">
        <v>18</v>
      </c>
      <c r="AC141" s="635">
        <v>4.5999999999999996</v>
      </c>
      <c r="AD141" s="634"/>
      <c r="AG141" s="635"/>
      <c r="AH141" s="634"/>
      <c r="AL141" s="634"/>
      <c r="AO141" s="635"/>
      <c r="AP141" s="634"/>
      <c r="AT141" s="449"/>
      <c r="AW141" s="635"/>
      <c r="BA141" s="636"/>
    </row>
    <row r="142" spans="1:53" s="812" customFormat="1">
      <c r="A142" s="812">
        <v>2016</v>
      </c>
      <c r="B142" s="502">
        <v>42465</v>
      </c>
      <c r="C142" s="992" t="s">
        <v>1303</v>
      </c>
      <c r="D142" s="992"/>
      <c r="E142" s="812">
        <v>251</v>
      </c>
      <c r="F142" s="501">
        <v>0</v>
      </c>
      <c r="G142" s="642"/>
      <c r="H142" s="812">
        <v>3</v>
      </c>
      <c r="I142" s="812">
        <v>12</v>
      </c>
      <c r="J142" s="644">
        <v>16</v>
      </c>
      <c r="K142" s="640">
        <f t="shared" ref="K142" si="23">G142/$J142*100</f>
        <v>0</v>
      </c>
      <c r="L142" s="640">
        <f t="shared" ref="L142" si="24">H142/$J142*100</f>
        <v>18.75</v>
      </c>
      <c r="M142" s="640">
        <f t="shared" ref="M142" si="25">I142/$J142*100</f>
        <v>75</v>
      </c>
      <c r="N142" s="643">
        <f t="shared" ref="N142" si="26">K142+L142+M142</f>
        <v>93.75</v>
      </c>
      <c r="O142" s="639"/>
      <c r="P142" s="640">
        <v>4.5999999999999996</v>
      </c>
      <c r="Q142" s="640">
        <v>47.3</v>
      </c>
      <c r="R142" s="641">
        <f t="shared" si="18"/>
        <v>51.9</v>
      </c>
      <c r="S142" s="823">
        <v>2</v>
      </c>
      <c r="T142" s="487"/>
      <c r="U142" s="811"/>
      <c r="V142" s="634" t="s">
        <v>565</v>
      </c>
      <c r="W142" s="823" t="s">
        <v>314</v>
      </c>
      <c r="X142" s="823" t="s">
        <v>12</v>
      </c>
      <c r="Y142" s="635">
        <v>47.3</v>
      </c>
      <c r="Z142" s="634" t="s">
        <v>1310</v>
      </c>
      <c r="AA142" s="823" t="s">
        <v>337</v>
      </c>
      <c r="AB142" s="823" t="s">
        <v>18</v>
      </c>
      <c r="AC142" s="635">
        <v>4.5999999999999996</v>
      </c>
      <c r="AD142" s="634"/>
      <c r="AG142" s="635"/>
      <c r="AH142" s="634"/>
      <c r="AL142" s="634"/>
      <c r="AO142" s="635"/>
      <c r="AP142" s="634"/>
      <c r="AT142" s="449"/>
      <c r="AW142" s="635"/>
      <c r="BA142" s="636"/>
    </row>
    <row r="143" spans="1:53" s="822" customFormat="1">
      <c r="A143" s="822">
        <v>2016</v>
      </c>
      <c r="B143" s="819">
        <v>42716</v>
      </c>
      <c r="C143" s="988" t="s">
        <v>1358</v>
      </c>
      <c r="D143" s="988"/>
      <c r="E143" s="822">
        <v>20</v>
      </c>
      <c r="F143" s="822">
        <v>2</v>
      </c>
      <c r="G143" s="596"/>
      <c r="H143" s="822">
        <v>4</v>
      </c>
      <c r="I143" s="822">
        <v>13</v>
      </c>
      <c r="J143" s="598">
        <v>19</v>
      </c>
      <c r="K143" s="593">
        <f>G143/$J143*100</f>
        <v>0</v>
      </c>
      <c r="L143" s="593">
        <f>H143/$J143*100</f>
        <v>21.052631578947366</v>
      </c>
      <c r="M143" s="593">
        <f>I143/$J143*100</f>
        <v>68.421052631578945</v>
      </c>
      <c r="N143" s="597">
        <f>K143+L143+M143</f>
        <v>89.473684210526315</v>
      </c>
      <c r="O143" s="592"/>
      <c r="P143" s="593">
        <v>4.0999999999999996</v>
      </c>
      <c r="Q143" s="593">
        <v>48.1</v>
      </c>
      <c r="R143" s="594">
        <f>O143+P143+Q143</f>
        <v>52.2</v>
      </c>
      <c r="S143" s="822">
        <v>2</v>
      </c>
      <c r="T143" s="595"/>
      <c r="U143" s="819">
        <v>42716</v>
      </c>
      <c r="V143" s="588" t="s">
        <v>565</v>
      </c>
      <c r="W143" s="822" t="s">
        <v>314</v>
      </c>
      <c r="X143" s="822" t="s">
        <v>12</v>
      </c>
      <c r="Y143" s="589">
        <v>48.1</v>
      </c>
      <c r="Z143" s="588" t="s">
        <v>1309</v>
      </c>
      <c r="AA143" s="822" t="s">
        <v>337</v>
      </c>
      <c r="AB143" s="822" t="s">
        <v>18</v>
      </c>
      <c r="AC143" s="589">
        <v>4.0999999999999996</v>
      </c>
      <c r="AD143" s="588"/>
      <c r="AG143" s="589"/>
      <c r="AH143" s="588"/>
      <c r="AL143" s="588"/>
      <c r="AO143" s="589"/>
      <c r="AP143" s="588"/>
      <c r="AT143" s="161"/>
      <c r="AW143" s="589"/>
      <c r="BA143" s="590"/>
    </row>
    <row r="144" spans="1:53" s="896" customFormat="1">
      <c r="A144" s="896">
        <v>2017</v>
      </c>
      <c r="B144" s="894"/>
      <c r="C144" s="988" t="s">
        <v>1358</v>
      </c>
      <c r="D144" s="988"/>
      <c r="E144" s="896">
        <v>209</v>
      </c>
      <c r="G144" s="596"/>
      <c r="H144" s="896">
        <v>4</v>
      </c>
      <c r="I144" s="896">
        <v>13</v>
      </c>
      <c r="J144" s="598">
        <v>19</v>
      </c>
      <c r="K144" s="593">
        <f t="shared" ref="K144:K146" si="27">G144/$J144*100</f>
        <v>0</v>
      </c>
      <c r="L144" s="593">
        <f t="shared" ref="L144:L146" si="28">H144/$J144*100</f>
        <v>21.052631578947366</v>
      </c>
      <c r="M144" s="593">
        <f t="shared" ref="M144:M146" si="29">I144/$J144*100</f>
        <v>68.421052631578945</v>
      </c>
      <c r="N144" s="597">
        <f t="shared" ref="N144:N146" si="30">K144+L144+M144</f>
        <v>89.473684210526315</v>
      </c>
      <c r="O144" s="592"/>
      <c r="P144" s="593">
        <v>4.0999999999999996</v>
      </c>
      <c r="Q144" s="593">
        <v>48.1</v>
      </c>
      <c r="R144" s="594">
        <f>O144+P144+Q144</f>
        <v>52.2</v>
      </c>
      <c r="S144" s="896">
        <v>2</v>
      </c>
      <c r="T144" s="595"/>
      <c r="U144" s="894"/>
      <c r="V144" s="588" t="s">
        <v>565</v>
      </c>
      <c r="W144" s="896" t="s">
        <v>314</v>
      </c>
      <c r="X144" s="896" t="s">
        <v>12</v>
      </c>
      <c r="Y144" s="589">
        <v>48.1</v>
      </c>
      <c r="Z144" s="588" t="s">
        <v>1309</v>
      </c>
      <c r="AA144" s="896" t="s">
        <v>337</v>
      </c>
      <c r="AB144" s="896" t="s">
        <v>18</v>
      </c>
      <c r="AC144" s="589">
        <v>4.0999999999999996</v>
      </c>
      <c r="AD144" s="588"/>
      <c r="AG144" s="589"/>
      <c r="AH144" s="588"/>
      <c r="AL144" s="588"/>
      <c r="AO144" s="589"/>
      <c r="AP144" s="588"/>
      <c r="AT144" s="161"/>
      <c r="AW144" s="589"/>
      <c r="BA144" s="590"/>
    </row>
    <row r="145" spans="1:54" s="896" customFormat="1">
      <c r="A145" s="896">
        <v>2017</v>
      </c>
      <c r="B145" s="599">
        <v>42945</v>
      </c>
      <c r="C145" s="988" t="s">
        <v>1358</v>
      </c>
      <c r="D145" s="988"/>
      <c r="E145" s="896">
        <v>156</v>
      </c>
      <c r="F145" s="600">
        <v>0</v>
      </c>
      <c r="G145" s="596"/>
      <c r="H145" s="896">
        <v>3</v>
      </c>
      <c r="I145" s="896">
        <v>14</v>
      </c>
      <c r="J145" s="598">
        <v>19</v>
      </c>
      <c r="K145" s="593">
        <f t="shared" si="27"/>
        <v>0</v>
      </c>
      <c r="L145" s="593">
        <f t="shared" si="28"/>
        <v>15.789473684210526</v>
      </c>
      <c r="M145" s="593">
        <f t="shared" si="29"/>
        <v>73.68421052631578</v>
      </c>
      <c r="N145" s="597">
        <f t="shared" si="30"/>
        <v>89.473684210526301</v>
      </c>
      <c r="O145" s="592"/>
      <c r="P145" s="593">
        <v>4.0999999999999996</v>
      </c>
      <c r="Q145" s="593">
        <v>48.1</v>
      </c>
      <c r="R145" s="594">
        <f>O145+P145+Q145</f>
        <v>52.2</v>
      </c>
      <c r="S145" s="896">
        <v>2</v>
      </c>
      <c r="T145" s="595"/>
      <c r="U145" s="894"/>
      <c r="V145" s="588" t="s">
        <v>565</v>
      </c>
      <c r="W145" s="896" t="s">
        <v>314</v>
      </c>
      <c r="X145" s="896" t="s">
        <v>12</v>
      </c>
      <c r="Y145" s="589">
        <v>48.1</v>
      </c>
      <c r="Z145" s="588" t="s">
        <v>1309</v>
      </c>
      <c r="AA145" s="896" t="s">
        <v>337</v>
      </c>
      <c r="AB145" s="896" t="s">
        <v>18</v>
      </c>
      <c r="AC145" s="589">
        <v>4.0999999999999996</v>
      </c>
      <c r="AD145" s="588"/>
      <c r="AG145" s="589"/>
      <c r="AH145" s="588"/>
      <c r="AL145" s="588"/>
      <c r="AO145" s="589"/>
      <c r="AP145" s="588"/>
      <c r="AT145" s="161"/>
      <c r="AW145" s="589"/>
      <c r="BA145" s="590"/>
    </row>
    <row r="146" spans="1:54" s="933" customFormat="1">
      <c r="A146" s="933">
        <v>2018</v>
      </c>
      <c r="B146" s="599"/>
      <c r="C146" s="988" t="s">
        <v>1358</v>
      </c>
      <c r="D146" s="988"/>
      <c r="E146" s="933">
        <v>151</v>
      </c>
      <c r="F146" s="600"/>
      <c r="G146" s="596"/>
      <c r="H146" s="933">
        <v>3</v>
      </c>
      <c r="I146" s="933">
        <v>14</v>
      </c>
      <c r="J146" s="598">
        <v>19</v>
      </c>
      <c r="K146" s="593">
        <f t="shared" si="27"/>
        <v>0</v>
      </c>
      <c r="L146" s="593">
        <f t="shared" si="28"/>
        <v>15.789473684210526</v>
      </c>
      <c r="M146" s="593">
        <f t="shared" si="29"/>
        <v>73.68421052631578</v>
      </c>
      <c r="N146" s="597">
        <f t="shared" si="30"/>
        <v>89.473684210526301</v>
      </c>
      <c r="O146" s="592"/>
      <c r="P146" s="593">
        <v>4.0999999999999996</v>
      </c>
      <c r="Q146" s="593">
        <v>48.1</v>
      </c>
      <c r="R146" s="594">
        <f>O146+P146+Q146</f>
        <v>52.2</v>
      </c>
      <c r="S146" s="933">
        <v>2</v>
      </c>
      <c r="T146" s="595"/>
      <c r="U146" s="929"/>
      <c r="V146" s="588" t="s">
        <v>565</v>
      </c>
      <c r="W146" s="933" t="s">
        <v>314</v>
      </c>
      <c r="X146" s="933" t="s">
        <v>12</v>
      </c>
      <c r="Y146" s="589">
        <v>48.1</v>
      </c>
      <c r="Z146" s="588" t="s">
        <v>1309</v>
      </c>
      <c r="AA146" s="933" t="s">
        <v>337</v>
      </c>
      <c r="AB146" s="933" t="s">
        <v>18</v>
      </c>
      <c r="AC146" s="589">
        <v>4.0999999999999996</v>
      </c>
      <c r="AD146" s="588"/>
      <c r="AG146" s="589"/>
      <c r="AH146" s="588"/>
      <c r="AL146" s="588"/>
      <c r="AO146" s="589"/>
      <c r="AP146" s="588"/>
      <c r="AT146" s="161"/>
      <c r="AW146" s="589"/>
      <c r="BA146" s="590"/>
    </row>
    <row r="147" spans="1:54" s="932" customFormat="1">
      <c r="A147" s="932">
        <v>2018</v>
      </c>
      <c r="B147" s="928">
        <v>43252</v>
      </c>
      <c r="C147" s="992" t="s">
        <v>1412</v>
      </c>
      <c r="D147" s="992"/>
      <c r="E147" s="932">
        <v>214</v>
      </c>
      <c r="F147" s="932">
        <v>1</v>
      </c>
      <c r="G147" s="955">
        <v>5</v>
      </c>
      <c r="H147" s="932">
        <v>8</v>
      </c>
      <c r="J147" s="644">
        <v>19</v>
      </c>
      <c r="K147" s="640">
        <f>G147/$J147*100</f>
        <v>26.315789473684209</v>
      </c>
      <c r="L147" s="640">
        <f>H147/$J147*100</f>
        <v>42.105263157894733</v>
      </c>
      <c r="M147" s="640">
        <f t="shared" ref="M147" si="31">I147/$J147*100</f>
        <v>0</v>
      </c>
      <c r="N147" s="643">
        <f t="shared" ref="N147" si="32">K147+L147+M147</f>
        <v>68.421052631578945</v>
      </c>
      <c r="O147" s="639">
        <v>19.600000000000001</v>
      </c>
      <c r="P147" s="640">
        <v>35.9</v>
      </c>
      <c r="Q147" s="640"/>
      <c r="R147" s="641">
        <f>O147+P147+Q147</f>
        <v>55.5</v>
      </c>
      <c r="S147" s="932">
        <v>2</v>
      </c>
      <c r="T147" s="487">
        <v>43252</v>
      </c>
      <c r="U147" s="928">
        <v>43163</v>
      </c>
      <c r="V147" s="634" t="s">
        <v>1413</v>
      </c>
      <c r="W147" s="932" t="s">
        <v>1414</v>
      </c>
      <c r="X147" s="955" t="s">
        <v>18</v>
      </c>
      <c r="Y147" s="635">
        <v>35.9</v>
      </c>
      <c r="Z147" s="634" t="s">
        <v>1415</v>
      </c>
      <c r="AA147" s="932" t="s">
        <v>304</v>
      </c>
      <c r="AB147" s="932" t="s">
        <v>11</v>
      </c>
      <c r="AC147" s="635">
        <v>19.600000000000001</v>
      </c>
      <c r="AD147" s="634"/>
      <c r="AH147" s="634"/>
      <c r="AL147" s="634"/>
      <c r="AO147" s="635"/>
      <c r="AP147" s="634"/>
      <c r="AT147" s="449"/>
      <c r="AW147" s="635"/>
      <c r="BA147" s="636"/>
    </row>
    <row r="148" spans="1:54" s="896" customFormat="1">
      <c r="B148" s="894"/>
      <c r="C148" s="988"/>
      <c r="D148" s="988"/>
      <c r="G148" s="596"/>
      <c r="J148" s="598"/>
      <c r="K148" s="593"/>
      <c r="L148" s="593"/>
      <c r="M148" s="593"/>
      <c r="N148" s="597"/>
      <c r="O148" s="592"/>
      <c r="P148" s="593"/>
      <c r="Q148" s="593"/>
      <c r="R148" s="594"/>
      <c r="T148" s="595"/>
      <c r="U148" s="894"/>
      <c r="V148" s="588"/>
      <c r="Y148" s="589"/>
      <c r="Z148" s="588"/>
      <c r="AC148" s="589"/>
      <c r="AD148" s="588"/>
      <c r="AG148" s="589"/>
      <c r="AH148" s="588"/>
      <c r="AL148" s="588"/>
      <c r="AO148" s="589"/>
      <c r="AP148" s="588"/>
      <c r="AT148" s="161"/>
      <c r="AW148" s="589"/>
      <c r="BA148" s="590"/>
    </row>
    <row r="149" spans="1:54" s="2" customFormat="1" ht="18" customHeight="1">
      <c r="B149" s="22" t="s">
        <v>1278</v>
      </c>
      <c r="H149" s="6"/>
    </row>
    <row r="150" spans="1:54" s="2" customFormat="1" ht="9" customHeight="1">
      <c r="H150" s="6"/>
    </row>
    <row r="151" spans="1:54" s="364" customFormat="1" ht="9" customHeight="1">
      <c r="A151" s="362"/>
      <c r="B151" s="363" t="s">
        <v>1229</v>
      </c>
      <c r="C151" s="363"/>
      <c r="D151" s="363"/>
      <c r="E151" s="363"/>
      <c r="F151" s="363"/>
      <c r="G151" s="363" t="s">
        <v>1230</v>
      </c>
      <c r="H151" s="363"/>
      <c r="I151" s="363"/>
      <c r="J151" s="363"/>
      <c r="K151" s="363"/>
      <c r="L151" s="363"/>
      <c r="M151" s="363"/>
      <c r="N151" s="363"/>
      <c r="R151" s="982" t="s">
        <v>1231</v>
      </c>
      <c r="S151" s="982"/>
      <c r="T151" s="982"/>
      <c r="U151" s="982"/>
      <c r="V151" s="982"/>
      <c r="W151" s="982"/>
      <c r="X151" s="365"/>
      <c r="Y151" s="365"/>
      <c r="AA151" s="365"/>
      <c r="AB151" s="365"/>
      <c r="AC151" s="365"/>
      <c r="AD151" s="365"/>
    </row>
    <row r="152" spans="1:54" s="369" customFormat="1" ht="9" customHeight="1">
      <c r="A152" s="366"/>
      <c r="B152" s="367" t="s">
        <v>1233</v>
      </c>
      <c r="C152" s="368"/>
      <c r="D152" s="368"/>
      <c r="E152" s="368"/>
      <c r="F152" s="368"/>
      <c r="G152" s="367" t="s">
        <v>1232</v>
      </c>
      <c r="H152" s="368"/>
      <c r="I152" s="368"/>
      <c r="J152" s="368"/>
      <c r="K152" s="368"/>
      <c r="L152" s="368"/>
      <c r="M152" s="368"/>
      <c r="N152" s="368"/>
      <c r="R152" s="370" t="s">
        <v>1234</v>
      </c>
      <c r="S152" s="371"/>
      <c r="T152" s="372"/>
      <c r="U152" s="372"/>
      <c r="V152" s="372"/>
      <c r="W152" s="370" t="s">
        <v>1235</v>
      </c>
      <c r="X152" s="372"/>
      <c r="Y152" s="372"/>
      <c r="AA152" s="372"/>
      <c r="AB152" s="372"/>
      <c r="AC152" s="372"/>
      <c r="AD152" s="372"/>
    </row>
    <row r="153" spans="1:54" s="351" customFormat="1" ht="12" customHeight="1">
      <c r="A153" s="373" t="s">
        <v>3</v>
      </c>
      <c r="B153" s="374" t="s">
        <v>8</v>
      </c>
      <c r="C153" s="374" t="s">
        <v>9</v>
      </c>
      <c r="D153" s="374" t="s">
        <v>10</v>
      </c>
      <c r="E153" s="375" t="s">
        <v>1209</v>
      </c>
      <c r="F153" s="374"/>
      <c r="G153" s="351" t="s">
        <v>3</v>
      </c>
      <c r="H153" s="983" t="s">
        <v>0</v>
      </c>
      <c r="I153" s="983"/>
      <c r="J153" s="983" t="s">
        <v>1</v>
      </c>
      <c r="K153" s="983"/>
      <c r="L153" s="983" t="s">
        <v>2</v>
      </c>
      <c r="M153" s="983"/>
      <c r="N153" s="984" t="s">
        <v>1209</v>
      </c>
      <c r="O153" s="984"/>
      <c r="P153" s="376"/>
      <c r="Q153" s="376"/>
      <c r="R153" s="377" t="s">
        <v>3</v>
      </c>
      <c r="S153" s="378" t="s">
        <v>136</v>
      </c>
      <c r="T153" s="376" t="s">
        <v>134</v>
      </c>
      <c r="U153" s="374" t="s">
        <v>135</v>
      </c>
      <c r="V153" s="376"/>
      <c r="W153" s="379" t="s">
        <v>26</v>
      </c>
    </row>
    <row r="154" spans="1:54" s="273" customFormat="1">
      <c r="A154" s="273">
        <v>1959</v>
      </c>
      <c r="B154" s="260">
        <f>(K6*($E6/365)) + (K7*($E7/365))</f>
        <v>0</v>
      </c>
      <c r="C154" s="260">
        <f>(L6*($E6/365)) + (L7*($E7/365))</f>
        <v>98.109589041095887</v>
      </c>
      <c r="D154" s="260">
        <f>(M6*($E6/365)) + (M7*($E7/365))</f>
        <v>1.8904109589041098</v>
      </c>
      <c r="E154" s="261">
        <f>B154+C154+D154</f>
        <v>100</v>
      </c>
      <c r="G154" s="273">
        <v>1959</v>
      </c>
      <c r="H154" s="991">
        <f>(O6/$R6*100*($E6/365))+(O7/$R7*100*($E7/365))</f>
        <v>0</v>
      </c>
      <c r="I154" s="991"/>
      <c r="J154" s="991">
        <f>(P6/$R6*100*($E6/365))+(P7/$R7*100*($E7/365))</f>
        <v>99.057977030579778</v>
      </c>
      <c r="K154" s="991"/>
      <c r="L154" s="991">
        <f>(Q6/$R6*100*($E6/365))+(Q7/$R7*100*($E7/365))</f>
        <v>0.94202296942022989</v>
      </c>
      <c r="M154" s="991"/>
      <c r="N154" s="993">
        <f>H154+J154+L154</f>
        <v>100.00000000000001</v>
      </c>
      <c r="O154" s="993"/>
      <c r="R154" s="273">
        <v>1959</v>
      </c>
      <c r="S154" s="260">
        <f>(O6*($E6/365)) + (O7*($E7/365))</f>
        <v>0</v>
      </c>
      <c r="T154" s="260">
        <f>(P6*($E6/365)) + (P7*($E7/365))</f>
        <v>45.8</v>
      </c>
      <c r="U154" s="260">
        <f>(Q6*($E6/365)) + (Q7*($E7/365))</f>
        <v>0.46630136986301374</v>
      </c>
      <c r="V154" s="275"/>
      <c r="W154" s="274">
        <f>S154+T154+U154</f>
        <v>46.266301369863008</v>
      </c>
      <c r="AT154" s="280"/>
      <c r="BA154" s="326"/>
      <c r="BB154" s="288"/>
    </row>
    <row r="155" spans="1:54">
      <c r="A155" s="1">
        <v>1960</v>
      </c>
      <c r="B155" s="8">
        <f>(K8*($E8/366))+(K9*($E9/366))+(K10*($E10/366))</f>
        <v>0</v>
      </c>
      <c r="C155" s="8">
        <f>(L8*($E8/366))+(L9*($E9/366))+(L10*($E10/366))</f>
        <v>100</v>
      </c>
      <c r="D155" s="8">
        <f>(M8*($E8/366))+(M9*($E9/366))+(M10*($E10/366))</f>
        <v>0</v>
      </c>
      <c r="E155" s="48">
        <f>B155+C155+D155</f>
        <v>100</v>
      </c>
      <c r="G155" s="1">
        <v>1960</v>
      </c>
      <c r="H155" s="989">
        <f>(O8/$R8*100*($E8/366))+(O9/$R9*100*($E9/366))+(O10/$R10*100*($E10/366))</f>
        <v>0</v>
      </c>
      <c r="I155" s="989"/>
      <c r="J155" s="989">
        <f>(P8/$R8*100*($E8/366))+(P9/$R9*100*($E9/366))+(P10/$R10*100*($E10/366))</f>
        <v>100</v>
      </c>
      <c r="K155" s="989"/>
      <c r="L155" s="989">
        <f>(Q8/$R8*100*($E8/366))+(Q9/$R9*100*($E9/366))+(Q10/$R10*100*($E10/366))</f>
        <v>0</v>
      </c>
      <c r="M155" s="989"/>
      <c r="N155" s="990">
        <f>H155+J155+L155</f>
        <v>100</v>
      </c>
      <c r="O155" s="990"/>
      <c r="R155" s="1">
        <v>1960</v>
      </c>
      <c r="S155" s="8">
        <f>(O8*($E8/366))+(O9*($E9/366))+(O10*($E10/366))</f>
        <v>0</v>
      </c>
      <c r="T155" s="8">
        <f>(P8*($E8/366))+(P9*($E9/366))+(P10*($E10/366))</f>
        <v>45.8</v>
      </c>
      <c r="U155" s="8">
        <f>(Q8*($E8/366))+(Q9*($E9/366))+(Q10*($E10/366))</f>
        <v>0</v>
      </c>
      <c r="V155" s="12"/>
      <c r="W155" s="7">
        <f>S155+T155+U155</f>
        <v>45.8</v>
      </c>
    </row>
    <row r="156" spans="1:54">
      <c r="A156" s="1">
        <v>1961</v>
      </c>
      <c r="B156" s="8">
        <f>(K11*($E11/365))+(K12*($E12/365))</f>
        <v>0</v>
      </c>
      <c r="C156" s="8">
        <f>(L11*($E11/365))+(L12*($E12/365))</f>
        <v>100</v>
      </c>
      <c r="D156" s="8">
        <f>(M11*($E11/365))+(M12*($E12/365))</f>
        <v>0</v>
      </c>
      <c r="E156" s="48">
        <f t="shared" ref="E156:E207" si="33">B156+C156+D156</f>
        <v>100</v>
      </c>
      <c r="G156" s="1">
        <v>1961</v>
      </c>
      <c r="H156" s="989">
        <f>(O11/$R11*100*($E11/365))+(O12/$R12*100*($E12/365))</f>
        <v>0</v>
      </c>
      <c r="I156" s="989"/>
      <c r="J156" s="989">
        <f>(P11/$R11*100*($E11/365))+(P12/$R12*100*($E12/365))</f>
        <v>100</v>
      </c>
      <c r="K156" s="989"/>
      <c r="L156" s="989">
        <f>(Q11/$R11*100*($E11/365))+(Q12/$R12*100*($E12/365))</f>
        <v>0</v>
      </c>
      <c r="M156" s="989"/>
      <c r="N156" s="990">
        <f t="shared" ref="N156:N206" si="34">H156+J156+L156</f>
        <v>100</v>
      </c>
      <c r="O156" s="990"/>
      <c r="R156" s="1">
        <v>1961</v>
      </c>
      <c r="S156" s="8">
        <f>(O11*($E11/365))+(O12*($E12/365))</f>
        <v>0</v>
      </c>
      <c r="T156" s="8">
        <f>(P11*($E11/365))+(P12*($E12/365))</f>
        <v>45.8</v>
      </c>
      <c r="U156" s="8">
        <f>(Q11*($E11/365))+(Q12*($E12/365))</f>
        <v>0</v>
      </c>
      <c r="V156" s="12"/>
      <c r="W156" s="7">
        <f t="shared" ref="W156:W207" si="35">S156+T156+U156</f>
        <v>45.8</v>
      </c>
    </row>
    <row r="157" spans="1:54">
      <c r="A157" s="1">
        <v>1962</v>
      </c>
      <c r="B157" s="8">
        <f>(K13*($E13/365))+(K14*($E14/365))</f>
        <v>0</v>
      </c>
      <c r="C157" s="8">
        <f>(L13*($E13/365))+(L14*($E14/365))</f>
        <v>89.246575342465761</v>
      </c>
      <c r="D157" s="8">
        <f>(M13*($E13/365))+(M14*($E14/365))</f>
        <v>10.753424657534246</v>
      </c>
      <c r="E157" s="48">
        <f t="shared" si="33"/>
        <v>100</v>
      </c>
      <c r="G157" s="1">
        <v>1962</v>
      </c>
      <c r="H157" s="989">
        <f>(O13/$R13*100*($E13/365))+(O14/$R14*100*($E14/365))</f>
        <v>0</v>
      </c>
      <c r="I157" s="989"/>
      <c r="J157" s="989">
        <f>(P13/$R13*100*($E13/365))+(P14/$R14*100*($E14/365))</f>
        <v>93.697002576970021</v>
      </c>
      <c r="K157" s="989"/>
      <c r="L157" s="989">
        <f>(Q13/$R13*100*($E13/365))+(Q14/$R14*100*($E14/365))</f>
        <v>6.302997423029975</v>
      </c>
      <c r="M157" s="989"/>
      <c r="N157" s="959">
        <f t="shared" si="34"/>
        <v>100</v>
      </c>
      <c r="O157" s="959"/>
      <c r="R157" s="1">
        <v>1962</v>
      </c>
      <c r="S157" s="8">
        <f>(O13*($E13/365))+(O14*($E14/365))</f>
        <v>0</v>
      </c>
      <c r="T157" s="8">
        <f>(P13*($E13/365))+(P14*($E14/365))</f>
        <v>46.660273972602738</v>
      </c>
      <c r="U157" s="8">
        <f>(Q13*($E13/365))+(Q14*($E14/365))</f>
        <v>3.1830136986301372</v>
      </c>
      <c r="V157" s="12"/>
      <c r="W157" s="7">
        <f t="shared" si="35"/>
        <v>49.843287671232872</v>
      </c>
    </row>
    <row r="158" spans="1:54">
      <c r="A158" s="1">
        <v>1963</v>
      </c>
      <c r="B158" s="8">
        <f>(K15*($E15/365))+(K16*($E16/365))+(K17*($E17/365))</f>
        <v>0</v>
      </c>
      <c r="C158" s="8">
        <f>(L15*($E15/365))+(L16*($E16/365))+(L17*($E17/365))</f>
        <v>91.583245521601683</v>
      </c>
      <c r="D158" s="8">
        <f>(M15*($E15/365))+(M16*($E16/365))+(M17*($E17/365))</f>
        <v>8.4167544783983139</v>
      </c>
      <c r="E158" s="48">
        <f t="shared" si="33"/>
        <v>100</v>
      </c>
      <c r="G158" s="1">
        <v>1963</v>
      </c>
      <c r="H158" s="989">
        <f>(O15/$R15*100*($E15/365))+(O16/$R16*100*($E16/365))+(O17/$R17*100*($E17/365))</f>
        <v>0</v>
      </c>
      <c r="I158" s="989"/>
      <c r="J158" s="989">
        <f>(P15/$R15*100*($E15/365))+(P16/$R16*100*($E16/365))+(P17/$R17*100*($E17/365))</f>
        <v>94.283027899889106</v>
      </c>
      <c r="K158" s="989"/>
      <c r="L158" s="989">
        <f>(Q15/$R15*100*($E15/365))+(Q16/$R16*100*($E16/365))+(Q17/$R17*100*($E17/365))</f>
        <v>5.7169721001108984</v>
      </c>
      <c r="M158" s="989"/>
      <c r="N158" s="959">
        <f t="shared" si="34"/>
        <v>100</v>
      </c>
      <c r="O158" s="959"/>
      <c r="R158" s="1">
        <v>1963</v>
      </c>
      <c r="S158" s="8">
        <f>(O15*($E15/365))+(O16*($E16/365))+(O17*($E17/365))</f>
        <v>0</v>
      </c>
      <c r="T158" s="8">
        <f>(P15*($E15/365))+(P16*($E16/365))+(P17*($E17/365))</f>
        <v>43.950684931506849</v>
      </c>
      <c r="U158" s="8">
        <f>(Q15*($E15/365))+(Q16*($E16/365))+(Q17*($E17/365))</f>
        <v>3.1315068493150688</v>
      </c>
      <c r="V158" s="12"/>
      <c r="W158" s="7">
        <f t="shared" si="35"/>
        <v>47.082191780821915</v>
      </c>
    </row>
    <row r="159" spans="1:54">
      <c r="A159" s="1">
        <v>1964</v>
      </c>
      <c r="B159" s="8">
        <f>(K18*($E18/366))+(K19*($E19/366))</f>
        <v>0</v>
      </c>
      <c r="C159" s="8">
        <f>(L18*($E18/366))+(L19*($E19/366))</f>
        <v>65.384615384615387</v>
      </c>
      <c r="D159" s="8">
        <f>(M18*($E18/366))+(M19*($E19/366))</f>
        <v>34.615384615384613</v>
      </c>
      <c r="E159" s="48">
        <f t="shared" si="33"/>
        <v>100</v>
      </c>
      <c r="G159" s="1">
        <v>1964</v>
      </c>
      <c r="H159" s="989">
        <f>(O18/$R18*100*($E18/366))+(O19/$R19*100*($E19/366))</f>
        <v>0</v>
      </c>
      <c r="I159" s="989"/>
      <c r="J159" s="989">
        <f>(P18/$R18*100*($E18/366))+(P19/$R19*100*($E19/366))</f>
        <v>69.117647058823522</v>
      </c>
      <c r="K159" s="989"/>
      <c r="L159" s="989">
        <f>(Q18/$R18*100*($E18/366))+(Q19/$R19*100*($E19/366))</f>
        <v>30.882352941176471</v>
      </c>
      <c r="M159" s="989"/>
      <c r="N159" s="959">
        <f t="shared" si="34"/>
        <v>100</v>
      </c>
      <c r="O159" s="959"/>
      <c r="R159" s="1">
        <v>1964</v>
      </c>
      <c r="S159" s="8">
        <f>(O18*($E18/366))+(O19*($E19/366))</f>
        <v>0</v>
      </c>
      <c r="T159" s="8">
        <f>(P18*($E18/366))+(P19*($E19/366))</f>
        <v>42.3</v>
      </c>
      <c r="U159" s="8">
        <f>(Q18*($E18/366))+(Q19*($E19/366))</f>
        <v>18.899999999999999</v>
      </c>
      <c r="V159" s="12"/>
      <c r="W159" s="7">
        <f t="shared" si="35"/>
        <v>61.199999999999996</v>
      </c>
    </row>
    <row r="160" spans="1:54">
      <c r="A160" s="1">
        <v>1965</v>
      </c>
      <c r="B160" s="8">
        <f>(K20*($E20/365))+(K21*($E21/365))</f>
        <v>0</v>
      </c>
      <c r="C160" s="8">
        <f>(L20*($E20/365))+(L21*($E21/365))</f>
        <v>65.384615384615387</v>
      </c>
      <c r="D160" s="8">
        <f>(M20*($E20/365))+(M21*($E21/365))</f>
        <v>34.615384615384613</v>
      </c>
      <c r="E160" s="48">
        <f t="shared" si="33"/>
        <v>100</v>
      </c>
      <c r="G160" s="1">
        <v>1965</v>
      </c>
      <c r="H160" s="989">
        <f>(O20/$R20*100*($E20/365))+(O21/$R21*100*($E21/365))</f>
        <v>0</v>
      </c>
      <c r="I160" s="989"/>
      <c r="J160" s="989">
        <f>(P20/$R20*100*($E20/365))+(P21/$R21*100*($E21/365))</f>
        <v>69.117647058823522</v>
      </c>
      <c r="K160" s="989"/>
      <c r="L160" s="989">
        <f>(Q20/$R20*100*($E20/365))+(Q21/$R21*100*($E21/365))</f>
        <v>30.882352941176471</v>
      </c>
      <c r="M160" s="989"/>
      <c r="N160" s="959">
        <f t="shared" si="34"/>
        <v>100</v>
      </c>
      <c r="O160" s="959"/>
      <c r="R160" s="1">
        <v>1965</v>
      </c>
      <c r="S160" s="8">
        <f>(O20*($E20/365))+(O21*($E21/365))</f>
        <v>0</v>
      </c>
      <c r="T160" s="8">
        <f>(P20*($E20/365))+(P21*($E21/365))</f>
        <v>42.3</v>
      </c>
      <c r="U160" s="8">
        <f>(Q20*($E20/365))+(Q21*($E21/365))</f>
        <v>18.899999999999999</v>
      </c>
      <c r="V160" s="12"/>
      <c r="W160" s="7">
        <f t="shared" si="35"/>
        <v>61.199999999999996</v>
      </c>
    </row>
    <row r="161" spans="1:23">
      <c r="A161" s="1">
        <v>1966</v>
      </c>
      <c r="B161" s="8">
        <f>(K22*($E22/365))+(K23*($E23/365))</f>
        <v>0</v>
      </c>
      <c r="C161" s="8">
        <f>(L22*($E22/365))+(L23*($E23/365))</f>
        <v>65.384615384615387</v>
      </c>
      <c r="D161" s="8">
        <f>(M22*($E22/365))+(M23*($E23/365))</f>
        <v>34.615384615384613</v>
      </c>
      <c r="E161" s="48">
        <f t="shared" si="33"/>
        <v>100</v>
      </c>
      <c r="G161" s="1">
        <v>1966</v>
      </c>
      <c r="H161" s="989">
        <f>(O22/$R22*100*($E22/365))+(O23/$R23*100*($E23/365))</f>
        <v>0</v>
      </c>
      <c r="I161" s="989"/>
      <c r="J161" s="989">
        <f>(P22/$R22*100*($E22/365))+(P23/$R23*100*($E23/365))</f>
        <v>69.117647058823522</v>
      </c>
      <c r="K161" s="989"/>
      <c r="L161" s="989">
        <f>(Q22/$R22*100*($E22/365))+(Q23/$R23*100*($E23/365))</f>
        <v>30.882352941176471</v>
      </c>
      <c r="M161" s="989"/>
      <c r="N161" s="959">
        <f t="shared" si="34"/>
        <v>100</v>
      </c>
      <c r="O161" s="959"/>
      <c r="R161" s="1">
        <v>1966</v>
      </c>
      <c r="S161" s="8">
        <f>(O22*($E22/365))+(O23*($E23/365))</f>
        <v>0</v>
      </c>
      <c r="T161" s="8">
        <f>(P22*($E22/365))+(P23*($E23/365))</f>
        <v>42.3</v>
      </c>
      <c r="U161" s="8">
        <f>(Q22*($E22/365))+(Q23*($E23/365))</f>
        <v>18.899999999999999</v>
      </c>
      <c r="V161" s="12"/>
      <c r="W161" s="7">
        <f t="shared" si="35"/>
        <v>61.199999999999996</v>
      </c>
    </row>
    <row r="162" spans="1:23">
      <c r="A162" s="1">
        <v>1967</v>
      </c>
      <c r="B162" s="8">
        <f>(K24*($E24/365))+(K25*($E25/365))</f>
        <v>0</v>
      </c>
      <c r="C162" s="8">
        <f>(L24*($E24/365))+(L25*($E25/365))</f>
        <v>65.384615384615387</v>
      </c>
      <c r="D162" s="8">
        <f>(M24*($E24/365))+(M25*($E25/365))</f>
        <v>34.615384615384613</v>
      </c>
      <c r="E162" s="48">
        <f t="shared" si="33"/>
        <v>100</v>
      </c>
      <c r="G162" s="1">
        <v>1967</v>
      </c>
      <c r="H162" s="989">
        <f>(O24/$R24*100*($E24/365))+(O25/$R25*100*($E25/365))</f>
        <v>0</v>
      </c>
      <c r="I162" s="989"/>
      <c r="J162" s="989">
        <f>(P24/$R24*100*($E24/365))+(P25/$R25*100*($E25/365))</f>
        <v>69.117647058823522</v>
      </c>
      <c r="K162" s="989"/>
      <c r="L162" s="989">
        <f>(Q24/$R24*100*($E24/365))+(Q25/$R25*100*($E25/365))</f>
        <v>30.882352941176471</v>
      </c>
      <c r="M162" s="989"/>
      <c r="N162" s="959">
        <f t="shared" si="34"/>
        <v>100</v>
      </c>
      <c r="O162" s="959"/>
      <c r="R162" s="1">
        <v>1967</v>
      </c>
      <c r="S162" s="8">
        <f>(O24*($E24/365))+(O25*($E25/365))</f>
        <v>0</v>
      </c>
      <c r="T162" s="8">
        <f>(P24*($E24/365))+(P25*($E25/365))</f>
        <v>42.3</v>
      </c>
      <c r="U162" s="8">
        <f>(Q24*($E24/365))+(Q25*($E25/365))</f>
        <v>18.899999999999999</v>
      </c>
      <c r="V162" s="12"/>
      <c r="W162" s="7">
        <f t="shared" si="35"/>
        <v>61.199999999999996</v>
      </c>
    </row>
    <row r="163" spans="1:23">
      <c r="A163" s="1">
        <v>1968</v>
      </c>
      <c r="B163" s="8">
        <f>(K26*($E26/366))+(K27*($E27/366))+(K28*($E28/366))</f>
        <v>0</v>
      </c>
      <c r="C163" s="8">
        <f>(L26*($E26/366))+(L27*($E27/366))+(L28*($E28/366))</f>
        <v>81.532856942693016</v>
      </c>
      <c r="D163" s="8">
        <f>(M26*($E26/366))+(M27*($E27/366))+(M28*($E28/366))</f>
        <v>18.467143057306988</v>
      </c>
      <c r="E163" s="48">
        <f t="shared" si="33"/>
        <v>100</v>
      </c>
      <c r="G163" s="1">
        <v>1968</v>
      </c>
      <c r="H163" s="989">
        <f>(O26/$R26*100*($E26/366))+(O27/$R27*100*($E27/366))+(O28/$R28*100*($E28/366))</f>
        <v>0</v>
      </c>
      <c r="I163" s="989"/>
      <c r="J163" s="989">
        <f>(P26/$R26*100*($E26/366))+(P27/$R27*100*($E27/366))+(P28/$R28*100*($E28/366))</f>
        <v>83.792770924084735</v>
      </c>
      <c r="K163" s="989"/>
      <c r="L163" s="989">
        <f>(Q26/$R26*100*($E26/366))+(Q27/$R27*100*($E27/366))+(Q28/$R28*100*($E28/366))</f>
        <v>16.207229075915272</v>
      </c>
      <c r="M163" s="989"/>
      <c r="N163" s="959">
        <f t="shared" si="34"/>
        <v>100</v>
      </c>
      <c r="O163" s="959"/>
      <c r="R163" s="1">
        <v>1968</v>
      </c>
      <c r="S163" s="8">
        <f>(O26*($E26/366))+(O27*($E27/366))+(O28*($E28/366))</f>
        <v>0</v>
      </c>
      <c r="T163" s="8">
        <f>(P26*($E26/366))+(P27*($E27/366))+(P28*($E28/366))</f>
        <v>42.324590163934431</v>
      </c>
      <c r="U163" s="8">
        <f>(Q26*($E26/366))+(Q27*($E27/366))+(Q28*($E28/366))</f>
        <v>9.8754098360655718</v>
      </c>
      <c r="V163" s="12"/>
      <c r="W163" s="7">
        <f t="shared" si="35"/>
        <v>52.2</v>
      </c>
    </row>
    <row r="164" spans="1:23">
      <c r="A164" s="1">
        <v>1969</v>
      </c>
      <c r="B164" s="8">
        <f>(K29*($E29/365))+(K30*($E30/365))</f>
        <v>0</v>
      </c>
      <c r="C164" s="8">
        <f>(L29*($E29/365))+(L30*($E30/365))</f>
        <v>80.273972602739718</v>
      </c>
      <c r="D164" s="8">
        <f>(M29*($E29/365))+(M30*($E30/365))</f>
        <v>19.726027397260271</v>
      </c>
      <c r="E164" s="48">
        <f t="shared" si="33"/>
        <v>99.999999999999986</v>
      </c>
      <c r="G164" s="1">
        <v>1969</v>
      </c>
      <c r="H164" s="989">
        <f>(O29/$R29*100*($E29/365))+(O30/$R30*100*($E30/365))</f>
        <v>0</v>
      </c>
      <c r="I164" s="989"/>
      <c r="J164" s="989">
        <f>(P29/$R29*100*($E29/365))+(P30/$R30*100*($E30/365))</f>
        <v>85.307510628247528</v>
      </c>
      <c r="K164" s="989"/>
      <c r="L164" s="989">
        <f>(Q29/$R29*100*($E29/365))+(Q30/$R30*100*($E30/365))</f>
        <v>14.69248937175248</v>
      </c>
      <c r="M164" s="989"/>
      <c r="N164" s="959">
        <f t="shared" si="34"/>
        <v>100</v>
      </c>
      <c r="O164" s="959"/>
      <c r="R164" s="1">
        <v>1969</v>
      </c>
      <c r="S164" s="8">
        <f>(O29*($E29/365))+(O30*($E30/365))</f>
        <v>0</v>
      </c>
      <c r="T164" s="8">
        <f>(P29*($E29/365))+(P30*($E30/365))</f>
        <v>43.028493150684938</v>
      </c>
      <c r="U164" s="8">
        <f>(Q29*($E29/365))+(Q30*($E30/365))</f>
        <v>8.5216438356164392</v>
      </c>
      <c r="V164" s="12"/>
      <c r="W164" s="7">
        <f t="shared" si="35"/>
        <v>51.550136986301375</v>
      </c>
    </row>
    <row r="165" spans="1:23">
      <c r="A165" s="1">
        <v>1970</v>
      </c>
      <c r="B165" s="8">
        <f>(K31*($E31/365))+(K32*($E32/365))+(K33*($E33/365))</f>
        <v>0</v>
      </c>
      <c r="C165" s="8">
        <f>(L31*($E31/365))+(L32*($E32/365))+(L33*($E33/365))</f>
        <v>73.463796477495109</v>
      </c>
      <c r="D165" s="8">
        <f>(M31*($E31/365))+(M32*($E32/365))+(M33*($E33/365))</f>
        <v>26.536203522504891</v>
      </c>
      <c r="E165" s="48">
        <f t="shared" si="33"/>
        <v>100</v>
      </c>
      <c r="G165" s="1">
        <v>1970</v>
      </c>
      <c r="H165" s="989">
        <f>(O31/$R31*100*($E31/365))+(O32/$R32*100*($E32/365))+(O33/$R33*100*($E33/365))</f>
        <v>0</v>
      </c>
      <c r="I165" s="989"/>
      <c r="J165" s="989">
        <f>(P31/$R31*100*($E31/365))+(P32/$R32*100*($E32/365))+(P33/$R33*100*($E33/365))</f>
        <v>80.954180444024558</v>
      </c>
      <c r="K165" s="989"/>
      <c r="L165" s="989">
        <f>(Q31/$R31*100*($E31/365))+(Q32/$R32*100*($E32/365))+(Q33/$R33*100*($E33/365))</f>
        <v>19.045819555975438</v>
      </c>
      <c r="M165" s="989"/>
      <c r="N165" s="959">
        <f t="shared" si="34"/>
        <v>100</v>
      </c>
      <c r="O165" s="959"/>
      <c r="R165" s="1">
        <v>1970</v>
      </c>
      <c r="S165" s="8">
        <f>(O31*($E31/365))+(O32*($E32/365))+(O33*($E33/365))</f>
        <v>0</v>
      </c>
      <c r="T165" s="8">
        <f>(P31*($E31/365))+(P32*($E32/365))+(P33*($E33/365))</f>
        <v>43.273972602739725</v>
      </c>
      <c r="U165" s="8">
        <f>(Q31*($E31/365))+(Q32*($E32/365))+(Q33*($E33/365))</f>
        <v>11.046575342465754</v>
      </c>
      <c r="V165" s="12"/>
      <c r="W165" s="7">
        <f t="shared" si="35"/>
        <v>54.320547945205476</v>
      </c>
    </row>
    <row r="166" spans="1:23">
      <c r="A166" s="1">
        <v>1971</v>
      </c>
      <c r="B166" s="8">
        <f>(K34*($E34/365))+(K35*($E35/365))</f>
        <v>0</v>
      </c>
      <c r="C166" s="8">
        <f>(L34*($E34/365))+(L35*($E35/365))</f>
        <v>63.169529607885771</v>
      </c>
      <c r="D166" s="8">
        <f>(M34*($E34/365))+(M35*($E35/365))</f>
        <v>36.830470392114229</v>
      </c>
      <c r="E166" s="48">
        <f t="shared" si="33"/>
        <v>100</v>
      </c>
      <c r="G166" s="1">
        <v>1971</v>
      </c>
      <c r="H166" s="989">
        <f>(O34/$R34*100*($E34/365))+(O35/$R35*100*($E35/365))</f>
        <v>0</v>
      </c>
      <c r="I166" s="989"/>
      <c r="J166" s="989">
        <f>(P34/$R34*100*($E34/365))+(P35/$R35*100*($E35/365))</f>
        <v>74.654205981863129</v>
      </c>
      <c r="K166" s="989"/>
      <c r="L166" s="989">
        <f>(Q34/$R34*100*($E34/365))+(Q35/$R35*100*($E35/365))</f>
        <v>25.345794018136868</v>
      </c>
      <c r="M166" s="989"/>
      <c r="N166" s="959">
        <f t="shared" si="34"/>
        <v>100</v>
      </c>
      <c r="O166" s="959"/>
      <c r="R166" s="1">
        <v>1971</v>
      </c>
      <c r="S166" s="8">
        <f>(O34*($E34/365))+(O35*($E35/365))</f>
        <v>0</v>
      </c>
      <c r="T166" s="8">
        <f>(P34*($E34/365))+(P35*($E35/365))</f>
        <v>42.418630136986302</v>
      </c>
      <c r="U166" s="8">
        <f>(Q34*($E34/365))+(Q35*($E35/365))</f>
        <v>14.399999999999999</v>
      </c>
      <c r="V166" s="12"/>
      <c r="W166" s="7">
        <f t="shared" si="35"/>
        <v>56.8186301369863</v>
      </c>
    </row>
    <row r="167" spans="1:23">
      <c r="A167" s="1">
        <v>1972</v>
      </c>
      <c r="B167" s="8">
        <f>(K36*($E36/366))+(K37*($E37/366))+(K38*($E38/366))</f>
        <v>7.9445145018915513</v>
      </c>
      <c r="C167" s="8">
        <f>(L36*($E36/366))+(L37*($E37/366))+(L38*($E38/366))</f>
        <v>77.267526038017849</v>
      </c>
      <c r="D167" s="8">
        <f>(M36*($E36/366))+(M37*($E37/366))+(M38*($E38/366))</f>
        <v>14.78795946009061</v>
      </c>
      <c r="E167" s="48">
        <f t="shared" si="33"/>
        <v>100</v>
      </c>
      <c r="G167" s="1">
        <v>1972</v>
      </c>
      <c r="H167" s="989">
        <f>(O36/$R36*100*($E36/366))+(O37/$R37*100*($E37/366))+(O38/$R38*100*($E38/366))</f>
        <v>3.3878695042857614</v>
      </c>
      <c r="I167" s="989"/>
      <c r="J167" s="989">
        <f>(P36/$R36*100*($E36/366))+(P37/$R37*100*($E37/366))+(P38/$R38*100*($E38/366))</f>
        <v>88.553029848482538</v>
      </c>
      <c r="K167" s="989"/>
      <c r="L167" s="989">
        <f>(Q36/$R36*100*($E36/366))+(Q37/$R37*100*($E37/366))+(Q38/$R38*100*($E38/366))</f>
        <v>8.0591006472317108</v>
      </c>
      <c r="M167" s="989"/>
      <c r="N167" s="959">
        <f t="shared" si="34"/>
        <v>100.00000000000001</v>
      </c>
      <c r="O167" s="959"/>
      <c r="R167" s="1">
        <v>1972</v>
      </c>
      <c r="S167" s="8">
        <f>(O36*($E36/366))+(O37*($E37/366))+(O38*($E38/366))</f>
        <v>1.7040983606557376</v>
      </c>
      <c r="T167" s="8">
        <f>(P36*($E36/366))+(P37*($E37/366))+(P38*($E38/366))</f>
        <v>42.303278688524593</v>
      </c>
      <c r="U167" s="8">
        <f>(Q36*($E36/366))+(Q37*($E37/366))+(Q38*($E38/366))</f>
        <v>4.2639344262295076</v>
      </c>
      <c r="V167" s="12"/>
      <c r="W167" s="7">
        <f t="shared" si="35"/>
        <v>48.271311475409831</v>
      </c>
    </row>
    <row r="168" spans="1:23">
      <c r="A168" s="1">
        <v>1973</v>
      </c>
      <c r="B168" s="8">
        <f>(K39*($E39/365))+(K40*($E40/365))</f>
        <v>10.537407797681769</v>
      </c>
      <c r="C168" s="8">
        <f>(L39*($E39/365))+(L40*($E40/365))</f>
        <v>65.426401656916539</v>
      </c>
      <c r="D168" s="8">
        <f>(M39*($E39/365))+(M40*($E40/365))</f>
        <v>24.036190545401695</v>
      </c>
      <c r="E168" s="48">
        <f t="shared" si="33"/>
        <v>100</v>
      </c>
      <c r="G168" s="1">
        <v>1973</v>
      </c>
      <c r="H168" s="989">
        <f>(O39/$R39*100*($E39/365))+(O40/$R40*100*($E40/365))</f>
        <v>4.4935864266456065</v>
      </c>
      <c r="I168" s="989"/>
      <c r="J168" s="989">
        <f>(P39/$R39*100*($E39/365))+(P40/$R40*100*($E40/365))</f>
        <v>81.593255546840822</v>
      </c>
      <c r="K168" s="989"/>
      <c r="L168" s="989">
        <f>(Q39/$R39*100*($E39/365))+(Q40/$R40*100*($E40/365))</f>
        <v>13.913158026513569</v>
      </c>
      <c r="M168" s="989"/>
      <c r="N168" s="959">
        <f t="shared" si="34"/>
        <v>100</v>
      </c>
      <c r="O168" s="959"/>
      <c r="R168" s="1">
        <v>1973</v>
      </c>
      <c r="S168" s="8">
        <f>(O39*($E39/365))+(O40*($E40/365))</f>
        <v>2.2602739726027394</v>
      </c>
      <c r="T168" s="8">
        <f>(P39*($E39/365))+(P40*($E40/365))</f>
        <v>43.093150684931501</v>
      </c>
      <c r="U168" s="8">
        <f>(Q39*($E39/365))+(Q40*($E40/365))</f>
        <v>7.6561643835616433</v>
      </c>
      <c r="V168" s="12"/>
      <c r="W168" s="7">
        <f t="shared" si="35"/>
        <v>53.009589041095886</v>
      </c>
    </row>
    <row r="169" spans="1:23">
      <c r="A169" s="1">
        <v>1974</v>
      </c>
      <c r="B169" s="8">
        <f>(K41*($E41/365))+(K42*($E42/365))+(K43*($E43/365))</f>
        <v>0</v>
      </c>
      <c r="C169" s="8">
        <f>(L41*($E41/365))+(L42*($E42/365))+(L43*($E43/365))</f>
        <v>66.432905781039935</v>
      </c>
      <c r="D169" s="8">
        <f>(M41*($E41/365))+(M42*($E42/365))+(M43*($E43/365))</f>
        <v>33.567094218960072</v>
      </c>
      <c r="E169" s="48">
        <f t="shared" si="33"/>
        <v>100</v>
      </c>
      <c r="G169" s="1">
        <v>1974</v>
      </c>
      <c r="H169" s="989">
        <f>(O41/$R41*100*($E41/365))+(O42/$R42*100*($E42/365))+(O43/$R43*100*($E43/365))</f>
        <v>0</v>
      </c>
      <c r="I169" s="989"/>
      <c r="J169" s="989">
        <f>(P41/$R41*100*($E41/365))+(P42/$R42*100*($E42/365))+(P43/$R43*100*($E43/365))</f>
        <v>77.660153394894579</v>
      </c>
      <c r="K169" s="989"/>
      <c r="L169" s="989">
        <f>(Q41/$R41*100*($E41/365))+(Q42/$R42*100*($E42/365))+(Q43/$R43*100*($E43/365))</f>
        <v>22.339846605105421</v>
      </c>
      <c r="M169" s="989"/>
      <c r="N169" s="959">
        <f t="shared" si="34"/>
        <v>100</v>
      </c>
      <c r="O169" s="959"/>
      <c r="R169" s="1">
        <v>1974</v>
      </c>
      <c r="S169" s="8">
        <f>(O41*($E41/365))+(O42*($E42/365))+(O43*($E43/365))</f>
        <v>0</v>
      </c>
      <c r="T169" s="8">
        <f>(P41*($E41/365))+(P42*($E42/365))+(P43*($E43/365))</f>
        <v>43.069041095890412</v>
      </c>
      <c r="U169" s="8">
        <f>(Q41*($E41/365))+(Q42*($E42/365))+(Q43*($E43/365))</f>
        <v>12.77205479452055</v>
      </c>
      <c r="V169" s="12"/>
      <c r="W169" s="7">
        <f t="shared" si="35"/>
        <v>55.841095890410962</v>
      </c>
    </row>
    <row r="170" spans="1:23">
      <c r="A170" s="1">
        <v>1975</v>
      </c>
      <c r="B170" s="8">
        <f>(K44*($E44/365))+(K45*($E45/365))</f>
        <v>0</v>
      </c>
      <c r="C170" s="8">
        <f>(L44*($E44/365))+(L45*($E45/365))</f>
        <v>100</v>
      </c>
      <c r="D170" s="8">
        <f>(M44*($E44/365))+(M45*($E45/365))</f>
        <v>0</v>
      </c>
      <c r="E170" s="48">
        <f t="shared" si="33"/>
        <v>100</v>
      </c>
      <c r="G170" s="1">
        <v>1975</v>
      </c>
      <c r="H170" s="989">
        <f>(O44/$R44*100*($E44/365))+(O45/$R45*100*($E45/365))</f>
        <v>0</v>
      </c>
      <c r="I170" s="989"/>
      <c r="J170" s="989">
        <f>(P44/$R44*100*($E44/365))+(P45/$R45*100*($E45/365))</f>
        <v>100</v>
      </c>
      <c r="K170" s="989"/>
      <c r="L170" s="989">
        <f>(Q44/$R44*100*($E44/365))+(Q45/$R45*100*($E45/365))</f>
        <v>0</v>
      </c>
      <c r="M170" s="989"/>
      <c r="N170" s="959">
        <f t="shared" si="34"/>
        <v>100</v>
      </c>
      <c r="O170" s="959"/>
      <c r="R170" s="1">
        <v>1975</v>
      </c>
      <c r="S170" s="8">
        <f>(O44*($E44/365))+(O45*($E45/365))</f>
        <v>0</v>
      </c>
      <c r="T170" s="8">
        <f>(P44*($E44/365))+(P45*($E45/365))</f>
        <v>44.6</v>
      </c>
      <c r="U170" s="8">
        <f>(Q44*($E44/365))+(Q45*($E45/365))</f>
        <v>0</v>
      </c>
      <c r="V170" s="12"/>
      <c r="W170" s="7">
        <f t="shared" si="35"/>
        <v>44.6</v>
      </c>
    </row>
    <row r="171" spans="1:23">
      <c r="A171" s="1">
        <v>1976</v>
      </c>
      <c r="B171" s="8">
        <f>(K46*($E46/366))+(K47*($E47/366))+(K48*($E48/366))</f>
        <v>0</v>
      </c>
      <c r="C171" s="8">
        <f>(L46*($E46/366))+(L47*($E47/366))+(L48*($E48/366))</f>
        <v>98.062593144560367</v>
      </c>
      <c r="D171" s="8">
        <f>(M46*($E46/366))+(M47*($E47/366))+(M48*($E48/366))</f>
        <v>0</v>
      </c>
      <c r="E171" s="48">
        <f t="shared" si="33"/>
        <v>98.062593144560367</v>
      </c>
      <c r="G171" s="1">
        <v>1976</v>
      </c>
      <c r="H171" s="989">
        <f>(O46/$R46*100*($E46/366))+(O47/$R47*100*($E47/366))+(O48/$R48*100*($E48/366))</f>
        <v>0</v>
      </c>
      <c r="I171" s="989"/>
      <c r="J171" s="989">
        <f>(P46/$R46*100*($E46/366))+(P47/$R47*100*($E47/366))+(P48/$R48*100*($E48/366))</f>
        <v>100</v>
      </c>
      <c r="K171" s="989"/>
      <c r="L171" s="989">
        <f>(Q46/$R46*100*($E46/366))+(Q47/$R47*100*($E47/366))+(Q48/$R48*100*($E48/366))</f>
        <v>0</v>
      </c>
      <c r="M171" s="989"/>
      <c r="N171" s="959">
        <f t="shared" si="34"/>
        <v>100</v>
      </c>
      <c r="O171" s="959"/>
      <c r="R171" s="1">
        <v>1976</v>
      </c>
      <c r="S171" s="8">
        <f>(O46*($E46/366))+(O47*($E47/366))+(O48*($E48/366))</f>
        <v>0</v>
      </c>
      <c r="T171" s="8">
        <f>(P46*($E46/366))+(P47*($E47/366))+(P48*($E48/366))</f>
        <v>42.360109289617483</v>
      </c>
      <c r="U171" s="8">
        <f>(Q46*($E46/366))+(Q47*($E47/366))+(Q48*($E48/366))</f>
        <v>0</v>
      </c>
      <c r="V171" s="12"/>
      <c r="W171" s="7">
        <f t="shared" si="35"/>
        <v>42.360109289617483</v>
      </c>
    </row>
    <row r="172" spans="1:23">
      <c r="A172" s="1">
        <v>1977</v>
      </c>
      <c r="B172" s="8">
        <f>(K49*($E49/365))+(K50*($E50/365))</f>
        <v>0</v>
      </c>
      <c r="C172" s="8">
        <f>(L49*($E49/365))+(L50*($E50/365))</f>
        <v>95.454545454545453</v>
      </c>
      <c r="D172" s="8">
        <f>(M49*($E49/365))+(M50*($E50/365))</f>
        <v>0</v>
      </c>
      <c r="E172" s="48">
        <f t="shared" si="33"/>
        <v>95.454545454545453</v>
      </c>
      <c r="G172" s="1">
        <v>1977</v>
      </c>
      <c r="H172" s="989">
        <f>(O49/$R49*100*($E49/365))+(O50/$R50*100*($E50/365))</f>
        <v>0</v>
      </c>
      <c r="I172" s="989"/>
      <c r="J172" s="989">
        <f>(P49/$R49*100*($E49/365))+(P50/$R50*100*($E50/365))</f>
        <v>100</v>
      </c>
      <c r="K172" s="989"/>
      <c r="L172" s="989">
        <f>(Q49/$R49*100*($E49/365))+(Q50/$R50*100*($E50/365))</f>
        <v>0</v>
      </c>
      <c r="M172" s="989"/>
      <c r="N172" s="959">
        <f t="shared" si="34"/>
        <v>100</v>
      </c>
      <c r="O172" s="959"/>
      <c r="R172" s="1">
        <v>1977</v>
      </c>
      <c r="S172" s="8">
        <f>(O49*($E49/365))+(O50*($E50/365))</f>
        <v>0</v>
      </c>
      <c r="T172" s="8">
        <f>(P49*($E49/365))+(P50*($E50/365))</f>
        <v>41.7</v>
      </c>
      <c r="U172" s="8">
        <f>(Q49*($E49/365))+(Q50*($E50/365))</f>
        <v>0</v>
      </c>
      <c r="V172" s="12"/>
      <c r="W172" s="7">
        <f t="shared" si="35"/>
        <v>41.7</v>
      </c>
    </row>
    <row r="173" spans="1:23">
      <c r="A173" s="1">
        <v>1978</v>
      </c>
      <c r="B173" s="8">
        <f>(K51*($E51/365))+(K52*($E52/365))</f>
        <v>0</v>
      </c>
      <c r="C173" s="8">
        <f>(L51*($E51/365))+(L52*($E52/365))</f>
        <v>95.280199252801992</v>
      </c>
      <c r="D173" s="8">
        <f>(M51*($E51/365))+(M52*($E52/365))</f>
        <v>0</v>
      </c>
      <c r="E173" s="48">
        <f t="shared" si="33"/>
        <v>95.280199252801992</v>
      </c>
      <c r="G173" s="1">
        <v>1978</v>
      </c>
      <c r="H173" s="989">
        <f>(O51/$R51*100*($E51/365))+(O52/$R52*100*($E52/365))</f>
        <v>0</v>
      </c>
      <c r="I173" s="989"/>
      <c r="J173" s="989">
        <f>(P51/$R51*100*($E51/365))+(P52/$R52*100*($E52/365))</f>
        <v>100</v>
      </c>
      <c r="K173" s="989"/>
      <c r="L173" s="989">
        <f>(Q51/$R51*100*($E51/365))+(Q52/$R52*100*($E52/365))</f>
        <v>0</v>
      </c>
      <c r="M173" s="989"/>
      <c r="N173" s="959">
        <f t="shared" si="34"/>
        <v>100</v>
      </c>
      <c r="O173" s="959"/>
      <c r="R173" s="1">
        <v>1978</v>
      </c>
      <c r="S173" s="8">
        <f>(O51*($E51/365))+(O52*($E52/365))</f>
        <v>0</v>
      </c>
      <c r="T173" s="8">
        <f>(P51*($E51/365))+(P52*($E52/365))</f>
        <v>41.7</v>
      </c>
      <c r="U173" s="8">
        <f>(Q51*($E51/365))+(Q52*($E52/365))</f>
        <v>0</v>
      </c>
      <c r="V173" s="12"/>
      <c r="W173" s="7">
        <f t="shared" si="35"/>
        <v>41.7</v>
      </c>
    </row>
    <row r="174" spans="1:23">
      <c r="A174" s="1">
        <v>1979</v>
      </c>
      <c r="B174" s="8">
        <f>(K53*($E53/365))+(K54*($E54/365))+(K55*($E55/365))</f>
        <v>3.2657534246575342</v>
      </c>
      <c r="C174" s="8">
        <f>(L53*($E53/365))+(L54*($E54/365))+(L55*($E55/365))</f>
        <v>78.756947162426613</v>
      </c>
      <c r="D174" s="8">
        <f>(M53*($E53/365))+(M54*($E54/365))+(M55*($E55/365))</f>
        <v>13.6808871493803</v>
      </c>
      <c r="E174" s="48">
        <f t="shared" si="33"/>
        <v>95.703587736464442</v>
      </c>
      <c r="G174" s="1">
        <v>1979</v>
      </c>
      <c r="H174" s="989">
        <f>(O53/$R53*100*($E53/365))+(O54/$R54*100*($E54/365))+(O55/$R55*100*($E55/365))</f>
        <v>1.3253869418252981</v>
      </c>
      <c r="I174" s="989"/>
      <c r="J174" s="989">
        <f>(P53/$R53*100*($E53/365))+(P54/$R54*100*($E54/365))+(P55/$R55*100*($E55/365))</f>
        <v>93.813142093268723</v>
      </c>
      <c r="K174" s="989"/>
      <c r="L174" s="989">
        <f>(Q53/$R53*100*($E53/365))+(Q54/$R54*100*($E54/365))+(Q55/$R55*100*($E55/365))</f>
        <v>4.861470964905978</v>
      </c>
      <c r="M174" s="989"/>
      <c r="N174" s="959">
        <f t="shared" si="34"/>
        <v>100</v>
      </c>
      <c r="O174" s="959"/>
      <c r="R174" s="1">
        <v>1979</v>
      </c>
      <c r="S174" s="8">
        <f>(O53*($E53/365))+(O54*($E54/365))+(O55*($E55/365))</f>
        <v>0.61232876712328765</v>
      </c>
      <c r="T174" s="8">
        <f>(P53*($E53/365))+(P54*($E54/365))+(P55*($E55/365))</f>
        <v>42.403287671232874</v>
      </c>
      <c r="U174" s="8">
        <f>(Q53*($E53/365))+(Q54*($E54/365))+(Q55*($E55/365))</f>
        <v>2.2479452054794518</v>
      </c>
      <c r="V174" s="12"/>
      <c r="W174" s="7">
        <f t="shared" si="35"/>
        <v>45.263561643835615</v>
      </c>
    </row>
    <row r="175" spans="1:23">
      <c r="A175" s="1">
        <v>1980</v>
      </c>
      <c r="B175" s="8">
        <f>(K56*($E56/366))+(K57*($E57/366))+(K58*($E58/366))</f>
        <v>2.0546448087431695</v>
      </c>
      <c r="C175" s="8">
        <f>(L56*($E56/366))+(L57*($E57/366))+(L58*($E58/366))</f>
        <v>66.904299303206415</v>
      </c>
      <c r="D175" s="8">
        <f>(M56*($E56/366))+(M57*($E57/366))+(M58*($E58/366))</f>
        <v>28.986411079307256</v>
      </c>
      <c r="E175" s="48">
        <f t="shared" si="33"/>
        <v>97.945355191256837</v>
      </c>
      <c r="G175" s="1">
        <v>1980</v>
      </c>
      <c r="H175" s="989">
        <f>(O56/$R56*100*($E56/366))+(O57/$R57*100*($E57/366))+(O58/$R58*100*($E58/366))</f>
        <v>0.83386558796394872</v>
      </c>
      <c r="I175" s="989"/>
      <c r="J175" s="989">
        <f>(P56/$R56*100*($E56/366))+(P57/$R57*100*($E57/366))+(P58/$R58*100*($E58/366))</f>
        <v>82.785619355825901</v>
      </c>
      <c r="K175" s="989"/>
      <c r="L175" s="989">
        <f>(Q56/$R56*100*($E56/366))+(Q57/$R57*100*($E57/366))+(Q58/$R58*100*($E58/366))</f>
        <v>16.380515056210164</v>
      </c>
      <c r="M175" s="989"/>
      <c r="N175" s="959">
        <f t="shared" si="34"/>
        <v>100</v>
      </c>
      <c r="O175" s="959"/>
      <c r="R175" s="1">
        <v>1980</v>
      </c>
      <c r="S175" s="8">
        <f>(O56*($E56/366))+(O57*($E57/366))+(O58*($E58/366))</f>
        <v>0.38524590163934425</v>
      </c>
      <c r="T175" s="8">
        <f>(P56*($E56/366))+(P57*($E57/366))+(P58*($E58/366))</f>
        <v>43.183606557377054</v>
      </c>
      <c r="U175" s="8">
        <f>(Q56*($E56/366))+(Q57*($E57/366))+(Q58*($E58/366))</f>
        <v>8.7978142076502746</v>
      </c>
      <c r="V175" s="12"/>
      <c r="W175" s="7">
        <f t="shared" si="35"/>
        <v>52.366666666666674</v>
      </c>
    </row>
    <row r="176" spans="1:23">
      <c r="A176" s="1">
        <v>1981</v>
      </c>
      <c r="B176" s="8">
        <f>(K59*($E59/365))+(K60*($E60/365))</f>
        <v>1.8297455968688845</v>
      </c>
      <c r="C176" s="8">
        <f>(L59*($E59/365))+(L60*($E60/365))</f>
        <v>61.810900920489956</v>
      </c>
      <c r="D176" s="8">
        <f>(M59*($E59/365))+(M60*($E60/365))</f>
        <v>36.359353482641154</v>
      </c>
      <c r="E176" s="48">
        <f t="shared" si="33"/>
        <v>100</v>
      </c>
      <c r="G176" s="1">
        <v>1981</v>
      </c>
      <c r="H176" s="989">
        <f>(O59/$R59*100*($E59/365))+(O60/$R60*100*($E60/365))</f>
        <v>1.3159129292550198</v>
      </c>
      <c r="I176" s="989"/>
      <c r="J176" s="989">
        <f>(P59/$R59*100*($E59/365))+(P60/$R60*100*($E60/365))</f>
        <v>75.96420059224306</v>
      </c>
      <c r="K176" s="989"/>
      <c r="L176" s="989">
        <f>(Q59/$R59*100*($E59/365))+(Q60/$R60*100*($E60/365))</f>
        <v>22.71988647850192</v>
      </c>
      <c r="M176" s="989"/>
      <c r="N176" s="959">
        <f t="shared" si="34"/>
        <v>100</v>
      </c>
      <c r="O176" s="959"/>
      <c r="R176" s="1">
        <v>1981</v>
      </c>
      <c r="S176" s="8">
        <f>(O59*($E59/365))+(O60*($E60/365))</f>
        <v>0.76849315068493151</v>
      </c>
      <c r="T176" s="8">
        <f>(P59*($E59/365))+(P60*($E60/365))</f>
        <v>43.8</v>
      </c>
      <c r="U176" s="8">
        <f>(Q59*($E59/365))+(Q60*($E60/365))</f>
        <v>13.1</v>
      </c>
      <c r="V176" s="12"/>
      <c r="W176" s="7">
        <f t="shared" si="35"/>
        <v>57.668493150684931</v>
      </c>
    </row>
    <row r="177" spans="1:25">
      <c r="A177" s="1">
        <v>1982</v>
      </c>
      <c r="B177" s="8">
        <f>(K61*($E61/365))+(K62*($E62/365))+(K63*($E63/365))</f>
        <v>3.7769080234833652</v>
      </c>
      <c r="C177" s="8">
        <f>(L61*($E61/365))+(L62*($E62/365))+(L63*($E63/365))</f>
        <v>60.097847358121328</v>
      </c>
      <c r="D177" s="8">
        <f>(M61*($E61/365))+(M62*($E62/365))+(M63*($E63/365))</f>
        <v>36.125244618395307</v>
      </c>
      <c r="E177" s="48">
        <f t="shared" si="33"/>
        <v>100</v>
      </c>
      <c r="G177" s="1">
        <v>1982</v>
      </c>
      <c r="H177" s="989">
        <f>(O61/$R61*100*($E61/365))+(O62/$R62*100*($E62/365))+(O63/$R63*100*($E63/365))</f>
        <v>2.5748264214674426</v>
      </c>
      <c r="I177" s="989"/>
      <c r="J177" s="989">
        <f>(P61/$R61*100*($E61/365))+(P62/$R62*100*($E62/365))+(P63/$R63*100*($E63/365))</f>
        <v>74.938356164383563</v>
      </c>
      <c r="K177" s="989"/>
      <c r="L177" s="989">
        <f>(Q61/$R61*100*($E61/365))+(Q62/$R62*100*($E62/365))+(Q63/$R63*100*($E63/365))</f>
        <v>22.486817414148998</v>
      </c>
      <c r="M177" s="989"/>
      <c r="N177" s="959">
        <f t="shared" si="34"/>
        <v>100.00000000000001</v>
      </c>
      <c r="O177" s="959"/>
      <c r="R177" s="1">
        <v>1982</v>
      </c>
      <c r="S177" s="8">
        <f>(O61*($E61/365))+(O62*($E62/365))+(O63*($E63/365))</f>
        <v>1.5</v>
      </c>
      <c r="T177" s="8">
        <f>(P61*($E61/365))+(P62*($E62/365))+(P63*($E63/365))</f>
        <v>43.661917808219179</v>
      </c>
      <c r="U177" s="8">
        <f>(Q61*($E61/365))+(Q62*($E62/365))+(Q63*($E63/365))</f>
        <v>13.1</v>
      </c>
      <c r="V177" s="12"/>
      <c r="W177" s="7">
        <f t="shared" si="35"/>
        <v>58.261917808219181</v>
      </c>
    </row>
    <row r="178" spans="1:25">
      <c r="A178" s="1">
        <v>1983</v>
      </c>
      <c r="B178" s="8">
        <f>(K64*($E64/365))+(K65*($E65/365))</f>
        <v>6.9471624266144811</v>
      </c>
      <c r="C178" s="8">
        <f>(L64*($E64/365))+(L65*($E65/365))</f>
        <v>55.479452054794521</v>
      </c>
      <c r="D178" s="8">
        <f>(M64*($E64/365))+(M65*($E65/365))</f>
        <v>37.573385518590996</v>
      </c>
      <c r="E178" s="48">
        <f t="shared" si="33"/>
        <v>100</v>
      </c>
      <c r="G178" s="1">
        <v>1983</v>
      </c>
      <c r="H178" s="989">
        <f>(O64/$R64*100*($E64/365))+(O65/$R65*100*($E65/365))</f>
        <v>3.346114398887134</v>
      </c>
      <c r="I178" s="989"/>
      <c r="J178" s="989">
        <f>(P64/$R64*100*($E64/365))+(P65/$R65*100*($E65/365))</f>
        <v>72.052377808690721</v>
      </c>
      <c r="K178" s="989"/>
      <c r="L178" s="989">
        <f>(Q64/$R64*100*($E64/365))+(Q65/$R65*100*($E65/365))</f>
        <v>24.601507792422137</v>
      </c>
      <c r="M178" s="989"/>
      <c r="N178" s="959">
        <f t="shared" si="34"/>
        <v>100</v>
      </c>
      <c r="O178" s="959"/>
      <c r="R178" s="1">
        <v>1983</v>
      </c>
      <c r="S178" s="8">
        <f>(O64*($E64/365))+(O65*($E65/365))</f>
        <v>1.9109589041095889</v>
      </c>
      <c r="T178" s="8">
        <f>(P64*($E64/365))+(P65*($E65/365))</f>
        <v>40.947945205479449</v>
      </c>
      <c r="U178" s="8">
        <f>(Q64*($E64/365))+(Q65*($E65/365))</f>
        <v>14.004109589041096</v>
      </c>
      <c r="V178" s="12"/>
      <c r="W178" s="7">
        <f t="shared" si="35"/>
        <v>56.863013698630141</v>
      </c>
    </row>
    <row r="179" spans="1:25">
      <c r="A179" s="1">
        <v>1984</v>
      </c>
      <c r="B179" s="8">
        <f>(K66*($E66/366))+(K67*($E67/366))</f>
        <v>6.666666666666667</v>
      </c>
      <c r="C179" s="8">
        <f>(L66*($E66/366))+(L67*($E67/366))</f>
        <v>63.333333333333329</v>
      </c>
      <c r="D179" s="8">
        <f>(M66*($E66/366))+(M67*($E67/366))</f>
        <v>30</v>
      </c>
      <c r="E179" s="48">
        <f t="shared" si="33"/>
        <v>100</v>
      </c>
      <c r="G179" s="1">
        <v>1984</v>
      </c>
      <c r="H179" s="989">
        <f>(O66/$R66*100*($E66/366))+(O67/$R67*100*($E67/366))</f>
        <v>4.3029259896729783</v>
      </c>
      <c r="I179" s="989"/>
      <c r="J179" s="989">
        <f>(P66/$R66*100*($E66/366))+(P67/$R67*100*($E67/366))</f>
        <v>69.363166953528406</v>
      </c>
      <c r="K179" s="989"/>
      <c r="L179" s="989">
        <f>(Q66/$R66*100*($E66/366))+(Q67/$R67*100*($E67/366))</f>
        <v>26.333907056798626</v>
      </c>
      <c r="M179" s="989"/>
      <c r="N179" s="959">
        <f t="shared" si="34"/>
        <v>100.00000000000001</v>
      </c>
      <c r="O179" s="959"/>
      <c r="R179" s="1">
        <v>1984</v>
      </c>
      <c r="S179" s="8">
        <f>(O66*($E66/366))+(O67*($E67/366))</f>
        <v>2.5</v>
      </c>
      <c r="T179" s="8">
        <f>(P66*($E66/366))+(P67*($E67/366))</f>
        <v>40.299999999999997</v>
      </c>
      <c r="U179" s="8">
        <f>(Q66*($E66/366))+(Q67*($E67/366))</f>
        <v>15.3</v>
      </c>
      <c r="V179" s="12"/>
      <c r="W179" s="7">
        <f t="shared" si="35"/>
        <v>58.099999999999994</v>
      </c>
    </row>
    <row r="180" spans="1:25">
      <c r="A180" s="1">
        <v>1985</v>
      </c>
      <c r="B180" s="8">
        <f>(K68*($E68/365))+(K69*($E69/365))</f>
        <v>6.666666666666667</v>
      </c>
      <c r="C180" s="8">
        <f>(L68*($E68/365))+(L69*($E69/365))</f>
        <v>63.333333333333329</v>
      </c>
      <c r="D180" s="8">
        <f>(M68*($E68/365))+(M69*($E69/365))</f>
        <v>30</v>
      </c>
      <c r="E180" s="48">
        <f t="shared" si="33"/>
        <v>100</v>
      </c>
      <c r="G180" s="1">
        <v>1985</v>
      </c>
      <c r="H180" s="989">
        <f>(O68/$R68*100*($E68/365))+(O69/$R69*100*($E69/365))</f>
        <v>4.3029259896729783</v>
      </c>
      <c r="I180" s="989"/>
      <c r="J180" s="989">
        <f>(P68/$R68*100*($E68/365))+(P69/$R69*100*($E69/365))</f>
        <v>69.363166953528406</v>
      </c>
      <c r="K180" s="989"/>
      <c r="L180" s="989">
        <f>(Q68/$R68*100*($E68/365))+(Q69/$R69*100*($E69/365))</f>
        <v>26.333907056798626</v>
      </c>
      <c r="M180" s="989"/>
      <c r="N180" s="959">
        <f t="shared" si="34"/>
        <v>100.00000000000001</v>
      </c>
      <c r="O180" s="959"/>
      <c r="R180" s="1">
        <v>1985</v>
      </c>
      <c r="S180" s="8">
        <f>(O68*($E68/365))+(O69*($E69/365))</f>
        <v>2.5</v>
      </c>
      <c r="T180" s="8">
        <f>(P68*($E68/365))+(P69*($E69/365))</f>
        <v>40.299999999999997</v>
      </c>
      <c r="U180" s="8">
        <f>(Q68*($E68/365))+(Q69*($E69/365))</f>
        <v>15.3</v>
      </c>
      <c r="V180" s="12"/>
      <c r="W180" s="7">
        <f t="shared" si="35"/>
        <v>58.099999999999994</v>
      </c>
    </row>
    <row r="181" spans="1:25">
      <c r="A181" s="1">
        <v>1986</v>
      </c>
      <c r="B181" s="8">
        <f>(K70*($E70/365))+(K71*($E71/365))</f>
        <v>6.6666666666666679</v>
      </c>
      <c r="C181" s="8">
        <f>(L70*($E70/365))+(L71*($E71/365))</f>
        <v>63.333333333333329</v>
      </c>
      <c r="D181" s="8">
        <f>(M70*($E70/365))+(M71*($E71/365))</f>
        <v>30</v>
      </c>
      <c r="E181" s="48">
        <f t="shared" si="33"/>
        <v>100</v>
      </c>
      <c r="G181" s="1">
        <v>1986</v>
      </c>
      <c r="H181" s="989">
        <f>(O71/$R71*100*($E71/365))+(O70/$R70*100*($E70/365))</f>
        <v>4.3029259896729783</v>
      </c>
      <c r="I181" s="989"/>
      <c r="J181" s="989">
        <f>(P71/$R71*100*($E71/365))+(P70/$R70*100*($E70/365))</f>
        <v>69.363166953528406</v>
      </c>
      <c r="K181" s="989"/>
      <c r="L181" s="989">
        <f>(Q71/$R71*100*($E71/365))+(Q70/$R70*100*($E70/365))</f>
        <v>26.33390705679863</v>
      </c>
      <c r="M181" s="989"/>
      <c r="N181" s="959">
        <f>H181+J181+L181</f>
        <v>100.00000000000003</v>
      </c>
      <c r="O181" s="959"/>
      <c r="R181" s="1">
        <v>1986</v>
      </c>
      <c r="S181" s="8">
        <f>(O70*($E70/365))+(O71*($E71/365))</f>
        <v>2.5</v>
      </c>
      <c r="T181" s="8">
        <f>(P70*($E70/365))+(P71*($E71/365))</f>
        <v>40.299999999999997</v>
      </c>
      <c r="U181" s="8">
        <f>(Q70*($E70/365))+(Q71*($E71/365))</f>
        <v>15.3</v>
      </c>
      <c r="V181" s="12"/>
      <c r="W181" s="7">
        <f t="shared" si="35"/>
        <v>58.099999999999994</v>
      </c>
    </row>
    <row r="182" spans="1:25">
      <c r="A182" s="1">
        <v>1987</v>
      </c>
      <c r="B182" s="8">
        <f>(K72*($E72/365))+(K73*($E73/365))+(K74*($E74/365))</f>
        <v>3.3789954337899548</v>
      </c>
      <c r="C182" s="8">
        <f>(L72*($E72/365))+(L73*($E73/365))+(L74*($E74/365))</f>
        <v>62.094977168949775</v>
      </c>
      <c r="D182" s="8">
        <f>(M72*($E72/365))+(M73*($E73/365))+(M74*($E74/365))</f>
        <v>24.465753424657535</v>
      </c>
      <c r="E182" s="48">
        <f t="shared" si="33"/>
        <v>89.939726027397271</v>
      </c>
      <c r="G182" s="1">
        <v>1987</v>
      </c>
      <c r="H182" s="989">
        <f>(O72/$R72*100*($E72/365))+(O73/$R73*100*($E73/365))+(O74/$R74*100*($E74/365))</f>
        <v>2.478449825815471</v>
      </c>
      <c r="I182" s="989"/>
      <c r="J182" s="989">
        <f>(P72/$R72*100*($E72/365))+(P73/$R73*100*($E73/365))+(P74/$R74*100*($E74/365))</f>
        <v>77.201761051028853</v>
      </c>
      <c r="K182" s="989"/>
      <c r="L182" s="989">
        <f>(Q72/$R72*100*($E72/365))+(Q73/$R73*100*($E73/365))+(Q74/$R74*100*($E74/365))</f>
        <v>20.319789123155687</v>
      </c>
      <c r="M182" s="989"/>
      <c r="N182" s="959">
        <f t="shared" si="34"/>
        <v>100.00000000000001</v>
      </c>
      <c r="O182" s="959"/>
      <c r="R182" s="1">
        <v>1987</v>
      </c>
      <c r="S182" s="8">
        <f>(O72*($E72/365))+(O73*($E73/365))+(O74*($E74/365))</f>
        <v>1.4594520547945207</v>
      </c>
      <c r="T182" s="8">
        <f>(P72*($E72/365))+(P73*($E73/365))+(P74*($E74/365))</f>
        <v>39.057260273972602</v>
      </c>
      <c r="U182" s="8">
        <f>(Q72*($E72/365))+(Q73*($E73/365))+(Q74*($E74/365))</f>
        <v>12.007397260273974</v>
      </c>
      <c r="V182" s="12"/>
      <c r="W182" s="7">
        <f t="shared" si="35"/>
        <v>52.524109589041096</v>
      </c>
    </row>
    <row r="183" spans="1:25">
      <c r="A183" s="1">
        <v>1988</v>
      </c>
      <c r="B183" s="8">
        <f>(K75*($E75/366))+(K76*($E76/366))</f>
        <v>3.3333333333333339</v>
      </c>
      <c r="C183" s="8">
        <f>(L75*($E75/366))+(L76*($E76/366))</f>
        <v>62.395264116575589</v>
      </c>
      <c r="D183" s="8">
        <f>(M75*($E75/366))+(M76*($E76/366))</f>
        <v>34.271402550091068</v>
      </c>
      <c r="E183" s="48">
        <f t="shared" si="33"/>
        <v>99.999999999999986</v>
      </c>
      <c r="G183" s="1">
        <v>1988</v>
      </c>
      <c r="H183" s="989">
        <f>(O75/$R75*100*($E75/366))+(O76/$R76*100*($E76/366))</f>
        <v>2.8475711892797317</v>
      </c>
      <c r="I183" s="989"/>
      <c r="J183" s="989">
        <f>(P75/$R75*100*($E75/366))+(P76/$R76*100*($E76/366))</f>
        <v>67.671691792294794</v>
      </c>
      <c r="K183" s="989"/>
      <c r="L183" s="989">
        <f>(Q75/$R75*100*($E75/366))+(Q76/$R76*100*($E76/366))</f>
        <v>29.480737018425465</v>
      </c>
      <c r="M183" s="989"/>
      <c r="N183" s="959">
        <f t="shared" si="34"/>
        <v>100</v>
      </c>
      <c r="O183" s="959"/>
      <c r="R183" s="1">
        <v>1988</v>
      </c>
      <c r="S183" s="8">
        <f>(O75*($E75/366))+(O76*($E76/366))</f>
        <v>1.7</v>
      </c>
      <c r="T183" s="8">
        <f>(P75*($E75/366))+(P76*($E76/366))</f>
        <v>40.4</v>
      </c>
      <c r="U183" s="8">
        <f>(Q75*($E75/366))+(Q76*($E76/366))</f>
        <v>17.600000000000001</v>
      </c>
      <c r="V183" s="12"/>
      <c r="W183" s="7">
        <f t="shared" si="35"/>
        <v>59.7</v>
      </c>
    </row>
    <row r="184" spans="1:25">
      <c r="A184" s="1">
        <v>1989</v>
      </c>
      <c r="B184" s="8">
        <f>(K77*($E77/365))+(K78*($E78/365))</f>
        <v>4.627853881278539</v>
      </c>
      <c r="C184" s="8">
        <f>(L77*($E77/365))+(L78*($E78/365))</f>
        <v>60.189497716894977</v>
      </c>
      <c r="D184" s="8">
        <f>(M77*($E77/365))+(M78*($E78/365))</f>
        <v>35.182648401826484</v>
      </c>
      <c r="E184" s="48">
        <f t="shared" si="33"/>
        <v>100</v>
      </c>
      <c r="G184" s="1">
        <v>1989</v>
      </c>
      <c r="H184" s="989">
        <f>(O77/$R77*100*($E77/365))+(O78/$R78*100*($E78/365))</f>
        <v>2.8475711892797317</v>
      </c>
      <c r="I184" s="989"/>
      <c r="J184" s="989">
        <f>(P77/$R77*100*($E77/365))+(P78/$R78*100*($E78/365))</f>
        <v>67.671691792294794</v>
      </c>
      <c r="K184" s="989"/>
      <c r="L184" s="989">
        <f>(Q77/$R77*100*($E77/365))+(Q78/$R78*100*($E78/365))</f>
        <v>29.480737018425462</v>
      </c>
      <c r="M184" s="989"/>
      <c r="N184" s="959">
        <f t="shared" si="34"/>
        <v>99.999999999999986</v>
      </c>
      <c r="O184" s="959"/>
      <c r="R184" s="1">
        <v>1989</v>
      </c>
      <c r="S184" s="8">
        <f>(O77*($E77/365))+(O78*($E78/365))</f>
        <v>1.7000000000000002</v>
      </c>
      <c r="T184" s="8">
        <f>(P77*($E77/365))+(P78*($E78/365))</f>
        <v>40.4</v>
      </c>
      <c r="U184" s="8">
        <f>(Q77*($E77/365))+(Q78*($E78/365))</f>
        <v>17.600000000000001</v>
      </c>
      <c r="V184" s="12"/>
      <c r="W184" s="7">
        <f t="shared" si="35"/>
        <v>59.7</v>
      </c>
    </row>
    <row r="185" spans="1:25">
      <c r="A185" s="1">
        <v>1990</v>
      </c>
      <c r="B185" s="8">
        <f>(K79*($E79/365))+(K80*($E80/365))</f>
        <v>6.666666666666667</v>
      </c>
      <c r="C185" s="8">
        <f>(L79*($E79/365))+(L80*($E80/365))</f>
        <v>56.666666666666664</v>
      </c>
      <c r="D185" s="8">
        <f>(M79*($E79/365))+(M80*($E80/365))</f>
        <v>36.666666666666664</v>
      </c>
      <c r="E185" s="48">
        <f t="shared" si="33"/>
        <v>100</v>
      </c>
      <c r="G185" s="1">
        <v>1990</v>
      </c>
      <c r="H185" s="989">
        <f>(O79/$R79*100*($E79/365))+(O80/$R80*100*($E80/365))</f>
        <v>2.8475711892797317</v>
      </c>
      <c r="I185" s="989"/>
      <c r="J185" s="989">
        <f>(P79/$R79*100*($E79/365))+(P80/$R80*100*($E80/365))</f>
        <v>67.671691792294794</v>
      </c>
      <c r="K185" s="989"/>
      <c r="L185" s="989">
        <f>(Q79/$R79*100*($E79/365))+(Q80/$R80*100*($E80/365))</f>
        <v>29.480737018425462</v>
      </c>
      <c r="M185" s="989"/>
      <c r="N185" s="959">
        <f t="shared" si="34"/>
        <v>99.999999999999986</v>
      </c>
      <c r="O185" s="959"/>
      <c r="R185" s="1">
        <v>1990</v>
      </c>
      <c r="S185" s="8">
        <f>(O79*($E79/365))+(O80*($E80/365))</f>
        <v>1.7</v>
      </c>
      <c r="T185" s="8">
        <f>(P79*($E79/365))+(P80*($E80/365))</f>
        <v>40.4</v>
      </c>
      <c r="U185" s="8">
        <f>(Q79*($E79/365))+(Q80*($E80/365))</f>
        <v>17.600000000000001</v>
      </c>
      <c r="V185" s="12"/>
      <c r="W185" s="7">
        <f t="shared" si="35"/>
        <v>59.7</v>
      </c>
      <c r="Y185" s="26"/>
    </row>
    <row r="186" spans="1:25">
      <c r="A186" s="1">
        <v>1991</v>
      </c>
      <c r="B186" s="8">
        <f>(K81*($E81/365))+(K82*($E82/365))</f>
        <v>6.666666666666667</v>
      </c>
      <c r="C186" s="8">
        <f>(L81*($E81/365))+(L82*($E82/365))</f>
        <v>54.31963470319635</v>
      </c>
      <c r="D186" s="8">
        <f>(M81*($E81/365))+(M82*($E82/365))</f>
        <v>39.013698630136986</v>
      </c>
      <c r="E186" s="48">
        <f t="shared" si="33"/>
        <v>100</v>
      </c>
      <c r="G186" s="1">
        <v>1991</v>
      </c>
      <c r="H186" s="989">
        <f>(O82/$R82*100*($E82/365))+(O81/$R81*100*($E81/365))</f>
        <v>2.9648851466113229</v>
      </c>
      <c r="I186" s="989"/>
      <c r="J186" s="989">
        <f>(P82/$R82*100*($E82/365))+(P81/$R81*100*($E81/365))</f>
        <v>66.339833335530273</v>
      </c>
      <c r="K186" s="989"/>
      <c r="L186" s="989">
        <f>(Q82/$R82*100*($E82/365))+(Q81/$R81*100*($E81/365))</f>
        <v>30.695281517858405</v>
      </c>
      <c r="M186" s="989"/>
      <c r="N186" s="959">
        <f t="shared" si="34"/>
        <v>100</v>
      </c>
      <c r="O186" s="959"/>
      <c r="R186" s="1">
        <v>1991</v>
      </c>
      <c r="S186" s="8">
        <f>(O81*($E81/365))+(O82*($E82/365))</f>
        <v>1.7</v>
      </c>
      <c r="T186" s="8">
        <f>(P81*($E81/365))+(P82*($E82/365))</f>
        <v>38.076438356164388</v>
      </c>
      <c r="U186" s="8">
        <f>(Q81*($E81/365))+(Q82*($E82/365))</f>
        <v>17.600000000000001</v>
      </c>
      <c r="V186" s="12"/>
      <c r="W186" s="7">
        <f t="shared" si="35"/>
        <v>57.376438356164392</v>
      </c>
      <c r="Y186" s="26"/>
    </row>
    <row r="187" spans="1:25">
      <c r="A187" s="1">
        <v>1992</v>
      </c>
      <c r="B187" s="8">
        <f>(K83*($E83/366))+(K84*($E84/366))+(K85*($E85/366))</f>
        <v>7.1906963710242406</v>
      </c>
      <c r="C187" s="8">
        <f>(L83*($E83/366))+(L84*($E84/366))+(L85*($E85/366))</f>
        <v>43.76979122880762</v>
      </c>
      <c r="D187" s="8">
        <f>(M83*($E83/366))+(M84*($E84/366))+(M85*($E85/366))</f>
        <v>37.248844052122742</v>
      </c>
      <c r="E187" s="48">
        <f t="shared" si="33"/>
        <v>88.209331651954599</v>
      </c>
      <c r="G187" s="1">
        <v>1992</v>
      </c>
      <c r="H187" s="989">
        <f>(O83/$R83*100*($E83/366))+(O84/$R84*100*($E84/366))+(O85/$R85*100*($E85/366))</f>
        <v>4.1017849530231807</v>
      </c>
      <c r="I187" s="989"/>
      <c r="J187" s="989">
        <f>(P83/$R83*100*($E83/366))+(P84/$R84*100*($E84/366))+(P85/$R85*100*($E85/366))</f>
        <v>63.99473759972539</v>
      </c>
      <c r="K187" s="989"/>
      <c r="L187" s="989">
        <f>(Q83/$R83*100*($E83/366))+(Q84/$R84*100*($E84/366))+(Q85/$R85*100*($E85/366))</f>
        <v>31.903477447251426</v>
      </c>
      <c r="M187" s="989"/>
      <c r="N187" s="959">
        <f t="shared" si="34"/>
        <v>100</v>
      </c>
      <c r="O187" s="959"/>
      <c r="R187" s="1">
        <v>1992</v>
      </c>
      <c r="S187" s="8">
        <f>(O83*($E83/366))+(O84*($E84/366))+(O85*($E85/366))</f>
        <v>2.2109289617486341</v>
      </c>
      <c r="T187" s="8">
        <f>(P83*($E83/366))+(P84*($E84/366))+(P85*($E85/366))</f>
        <v>34.851912568306012</v>
      </c>
      <c r="U187" s="8">
        <f>(Q83*($E83/366))+(Q84*($E84/366))+(Q85*($E85/366))</f>
        <v>17.344535519125685</v>
      </c>
      <c r="V187" s="12"/>
      <c r="W187" s="7">
        <f t="shared" si="35"/>
        <v>54.407377049180333</v>
      </c>
      <c r="Y187" s="26"/>
    </row>
    <row r="188" spans="1:25">
      <c r="A188" s="1">
        <v>1993</v>
      </c>
      <c r="B188" s="8">
        <f>(K86*($E86/365))+(K87*($E87/365))</f>
        <v>5.2746048472075877</v>
      </c>
      <c r="C188" s="8">
        <f>(L86*($E86/365))+(L87*($E87/365))</f>
        <v>30.283667017913597</v>
      </c>
      <c r="D188" s="8">
        <f>(M86*($E86/365))+(M87*($E87/365))</f>
        <v>27.664488935721813</v>
      </c>
      <c r="E188" s="48">
        <f t="shared" si="33"/>
        <v>63.222760800842998</v>
      </c>
      <c r="G188" s="1">
        <v>1993</v>
      </c>
      <c r="H188" s="989">
        <f>(O86/$R86*100*($E86/365))+(O87/$R87*100*($E87/365))</f>
        <v>5.1428571428571423</v>
      </c>
      <c r="I188" s="989"/>
      <c r="J188" s="989">
        <f>(P86/$R86*100*($E86/365))+(P87/$R87*100*($E87/365))</f>
        <v>62.285714285714278</v>
      </c>
      <c r="K188" s="989"/>
      <c r="L188" s="989">
        <f>(Q86/$R86*100*($E86/365))+(Q87/$R87*100*($E87/365))</f>
        <v>32.571428571428569</v>
      </c>
      <c r="M188" s="989"/>
      <c r="N188" s="959">
        <f t="shared" si="34"/>
        <v>99.999999999999986</v>
      </c>
      <c r="O188" s="959"/>
      <c r="R188" s="1">
        <v>1993</v>
      </c>
      <c r="S188" s="8">
        <f>(O86*($E86/365))+(O87*($E87/365))</f>
        <v>2.7</v>
      </c>
      <c r="T188" s="8">
        <f>(P86*($E86/365))+(P87*($E87/365))</f>
        <v>32.700000000000003</v>
      </c>
      <c r="U188" s="8">
        <f>(Q86*($E86/365))+(Q87*($E87/365))</f>
        <v>17.100000000000001</v>
      </c>
      <c r="V188" s="12"/>
      <c r="W188" s="7">
        <f t="shared" si="35"/>
        <v>52.500000000000007</v>
      </c>
      <c r="Y188" s="26"/>
    </row>
    <row r="189" spans="1:25">
      <c r="A189" s="1">
        <v>1994</v>
      </c>
      <c r="B189" s="8">
        <f>(K88*($E88/365))+(K89*($E89/365))</f>
        <v>48.663435194942039</v>
      </c>
      <c r="C189" s="8">
        <f>(L88*($E88/365))+(L89*($E89/365))</f>
        <v>19.843203371970496</v>
      </c>
      <c r="D189" s="8">
        <f>(M88*($E88/365))+(M89*($E89/365))</f>
        <v>8.4821917808219176</v>
      </c>
      <c r="E189" s="48">
        <f t="shared" si="33"/>
        <v>76.988830347734449</v>
      </c>
      <c r="G189" s="1">
        <v>1994</v>
      </c>
      <c r="H189" s="989">
        <f>(O88/$R88*100*($E88/365))+(O89/$R89*100*($E89/365))</f>
        <v>60.555795044238032</v>
      </c>
      <c r="I189" s="989"/>
      <c r="J189" s="989">
        <f>(P88/$R88*100*($E88/365))+(P89/$R89*100*($E89/365))</f>
        <v>27.932658967503652</v>
      </c>
      <c r="K189" s="989"/>
      <c r="L189" s="989">
        <f>(Q88/$R88*100*($E88/365))+(Q89/$R89*100*($E89/365))</f>
        <v>11.511545988258316</v>
      </c>
      <c r="M189" s="989"/>
      <c r="N189" s="959">
        <f t="shared" si="34"/>
        <v>100</v>
      </c>
      <c r="O189" s="959"/>
      <c r="R189" s="1">
        <v>1994</v>
      </c>
      <c r="S189" s="8">
        <f>(O88*($E88/365))+(O89*($E89/365))</f>
        <v>34.317534246575342</v>
      </c>
      <c r="T189" s="8">
        <f>(P88*($E88/365))+(P89*($E89/365))</f>
        <v>14.919178082191783</v>
      </c>
      <c r="U189" s="8">
        <f>(Q88*($E88/365))+(Q89*($E89/365))</f>
        <v>6.0435616438356172</v>
      </c>
      <c r="V189" s="12"/>
      <c r="W189" s="7">
        <f t="shared" si="35"/>
        <v>55.280273972602743</v>
      </c>
      <c r="Y189" s="26"/>
    </row>
    <row r="190" spans="1:25">
      <c r="A190" s="1">
        <v>1995</v>
      </c>
      <c r="B190" s="8">
        <f>(K90*($E90/365))+(K91*($E91/365))</f>
        <v>3.2033719704952577</v>
      </c>
      <c r="C190" s="8">
        <f>(L90*($E90/365))+(L91*($E91/365))</f>
        <v>0.67439409905163328</v>
      </c>
      <c r="D190" s="8">
        <f>(M90*($E90/365))+(M91*($E91/365))</f>
        <v>0</v>
      </c>
      <c r="E190" s="48">
        <f t="shared" si="33"/>
        <v>3.8777660695468912</v>
      </c>
      <c r="G190" s="1">
        <v>1995</v>
      </c>
      <c r="H190" s="989">
        <f>(O90/$R90*100*($E90/365))</f>
        <v>3.9822496623577082</v>
      </c>
      <c r="I190" s="989"/>
      <c r="J190" s="989">
        <f>(P90/$R90*100*($E90/365))</f>
        <v>0.40131198147790859</v>
      </c>
      <c r="K190" s="989"/>
      <c r="L190" s="989">
        <f>(Q90/$R90*100*($E90/365))</f>
        <v>0</v>
      </c>
      <c r="M190" s="989"/>
      <c r="N190" s="959">
        <f t="shared" si="34"/>
        <v>4.3835616438356171</v>
      </c>
      <c r="O190" s="959"/>
      <c r="R190" s="1">
        <v>1995</v>
      </c>
      <c r="S190" s="8">
        <f>(O90*($E90/365))+(O91*($E91/365))</f>
        <v>2.2619178082191782</v>
      </c>
      <c r="T190" s="8">
        <f>(P90*($E90/365))+(P91*($E91/365))</f>
        <v>0.22794520547945207</v>
      </c>
      <c r="U190" s="8">
        <f>(Q90*($E90/365))+(Q91*($E91/365))</f>
        <v>0</v>
      </c>
      <c r="V190" s="12"/>
      <c r="W190" s="7">
        <f t="shared" si="35"/>
        <v>2.4898630136986304</v>
      </c>
      <c r="Y190" s="45"/>
    </row>
    <row r="191" spans="1:25">
      <c r="A191" s="1">
        <v>1996</v>
      </c>
      <c r="B191" s="8">
        <f>(K92*($E92/366))+(K93*($E93/366))</f>
        <v>0</v>
      </c>
      <c r="C191" s="8">
        <f>(L92*($E92/366))+(L93*($E93/366))</f>
        <v>23.835545147020557</v>
      </c>
      <c r="D191" s="8">
        <f>(M92*($E92/366))+(M93*($E93/366))</f>
        <v>29.794431433775692</v>
      </c>
      <c r="E191" s="48">
        <f t="shared" si="33"/>
        <v>53.629976580796253</v>
      </c>
      <c r="G191" s="1">
        <v>1996</v>
      </c>
      <c r="H191" s="989">
        <f>(O93/$R93*100*($E93/366))</f>
        <v>0</v>
      </c>
      <c r="I191" s="989"/>
      <c r="J191" s="989">
        <f>(P93/$R93*100*($E93/366))</f>
        <v>22.082931533269047</v>
      </c>
      <c r="K191" s="989"/>
      <c r="L191" s="989">
        <f>(Q93/$R93*100*($E93/366))</f>
        <v>40.485374477659917</v>
      </c>
      <c r="M191" s="989"/>
      <c r="N191" s="959">
        <f t="shared" si="34"/>
        <v>62.568306010928964</v>
      </c>
      <c r="O191" s="959"/>
      <c r="R191" s="1">
        <v>1996</v>
      </c>
      <c r="S191" s="8">
        <f>(O92*($E92/366))+(O93*($E93/366))</f>
        <v>0</v>
      </c>
      <c r="T191" s="8">
        <f>(P92*($E92/366))+(P93*($E93/366))</f>
        <v>10.136065573770491</v>
      </c>
      <c r="U191" s="8">
        <f>(Q92*($E92/366))+(Q93*($E93/366))</f>
        <v>18.582786885245902</v>
      </c>
      <c r="V191" s="12"/>
      <c r="W191" s="7">
        <f t="shared" si="35"/>
        <v>28.718852459016393</v>
      </c>
      <c r="Y191" s="26"/>
    </row>
    <row r="192" spans="1:25">
      <c r="A192" s="1">
        <v>1997</v>
      </c>
      <c r="B192" s="8">
        <f>(K94*($E94/365))+(K95*($E95/365))</f>
        <v>0</v>
      </c>
      <c r="C192" s="8">
        <f>(L94*($E94/365))+(L95*($E95/365))</f>
        <v>36.363636363636367</v>
      </c>
      <c r="D192" s="8">
        <f>(M94*($E94/365))+(M95*($E95/365))</f>
        <v>50</v>
      </c>
      <c r="E192" s="48">
        <f t="shared" si="33"/>
        <v>86.363636363636374</v>
      </c>
      <c r="G192" s="1">
        <v>1997</v>
      </c>
      <c r="H192" s="989">
        <f>(O94/$R94*100*($E94/365))+(O95/$R95*100*($E95/365))</f>
        <v>0</v>
      </c>
      <c r="I192" s="989"/>
      <c r="J192" s="989">
        <f>(P94/$R94*100*($E94/365))+(P95/$R95*100*($E95/365))</f>
        <v>35.294117647058826</v>
      </c>
      <c r="K192" s="989"/>
      <c r="L192" s="989">
        <f>(Q94/$R94*100*($E94/365))+(Q95/$R95*100*($E95/365))</f>
        <v>64.705882352941174</v>
      </c>
      <c r="M192" s="989"/>
      <c r="N192" s="959">
        <f t="shared" si="34"/>
        <v>100</v>
      </c>
      <c r="O192" s="959"/>
      <c r="R192" s="1">
        <v>1997</v>
      </c>
      <c r="S192" s="8">
        <f>(O94*($E94/365))+(O95*($E95/365))</f>
        <v>0</v>
      </c>
      <c r="T192" s="8">
        <f>(P94*($E94/365))+(P95*($E95/365))</f>
        <v>16.2</v>
      </c>
      <c r="U192" s="8">
        <f>(Q94*($E94/365))+(Q95*($E95/365))</f>
        <v>29.7</v>
      </c>
      <c r="V192" s="12"/>
      <c r="W192" s="7">
        <f t="shared" si="35"/>
        <v>45.9</v>
      </c>
      <c r="Y192" s="26"/>
    </row>
    <row r="193" spans="1:25">
      <c r="A193" s="1">
        <v>1998</v>
      </c>
      <c r="B193" s="8">
        <f>(K96*($E96/365))+(K97*($E97/365))</f>
        <v>0</v>
      </c>
      <c r="C193" s="8">
        <f>(L96*($E96/365))+(L97*($E97/365))</f>
        <v>37.802684378026846</v>
      </c>
      <c r="D193" s="8">
        <f>(M96*($E96/365))+(M97*($E97/365))</f>
        <v>49.670218163368844</v>
      </c>
      <c r="E193" s="48">
        <f t="shared" si="33"/>
        <v>87.472902541395683</v>
      </c>
      <c r="G193" s="1">
        <v>1998</v>
      </c>
      <c r="H193" s="989">
        <f>(O96/$R96*100*($E96/365))+(O97/$R97*100*($E97/365))</f>
        <v>0</v>
      </c>
      <c r="I193" s="989"/>
      <c r="J193" s="989">
        <f>(P96/$R96*100*($E96/365))+(P97/$R97*100*($E97/365))</f>
        <v>35.294117647058826</v>
      </c>
      <c r="K193" s="989"/>
      <c r="L193" s="989">
        <f>(Q96/$R96*100*($E96/365))+(Q97/$R97*100*($E97/365))</f>
        <v>64.70588235294116</v>
      </c>
      <c r="M193" s="989"/>
      <c r="N193" s="959">
        <f t="shared" si="34"/>
        <v>99.999999999999986</v>
      </c>
      <c r="O193" s="959"/>
      <c r="R193" s="1">
        <v>1998</v>
      </c>
      <c r="S193" s="8">
        <f>(O96*($E96/365))+(O97*($E97/365))</f>
        <v>0</v>
      </c>
      <c r="T193" s="8">
        <f>(P96*($E96/365))+(P97*($E97/365))</f>
        <v>16.2</v>
      </c>
      <c r="U193" s="8">
        <f>(Q96*($E96/365))+(Q97*($E97/365))</f>
        <v>29.7</v>
      </c>
      <c r="V193" s="12"/>
      <c r="W193" s="7">
        <f t="shared" si="35"/>
        <v>45.9</v>
      </c>
      <c r="Y193" s="45"/>
    </row>
    <row r="194" spans="1:25">
      <c r="A194" s="1">
        <v>1999</v>
      </c>
      <c r="B194" s="8">
        <f>(K98*($E98/365))+(K99*($E99/365))</f>
        <v>0</v>
      </c>
      <c r="C194" s="8">
        <f>(L98*($E98/365))+(L99*($E99/365))</f>
        <v>44.109589041095887</v>
      </c>
      <c r="D194" s="8">
        <f>(M98*($E98/365))+(M99*($E99/365))</f>
        <v>48.455098934550982</v>
      </c>
      <c r="E194" s="48">
        <f t="shared" si="33"/>
        <v>92.564687975646876</v>
      </c>
      <c r="G194" s="1">
        <v>1999</v>
      </c>
      <c r="H194" s="989">
        <f>(O98/$R98*100*($E98/365))+(O99/$R99*100*($E99/365))</f>
        <v>0</v>
      </c>
      <c r="I194" s="989"/>
      <c r="J194" s="989">
        <f>(P98/$R98*100*($E98/365))+(P99/$R99*100*($E99/365))</f>
        <v>35.294117647058826</v>
      </c>
      <c r="K194" s="989"/>
      <c r="L194" s="989">
        <f>(Q98/$R98*100*($E98/365))+(Q99/$R99*100*($E99/365))</f>
        <v>64.705882352941174</v>
      </c>
      <c r="M194" s="989"/>
      <c r="N194" s="959">
        <f t="shared" si="34"/>
        <v>100</v>
      </c>
      <c r="O194" s="959"/>
      <c r="R194" s="1">
        <v>1999</v>
      </c>
      <c r="S194" s="8">
        <f>(O98*($E98/365))+(O99*($E99/365))</f>
        <v>0</v>
      </c>
      <c r="T194" s="8">
        <f>(P98*($E98/365))+(P99*($E99/365))</f>
        <v>16.2</v>
      </c>
      <c r="U194" s="8">
        <f>(Q98*($E98/365))+(Q99*($E99/365))</f>
        <v>29.7</v>
      </c>
      <c r="V194" s="12"/>
      <c r="W194" s="7">
        <f t="shared" si="35"/>
        <v>45.9</v>
      </c>
      <c r="Y194" s="45"/>
    </row>
    <row r="195" spans="1:25">
      <c r="A195" s="1">
        <v>2000</v>
      </c>
      <c r="B195" s="8">
        <f>(K100*($E100/366))+(K101*($E101/366))</f>
        <v>0</v>
      </c>
      <c r="C195" s="8">
        <f>(L100*($E100/366))+(L101*($E101/366))</f>
        <v>27.12001619105444</v>
      </c>
      <c r="D195" s="8">
        <f>(M100*($E100/366))+(M101*($E101/366))</f>
        <v>57.943736085812588</v>
      </c>
      <c r="E195" s="48">
        <f t="shared" si="33"/>
        <v>85.063752276867035</v>
      </c>
      <c r="G195" s="1">
        <v>2000</v>
      </c>
      <c r="H195" s="989">
        <f>(O100/$R100*100*($E100/366))+(O101/$R101*100*($E101/366))</f>
        <v>0</v>
      </c>
      <c r="I195" s="989"/>
      <c r="J195" s="989">
        <f>(P100/$R100*100*($E100/366))+(P101/$R101*100*($E101/366))</f>
        <v>35.294117647058826</v>
      </c>
      <c r="K195" s="989"/>
      <c r="L195" s="989">
        <f>(Q100/$R100*100*($E100/366))+(Q101/$R101*100*($E101/366))</f>
        <v>64.705882352941174</v>
      </c>
      <c r="M195" s="989"/>
      <c r="N195" s="959">
        <f t="shared" si="34"/>
        <v>100</v>
      </c>
      <c r="O195" s="959"/>
      <c r="R195" s="1">
        <v>2000</v>
      </c>
      <c r="S195" s="8">
        <f>(O100*($E100/366))+(O101*($E101/366))</f>
        <v>0</v>
      </c>
      <c r="T195" s="8">
        <f>(P100*($E100/366))+(P101*($E101/366))</f>
        <v>16.2</v>
      </c>
      <c r="U195" s="8">
        <f>(Q100*($E100/366))+(Q101*($E101/366))</f>
        <v>29.7</v>
      </c>
      <c r="V195" s="12"/>
      <c r="W195" s="7">
        <f t="shared" si="35"/>
        <v>45.9</v>
      </c>
      <c r="Y195" s="26"/>
    </row>
    <row r="196" spans="1:25">
      <c r="A196" s="1">
        <v>2001</v>
      </c>
      <c r="B196" s="8">
        <f>(K102*($E102/365))+(K103*($E103/365))</f>
        <v>40.241095890410961</v>
      </c>
      <c r="C196" s="8">
        <f>(L102*($E102/365))+(L103*($E103/365))</f>
        <v>15.907052257737188</v>
      </c>
      <c r="D196" s="8">
        <f>(M102*($E102/365))+(M103*($E103/365))</f>
        <v>24.505327245053273</v>
      </c>
      <c r="E196" s="48">
        <f t="shared" si="33"/>
        <v>80.653475393201433</v>
      </c>
      <c r="G196" s="1">
        <v>2001</v>
      </c>
      <c r="H196" s="989">
        <f>(O102/$R102*100*($E102/365))+(O103/$R103*100*($E103/365))</f>
        <v>49.449140192363743</v>
      </c>
      <c r="I196" s="989"/>
      <c r="J196" s="989">
        <f>(P102/$R102*100*($E102/365))+(P103/$R103*100*($E103/365))</f>
        <v>22.009361016338918</v>
      </c>
      <c r="K196" s="989"/>
      <c r="L196" s="989">
        <f>(Q102/$R102*100*($E102/365))+(Q103/$R103*100*($E103/365))</f>
        <v>28.541498791297339</v>
      </c>
      <c r="M196" s="989"/>
      <c r="N196" s="959">
        <f t="shared" si="34"/>
        <v>100</v>
      </c>
      <c r="O196" s="959"/>
      <c r="R196" s="1">
        <v>2001</v>
      </c>
      <c r="S196" s="8">
        <f>(O102*($E102/365))+(O103*($E103/365))</f>
        <v>27.889315068493151</v>
      </c>
      <c r="T196" s="8">
        <f>(P102*($E102/365))+(P103*($E103/365))</f>
        <v>10.778630136986301</v>
      </c>
      <c r="U196" s="8">
        <f>(Q102*($E102/365))+(Q103*($E103/365))</f>
        <v>13.100547945205479</v>
      </c>
      <c r="V196" s="12"/>
      <c r="W196" s="7">
        <f t="shared" si="35"/>
        <v>51.768493150684932</v>
      </c>
      <c r="Y196" s="26"/>
    </row>
    <row r="197" spans="1:25">
      <c r="A197" s="1">
        <v>2002</v>
      </c>
      <c r="B197" s="8">
        <f>(K104*($E104/365))+(K105*($E105/365))</f>
        <v>72</v>
      </c>
      <c r="C197" s="8">
        <f>(L104*($E104/365))+(L105*($E105/365))</f>
        <v>8</v>
      </c>
      <c r="D197" s="8">
        <f>(M104*($E104/365))+(M105*($E105/365))</f>
        <v>0</v>
      </c>
      <c r="E197" s="48">
        <f t="shared" si="33"/>
        <v>80</v>
      </c>
      <c r="G197" s="1">
        <v>2002</v>
      </c>
      <c r="H197" s="989">
        <f>(O104/$R104*100*($E104/365))+(O105/$R105*100*($E105/365))</f>
        <v>88.475177304964532</v>
      </c>
      <c r="I197" s="989"/>
      <c r="J197" s="989">
        <f>(P104/$R104*100*($E104/365))+(P105/$R105*100*($E105/365))</f>
        <v>11.524822695035461</v>
      </c>
      <c r="K197" s="989"/>
      <c r="L197" s="989">
        <f>(Q104/$R104*100*($E104/365))+(Q105/$R105*100*($E105/365))</f>
        <v>0</v>
      </c>
      <c r="M197" s="989"/>
      <c r="N197" s="959">
        <f t="shared" si="34"/>
        <v>100</v>
      </c>
      <c r="O197" s="959"/>
      <c r="R197" s="1">
        <v>2002</v>
      </c>
      <c r="S197" s="8">
        <f>(O104*($E104/365))+(O105*($E105/365))</f>
        <v>49.9</v>
      </c>
      <c r="T197" s="8">
        <f>(P104*($E104/365))+(P105*($E105/365))</f>
        <v>6.5</v>
      </c>
      <c r="U197" s="8">
        <f>(Q104*($E104/365))+(Q105*($E105/365))</f>
        <v>0</v>
      </c>
      <c r="V197" s="12"/>
      <c r="W197" s="7">
        <f t="shared" si="35"/>
        <v>56.4</v>
      </c>
      <c r="Y197" s="45"/>
    </row>
    <row r="198" spans="1:25">
      <c r="A198" s="1">
        <v>2003</v>
      </c>
      <c r="B198" s="8">
        <f>(K106*($E106/365))+(K107*($E107/365))</f>
        <v>72</v>
      </c>
      <c r="C198" s="8">
        <f>(L106*($E106/365))+(L107*($E107/365))</f>
        <v>8</v>
      </c>
      <c r="D198" s="8">
        <f>(M106*($E106/365))+(M107*($E107/365))</f>
        <v>0</v>
      </c>
      <c r="E198" s="48">
        <f t="shared" si="33"/>
        <v>80</v>
      </c>
      <c r="G198" s="1">
        <v>2003</v>
      </c>
      <c r="H198" s="989">
        <f>(O106/$R106*100*($E106/365))+(O107/$R107*100*($E107/365))</f>
        <v>88.475177304964532</v>
      </c>
      <c r="I198" s="989"/>
      <c r="J198" s="989">
        <f>(P106/$R106*100*($E106/365))+(P107/$R107*100*($E107/365))</f>
        <v>11.524822695035461</v>
      </c>
      <c r="K198" s="989"/>
      <c r="L198" s="989">
        <f>(Q106/$R106*100*($E106/365))+(Q107/$R107*100*($E107/365))</f>
        <v>0</v>
      </c>
      <c r="M198" s="989"/>
      <c r="N198" s="959">
        <f t="shared" si="34"/>
        <v>100</v>
      </c>
      <c r="O198" s="959"/>
      <c r="R198" s="1">
        <v>2003</v>
      </c>
      <c r="S198" s="8">
        <f>(O106*($E106/365))+(O107*($E107/365))</f>
        <v>49.9</v>
      </c>
      <c r="T198" s="8">
        <f>(P106*($E106/365))+(P107*($E107/365))</f>
        <v>6.5</v>
      </c>
      <c r="U198" s="8">
        <f>(Q106*($E106/365))+(Q107*($E107/365))</f>
        <v>0</v>
      </c>
      <c r="V198" s="12"/>
      <c r="W198" s="7">
        <f t="shared" si="35"/>
        <v>56.4</v>
      </c>
      <c r="Y198" s="45"/>
    </row>
    <row r="199" spans="1:25">
      <c r="A199" s="1">
        <v>2004</v>
      </c>
      <c r="B199" s="8">
        <f>(K108*($E108/366))+(K109*($E109/366))</f>
        <v>76</v>
      </c>
      <c r="C199" s="8">
        <f>(L108*($E108/366))+(L109*($E109/366))</f>
        <v>8</v>
      </c>
      <c r="D199" s="8">
        <f>(M108*($E108/366))+(M109*($E109/366))</f>
        <v>0</v>
      </c>
      <c r="E199" s="48">
        <f t="shared" si="33"/>
        <v>84</v>
      </c>
      <c r="G199" s="1">
        <v>2004</v>
      </c>
      <c r="H199" s="989">
        <f>(O108/$R108*100*($E108/366))+(O109/$R109*100*($E109/366))</f>
        <v>88.475177304964532</v>
      </c>
      <c r="I199" s="989"/>
      <c r="J199" s="989">
        <f>(P108/$R108*100*($E108/366))+(P109/$R109*100*($E109/366))</f>
        <v>11.524822695035461</v>
      </c>
      <c r="K199" s="989"/>
      <c r="L199" s="989">
        <f>(Q108/$R108*100*($E108/366))+(Q109/$R109*100*($E109/366))</f>
        <v>0</v>
      </c>
      <c r="M199" s="989"/>
      <c r="N199" s="959">
        <f t="shared" si="34"/>
        <v>100</v>
      </c>
      <c r="O199" s="959"/>
      <c r="R199" s="1">
        <v>2004</v>
      </c>
      <c r="S199" s="8">
        <f>(O108*($E108/366))+(O109*($E109/366))</f>
        <v>49.9</v>
      </c>
      <c r="T199" s="8">
        <f>(P108*($E108/366))+(P109*($E109/366))</f>
        <v>6.5</v>
      </c>
      <c r="U199" s="8">
        <f>(Q108*($E108/366))+(Q109*($E109/366))</f>
        <v>0</v>
      </c>
      <c r="V199" s="12"/>
      <c r="W199" s="7">
        <f t="shared" si="35"/>
        <v>56.4</v>
      </c>
      <c r="Y199" s="26"/>
    </row>
    <row r="200" spans="1:25">
      <c r="A200" s="1">
        <v>2005</v>
      </c>
      <c r="B200" s="8">
        <f>(K110*($E110/365))+(K111*($E111/365))</f>
        <v>78.389041095890406</v>
      </c>
      <c r="C200" s="8">
        <f>(L110*($E110/365))+(L111*($E111/365))</f>
        <v>7.20365296803653</v>
      </c>
      <c r="D200" s="8">
        <f>(M110*($E110/365))+(M111*($E111/365))</f>
        <v>0</v>
      </c>
      <c r="E200" s="48">
        <f t="shared" si="33"/>
        <v>85.592694063926942</v>
      </c>
      <c r="G200" s="1">
        <v>2005</v>
      </c>
      <c r="H200" s="989">
        <f>(O110/$R110*100*($E110/365))+(O111/$R111*100*($E111/365))</f>
        <v>88.475177304964532</v>
      </c>
      <c r="I200" s="989"/>
      <c r="J200" s="989">
        <f>(P110/$R110*100*($E110/365))+(P111/$R111*100*($E111/365))</f>
        <v>11.524822695035461</v>
      </c>
      <c r="K200" s="989"/>
      <c r="L200" s="989">
        <f>(Q110/$R110*100*($E110/365))+(Q111/$R111*100*($E111/365))</f>
        <v>0</v>
      </c>
      <c r="M200" s="989"/>
      <c r="N200" s="959">
        <f t="shared" si="34"/>
        <v>100</v>
      </c>
      <c r="O200" s="959"/>
      <c r="R200" s="1">
        <v>2005</v>
      </c>
      <c r="S200" s="8">
        <f>(O110*($E110/365))+(O111*($E111/365))</f>
        <v>49.9</v>
      </c>
      <c r="T200" s="8">
        <f>(P110*($E110/365))+(P111*($E111/365))</f>
        <v>6.5</v>
      </c>
      <c r="U200" s="8">
        <f>(Q110*($E110/365))+(Q111*($E111/365))</f>
        <v>0</v>
      </c>
      <c r="V200" s="12"/>
      <c r="W200" s="7">
        <f t="shared" si="35"/>
        <v>56.4</v>
      </c>
      <c r="Y200" s="26"/>
    </row>
    <row r="201" spans="1:25">
      <c r="A201" s="1">
        <v>2006</v>
      </c>
      <c r="B201" s="8">
        <f>(K112*($E112/365))+(K114*($E114/365))+(K113*($E113/365))+(K115*($E115/365))</f>
        <v>29.152792413066386</v>
      </c>
      <c r="C201" s="8">
        <f>(L112*($E112/365))+(L114*($E114/365))+(L113*($E113/365))+(L115*($E115/365))</f>
        <v>5.0261874097490526</v>
      </c>
      <c r="D201" s="8">
        <f>(M112*($E112/365))+(M114*($E114/365))+(M113*($E113/365))+(M115*($E115/365))</f>
        <v>53.444951801116183</v>
      </c>
      <c r="E201" s="48">
        <f t="shared" si="33"/>
        <v>87.623931623931611</v>
      </c>
      <c r="G201" s="1">
        <v>2006</v>
      </c>
      <c r="H201" s="989">
        <f>(O113/$R113*100*($E113/365))+(O115/$R115*100*($E115/365))+(O112/$R112*100*($E112/365))+(O114/$R114*100*($E114/365))</f>
        <v>32.966093461575824</v>
      </c>
      <c r="I201" s="989"/>
      <c r="J201" s="989">
        <f>(P113/$R113*100*($E113/365))+(P115/$R115*100*($E115/365))+(P112/$R112*100*($E112/365))+(P114/$R114*100*($E114/365))</f>
        <v>6.2624856412981984</v>
      </c>
      <c r="K201" s="989"/>
      <c r="L201" s="989">
        <f>(Q113/$R113*100*($E113/365))+(Q115/$R115*100*($E115/365))+(Q112/$R112*100*($E112/365))+(Q114/$R114*100*($E114/365))</f>
        <v>60.771420897125971</v>
      </c>
      <c r="M201" s="989"/>
      <c r="N201" s="959">
        <f t="shared" si="34"/>
        <v>100</v>
      </c>
      <c r="O201" s="959"/>
      <c r="R201" s="1">
        <v>2006</v>
      </c>
      <c r="S201" s="8">
        <f>(O112*($E112/365))+(O114*($E114/365))+(O113*($E113/365))+(O115*($E115/365))</f>
        <v>18.592876712328767</v>
      </c>
      <c r="T201" s="8">
        <f>(P112*($E112/365))+(P114*($E114/365))+(P113*($E113/365))+(P115*($E115/365))</f>
        <v>3.4257534246575343</v>
      </c>
      <c r="U201" s="8">
        <f>(Q112*($E112/365))+(Q114*($E114/365))+(Q113*($E113/365))+(Q115*($E115/365))</f>
        <v>30.993424657534245</v>
      </c>
      <c r="V201" s="12"/>
      <c r="W201" s="7">
        <f t="shared" si="35"/>
        <v>53.012054794520552</v>
      </c>
      <c r="Y201" s="26"/>
    </row>
    <row r="202" spans="1:25">
      <c r="A202" s="1">
        <v>2007</v>
      </c>
      <c r="B202" s="8">
        <f>(K116*($E116/365))+(K117*($E117/365))</f>
        <v>0</v>
      </c>
      <c r="C202" s="8">
        <f>(L116*($E116/365))+(L117*($E117/365))</f>
        <v>3.7037037037037033</v>
      </c>
      <c r="D202" s="8">
        <f>(M116*($E116/365))+(M117*($E117/365))</f>
        <v>85.18518518518519</v>
      </c>
      <c r="E202" s="48">
        <f t="shared" si="33"/>
        <v>88.8888888888889</v>
      </c>
      <c r="G202" s="1">
        <v>2007</v>
      </c>
      <c r="H202" s="989">
        <f>(O116/$R116*100*($E116/365))+(O117/$R117*100*($E117/365))</f>
        <v>0</v>
      </c>
      <c r="I202" s="989"/>
      <c r="J202" s="989">
        <f>(P116/$R116*100*($E116/365))+(P117/$R117*100*($E117/365))</f>
        <v>3.1372549019607843</v>
      </c>
      <c r="K202" s="989"/>
      <c r="L202" s="989">
        <f>(Q116/$R116*100*($E116/365))+(Q117/$R117*100*($E117/365))</f>
        <v>96.862745098039213</v>
      </c>
      <c r="M202" s="989"/>
      <c r="N202" s="959">
        <f t="shared" si="34"/>
        <v>100</v>
      </c>
      <c r="O202" s="959"/>
      <c r="R202" s="1">
        <v>2007</v>
      </c>
      <c r="S202" s="8">
        <f>(O116*($E116/365))+(O117*($E117/365))</f>
        <v>0</v>
      </c>
      <c r="T202" s="8">
        <f>(P116*($E116/365))+(P117*($E117/365))</f>
        <v>1.6</v>
      </c>
      <c r="U202" s="8">
        <f>(Q116*($E116/365))+(Q117*($E117/365))</f>
        <v>49.4</v>
      </c>
      <c r="V202" s="12"/>
      <c r="W202" s="7">
        <f t="shared" si="35"/>
        <v>51</v>
      </c>
      <c r="Y202" s="26"/>
    </row>
    <row r="203" spans="1:25">
      <c r="A203" s="1">
        <v>2008</v>
      </c>
      <c r="B203" s="8">
        <f>(K118*($E118/366))+(K119*($E119/366))</f>
        <v>62.071535022354688</v>
      </c>
      <c r="C203" s="8">
        <f>(L118*($E118/366))+(L119*($E119/366))</f>
        <v>4.2510717374105349</v>
      </c>
      <c r="D203" s="8">
        <f>(M118*($E118/366))+(M119*($E119/366))</f>
        <v>29.791540174053836</v>
      </c>
      <c r="E203" s="48">
        <f t="shared" si="33"/>
        <v>96.114146933819057</v>
      </c>
      <c r="G203" s="1">
        <v>2008</v>
      </c>
      <c r="H203" s="989">
        <f>(O118/$R118*100*($E118/366))+(O119/$R119*100*($E119/366))</f>
        <v>65.027322404371574</v>
      </c>
      <c r="I203" s="989"/>
      <c r="J203" s="989">
        <f>(P118/$R118*100*($E118/366))+(P119/$R119*100*($E119/366))</f>
        <v>1.0971820422157934</v>
      </c>
      <c r="K203" s="989"/>
      <c r="L203" s="989">
        <f>(Q118/$R118*100*($E118/366))+(Q119/$R119*100*($E119/366))</f>
        <v>33.87549555341262</v>
      </c>
      <c r="M203" s="989"/>
      <c r="N203" s="959">
        <f t="shared" si="34"/>
        <v>99.999999999999986</v>
      </c>
      <c r="O203" s="959"/>
      <c r="R203" s="1">
        <v>2008</v>
      </c>
      <c r="S203" s="8">
        <f>(O118*($E118/366))+(O119*($E119/366))</f>
        <v>34.659562841530047</v>
      </c>
      <c r="T203" s="8">
        <f>(P118*($E118/366))+(P119*($E119/366))</f>
        <v>0.55956284153005464</v>
      </c>
      <c r="U203" s="8">
        <f>(Q118*($E118/366))+(Q119*($E119/366))</f>
        <v>17.276502732240438</v>
      </c>
      <c r="V203" s="12"/>
      <c r="W203" s="7">
        <f t="shared" si="35"/>
        <v>52.495628415300537</v>
      </c>
      <c r="Y203" s="26"/>
    </row>
    <row r="204" spans="1:25">
      <c r="A204" s="1">
        <v>2009</v>
      </c>
      <c r="B204" s="8">
        <f>(K120*($E120/365))+(K121*($E121/365))+(K122*($E122/365))</f>
        <v>98.418430884184318</v>
      </c>
      <c r="C204" s="8">
        <f>(L120*($E120/365))+(L121*($E121/365))+(L122*($E122/365))</f>
        <v>1.5815691158156913</v>
      </c>
      <c r="D204" s="8">
        <f>(M120*($E120/365))+(M121*($E121/365))+(M122*($E122/365))</f>
        <v>0</v>
      </c>
      <c r="E204" s="48">
        <f>B204+C204+D204</f>
        <v>100.00000000000001</v>
      </c>
      <c r="G204" s="1">
        <v>2009</v>
      </c>
      <c r="H204" s="989">
        <f>(O120/$R120*100*($E120/365))+(O121/$R121*100*(E121/365))+(O122/$R122*100*($E122/365))</f>
        <v>100</v>
      </c>
      <c r="I204" s="989"/>
      <c r="J204" s="989">
        <f>(P120/$R120*100*($E120/365))+(P121/$R121*100*(F121/365))+(P122/$R122*100*($E122/365))</f>
        <v>0</v>
      </c>
      <c r="K204" s="989"/>
      <c r="L204" s="989">
        <f>(Q120/$R120*100*($E120/365))+(Q121/$R121*100*(G121/365))+(Q122/$R122*100*($E122/365))</f>
        <v>0</v>
      </c>
      <c r="M204" s="989"/>
      <c r="N204" s="959">
        <f t="shared" si="34"/>
        <v>100</v>
      </c>
      <c r="O204" s="959"/>
      <c r="R204" s="1">
        <v>2009</v>
      </c>
      <c r="S204" s="8">
        <f>(O120*($E120/365))+(O121*($E121/365))+(O122*($E122/365))</f>
        <v>53.3</v>
      </c>
      <c r="T204" s="8">
        <f>(P120*($E120/365))+(P121*($E121/365))+(P122*($E122/365))</f>
        <v>0</v>
      </c>
      <c r="U204" s="8">
        <f>(Q120*($E120/365))+(Q121*($E121/365))+(Q122*($E122/365))</f>
        <v>0</v>
      </c>
      <c r="V204" s="12"/>
      <c r="W204" s="7">
        <f t="shared" si="35"/>
        <v>53.3</v>
      </c>
      <c r="Y204" s="26"/>
    </row>
    <row r="205" spans="1:25">
      <c r="A205" s="1">
        <v>2010</v>
      </c>
      <c r="B205" s="8">
        <f>(K123*($E123/365))+(K124*($E124/365))+(K125*($E125/365))</f>
        <v>100</v>
      </c>
      <c r="C205" s="8">
        <f>(L123*($E123/365))+(L124*($E124/365))+(L125*($E125/365))</f>
        <v>0</v>
      </c>
      <c r="D205" s="8">
        <f>(M123*($E123/365))+(M124*($E124/365))+(M125*($E125/365))</f>
        <v>0</v>
      </c>
      <c r="E205" s="48">
        <f t="shared" si="33"/>
        <v>100</v>
      </c>
      <c r="G205" s="1">
        <v>2010</v>
      </c>
      <c r="H205" s="989">
        <f>(O123/$R123*100*($E123/365))+(O124/$R124*100*(E124/365))+(O125/$R125*100*($E125/365))</f>
        <v>100</v>
      </c>
      <c r="I205" s="989"/>
      <c r="J205" s="989">
        <f>(P123/$R123*100*($E123/365))+(P124/$R124*100*(F124/365))+(P125/$R125*100*($E125/365))</f>
        <v>0</v>
      </c>
      <c r="K205" s="989"/>
      <c r="L205" s="989">
        <f>(Q123/$R123*100*($E123/365))+(Q124/$R124*100*(G124/365))+(Q125/$R125*100*($E125/365))</f>
        <v>0</v>
      </c>
      <c r="M205" s="989"/>
      <c r="N205" s="959">
        <f t="shared" si="34"/>
        <v>100</v>
      </c>
      <c r="O205" s="959"/>
      <c r="R205" s="1">
        <v>2010</v>
      </c>
      <c r="S205" s="8">
        <f>(O123*($E123/365))+(O124*($E124/365))+(O125*($E125/365))</f>
        <v>53.3</v>
      </c>
      <c r="T205" s="8">
        <f>(P123*($E123/365))+(P124*($E124/365))+(P125*($E125/365))</f>
        <v>0</v>
      </c>
      <c r="U205" s="8">
        <f>(Q123*($E123/365))+(Q124*($E124/365))+(Q125*($E125/365))</f>
        <v>0</v>
      </c>
      <c r="V205" s="12"/>
      <c r="W205" s="7">
        <f t="shared" si="35"/>
        <v>53.3</v>
      </c>
      <c r="Y205" s="26"/>
    </row>
    <row r="206" spans="1:25">
      <c r="A206" s="1">
        <v>2011</v>
      </c>
      <c r="B206" s="8">
        <f>(K126*($E126/365))+(K127*($E127/365))+($K128*(E128/365))</f>
        <v>87.945205479452056</v>
      </c>
      <c r="C206" s="8">
        <f>(L126*($E126/365))+(L127*($E127/365))+($K128*(F128/365))</f>
        <v>0</v>
      </c>
      <c r="D206" s="8">
        <f>(M126*($E126/365))+(M127*($E127/365))+($K128*(G128/365))</f>
        <v>0</v>
      </c>
      <c r="E206" s="48">
        <f t="shared" si="33"/>
        <v>87.945205479452056</v>
      </c>
      <c r="G206" s="1">
        <v>2011</v>
      </c>
      <c r="H206" s="989">
        <f>(O126/$R126*100*($E126/365))+(O127/$R127*100*(E127/365))</f>
        <v>87.945205479452056</v>
      </c>
      <c r="I206" s="989"/>
      <c r="J206" s="989">
        <f>(P126/$R126*100*($E126/365))+(P127/$R127*100*(F127/365))</f>
        <v>0</v>
      </c>
      <c r="K206" s="989"/>
      <c r="L206" s="989">
        <f>(Q126/$R126*100*($E126/365))+(Q127/$R127*100*(G127/365))</f>
        <v>0</v>
      </c>
      <c r="M206" s="989"/>
      <c r="N206" s="959">
        <f t="shared" si="34"/>
        <v>87.945205479452056</v>
      </c>
      <c r="O206" s="959"/>
      <c r="R206" s="1">
        <v>2011</v>
      </c>
      <c r="S206" s="8">
        <f>(O126*($E126/365))+(O127*($E127/365))+($K128*(I128/365))</f>
        <v>46.874794520547944</v>
      </c>
      <c r="T206" s="8">
        <f>(P126*($E126/365))+(P127*($E127/365))+($K128*(J128/365))</f>
        <v>0</v>
      </c>
      <c r="U206" s="8">
        <f>(Q126*($E126/365))+(Q127*($E127/365))+($K128*(K128/365))</f>
        <v>0</v>
      </c>
      <c r="V206" s="12"/>
      <c r="W206" s="7">
        <f t="shared" si="35"/>
        <v>46.874794520547944</v>
      </c>
      <c r="Y206" s="26"/>
    </row>
    <row r="207" spans="1:25">
      <c r="A207" s="1">
        <v>2012</v>
      </c>
      <c r="B207" s="8">
        <f>(K129*($E129/366))+($K130*(E130/366))</f>
        <v>0</v>
      </c>
      <c r="C207" s="8">
        <f>(L129*($E129/366))+($K130*(F130/366))</f>
        <v>0</v>
      </c>
      <c r="D207" s="8">
        <f>(M129*($E129/366))+($K130*(G130/366))</f>
        <v>0</v>
      </c>
      <c r="E207" s="48">
        <f t="shared" si="33"/>
        <v>0</v>
      </c>
      <c r="G207" s="1">
        <v>2012</v>
      </c>
      <c r="H207" s="989">
        <v>0</v>
      </c>
      <c r="I207" s="989"/>
      <c r="J207" s="989">
        <v>0</v>
      </c>
      <c r="K207" s="989"/>
      <c r="L207" s="989">
        <v>0</v>
      </c>
      <c r="M207" s="989"/>
      <c r="N207" s="959">
        <f t="shared" ref="N207:N212" si="36">H207+J207+L207</f>
        <v>0</v>
      </c>
      <c r="O207" s="959"/>
      <c r="R207" s="1">
        <v>2012</v>
      </c>
      <c r="S207" s="8">
        <f>(O129*($E129/366))+($K130*(I130/366))</f>
        <v>0</v>
      </c>
      <c r="T207" s="8">
        <f>(P129*($E129/366))+($K130*(J130/366))</f>
        <v>0</v>
      </c>
      <c r="U207" s="8">
        <f>(Q129*($E129/366))+($K130*(K130/366))</f>
        <v>0</v>
      </c>
      <c r="V207" s="12"/>
      <c r="W207" s="7">
        <f t="shared" si="35"/>
        <v>0</v>
      </c>
      <c r="Y207" s="26"/>
    </row>
    <row r="208" spans="1:25">
      <c r="A208" s="1">
        <v>2013</v>
      </c>
      <c r="B208" s="8">
        <f>(K131*(E131/365))+(K132*($E132/365))+(K133*($E133/365))</f>
        <v>21.843088418430884</v>
      </c>
      <c r="C208" s="8">
        <f>(L131*($E131/365))+(L132*($E132/365))+(L133*($E133/365))</f>
        <v>5.9526774595267744</v>
      </c>
      <c r="D208" s="8">
        <f>(M131*($E131/365))+(M132*($E132/365))+(M133*($E133/365))</f>
        <v>30.884184308841842</v>
      </c>
      <c r="E208" s="318">
        <f>B208+C208+D208</f>
        <v>58.679950186799502</v>
      </c>
      <c r="G208" s="1">
        <v>2013</v>
      </c>
      <c r="H208" s="989">
        <f>0+(O132/$R132*100*($E132/365))+(O133/$R133*100*($E133/365))</f>
        <v>18.506003369017062</v>
      </c>
      <c r="I208" s="989"/>
      <c r="J208" s="989">
        <f>0+(P132/$R132*100*($E132/365))+(P133/$R133*100*($E133/365))</f>
        <v>2.2808767671781367</v>
      </c>
      <c r="K208" s="989"/>
      <c r="L208" s="989">
        <f>0+(Q132/$R132*100*($E132/365))+(Q133/$R133*100*($E133/365))</f>
        <v>47.158325343256841</v>
      </c>
      <c r="M208" s="989"/>
      <c r="N208" s="959">
        <f t="shared" si="36"/>
        <v>67.945205479452042</v>
      </c>
      <c r="O208" s="959"/>
      <c r="R208" s="1">
        <v>2013</v>
      </c>
      <c r="S208" s="8">
        <f>(O131*($E131/365))+(O132*($E132/365))+(O133*($E133/365))</f>
        <v>12.846027397260274</v>
      </c>
      <c r="T208" s="8">
        <f>(P131*($E131/365))+(P132*($E132/365))+(P133*($E133/365))</f>
        <v>1.463013698630137</v>
      </c>
      <c r="U208" s="8">
        <f>(Q131*($E131/365))+(Q132*($E132/365))+(Q133*($E133/365))</f>
        <v>32.002191780821917</v>
      </c>
      <c r="V208" s="12"/>
      <c r="W208" s="7">
        <f>S208+T208+U208</f>
        <v>46.311232876712324</v>
      </c>
      <c r="Y208" s="26"/>
    </row>
    <row r="209" spans="1:2047 2049:7168 7172:9215 9219:10240 10243:11262 11266:12287 12290:13309 13313:14334 14337:16384">
      <c r="A209" s="1">
        <v>2014</v>
      </c>
      <c r="B209" s="8">
        <f>(K134*(E134/365))+(K135*($E135/365))+(K136*($E136/365))</f>
        <v>7.0332890316774277</v>
      </c>
      <c r="C209" s="8">
        <f>(L134*($E134/365))+(L135*($E135/365))+(L136*($E136/365))</f>
        <v>23.816012083538268</v>
      </c>
      <c r="D209" s="8">
        <f>(M134*($E134/365))+(M135*($E135/365))+(M136*($E136/365))</f>
        <v>62.117409853106878</v>
      </c>
      <c r="E209" s="632">
        <f>B209+C209+D209</f>
        <v>92.966710968322573</v>
      </c>
      <c r="G209" s="1">
        <v>2014</v>
      </c>
      <c r="H209" s="989">
        <f>(O134/$R134*100*($E134/365))+(O135/$R135*100*($E135/365))+(O136/$R136*100*($E136/365))</f>
        <v>8.0532450746461368</v>
      </c>
      <c r="I209" s="989"/>
      <c r="J209" s="989">
        <f>(P134/$R134*100*($E134/365))+(P135/$R135*100*($E135/365))+(P136/$R136*100*($E136/365))</f>
        <v>8.4388080861049222</v>
      </c>
      <c r="K209" s="989"/>
      <c r="L209" s="989">
        <f>(Q134/$R134*100*($E134/365))+(Q135/$R135*100*($E135/365))+(Q136/$R136*100*($E136/365))</f>
        <v>83.507946839248945</v>
      </c>
      <c r="M209" s="989"/>
      <c r="N209" s="959">
        <f t="shared" si="36"/>
        <v>100</v>
      </c>
      <c r="O209" s="959"/>
      <c r="R209" s="1">
        <v>2014</v>
      </c>
      <c r="S209" s="8">
        <f>(O134*($E134/365))+(O135*($E135/365))+(O136*($E136/365))</f>
        <v>4.5706849315068494</v>
      </c>
      <c r="T209" s="8">
        <f>(P134*($E134/365))+(P135*($E135/365))+(P136*($E136/365))</f>
        <v>4.7852054794520544</v>
      </c>
      <c r="U209" s="8">
        <f>(Q134*($E134/365))+(Q135*($E135/365))+(Q136*($E136/365))</f>
        <v>47.271506849315067</v>
      </c>
      <c r="V209" s="12"/>
      <c r="W209" s="7">
        <f>S209+T209+U209</f>
        <v>56.627397260273966</v>
      </c>
      <c r="Y209" s="26"/>
    </row>
    <row r="210" spans="1:2047 2049:7168 7172:9215 9219:10240 10243:11262 11266:12287 12290:13309 13313:14334 14337:16384" s="738" customFormat="1">
      <c r="A210" s="738">
        <v>2015</v>
      </c>
      <c r="B210" s="732">
        <f>(K137*(E137/365))+(K138*($E138/365))+(K139*($E139/365))+(K140*($E140/365))</f>
        <v>0.58017727639000805</v>
      </c>
      <c r="C210" s="732">
        <f>(L137*($E137/365))+(L138*($E138/365))+(L139*($E139/365))+(L140*($E140/365))</f>
        <v>24.544721998388397</v>
      </c>
      <c r="D210" s="732">
        <f>(M137*($E137/365))+(M138*($E138/365))+(M139*($E139/365))+(M140*($E140/365))</f>
        <v>68.992747784045122</v>
      </c>
      <c r="E210" s="733">
        <f>B210+C210+D210</f>
        <v>94.117647058823522</v>
      </c>
      <c r="G210" s="738">
        <v>2015</v>
      </c>
      <c r="H210" s="989">
        <f>(O137/$R137*100*($E137/365))+(O138/$R138*100*($E138/365))+(O139/$R139*100*($E139/365))+(O140/$R140*100*($E140/365))</f>
        <v>0.75464339687027737</v>
      </c>
      <c r="I210" s="989"/>
      <c r="J210" s="989">
        <f>(P137/$R137*100*($E137/365))+(P138/$R138*100*($E138/365))+(P139/$R139*100*($E139/365))+(P140/$R140*100*($E140/365))</f>
        <v>8.7963129166550438</v>
      </c>
      <c r="K210" s="989"/>
      <c r="L210" s="989">
        <f>(Q137/$R137*100*($E137/365))+(Q138/$R138*100*($E138/365))+(Q139/$R139*100*($E139/365))+(Q140/$R140*100*($E140/365))</f>
        <v>90.449043686474667</v>
      </c>
      <c r="M210" s="989"/>
      <c r="N210" s="959">
        <f t="shared" si="36"/>
        <v>99.999999999999986</v>
      </c>
      <c r="O210" s="959"/>
      <c r="R210" s="738">
        <v>2015</v>
      </c>
      <c r="S210" s="732">
        <f>(O137*($E137/365))+(O138*($E138/365))+(O139*($E139/365))+(O140*($E140/365))</f>
        <v>0.42410958904109586</v>
      </c>
      <c r="T210" s="732">
        <f>(P137*($E137/365))+(P138*($E138/365))+(P139*($E139/365))+(P140*($E140/365))</f>
        <v>4.5999999999999996</v>
      </c>
      <c r="U210" s="732">
        <f>(Q137*($E137/365))+(Q138*($E138/365))+(Q139*($E139/365))+(Q140*($E140/365))</f>
        <v>47.3</v>
      </c>
      <c r="V210" s="12"/>
      <c r="W210" s="825">
        <f t="shared" ref="W210:W211" si="37">S210+T210+U210</f>
        <v>52.324109589041093</v>
      </c>
      <c r="Y210" s="26"/>
      <c r="AT210" s="37"/>
      <c r="BA210" s="736"/>
    </row>
    <row r="211" spans="1:2047 2049:7168 7172:9215 9219:10240 10243:11262 11266:12287 12290:13309 13313:14334 14337:16384" s="827" customFormat="1">
      <c r="A211" s="827">
        <v>2016</v>
      </c>
      <c r="B211" s="820">
        <f>(K141*($E141/366))+(K142*($E142/366))+(K143*($E143/366))</f>
        <v>0</v>
      </c>
      <c r="C211" s="820">
        <f>(L141*($E141/366))+(L142*($E142/366))+(L143*($E143/366))</f>
        <v>20.116384560726793</v>
      </c>
      <c r="D211" s="820">
        <f>(M141*($E141/366))+(M142*($E142/366))+(M143*($E143/366))</f>
        <v>73.495364496100422</v>
      </c>
      <c r="E211" s="821">
        <f t="shared" ref="E211" si="38">B211+C211+D211</f>
        <v>93.611749056827222</v>
      </c>
      <c r="G211" s="827">
        <v>2016</v>
      </c>
      <c r="H211" s="989">
        <f>(O141/$R141*100*($E141/366))+(O142/$R142*100*($E142/366))+(O143/$R143*100*($E143/366))</f>
        <v>0</v>
      </c>
      <c r="I211" s="989"/>
      <c r="J211" s="989">
        <f>(P141/$R141*100*($E141/366))+(P142/$R142*100*($E142/366))+(P143/$R143*100*($E143/366))</f>
        <v>8.808073194732323</v>
      </c>
      <c r="K211" s="989"/>
      <c r="L211" s="989">
        <f>(Q141/$R141*100*($E141/366))+(Q142/$R142*100*($E142/366))+(Q143/$R143*100*($E143/366))</f>
        <v>91.191926805267656</v>
      </c>
      <c r="M211" s="989"/>
      <c r="N211" s="959">
        <f t="shared" si="36"/>
        <v>99.999999999999972</v>
      </c>
      <c r="O211" s="959"/>
      <c r="R211" s="827">
        <v>2016</v>
      </c>
      <c r="S211" s="820">
        <f>(O141*($E141/366))+(O142*($E142/366))+(O143*($E143/366))</f>
        <v>0</v>
      </c>
      <c r="T211" s="820">
        <f>(P141*($E141/366))+(P142*($E142/366))+(P143*($E143/366))</f>
        <v>4.5726775956284147</v>
      </c>
      <c r="U211" s="820">
        <f>(Q141*($E141/366))+(Q142*($E142/366))+(Q143*($E143/366))</f>
        <v>47.343715846994542</v>
      </c>
      <c r="W211" s="825">
        <f t="shared" si="37"/>
        <v>51.916393442622955</v>
      </c>
      <c r="X211" s="37"/>
      <c r="AE211" s="824"/>
    </row>
    <row r="212" spans="1:2047 2049:7168 7172:9215 9219:10240 10243:11262 11266:12287 12290:13309 13313:14334 14337:16384" s="920" customFormat="1">
      <c r="A212" s="920">
        <v>2017</v>
      </c>
      <c r="B212" s="915">
        <f>(K144*($E144/365))+(K145*($E145/365))</f>
        <v>0</v>
      </c>
      <c r="C212" s="915">
        <f t="shared" ref="C212:D212" si="39">(L144*($E144/365))+(L145*($E145/365))</f>
        <v>18.80317231434751</v>
      </c>
      <c r="D212" s="915">
        <f t="shared" si="39"/>
        <v>70.670511896178795</v>
      </c>
      <c r="E212" s="916">
        <f t="shared" ref="E212" si="40">B212+C212+D212</f>
        <v>89.473684210526301</v>
      </c>
      <c r="G212" s="920">
        <v>2017</v>
      </c>
      <c r="H212" s="989">
        <f>(O144/$R144*100*($E144/365))+(O145/$R145*100*($E145/365))</f>
        <v>0</v>
      </c>
      <c r="I212" s="989"/>
      <c r="J212" s="989">
        <f>(P144/$R144*100*($E144/365))+(P145/$R145*100*($E145/365))</f>
        <v>7.8544061302681971</v>
      </c>
      <c r="K212" s="989"/>
      <c r="L212" s="989">
        <f>(Q144/$R144*100*($E144/365))+(Q145/$R145*100*($E145/365))</f>
        <v>92.145593869731798</v>
      </c>
      <c r="M212" s="989"/>
      <c r="N212" s="959">
        <f t="shared" si="36"/>
        <v>100</v>
      </c>
      <c r="O212" s="959"/>
      <c r="R212" s="920">
        <v>2017</v>
      </c>
      <c r="S212" s="915">
        <f>(O144*($E144/365))+(O145*($E145/365))</f>
        <v>0</v>
      </c>
      <c r="T212" s="915">
        <f t="shared" ref="T212:U212" si="41">(P144*($E144/365))+(P145*($E145/365))</f>
        <v>4.0999999999999996</v>
      </c>
      <c r="U212" s="915">
        <f t="shared" si="41"/>
        <v>48.1</v>
      </c>
      <c r="V212" s="915"/>
      <c r="W212" s="917">
        <f t="shared" ref="W212" si="42">S212+T212+U212</f>
        <v>52.2</v>
      </c>
      <c r="Y212" s="915"/>
      <c r="Z212" s="915"/>
      <c r="AA212" s="915"/>
      <c r="AB212" s="916"/>
      <c r="AE212" s="989"/>
      <c r="AF212" s="989"/>
      <c r="AG212" s="989"/>
      <c r="AH212" s="989"/>
      <c r="AI212" s="989"/>
      <c r="AJ212" s="989"/>
      <c r="AK212" s="959"/>
      <c r="AL212" s="959"/>
      <c r="AP212" s="915"/>
      <c r="AQ212" s="915"/>
      <c r="AR212" s="915"/>
      <c r="AT212" s="917"/>
      <c r="AV212" s="915"/>
      <c r="AW212" s="915"/>
      <c r="AX212" s="915"/>
      <c r="AY212" s="916"/>
      <c r="BB212" s="989"/>
      <c r="BC212" s="989"/>
      <c r="BD212" s="989"/>
      <c r="BE212" s="989"/>
      <c r="BF212" s="989"/>
      <c r="BG212" s="989"/>
      <c r="BH212" s="959"/>
      <c r="BI212" s="959"/>
      <c r="BM212" s="915"/>
      <c r="BN212" s="915"/>
      <c r="BO212" s="915"/>
      <c r="BQ212" s="917"/>
      <c r="BS212" s="915"/>
      <c r="BT212" s="915"/>
      <c r="BU212" s="915"/>
      <c r="BV212" s="916"/>
      <c r="BY212" s="989"/>
      <c r="BZ212" s="989"/>
      <c r="CA212" s="989"/>
      <c r="CB212" s="989"/>
      <c r="CC212" s="989"/>
      <c r="CD212" s="989"/>
      <c r="CE212" s="959"/>
      <c r="CF212" s="959"/>
      <c r="CJ212" s="915"/>
      <c r="CK212" s="915"/>
      <c r="CL212" s="915"/>
      <c r="CN212" s="917"/>
      <c r="CP212" s="915"/>
      <c r="CQ212" s="915"/>
      <c r="CR212" s="915"/>
      <c r="CS212" s="916"/>
      <c r="CV212" s="989"/>
      <c r="CW212" s="989"/>
      <c r="CX212" s="989"/>
      <c r="CY212" s="989"/>
      <c r="CZ212" s="989"/>
      <c r="DA212" s="989"/>
      <c r="DB212" s="959"/>
      <c r="DC212" s="959"/>
      <c r="DG212" s="915"/>
      <c r="DH212" s="915"/>
      <c r="DI212" s="915"/>
      <c r="DK212" s="917"/>
      <c r="DM212" s="915"/>
      <c r="DN212" s="915"/>
      <c r="DO212" s="915"/>
      <c r="DP212" s="916"/>
      <c r="DS212" s="989"/>
      <c r="DT212" s="989"/>
      <c r="DU212" s="989"/>
      <c r="DV212" s="989"/>
      <c r="DW212" s="989"/>
      <c r="DX212" s="989"/>
      <c r="DY212" s="959"/>
      <c r="DZ212" s="959"/>
      <c r="ED212" s="915"/>
      <c r="EE212" s="915"/>
      <c r="EF212" s="915"/>
      <c r="EH212" s="917"/>
      <c r="EJ212" s="915"/>
      <c r="EK212" s="915"/>
      <c r="EL212" s="915"/>
      <c r="EM212" s="916"/>
      <c r="EP212" s="989"/>
      <c r="EQ212" s="989"/>
      <c r="ER212" s="989"/>
      <c r="ES212" s="989"/>
      <c r="ET212" s="989"/>
      <c r="EU212" s="989"/>
      <c r="EV212" s="959"/>
      <c r="EW212" s="959"/>
      <c r="FA212" s="915"/>
      <c r="FB212" s="915"/>
      <c r="FC212" s="915"/>
      <c r="FE212" s="917"/>
      <c r="FG212" s="915"/>
      <c r="FH212" s="915"/>
      <c r="FI212" s="915"/>
      <c r="FJ212" s="916"/>
      <c r="FM212" s="989"/>
      <c r="FN212" s="989"/>
      <c r="FO212" s="989"/>
      <c r="FP212" s="989"/>
      <c r="FQ212" s="989"/>
      <c r="FR212" s="989"/>
      <c r="FS212" s="959"/>
      <c r="FT212" s="959"/>
      <c r="FX212" s="915"/>
      <c r="FY212" s="915"/>
      <c r="FZ212" s="915"/>
      <c r="GB212" s="917"/>
      <c r="GD212" s="915"/>
      <c r="GE212" s="915"/>
      <c r="GF212" s="915"/>
      <c r="GG212" s="916"/>
      <c r="GJ212" s="989"/>
      <c r="GK212" s="989"/>
      <c r="GL212" s="989"/>
      <c r="GM212" s="989"/>
      <c r="GN212" s="989"/>
      <c r="GO212" s="989"/>
      <c r="GP212" s="959"/>
      <c r="GQ212" s="959"/>
      <c r="GU212" s="915"/>
      <c r="GV212" s="915"/>
      <c r="GW212" s="915"/>
      <c r="GY212" s="917"/>
      <c r="HA212" s="915"/>
      <c r="HB212" s="915"/>
      <c r="HC212" s="915"/>
      <c r="HD212" s="916"/>
      <c r="HG212" s="989"/>
      <c r="HH212" s="989"/>
      <c r="HI212" s="989"/>
      <c r="HJ212" s="989"/>
      <c r="HK212" s="989"/>
      <c r="HL212" s="989"/>
      <c r="HM212" s="959"/>
      <c r="HN212" s="959"/>
      <c r="HR212" s="915"/>
      <c r="HS212" s="915"/>
      <c r="HT212" s="915"/>
      <c r="HV212" s="917"/>
      <c r="HX212" s="915"/>
      <c r="HY212" s="915"/>
      <c r="HZ212" s="915"/>
      <c r="IA212" s="916"/>
      <c r="ID212" s="989"/>
      <c r="IE212" s="989"/>
      <c r="IF212" s="989"/>
      <c r="IG212" s="989"/>
      <c r="IH212" s="989"/>
      <c r="II212" s="989"/>
      <c r="IJ212" s="959"/>
      <c r="IK212" s="959"/>
      <c r="IO212" s="915"/>
      <c r="IP212" s="915"/>
      <c r="IQ212" s="915"/>
      <c r="IS212" s="917"/>
      <c r="IU212" s="915"/>
      <c r="IV212" s="915"/>
      <c r="IW212" s="915"/>
      <c r="IX212" s="916"/>
      <c r="JA212" s="989"/>
      <c r="JB212" s="989"/>
      <c r="JC212" s="989"/>
      <c r="JD212" s="989"/>
      <c r="JE212" s="989"/>
      <c r="JF212" s="989"/>
      <c r="JG212" s="959"/>
      <c r="JH212" s="959"/>
      <c r="JL212" s="915"/>
      <c r="JM212" s="915"/>
      <c r="JN212" s="915"/>
      <c r="JP212" s="917"/>
      <c r="JR212" s="915"/>
      <c r="JS212" s="915"/>
      <c r="JT212" s="915"/>
      <c r="JU212" s="916"/>
      <c r="JX212" s="989"/>
      <c r="JY212" s="989"/>
      <c r="JZ212" s="989"/>
      <c r="KA212" s="989"/>
      <c r="KB212" s="989"/>
      <c r="KC212" s="989"/>
      <c r="KD212" s="959"/>
      <c r="KE212" s="959"/>
      <c r="KI212" s="915"/>
      <c r="KJ212" s="915"/>
      <c r="KK212" s="915"/>
      <c r="KM212" s="917"/>
      <c r="KO212" s="915"/>
      <c r="KP212" s="915"/>
      <c r="KQ212" s="915"/>
      <c r="KR212" s="916"/>
      <c r="KU212" s="989"/>
      <c r="KV212" s="989"/>
      <c r="KW212" s="989"/>
      <c r="KX212" s="989"/>
      <c r="KY212" s="989"/>
      <c r="KZ212" s="989"/>
      <c r="LA212" s="959"/>
      <c r="LB212" s="959"/>
      <c r="LF212" s="915"/>
      <c r="LG212" s="915"/>
      <c r="LH212" s="915"/>
      <c r="LJ212" s="917"/>
      <c r="LL212" s="915"/>
      <c r="LM212" s="915"/>
      <c r="LN212" s="915"/>
      <c r="LO212" s="916"/>
      <c r="LR212" s="989"/>
      <c r="LS212" s="989"/>
      <c r="LT212" s="989"/>
      <c r="LU212" s="989"/>
      <c r="LV212" s="989"/>
      <c r="LW212" s="989"/>
      <c r="LX212" s="959"/>
      <c r="LY212" s="959"/>
      <c r="MC212" s="915"/>
      <c r="MD212" s="915"/>
      <c r="ME212" s="915"/>
      <c r="MG212" s="917"/>
      <c r="MI212" s="915"/>
      <c r="MJ212" s="915"/>
      <c r="MK212" s="915"/>
      <c r="ML212" s="916"/>
      <c r="MO212" s="989"/>
      <c r="MP212" s="989"/>
      <c r="MQ212" s="989"/>
      <c r="MR212" s="989"/>
      <c r="MS212" s="989"/>
      <c r="MT212" s="989"/>
      <c r="MU212" s="959"/>
      <c r="MV212" s="959"/>
      <c r="MZ212" s="915"/>
      <c r="NA212" s="915"/>
      <c r="NB212" s="915"/>
      <c r="ND212" s="917"/>
      <c r="NF212" s="915"/>
      <c r="NG212" s="915"/>
      <c r="NH212" s="915"/>
      <c r="NI212" s="916"/>
      <c r="NL212" s="989"/>
      <c r="NM212" s="989"/>
      <c r="NN212" s="989"/>
      <c r="NO212" s="989"/>
      <c r="NP212" s="989"/>
      <c r="NQ212" s="989"/>
      <c r="NR212" s="959"/>
      <c r="NS212" s="959"/>
      <c r="NW212" s="915"/>
      <c r="NX212" s="915"/>
      <c r="NY212" s="915"/>
      <c r="OA212" s="917"/>
      <c r="OC212" s="915"/>
      <c r="OD212" s="915"/>
      <c r="OE212" s="915"/>
      <c r="OF212" s="916"/>
      <c r="OI212" s="989"/>
      <c r="OJ212" s="989"/>
      <c r="OK212" s="989"/>
      <c r="OL212" s="989"/>
      <c r="OM212" s="989"/>
      <c r="ON212" s="989"/>
      <c r="OO212" s="959"/>
      <c r="OP212" s="959"/>
      <c r="OT212" s="915"/>
      <c r="OU212" s="915"/>
      <c r="OV212" s="915"/>
      <c r="OX212" s="917"/>
      <c r="OZ212" s="915"/>
      <c r="PA212" s="915"/>
      <c r="PB212" s="915"/>
      <c r="PC212" s="916"/>
      <c r="PF212" s="989"/>
      <c r="PG212" s="989"/>
      <c r="PH212" s="989"/>
      <c r="PI212" s="989"/>
      <c r="PJ212" s="989"/>
      <c r="PK212" s="989"/>
      <c r="PL212" s="959"/>
      <c r="PM212" s="959"/>
      <c r="PQ212" s="915"/>
      <c r="PR212" s="915"/>
      <c r="PS212" s="915"/>
      <c r="PU212" s="917"/>
      <c r="PW212" s="915"/>
      <c r="PX212" s="915"/>
      <c r="PY212" s="915"/>
      <c r="PZ212" s="916"/>
      <c r="QC212" s="989"/>
      <c r="QD212" s="989"/>
      <c r="QE212" s="989"/>
      <c r="QF212" s="989"/>
      <c r="QG212" s="989"/>
      <c r="QH212" s="989"/>
      <c r="QI212" s="959"/>
      <c r="QJ212" s="959"/>
      <c r="QN212" s="915"/>
      <c r="QO212" s="915"/>
      <c r="QP212" s="915"/>
      <c r="QR212" s="917"/>
      <c r="QT212" s="915"/>
      <c r="QU212" s="915"/>
      <c r="QV212" s="915"/>
      <c r="QW212" s="916"/>
      <c r="QZ212" s="989"/>
      <c r="RA212" s="989"/>
      <c r="RB212" s="989"/>
      <c r="RC212" s="989"/>
      <c r="RD212" s="989"/>
      <c r="RE212" s="989"/>
      <c r="RF212" s="959"/>
      <c r="RG212" s="959"/>
      <c r="RK212" s="915"/>
      <c r="RL212" s="915"/>
      <c r="RM212" s="915"/>
      <c r="RO212" s="917"/>
      <c r="RQ212" s="915"/>
      <c r="RR212" s="915"/>
      <c r="RS212" s="915"/>
      <c r="RT212" s="916"/>
      <c r="RW212" s="989"/>
      <c r="RX212" s="989"/>
      <c r="RY212" s="989"/>
      <c r="RZ212" s="989"/>
      <c r="SA212" s="989"/>
      <c r="SB212" s="989"/>
      <c r="SC212" s="959"/>
      <c r="SD212" s="959"/>
      <c r="SH212" s="915"/>
      <c r="SI212" s="915"/>
      <c r="SJ212" s="915"/>
      <c r="SL212" s="917"/>
      <c r="SN212" s="915"/>
      <c r="SO212" s="915"/>
      <c r="SP212" s="915"/>
      <c r="SQ212" s="916"/>
      <c r="ST212" s="989"/>
      <c r="SU212" s="989"/>
      <c r="SV212" s="989"/>
      <c r="SW212" s="989"/>
      <c r="SX212" s="989"/>
      <c r="SY212" s="989"/>
      <c r="SZ212" s="959"/>
      <c r="TA212" s="959"/>
      <c r="TE212" s="915"/>
      <c r="TF212" s="915"/>
      <c r="TG212" s="915"/>
      <c r="TI212" s="917"/>
      <c r="TK212" s="915"/>
      <c r="TL212" s="915"/>
      <c r="TM212" s="915"/>
      <c r="TN212" s="916"/>
      <c r="TQ212" s="989"/>
      <c r="TR212" s="989"/>
      <c r="TS212" s="989"/>
      <c r="TT212" s="989"/>
      <c r="TU212" s="989"/>
      <c r="TV212" s="989"/>
      <c r="TW212" s="959"/>
      <c r="TX212" s="959"/>
      <c r="UB212" s="915"/>
      <c r="UC212" s="915"/>
      <c r="UD212" s="915"/>
      <c r="UF212" s="917"/>
      <c r="UH212" s="915"/>
      <c r="UI212" s="915"/>
      <c r="UJ212" s="915"/>
      <c r="UK212" s="916"/>
      <c r="UN212" s="989"/>
      <c r="UO212" s="989"/>
      <c r="UP212" s="989"/>
      <c r="UQ212" s="989"/>
      <c r="UR212" s="989"/>
      <c r="US212" s="989"/>
      <c r="UT212" s="959"/>
      <c r="UU212" s="959"/>
      <c r="UY212" s="915"/>
      <c r="UZ212" s="915"/>
      <c r="VA212" s="915"/>
      <c r="VC212" s="917"/>
      <c r="VE212" s="915"/>
      <c r="VF212" s="915"/>
      <c r="VG212" s="915"/>
      <c r="VH212" s="916"/>
      <c r="VK212" s="989"/>
      <c r="VL212" s="989"/>
      <c r="VM212" s="989"/>
      <c r="VN212" s="989"/>
      <c r="VO212" s="989"/>
      <c r="VP212" s="989"/>
      <c r="VQ212" s="959"/>
      <c r="VR212" s="959"/>
      <c r="VV212" s="915"/>
      <c r="VW212" s="915"/>
      <c r="VX212" s="915"/>
      <c r="VZ212" s="917"/>
      <c r="WB212" s="915"/>
      <c r="WC212" s="915"/>
      <c r="WD212" s="915"/>
      <c r="WE212" s="916"/>
      <c r="WH212" s="989"/>
      <c r="WI212" s="989"/>
      <c r="WJ212" s="989"/>
      <c r="WK212" s="989"/>
      <c r="WL212" s="989"/>
      <c r="WM212" s="989"/>
      <c r="WN212" s="959"/>
      <c r="WO212" s="959"/>
      <c r="WS212" s="915"/>
      <c r="WT212" s="915"/>
      <c r="WU212" s="915"/>
      <c r="WW212" s="917"/>
      <c r="WY212" s="915"/>
      <c r="WZ212" s="915"/>
      <c r="XA212" s="915"/>
      <c r="XB212" s="916"/>
      <c r="XE212" s="989"/>
      <c r="XF212" s="989"/>
      <c r="XG212" s="989"/>
      <c r="XH212" s="989"/>
      <c r="XI212" s="989"/>
      <c r="XJ212" s="989"/>
      <c r="XK212" s="959"/>
      <c r="XL212" s="959"/>
      <c r="XP212" s="915"/>
      <c r="XQ212" s="915"/>
      <c r="XR212" s="915"/>
      <c r="XT212" s="917"/>
      <c r="XV212" s="915"/>
      <c r="XW212" s="915"/>
      <c r="XX212" s="915"/>
      <c r="XY212" s="916"/>
      <c r="YB212" s="989"/>
      <c r="YC212" s="989"/>
      <c r="YD212" s="989"/>
      <c r="YE212" s="989"/>
      <c r="YF212" s="989"/>
      <c r="YG212" s="989"/>
      <c r="YH212" s="959"/>
      <c r="YI212" s="959"/>
      <c r="YM212" s="915"/>
      <c r="YN212" s="915"/>
      <c r="YO212" s="915"/>
      <c r="YQ212" s="917"/>
      <c r="YS212" s="915"/>
      <c r="YT212" s="915"/>
      <c r="YU212" s="915"/>
      <c r="YV212" s="916"/>
      <c r="YY212" s="989"/>
      <c r="YZ212" s="989"/>
      <c r="ZA212" s="989"/>
      <c r="ZB212" s="989"/>
      <c r="ZC212" s="989"/>
      <c r="ZD212" s="989"/>
      <c r="ZE212" s="959"/>
      <c r="ZF212" s="959"/>
      <c r="ZJ212" s="915"/>
      <c r="ZK212" s="915"/>
      <c r="ZL212" s="915"/>
      <c r="ZN212" s="917"/>
      <c r="ZP212" s="915"/>
      <c r="ZQ212" s="915"/>
      <c r="ZR212" s="915"/>
      <c r="ZS212" s="916"/>
      <c r="ZV212" s="989"/>
      <c r="ZW212" s="989"/>
      <c r="ZX212" s="989"/>
      <c r="ZY212" s="989"/>
      <c r="ZZ212" s="989"/>
      <c r="AAA212" s="989"/>
      <c r="AAB212" s="959"/>
      <c r="AAC212" s="959"/>
      <c r="AAG212" s="915"/>
      <c r="AAH212" s="915"/>
      <c r="AAI212" s="915"/>
      <c r="AAK212" s="917"/>
      <c r="AAM212" s="915"/>
      <c r="AAN212" s="915"/>
      <c r="AAO212" s="915"/>
      <c r="AAP212" s="916"/>
      <c r="AAS212" s="989"/>
      <c r="AAT212" s="989"/>
      <c r="AAU212" s="989"/>
      <c r="AAV212" s="989"/>
      <c r="AAW212" s="989"/>
      <c r="AAX212" s="989"/>
      <c r="AAY212" s="959"/>
      <c r="AAZ212" s="959"/>
      <c r="ABD212" s="915"/>
      <c r="ABE212" s="915"/>
      <c r="ABF212" s="915"/>
      <c r="ABH212" s="917"/>
      <c r="ABJ212" s="915"/>
      <c r="ABK212" s="915"/>
      <c r="ABL212" s="915"/>
      <c r="ABM212" s="916"/>
      <c r="ABP212" s="989"/>
      <c r="ABQ212" s="989"/>
      <c r="ABR212" s="989"/>
      <c r="ABS212" s="989"/>
      <c r="ABT212" s="989"/>
      <c r="ABU212" s="989"/>
      <c r="ABV212" s="959"/>
      <c r="ABW212" s="959"/>
      <c r="ACA212" s="915"/>
      <c r="ACB212" s="915"/>
      <c r="ACC212" s="915"/>
      <c r="ACE212" s="917"/>
      <c r="ACG212" s="915"/>
      <c r="ACH212" s="915"/>
      <c r="ACI212" s="915"/>
      <c r="ACJ212" s="916"/>
      <c r="ACM212" s="989"/>
      <c r="ACN212" s="989"/>
      <c r="ACO212" s="989"/>
      <c r="ACP212" s="989"/>
      <c r="ACQ212" s="989"/>
      <c r="ACR212" s="989"/>
      <c r="ACS212" s="959"/>
      <c r="ACT212" s="959"/>
      <c r="ACX212" s="915"/>
      <c r="ACY212" s="915"/>
      <c r="ACZ212" s="915"/>
      <c r="ADB212" s="917"/>
      <c r="ADD212" s="915"/>
      <c r="ADE212" s="915"/>
      <c r="ADF212" s="915"/>
      <c r="ADG212" s="916"/>
      <c r="ADJ212" s="989"/>
      <c r="ADK212" s="989"/>
      <c r="ADL212" s="989"/>
      <c r="ADM212" s="989"/>
      <c r="ADN212" s="989"/>
      <c r="ADO212" s="989"/>
      <c r="ADP212" s="959"/>
      <c r="ADQ212" s="959"/>
      <c r="ADU212" s="915"/>
      <c r="ADV212" s="915"/>
      <c r="ADW212" s="915"/>
      <c r="ADY212" s="917"/>
      <c r="AEA212" s="915"/>
      <c r="AEB212" s="915"/>
      <c r="AEC212" s="915"/>
      <c r="AED212" s="916"/>
      <c r="AEG212" s="989"/>
      <c r="AEH212" s="989"/>
      <c r="AEI212" s="989"/>
      <c r="AEJ212" s="989"/>
      <c r="AEK212" s="989"/>
      <c r="AEL212" s="989"/>
      <c r="AEM212" s="959"/>
      <c r="AEN212" s="959"/>
      <c r="AER212" s="915"/>
      <c r="AES212" s="915"/>
      <c r="AET212" s="915"/>
      <c r="AEV212" s="917"/>
      <c r="AEX212" s="915"/>
      <c r="AEY212" s="915"/>
      <c r="AEZ212" s="915"/>
      <c r="AFA212" s="916"/>
      <c r="AFD212" s="989"/>
      <c r="AFE212" s="989"/>
      <c r="AFF212" s="989"/>
      <c r="AFG212" s="989"/>
      <c r="AFH212" s="989"/>
      <c r="AFI212" s="989"/>
      <c r="AFJ212" s="959"/>
      <c r="AFK212" s="959"/>
      <c r="AFO212" s="915"/>
      <c r="AFP212" s="915"/>
      <c r="AFQ212" s="915"/>
      <c r="AFS212" s="917"/>
      <c r="AFU212" s="915"/>
      <c r="AFV212" s="915"/>
      <c r="AFW212" s="915"/>
      <c r="AFX212" s="916"/>
      <c r="AGA212" s="989"/>
      <c r="AGB212" s="989"/>
      <c r="AGC212" s="989"/>
      <c r="AGD212" s="989"/>
      <c r="AGE212" s="989"/>
      <c r="AGF212" s="989"/>
      <c r="AGG212" s="959"/>
      <c r="AGH212" s="959"/>
      <c r="AGL212" s="915"/>
      <c r="AGM212" s="915"/>
      <c r="AGN212" s="915"/>
      <c r="AGP212" s="917"/>
      <c r="AGR212" s="915"/>
      <c r="AGS212" s="915"/>
      <c r="AGT212" s="915"/>
      <c r="AGU212" s="916"/>
      <c r="AGX212" s="989"/>
      <c r="AGY212" s="989"/>
      <c r="AGZ212" s="989"/>
      <c r="AHA212" s="989"/>
      <c r="AHB212" s="989"/>
      <c r="AHC212" s="989"/>
      <c r="AHD212" s="959"/>
      <c r="AHE212" s="959"/>
      <c r="AHI212" s="915"/>
      <c r="AHJ212" s="915"/>
      <c r="AHK212" s="915"/>
      <c r="AHM212" s="917"/>
      <c r="AHO212" s="915"/>
      <c r="AHP212" s="915"/>
      <c r="AHQ212" s="915"/>
      <c r="AHR212" s="916"/>
      <c r="AHU212" s="989"/>
      <c r="AHV212" s="989"/>
      <c r="AHW212" s="989"/>
      <c r="AHX212" s="989"/>
      <c r="AHY212" s="989"/>
      <c r="AHZ212" s="989"/>
      <c r="AIA212" s="959"/>
      <c r="AIB212" s="959"/>
      <c r="AIF212" s="915"/>
      <c r="AIG212" s="915"/>
      <c r="AIH212" s="915"/>
      <c r="AIJ212" s="917"/>
      <c r="AIL212" s="915"/>
      <c r="AIM212" s="915"/>
      <c r="AIN212" s="915"/>
      <c r="AIO212" s="916"/>
      <c r="AIR212" s="989"/>
      <c r="AIS212" s="989"/>
      <c r="AIT212" s="989"/>
      <c r="AIU212" s="989"/>
      <c r="AIV212" s="989"/>
      <c r="AIW212" s="989"/>
      <c r="AIX212" s="959"/>
      <c r="AIY212" s="959"/>
      <c r="AJC212" s="915"/>
      <c r="AJD212" s="915"/>
      <c r="AJE212" s="915"/>
      <c r="AJG212" s="917"/>
      <c r="AJI212" s="915"/>
      <c r="AJJ212" s="915"/>
      <c r="AJK212" s="915"/>
      <c r="AJL212" s="916"/>
      <c r="AJO212" s="989"/>
      <c r="AJP212" s="989"/>
      <c r="AJQ212" s="989"/>
      <c r="AJR212" s="989"/>
      <c r="AJS212" s="989"/>
      <c r="AJT212" s="989"/>
      <c r="AJU212" s="959"/>
      <c r="AJV212" s="959"/>
      <c r="AJZ212" s="915"/>
      <c r="AKA212" s="915"/>
      <c r="AKB212" s="915"/>
      <c r="AKD212" s="917"/>
      <c r="AKF212" s="915"/>
      <c r="AKG212" s="915"/>
      <c r="AKH212" s="915"/>
      <c r="AKI212" s="916"/>
      <c r="AKL212" s="989"/>
      <c r="AKM212" s="989"/>
      <c r="AKN212" s="989"/>
      <c r="AKO212" s="989"/>
      <c r="AKP212" s="989"/>
      <c r="AKQ212" s="989"/>
      <c r="AKR212" s="959"/>
      <c r="AKS212" s="959"/>
      <c r="AKW212" s="915"/>
      <c r="AKX212" s="915"/>
      <c r="AKY212" s="915"/>
      <c r="ALA212" s="917"/>
      <c r="ALC212" s="915"/>
      <c r="ALD212" s="915"/>
      <c r="ALE212" s="915"/>
      <c r="ALF212" s="916"/>
      <c r="ALI212" s="989"/>
      <c r="ALJ212" s="989"/>
      <c r="ALK212" s="989"/>
      <c r="ALL212" s="989"/>
      <c r="ALM212" s="989"/>
      <c r="ALN212" s="989"/>
      <c r="ALO212" s="959"/>
      <c r="ALP212" s="959"/>
      <c r="ALT212" s="915"/>
      <c r="ALU212" s="915"/>
      <c r="ALV212" s="915"/>
      <c r="ALX212" s="917"/>
      <c r="ALZ212" s="915"/>
      <c r="AMA212" s="915"/>
      <c r="AMB212" s="915"/>
      <c r="AMC212" s="916"/>
      <c r="AMF212" s="989"/>
      <c r="AMG212" s="989"/>
      <c r="AMH212" s="989"/>
      <c r="AMI212" s="989"/>
      <c r="AMJ212" s="989"/>
      <c r="AMK212" s="989"/>
      <c r="AML212" s="959"/>
      <c r="AMM212" s="959"/>
      <c r="AMQ212" s="915"/>
      <c r="AMR212" s="915"/>
      <c r="AMS212" s="915"/>
      <c r="AMU212" s="917"/>
      <c r="AMW212" s="915"/>
      <c r="AMX212" s="915"/>
      <c r="AMY212" s="915"/>
      <c r="AMZ212" s="916"/>
      <c r="ANC212" s="989"/>
      <c r="AND212" s="989"/>
      <c r="ANE212" s="989"/>
      <c r="ANF212" s="989"/>
      <c r="ANG212" s="989"/>
      <c r="ANH212" s="989"/>
      <c r="ANI212" s="959"/>
      <c r="ANJ212" s="959"/>
      <c r="ANN212" s="915"/>
      <c r="ANO212" s="915"/>
      <c r="ANP212" s="915"/>
      <c r="ANR212" s="917"/>
      <c r="ANT212" s="915"/>
      <c r="ANU212" s="915"/>
      <c r="ANV212" s="915"/>
      <c r="ANW212" s="916"/>
      <c r="ANZ212" s="989"/>
      <c r="AOA212" s="989"/>
      <c r="AOB212" s="989"/>
      <c r="AOC212" s="989"/>
      <c r="AOD212" s="989"/>
      <c r="AOE212" s="989"/>
      <c r="AOF212" s="959"/>
      <c r="AOG212" s="959"/>
      <c r="AOK212" s="915"/>
      <c r="AOL212" s="915"/>
      <c r="AOM212" s="915"/>
      <c r="AOO212" s="917"/>
      <c r="AOQ212" s="915"/>
      <c r="AOR212" s="915"/>
      <c r="AOS212" s="915"/>
      <c r="AOT212" s="916"/>
      <c r="AOW212" s="989"/>
      <c r="AOX212" s="989"/>
      <c r="AOY212" s="989"/>
      <c r="AOZ212" s="989"/>
      <c r="APA212" s="989"/>
      <c r="APB212" s="989"/>
      <c r="APC212" s="959"/>
      <c r="APD212" s="959"/>
      <c r="APH212" s="915"/>
      <c r="API212" s="915"/>
      <c r="APJ212" s="915"/>
      <c r="APL212" s="917"/>
      <c r="APN212" s="915"/>
      <c r="APO212" s="915"/>
      <c r="APP212" s="915"/>
      <c r="APQ212" s="916"/>
      <c r="APT212" s="989"/>
      <c r="APU212" s="989"/>
      <c r="APV212" s="989"/>
      <c r="APW212" s="989"/>
      <c r="APX212" s="989"/>
      <c r="APY212" s="989"/>
      <c r="APZ212" s="959"/>
      <c r="AQA212" s="959"/>
      <c r="AQE212" s="915"/>
      <c r="AQF212" s="915"/>
      <c r="AQG212" s="915"/>
      <c r="AQI212" s="917"/>
      <c r="AQK212" s="915"/>
      <c r="AQL212" s="915"/>
      <c r="AQM212" s="915"/>
      <c r="AQN212" s="916"/>
      <c r="AQQ212" s="989"/>
      <c r="AQR212" s="989"/>
      <c r="AQS212" s="989"/>
      <c r="AQT212" s="989"/>
      <c r="AQU212" s="989"/>
      <c r="AQV212" s="989"/>
      <c r="AQW212" s="959"/>
      <c r="AQX212" s="959"/>
      <c r="ARB212" s="915"/>
      <c r="ARC212" s="915"/>
      <c r="ARD212" s="915"/>
      <c r="ARF212" s="917"/>
      <c r="ARH212" s="915"/>
      <c r="ARI212" s="915"/>
      <c r="ARJ212" s="915"/>
      <c r="ARK212" s="916"/>
      <c r="ARN212" s="989"/>
      <c r="ARO212" s="989"/>
      <c r="ARP212" s="989"/>
      <c r="ARQ212" s="989"/>
      <c r="ARR212" s="989"/>
      <c r="ARS212" s="989"/>
      <c r="ART212" s="959"/>
      <c r="ARU212" s="959"/>
      <c r="ARY212" s="915"/>
      <c r="ARZ212" s="915"/>
      <c r="ASA212" s="915"/>
      <c r="ASC212" s="917"/>
      <c r="ASE212" s="915"/>
      <c r="ASF212" s="915"/>
      <c r="ASG212" s="915"/>
      <c r="ASH212" s="916"/>
      <c r="ASK212" s="989"/>
      <c r="ASL212" s="989"/>
      <c r="ASM212" s="989"/>
      <c r="ASN212" s="989"/>
      <c r="ASO212" s="989"/>
      <c r="ASP212" s="989"/>
      <c r="ASQ212" s="959"/>
      <c r="ASR212" s="959"/>
      <c r="ASV212" s="915"/>
      <c r="ASW212" s="915"/>
      <c r="ASX212" s="915"/>
      <c r="ASZ212" s="917"/>
      <c r="ATB212" s="915"/>
      <c r="ATC212" s="915"/>
      <c r="ATD212" s="915"/>
      <c r="ATE212" s="916"/>
      <c r="ATH212" s="989"/>
      <c r="ATI212" s="989"/>
      <c r="ATJ212" s="989"/>
      <c r="ATK212" s="989"/>
      <c r="ATL212" s="989"/>
      <c r="ATM212" s="989"/>
      <c r="ATN212" s="959"/>
      <c r="ATO212" s="959"/>
      <c r="ATS212" s="915"/>
      <c r="ATT212" s="915"/>
      <c r="ATU212" s="915"/>
      <c r="ATW212" s="917"/>
      <c r="ATY212" s="915"/>
      <c r="ATZ212" s="915"/>
      <c r="AUA212" s="915"/>
      <c r="AUB212" s="916"/>
      <c r="AUE212" s="989"/>
      <c r="AUF212" s="989"/>
      <c r="AUG212" s="989"/>
      <c r="AUH212" s="989"/>
      <c r="AUI212" s="989"/>
      <c r="AUJ212" s="989"/>
      <c r="AUK212" s="959"/>
      <c r="AUL212" s="959"/>
      <c r="AUP212" s="915"/>
      <c r="AUQ212" s="915"/>
      <c r="AUR212" s="915"/>
      <c r="AUT212" s="917"/>
      <c r="AUV212" s="915"/>
      <c r="AUW212" s="915"/>
      <c r="AUX212" s="915"/>
      <c r="AUY212" s="916"/>
      <c r="AVB212" s="989"/>
      <c r="AVC212" s="989"/>
      <c r="AVD212" s="989"/>
      <c r="AVE212" s="989"/>
      <c r="AVF212" s="989"/>
      <c r="AVG212" s="989"/>
      <c r="AVH212" s="959"/>
      <c r="AVI212" s="959"/>
      <c r="AVM212" s="915"/>
      <c r="AVN212" s="915"/>
      <c r="AVO212" s="915"/>
      <c r="AVQ212" s="917"/>
      <c r="AVS212" s="915"/>
      <c r="AVT212" s="915"/>
      <c r="AVU212" s="915"/>
      <c r="AVV212" s="916"/>
      <c r="AVY212" s="989"/>
      <c r="AVZ212" s="989"/>
      <c r="AWA212" s="989"/>
      <c r="AWB212" s="989"/>
      <c r="AWC212" s="989"/>
      <c r="AWD212" s="989"/>
      <c r="AWE212" s="959"/>
      <c r="AWF212" s="959"/>
      <c r="AWJ212" s="915"/>
      <c r="AWK212" s="915"/>
      <c r="AWL212" s="915"/>
      <c r="AWN212" s="917"/>
      <c r="AWP212" s="915"/>
      <c r="AWQ212" s="915"/>
      <c r="AWR212" s="915"/>
      <c r="AWS212" s="916"/>
      <c r="AWV212" s="989"/>
      <c r="AWW212" s="989"/>
      <c r="AWX212" s="989"/>
      <c r="AWY212" s="989"/>
      <c r="AWZ212" s="989"/>
      <c r="AXA212" s="989"/>
      <c r="AXB212" s="959"/>
      <c r="AXC212" s="959"/>
      <c r="AXG212" s="915"/>
      <c r="AXH212" s="915"/>
      <c r="AXI212" s="915"/>
      <c r="AXK212" s="917"/>
      <c r="AXM212" s="915"/>
      <c r="AXN212" s="915"/>
      <c r="AXO212" s="915"/>
      <c r="AXP212" s="916"/>
      <c r="AXS212" s="989"/>
      <c r="AXT212" s="989"/>
      <c r="AXU212" s="989"/>
      <c r="AXV212" s="989"/>
      <c r="AXW212" s="989"/>
      <c r="AXX212" s="989"/>
      <c r="AXY212" s="959"/>
      <c r="AXZ212" s="959"/>
      <c r="AYD212" s="915"/>
      <c r="AYE212" s="915"/>
      <c r="AYF212" s="915"/>
      <c r="AYH212" s="917"/>
      <c r="AYJ212" s="915"/>
      <c r="AYK212" s="915"/>
      <c r="AYL212" s="915"/>
      <c r="AYM212" s="916"/>
      <c r="AYP212" s="989"/>
      <c r="AYQ212" s="989"/>
      <c r="AYR212" s="989"/>
      <c r="AYS212" s="989"/>
      <c r="AYT212" s="989"/>
      <c r="AYU212" s="989"/>
      <c r="AYV212" s="959"/>
      <c r="AYW212" s="959"/>
      <c r="AZA212" s="915"/>
      <c r="AZB212" s="915"/>
      <c r="AZC212" s="915"/>
      <c r="AZE212" s="917"/>
      <c r="AZG212" s="915"/>
      <c r="AZH212" s="915"/>
      <c r="AZI212" s="915"/>
      <c r="AZJ212" s="916"/>
      <c r="AZM212" s="989"/>
      <c r="AZN212" s="989"/>
      <c r="AZO212" s="989"/>
      <c r="AZP212" s="989"/>
      <c r="AZQ212" s="989"/>
      <c r="AZR212" s="989"/>
      <c r="AZS212" s="959"/>
      <c r="AZT212" s="959"/>
      <c r="AZX212" s="915"/>
      <c r="AZY212" s="915"/>
      <c r="AZZ212" s="915"/>
      <c r="BAB212" s="917"/>
      <c r="BAD212" s="915"/>
      <c r="BAE212" s="915"/>
      <c r="BAF212" s="915"/>
      <c r="BAG212" s="916"/>
      <c r="BAJ212" s="989"/>
      <c r="BAK212" s="989"/>
      <c r="BAL212" s="989"/>
      <c r="BAM212" s="989"/>
      <c r="BAN212" s="989"/>
      <c r="BAO212" s="989"/>
      <c r="BAP212" s="959"/>
      <c r="BAQ212" s="959"/>
      <c r="BAU212" s="915"/>
      <c r="BAV212" s="915"/>
      <c r="BAW212" s="915"/>
      <c r="BAY212" s="917"/>
      <c r="BBA212" s="915"/>
      <c r="BBB212" s="915"/>
      <c r="BBC212" s="915"/>
      <c r="BBD212" s="916"/>
      <c r="BBG212" s="989"/>
      <c r="BBH212" s="989"/>
      <c r="BBI212" s="989"/>
      <c r="BBJ212" s="989"/>
      <c r="BBK212" s="989"/>
      <c r="BBL212" s="989"/>
      <c r="BBM212" s="959"/>
      <c r="BBN212" s="959"/>
      <c r="BBR212" s="915"/>
      <c r="BBS212" s="915"/>
      <c r="BBT212" s="915"/>
      <c r="BBV212" s="917"/>
      <c r="BBX212" s="915"/>
      <c r="BBY212" s="915"/>
      <c r="BBZ212" s="915"/>
      <c r="BCA212" s="916"/>
      <c r="BCD212" s="989"/>
      <c r="BCE212" s="989"/>
      <c r="BCF212" s="989"/>
      <c r="BCG212" s="989"/>
      <c r="BCH212" s="989"/>
      <c r="BCI212" s="989"/>
      <c r="BCJ212" s="959"/>
      <c r="BCK212" s="959"/>
      <c r="BCO212" s="915"/>
      <c r="BCP212" s="915"/>
      <c r="BCQ212" s="915"/>
      <c r="BCS212" s="917"/>
      <c r="BCU212" s="915"/>
      <c r="BCV212" s="915"/>
      <c r="BCW212" s="915"/>
      <c r="BCX212" s="916"/>
      <c r="BDA212" s="989"/>
      <c r="BDB212" s="989"/>
      <c r="BDC212" s="989"/>
      <c r="BDD212" s="989"/>
      <c r="BDE212" s="989"/>
      <c r="BDF212" s="989"/>
      <c r="BDG212" s="959"/>
      <c r="BDH212" s="959"/>
      <c r="BDL212" s="915"/>
      <c r="BDM212" s="915"/>
      <c r="BDN212" s="915"/>
      <c r="BDP212" s="917"/>
      <c r="BDR212" s="915"/>
      <c r="BDS212" s="915"/>
      <c r="BDT212" s="915"/>
      <c r="BDU212" s="916"/>
      <c r="BDX212" s="989"/>
      <c r="BDY212" s="989"/>
      <c r="BDZ212" s="989"/>
      <c r="BEA212" s="989"/>
      <c r="BEB212" s="989"/>
      <c r="BEC212" s="989"/>
      <c r="BED212" s="959"/>
      <c r="BEE212" s="959"/>
      <c r="BEI212" s="915"/>
      <c r="BEJ212" s="915"/>
      <c r="BEK212" s="915"/>
      <c r="BEM212" s="917"/>
      <c r="BEO212" s="915"/>
      <c r="BEP212" s="915"/>
      <c r="BEQ212" s="915"/>
      <c r="BER212" s="916"/>
      <c r="BEU212" s="989"/>
      <c r="BEV212" s="989"/>
      <c r="BEW212" s="989"/>
      <c r="BEX212" s="989"/>
      <c r="BEY212" s="989"/>
      <c r="BEZ212" s="989"/>
      <c r="BFA212" s="959"/>
      <c r="BFB212" s="959"/>
      <c r="BFF212" s="915"/>
      <c r="BFG212" s="915"/>
      <c r="BFH212" s="915"/>
      <c r="BFJ212" s="917"/>
      <c r="BFL212" s="915"/>
      <c r="BFM212" s="915"/>
      <c r="BFN212" s="915"/>
      <c r="BFO212" s="916"/>
      <c r="BFR212" s="989"/>
      <c r="BFS212" s="989"/>
      <c r="BFT212" s="989"/>
      <c r="BFU212" s="989"/>
      <c r="BFV212" s="989"/>
      <c r="BFW212" s="989"/>
      <c r="BFX212" s="959"/>
      <c r="BFY212" s="959"/>
      <c r="BGC212" s="915"/>
      <c r="BGD212" s="915"/>
      <c r="BGE212" s="915"/>
      <c r="BGG212" s="917"/>
      <c r="BGI212" s="915"/>
      <c r="BGJ212" s="915"/>
      <c r="BGK212" s="915"/>
      <c r="BGL212" s="916"/>
      <c r="BGO212" s="989"/>
      <c r="BGP212" s="989"/>
      <c r="BGQ212" s="989"/>
      <c r="BGR212" s="989"/>
      <c r="BGS212" s="989"/>
      <c r="BGT212" s="989"/>
      <c r="BGU212" s="959"/>
      <c r="BGV212" s="959"/>
      <c r="BGZ212" s="915"/>
      <c r="BHA212" s="915"/>
      <c r="BHB212" s="915"/>
      <c r="BHD212" s="917"/>
      <c r="BHF212" s="915"/>
      <c r="BHG212" s="915"/>
      <c r="BHH212" s="915"/>
      <c r="BHI212" s="916"/>
      <c r="BHL212" s="989"/>
      <c r="BHM212" s="989"/>
      <c r="BHN212" s="989"/>
      <c r="BHO212" s="989"/>
      <c r="BHP212" s="989"/>
      <c r="BHQ212" s="989"/>
      <c r="BHR212" s="959"/>
      <c r="BHS212" s="959"/>
      <c r="BHW212" s="915"/>
      <c r="BHX212" s="915"/>
      <c r="BHY212" s="915"/>
      <c r="BIA212" s="917"/>
      <c r="BIC212" s="915"/>
      <c r="BID212" s="915"/>
      <c r="BIE212" s="915"/>
      <c r="BIF212" s="916"/>
      <c r="BII212" s="989"/>
      <c r="BIJ212" s="989"/>
      <c r="BIK212" s="989"/>
      <c r="BIL212" s="989"/>
      <c r="BIM212" s="989"/>
      <c r="BIN212" s="989"/>
      <c r="BIO212" s="959"/>
      <c r="BIP212" s="959"/>
      <c r="BIT212" s="915"/>
      <c r="BIU212" s="915"/>
      <c r="BIV212" s="915"/>
      <c r="BIX212" s="917"/>
      <c r="BIZ212" s="915"/>
      <c r="BJA212" s="915"/>
      <c r="BJB212" s="915"/>
      <c r="BJC212" s="916"/>
      <c r="BJF212" s="989"/>
      <c r="BJG212" s="989"/>
      <c r="BJH212" s="989"/>
      <c r="BJI212" s="989"/>
      <c r="BJJ212" s="989"/>
      <c r="BJK212" s="989"/>
      <c r="BJL212" s="959"/>
      <c r="BJM212" s="959"/>
      <c r="BJQ212" s="915"/>
      <c r="BJR212" s="915"/>
      <c r="BJS212" s="915"/>
      <c r="BJU212" s="917"/>
      <c r="BJW212" s="915"/>
      <c r="BJX212" s="915"/>
      <c r="BJY212" s="915"/>
      <c r="BJZ212" s="916"/>
      <c r="BKC212" s="989"/>
      <c r="BKD212" s="989"/>
      <c r="BKE212" s="989"/>
      <c r="BKF212" s="989"/>
      <c r="BKG212" s="989"/>
      <c r="BKH212" s="989"/>
      <c r="BKI212" s="959"/>
      <c r="BKJ212" s="959"/>
      <c r="BKN212" s="915"/>
      <c r="BKO212" s="915"/>
      <c r="BKP212" s="915"/>
      <c r="BKR212" s="917"/>
      <c r="BKT212" s="915"/>
      <c r="BKU212" s="915"/>
      <c r="BKV212" s="915"/>
      <c r="BKW212" s="916"/>
      <c r="BKZ212" s="989"/>
      <c r="BLA212" s="989"/>
      <c r="BLB212" s="989"/>
      <c r="BLC212" s="989"/>
      <c r="BLD212" s="989"/>
      <c r="BLE212" s="989"/>
      <c r="BLF212" s="959"/>
      <c r="BLG212" s="959"/>
      <c r="BLK212" s="915"/>
      <c r="BLL212" s="915"/>
      <c r="BLM212" s="915"/>
      <c r="BLO212" s="917"/>
      <c r="BLQ212" s="915"/>
      <c r="BLR212" s="915"/>
      <c r="BLS212" s="915"/>
      <c r="BLT212" s="916"/>
      <c r="BLW212" s="989"/>
      <c r="BLX212" s="989"/>
      <c r="BLY212" s="989"/>
      <c r="BLZ212" s="989"/>
      <c r="BMA212" s="989"/>
      <c r="BMB212" s="989"/>
      <c r="BMC212" s="959"/>
      <c r="BMD212" s="959"/>
      <c r="BMH212" s="915"/>
      <c r="BMI212" s="915"/>
      <c r="BMJ212" s="915"/>
      <c r="BML212" s="917"/>
      <c r="BMN212" s="915"/>
      <c r="BMO212" s="915"/>
      <c r="BMP212" s="915"/>
      <c r="BMQ212" s="916"/>
      <c r="BMT212" s="989"/>
      <c r="BMU212" s="989"/>
      <c r="BMV212" s="989"/>
      <c r="BMW212" s="989"/>
      <c r="BMX212" s="989"/>
      <c r="BMY212" s="989"/>
      <c r="BMZ212" s="959"/>
      <c r="BNA212" s="959"/>
      <c r="BNE212" s="915"/>
      <c r="BNF212" s="915"/>
      <c r="BNG212" s="915"/>
      <c r="BNI212" s="917"/>
      <c r="BNK212" s="915"/>
      <c r="BNL212" s="915"/>
      <c r="BNM212" s="915"/>
      <c r="BNN212" s="916"/>
      <c r="BNQ212" s="989"/>
      <c r="BNR212" s="989"/>
      <c r="BNS212" s="989"/>
      <c r="BNT212" s="989"/>
      <c r="BNU212" s="989"/>
      <c r="BNV212" s="989"/>
      <c r="BNW212" s="959"/>
      <c r="BNX212" s="959"/>
      <c r="BOB212" s="915"/>
      <c r="BOC212" s="915"/>
      <c r="BOD212" s="915"/>
      <c r="BOF212" s="917"/>
      <c r="BOH212" s="915"/>
      <c r="BOI212" s="915"/>
      <c r="BOJ212" s="915"/>
      <c r="BOK212" s="916"/>
      <c r="BON212" s="989"/>
      <c r="BOO212" s="989"/>
      <c r="BOP212" s="989"/>
      <c r="BOQ212" s="989"/>
      <c r="BOR212" s="989"/>
      <c r="BOS212" s="989"/>
      <c r="BOT212" s="959"/>
      <c r="BOU212" s="959"/>
      <c r="BOY212" s="915"/>
      <c r="BOZ212" s="915"/>
      <c r="BPA212" s="915"/>
      <c r="BPC212" s="917"/>
      <c r="BPE212" s="915"/>
      <c r="BPF212" s="915"/>
      <c r="BPG212" s="915"/>
      <c r="BPH212" s="916"/>
      <c r="BPK212" s="989"/>
      <c r="BPL212" s="989"/>
      <c r="BPM212" s="989"/>
      <c r="BPN212" s="989"/>
      <c r="BPO212" s="989"/>
      <c r="BPP212" s="989"/>
      <c r="BPQ212" s="959"/>
      <c r="BPR212" s="959"/>
      <c r="BPV212" s="915"/>
      <c r="BPW212" s="915"/>
      <c r="BPX212" s="915"/>
      <c r="BPZ212" s="917"/>
      <c r="BQB212" s="915"/>
      <c r="BQC212" s="915"/>
      <c r="BQD212" s="915"/>
      <c r="BQE212" s="916"/>
      <c r="BQH212" s="989"/>
      <c r="BQI212" s="989"/>
      <c r="BQJ212" s="989"/>
      <c r="BQK212" s="989"/>
      <c r="BQL212" s="989"/>
      <c r="BQM212" s="989"/>
      <c r="BQN212" s="959"/>
      <c r="BQO212" s="959"/>
      <c r="BQS212" s="915"/>
      <c r="BQT212" s="915"/>
      <c r="BQU212" s="915"/>
      <c r="BQW212" s="917"/>
      <c r="BQY212" s="915"/>
      <c r="BQZ212" s="915"/>
      <c r="BRA212" s="915"/>
      <c r="BRB212" s="916"/>
      <c r="BRE212" s="989"/>
      <c r="BRF212" s="989"/>
      <c r="BRG212" s="989"/>
      <c r="BRH212" s="989"/>
      <c r="BRI212" s="989"/>
      <c r="BRJ212" s="989"/>
      <c r="BRK212" s="959"/>
      <c r="BRL212" s="959"/>
      <c r="BRP212" s="915"/>
      <c r="BRQ212" s="915"/>
      <c r="BRR212" s="915"/>
      <c r="BRT212" s="917"/>
      <c r="BRV212" s="915"/>
      <c r="BRW212" s="915"/>
      <c r="BRX212" s="915"/>
      <c r="BRY212" s="916"/>
      <c r="BSB212" s="989"/>
      <c r="BSC212" s="989"/>
      <c r="BSD212" s="989"/>
      <c r="BSE212" s="989"/>
      <c r="BSF212" s="989"/>
      <c r="BSG212" s="989"/>
      <c r="BSH212" s="959"/>
      <c r="BSI212" s="959"/>
      <c r="BSM212" s="915"/>
      <c r="BSN212" s="915"/>
      <c r="BSO212" s="915"/>
      <c r="BSQ212" s="917"/>
      <c r="BSS212" s="915"/>
      <c r="BST212" s="915"/>
      <c r="BSU212" s="915"/>
      <c r="BSV212" s="916"/>
      <c r="BSY212" s="989"/>
      <c r="BSZ212" s="989"/>
      <c r="BTA212" s="989"/>
      <c r="BTB212" s="989"/>
      <c r="BTC212" s="989"/>
      <c r="BTD212" s="989"/>
      <c r="BTE212" s="959"/>
      <c r="BTF212" s="959"/>
      <c r="BTJ212" s="915"/>
      <c r="BTK212" s="915"/>
      <c r="BTL212" s="915"/>
      <c r="BTN212" s="917"/>
      <c r="BTP212" s="915"/>
      <c r="BTQ212" s="915"/>
      <c r="BTR212" s="915"/>
      <c r="BTS212" s="916"/>
      <c r="BTV212" s="989"/>
      <c r="BTW212" s="989"/>
      <c r="BTX212" s="989"/>
      <c r="BTY212" s="989"/>
      <c r="BTZ212" s="989"/>
      <c r="BUA212" s="989"/>
      <c r="BUB212" s="959"/>
      <c r="BUC212" s="959"/>
      <c r="BUG212" s="915"/>
      <c r="BUH212" s="915"/>
      <c r="BUI212" s="915"/>
      <c r="BUK212" s="917"/>
      <c r="BUM212" s="915"/>
      <c r="BUN212" s="915"/>
      <c r="BUO212" s="915"/>
      <c r="BUP212" s="916"/>
      <c r="BUS212" s="989"/>
      <c r="BUT212" s="989"/>
      <c r="BUU212" s="989"/>
      <c r="BUV212" s="989"/>
      <c r="BUW212" s="989"/>
      <c r="BUX212" s="989"/>
      <c r="BUY212" s="959"/>
      <c r="BUZ212" s="959"/>
      <c r="BVD212" s="915"/>
      <c r="BVE212" s="915"/>
      <c r="BVF212" s="915"/>
      <c r="BVH212" s="917"/>
      <c r="BVJ212" s="915"/>
      <c r="BVK212" s="915"/>
      <c r="BVL212" s="915"/>
      <c r="BVM212" s="916"/>
      <c r="BVP212" s="989"/>
      <c r="BVQ212" s="989"/>
      <c r="BVR212" s="989"/>
      <c r="BVS212" s="989"/>
      <c r="BVT212" s="989"/>
      <c r="BVU212" s="989"/>
      <c r="BVV212" s="959"/>
      <c r="BVW212" s="959"/>
      <c r="BWA212" s="915"/>
      <c r="BWB212" s="915"/>
      <c r="BWC212" s="915"/>
      <c r="BWE212" s="917"/>
      <c r="BWG212" s="915"/>
      <c r="BWH212" s="915"/>
      <c r="BWI212" s="915"/>
      <c r="BWJ212" s="916"/>
      <c r="BWM212" s="989"/>
      <c r="BWN212" s="989"/>
      <c r="BWO212" s="989"/>
      <c r="BWP212" s="989"/>
      <c r="BWQ212" s="989"/>
      <c r="BWR212" s="989"/>
      <c r="BWS212" s="959"/>
      <c r="BWT212" s="959"/>
      <c r="BWX212" s="915"/>
      <c r="BWY212" s="915"/>
      <c r="BWZ212" s="915"/>
      <c r="BXB212" s="917"/>
      <c r="BXD212" s="915"/>
      <c r="BXE212" s="915"/>
      <c r="BXF212" s="915"/>
      <c r="BXG212" s="916"/>
      <c r="BXJ212" s="989"/>
      <c r="BXK212" s="989"/>
      <c r="BXL212" s="989"/>
      <c r="BXM212" s="989"/>
      <c r="BXN212" s="989"/>
      <c r="BXO212" s="989"/>
      <c r="BXP212" s="959"/>
      <c r="BXQ212" s="959"/>
      <c r="BXU212" s="915"/>
      <c r="BXV212" s="915"/>
      <c r="BXW212" s="915"/>
      <c r="BXY212" s="917"/>
      <c r="BYA212" s="915"/>
      <c r="BYB212" s="915"/>
      <c r="BYC212" s="915"/>
      <c r="BYD212" s="916"/>
      <c r="BYG212" s="989"/>
      <c r="BYH212" s="989"/>
      <c r="BYI212" s="989"/>
      <c r="BYJ212" s="989"/>
      <c r="BYK212" s="989"/>
      <c r="BYL212" s="989"/>
      <c r="BYM212" s="959"/>
      <c r="BYN212" s="959"/>
      <c r="BYR212" s="915"/>
      <c r="BYS212" s="915"/>
      <c r="BYT212" s="915"/>
      <c r="BYV212" s="917"/>
      <c r="BYX212" s="915"/>
      <c r="BYY212" s="915"/>
      <c r="BYZ212" s="915"/>
      <c r="BZA212" s="916"/>
      <c r="BZD212" s="989"/>
      <c r="BZE212" s="989"/>
      <c r="BZF212" s="989"/>
      <c r="BZG212" s="989"/>
      <c r="BZH212" s="989"/>
      <c r="BZI212" s="989"/>
      <c r="BZJ212" s="959"/>
      <c r="BZK212" s="959"/>
      <c r="BZO212" s="915"/>
      <c r="BZP212" s="915"/>
      <c r="BZQ212" s="915"/>
      <c r="BZS212" s="917"/>
      <c r="BZU212" s="915"/>
      <c r="BZV212" s="915"/>
      <c r="BZW212" s="915"/>
      <c r="BZX212" s="916"/>
      <c r="CAA212" s="989"/>
      <c r="CAB212" s="989"/>
      <c r="CAC212" s="989"/>
      <c r="CAD212" s="989"/>
      <c r="CAE212" s="989"/>
      <c r="CAF212" s="989"/>
      <c r="CAG212" s="959"/>
      <c r="CAH212" s="959"/>
      <c r="CAL212" s="915"/>
      <c r="CAM212" s="915"/>
      <c r="CAN212" s="915"/>
      <c r="CAP212" s="917"/>
      <c r="CAR212" s="915"/>
      <c r="CAS212" s="915"/>
      <c r="CAT212" s="915"/>
      <c r="CAU212" s="916"/>
      <c r="CAX212" s="989"/>
      <c r="CAY212" s="989"/>
      <c r="CAZ212" s="989"/>
      <c r="CBA212" s="989"/>
      <c r="CBB212" s="989"/>
      <c r="CBC212" s="989"/>
      <c r="CBD212" s="959"/>
      <c r="CBE212" s="959"/>
      <c r="CBI212" s="915"/>
      <c r="CBJ212" s="915"/>
      <c r="CBK212" s="915"/>
      <c r="CBM212" s="917"/>
      <c r="CBO212" s="915"/>
      <c r="CBP212" s="915"/>
      <c r="CBQ212" s="915"/>
      <c r="CBR212" s="916"/>
      <c r="CBU212" s="989"/>
      <c r="CBV212" s="989"/>
      <c r="CBW212" s="989"/>
      <c r="CBX212" s="989"/>
      <c r="CBY212" s="989"/>
      <c r="CBZ212" s="989"/>
      <c r="CCA212" s="959"/>
      <c r="CCB212" s="959"/>
      <c r="CCF212" s="915"/>
      <c r="CCG212" s="915"/>
      <c r="CCH212" s="915"/>
      <c r="CCJ212" s="917"/>
      <c r="CCL212" s="915"/>
      <c r="CCM212" s="915"/>
      <c r="CCN212" s="915"/>
      <c r="CCO212" s="916"/>
      <c r="CCR212" s="989"/>
      <c r="CCS212" s="989"/>
      <c r="CCT212" s="989"/>
      <c r="CCU212" s="989"/>
      <c r="CCV212" s="989"/>
      <c r="CCW212" s="989"/>
      <c r="CCX212" s="959"/>
      <c r="CCY212" s="959"/>
      <c r="CDC212" s="915"/>
      <c r="CDD212" s="915"/>
      <c r="CDE212" s="915"/>
      <c r="CDG212" s="917"/>
      <c r="CDI212" s="915"/>
      <c r="CDJ212" s="915"/>
      <c r="CDK212" s="915"/>
      <c r="CDL212" s="916"/>
      <c r="CDO212" s="989"/>
      <c r="CDP212" s="989"/>
      <c r="CDQ212" s="989"/>
      <c r="CDR212" s="989"/>
      <c r="CDS212" s="989"/>
      <c r="CDT212" s="989"/>
      <c r="CDU212" s="959"/>
      <c r="CDV212" s="959"/>
      <c r="CDZ212" s="915"/>
      <c r="CEA212" s="915"/>
      <c r="CEB212" s="915"/>
      <c r="CED212" s="917"/>
      <c r="CEF212" s="915"/>
      <c r="CEG212" s="915"/>
      <c r="CEH212" s="915"/>
      <c r="CEI212" s="916"/>
      <c r="CEL212" s="989"/>
      <c r="CEM212" s="989"/>
      <c r="CEN212" s="989"/>
      <c r="CEO212" s="989"/>
      <c r="CEP212" s="989"/>
      <c r="CEQ212" s="989"/>
      <c r="CER212" s="959"/>
      <c r="CES212" s="959"/>
      <c r="CEW212" s="915"/>
      <c r="CEX212" s="915"/>
      <c r="CEY212" s="915"/>
      <c r="CFA212" s="917"/>
      <c r="CFC212" s="915"/>
      <c r="CFD212" s="915"/>
      <c r="CFE212" s="915"/>
      <c r="CFF212" s="916"/>
      <c r="CFI212" s="989"/>
      <c r="CFJ212" s="989"/>
      <c r="CFK212" s="989"/>
      <c r="CFL212" s="989"/>
      <c r="CFM212" s="989"/>
      <c r="CFN212" s="989"/>
      <c r="CFO212" s="959"/>
      <c r="CFP212" s="959"/>
      <c r="CFT212" s="915"/>
      <c r="CFU212" s="915"/>
      <c r="CFV212" s="915"/>
      <c r="CFX212" s="917"/>
      <c r="CFZ212" s="915"/>
      <c r="CGA212" s="915"/>
      <c r="CGB212" s="915"/>
      <c r="CGC212" s="916"/>
      <c r="CGF212" s="989"/>
      <c r="CGG212" s="989"/>
      <c r="CGH212" s="989"/>
      <c r="CGI212" s="989"/>
      <c r="CGJ212" s="989"/>
      <c r="CGK212" s="989"/>
      <c r="CGL212" s="959"/>
      <c r="CGM212" s="959"/>
      <c r="CGQ212" s="915"/>
      <c r="CGR212" s="915"/>
      <c r="CGS212" s="915"/>
      <c r="CGU212" s="917"/>
      <c r="CGW212" s="915"/>
      <c r="CGX212" s="915"/>
      <c r="CGY212" s="915"/>
      <c r="CGZ212" s="916"/>
      <c r="CHC212" s="989"/>
      <c r="CHD212" s="989"/>
      <c r="CHE212" s="989"/>
      <c r="CHF212" s="989"/>
      <c r="CHG212" s="989"/>
      <c r="CHH212" s="989"/>
      <c r="CHI212" s="959"/>
      <c r="CHJ212" s="959"/>
      <c r="CHN212" s="915"/>
      <c r="CHO212" s="915"/>
      <c r="CHP212" s="915"/>
      <c r="CHR212" s="917"/>
      <c r="CHT212" s="915"/>
      <c r="CHU212" s="915"/>
      <c r="CHV212" s="915"/>
      <c r="CHW212" s="916"/>
      <c r="CHZ212" s="989"/>
      <c r="CIA212" s="989"/>
      <c r="CIB212" s="989"/>
      <c r="CIC212" s="989"/>
      <c r="CID212" s="989"/>
      <c r="CIE212" s="989"/>
      <c r="CIF212" s="959"/>
      <c r="CIG212" s="959"/>
      <c r="CIK212" s="915"/>
      <c r="CIL212" s="915"/>
      <c r="CIM212" s="915"/>
      <c r="CIO212" s="917"/>
      <c r="CIQ212" s="915"/>
      <c r="CIR212" s="915"/>
      <c r="CIS212" s="915"/>
      <c r="CIT212" s="916"/>
      <c r="CIW212" s="989"/>
      <c r="CIX212" s="989"/>
      <c r="CIY212" s="989"/>
      <c r="CIZ212" s="989"/>
      <c r="CJA212" s="989"/>
      <c r="CJB212" s="989"/>
      <c r="CJC212" s="959"/>
      <c r="CJD212" s="959"/>
      <c r="CJH212" s="915"/>
      <c r="CJI212" s="915"/>
      <c r="CJJ212" s="915"/>
      <c r="CJL212" s="917"/>
      <c r="CJN212" s="915"/>
      <c r="CJO212" s="915"/>
      <c r="CJP212" s="915"/>
      <c r="CJQ212" s="916"/>
      <c r="CJT212" s="989"/>
      <c r="CJU212" s="989"/>
      <c r="CJV212" s="989"/>
      <c r="CJW212" s="989"/>
      <c r="CJX212" s="989"/>
      <c r="CJY212" s="989"/>
      <c r="CJZ212" s="959"/>
      <c r="CKA212" s="959"/>
      <c r="CKE212" s="915"/>
      <c r="CKF212" s="915"/>
      <c r="CKG212" s="915"/>
      <c r="CKI212" s="917"/>
      <c r="CKK212" s="915"/>
      <c r="CKL212" s="915"/>
      <c r="CKM212" s="915"/>
      <c r="CKN212" s="916"/>
      <c r="CKQ212" s="989"/>
      <c r="CKR212" s="989"/>
      <c r="CKS212" s="989"/>
      <c r="CKT212" s="989"/>
      <c r="CKU212" s="989"/>
      <c r="CKV212" s="989"/>
      <c r="CKW212" s="959"/>
      <c r="CKX212" s="959"/>
      <c r="CLB212" s="915"/>
      <c r="CLC212" s="915"/>
      <c r="CLD212" s="915"/>
      <c r="CLF212" s="917"/>
      <c r="CLH212" s="915"/>
      <c r="CLI212" s="915"/>
      <c r="CLJ212" s="915"/>
      <c r="CLK212" s="916"/>
      <c r="CLN212" s="989"/>
      <c r="CLO212" s="989"/>
      <c r="CLP212" s="989"/>
      <c r="CLQ212" s="989"/>
      <c r="CLR212" s="989"/>
      <c r="CLS212" s="989"/>
      <c r="CLT212" s="959"/>
      <c r="CLU212" s="959"/>
      <c r="CLY212" s="915"/>
      <c r="CLZ212" s="915"/>
      <c r="CMA212" s="915"/>
      <c r="CMC212" s="917"/>
      <c r="CME212" s="915"/>
      <c r="CMF212" s="915"/>
      <c r="CMG212" s="915"/>
      <c r="CMH212" s="916"/>
      <c r="CMK212" s="989"/>
      <c r="CML212" s="989"/>
      <c r="CMM212" s="989"/>
      <c r="CMN212" s="989"/>
      <c r="CMO212" s="989"/>
      <c r="CMP212" s="989"/>
      <c r="CMQ212" s="959"/>
      <c r="CMR212" s="959"/>
      <c r="CMV212" s="915"/>
      <c r="CMW212" s="915"/>
      <c r="CMX212" s="915"/>
      <c r="CMZ212" s="917"/>
      <c r="CNB212" s="915"/>
      <c r="CNC212" s="915"/>
      <c r="CND212" s="915"/>
      <c r="CNE212" s="916"/>
      <c r="CNH212" s="989"/>
      <c r="CNI212" s="989"/>
      <c r="CNJ212" s="989"/>
      <c r="CNK212" s="989"/>
      <c r="CNL212" s="989"/>
      <c r="CNM212" s="989"/>
      <c r="CNN212" s="959"/>
      <c r="CNO212" s="959"/>
      <c r="CNS212" s="915"/>
      <c r="CNT212" s="915"/>
      <c r="CNU212" s="915"/>
      <c r="CNW212" s="917"/>
      <c r="CNY212" s="915"/>
      <c r="CNZ212" s="915"/>
      <c r="COA212" s="915"/>
      <c r="COB212" s="916"/>
      <c r="COE212" s="989"/>
      <c r="COF212" s="989"/>
      <c r="COG212" s="989"/>
      <c r="COH212" s="989"/>
      <c r="COI212" s="989"/>
      <c r="COJ212" s="989"/>
      <c r="COK212" s="959"/>
      <c r="COL212" s="959"/>
      <c r="COP212" s="915"/>
      <c r="COQ212" s="915"/>
      <c r="COR212" s="915"/>
      <c r="COT212" s="917"/>
      <c r="COV212" s="915"/>
      <c r="COW212" s="915"/>
      <c r="COX212" s="915"/>
      <c r="COY212" s="916"/>
      <c r="CPB212" s="989"/>
      <c r="CPC212" s="989"/>
      <c r="CPD212" s="989"/>
      <c r="CPE212" s="989"/>
      <c r="CPF212" s="989"/>
      <c r="CPG212" s="989"/>
      <c r="CPH212" s="959"/>
      <c r="CPI212" s="959"/>
      <c r="CPM212" s="915"/>
      <c r="CPN212" s="915"/>
      <c r="CPO212" s="915"/>
      <c r="CPQ212" s="917"/>
      <c r="CPS212" s="915"/>
      <c r="CPT212" s="915"/>
      <c r="CPU212" s="915"/>
      <c r="CPV212" s="916"/>
      <c r="CPY212" s="989"/>
      <c r="CPZ212" s="989"/>
      <c r="CQA212" s="989"/>
      <c r="CQB212" s="989"/>
      <c r="CQC212" s="989"/>
      <c r="CQD212" s="989"/>
      <c r="CQE212" s="959"/>
      <c r="CQF212" s="959"/>
      <c r="CQJ212" s="915"/>
      <c r="CQK212" s="915"/>
      <c r="CQL212" s="915"/>
      <c r="CQN212" s="917"/>
      <c r="CQP212" s="915"/>
      <c r="CQQ212" s="915"/>
      <c r="CQR212" s="915"/>
      <c r="CQS212" s="916"/>
      <c r="CQV212" s="989"/>
      <c r="CQW212" s="989"/>
      <c r="CQX212" s="989"/>
      <c r="CQY212" s="989"/>
      <c r="CQZ212" s="989"/>
      <c r="CRA212" s="989"/>
      <c r="CRB212" s="959"/>
      <c r="CRC212" s="959"/>
      <c r="CRG212" s="915"/>
      <c r="CRH212" s="915"/>
      <c r="CRI212" s="915"/>
      <c r="CRK212" s="917"/>
      <c r="CRM212" s="915"/>
      <c r="CRN212" s="915"/>
      <c r="CRO212" s="915"/>
      <c r="CRP212" s="916"/>
      <c r="CRS212" s="989"/>
      <c r="CRT212" s="989"/>
      <c r="CRU212" s="989"/>
      <c r="CRV212" s="989"/>
      <c r="CRW212" s="989"/>
      <c r="CRX212" s="989"/>
      <c r="CRY212" s="959"/>
      <c r="CRZ212" s="959"/>
      <c r="CSD212" s="915"/>
      <c r="CSE212" s="915"/>
      <c r="CSF212" s="915"/>
      <c r="CSH212" s="917"/>
      <c r="CSJ212" s="915"/>
      <c r="CSK212" s="915"/>
      <c r="CSL212" s="915"/>
      <c r="CSM212" s="916"/>
      <c r="CSP212" s="989"/>
      <c r="CSQ212" s="989"/>
      <c r="CSR212" s="989"/>
      <c r="CSS212" s="989"/>
      <c r="CST212" s="989"/>
      <c r="CSU212" s="989"/>
      <c r="CSV212" s="959"/>
      <c r="CSW212" s="959"/>
      <c r="CTA212" s="915"/>
      <c r="CTB212" s="915"/>
      <c r="CTC212" s="915"/>
      <c r="CTE212" s="917"/>
      <c r="CTG212" s="915"/>
      <c r="CTH212" s="915"/>
      <c r="CTI212" s="915"/>
      <c r="CTJ212" s="916"/>
      <c r="CTM212" s="989"/>
      <c r="CTN212" s="989"/>
      <c r="CTO212" s="989"/>
      <c r="CTP212" s="989"/>
      <c r="CTQ212" s="989"/>
      <c r="CTR212" s="989"/>
      <c r="CTS212" s="959"/>
      <c r="CTT212" s="959"/>
      <c r="CTX212" s="915"/>
      <c r="CTY212" s="915"/>
      <c r="CTZ212" s="915"/>
      <c r="CUB212" s="917"/>
      <c r="CUD212" s="915"/>
      <c r="CUE212" s="915"/>
      <c r="CUF212" s="915"/>
      <c r="CUG212" s="916"/>
      <c r="CUJ212" s="989"/>
      <c r="CUK212" s="989"/>
      <c r="CUL212" s="989"/>
      <c r="CUM212" s="989"/>
      <c r="CUN212" s="989"/>
      <c r="CUO212" s="989"/>
      <c r="CUP212" s="959"/>
      <c r="CUQ212" s="959"/>
      <c r="CUU212" s="915"/>
      <c r="CUV212" s="915"/>
      <c r="CUW212" s="915"/>
      <c r="CUY212" s="917"/>
      <c r="CVA212" s="915"/>
      <c r="CVB212" s="915"/>
      <c r="CVC212" s="915"/>
      <c r="CVD212" s="916"/>
      <c r="CVG212" s="989"/>
      <c r="CVH212" s="989"/>
      <c r="CVI212" s="989"/>
      <c r="CVJ212" s="989"/>
      <c r="CVK212" s="989"/>
      <c r="CVL212" s="989"/>
      <c r="CVM212" s="959"/>
      <c r="CVN212" s="959"/>
      <c r="CVR212" s="915"/>
      <c r="CVS212" s="915"/>
      <c r="CVT212" s="915"/>
      <c r="CVV212" s="917"/>
      <c r="CVX212" s="915"/>
      <c r="CVY212" s="915"/>
      <c r="CVZ212" s="915"/>
      <c r="CWA212" s="916"/>
      <c r="CWD212" s="989"/>
      <c r="CWE212" s="989"/>
      <c r="CWF212" s="989"/>
      <c r="CWG212" s="989"/>
      <c r="CWH212" s="989"/>
      <c r="CWI212" s="989"/>
      <c r="CWJ212" s="959"/>
      <c r="CWK212" s="959"/>
      <c r="CWO212" s="915"/>
      <c r="CWP212" s="915"/>
      <c r="CWQ212" s="915"/>
      <c r="CWS212" s="917"/>
      <c r="CWU212" s="915"/>
      <c r="CWV212" s="915"/>
      <c r="CWW212" s="915"/>
      <c r="CWX212" s="916"/>
      <c r="CXA212" s="989"/>
      <c r="CXB212" s="989"/>
      <c r="CXC212" s="989"/>
      <c r="CXD212" s="989"/>
      <c r="CXE212" s="989"/>
      <c r="CXF212" s="989"/>
      <c r="CXG212" s="959"/>
      <c r="CXH212" s="959"/>
      <c r="CXL212" s="915"/>
      <c r="CXM212" s="915"/>
      <c r="CXN212" s="915"/>
      <c r="CXP212" s="917"/>
      <c r="CXR212" s="915"/>
      <c r="CXS212" s="915"/>
      <c r="CXT212" s="915"/>
      <c r="CXU212" s="916"/>
      <c r="CXX212" s="989"/>
      <c r="CXY212" s="989"/>
      <c r="CXZ212" s="989"/>
      <c r="CYA212" s="989"/>
      <c r="CYB212" s="989"/>
      <c r="CYC212" s="989"/>
      <c r="CYD212" s="959"/>
      <c r="CYE212" s="959"/>
      <c r="CYI212" s="915"/>
      <c r="CYJ212" s="915"/>
      <c r="CYK212" s="915"/>
      <c r="CYM212" s="917"/>
      <c r="CYO212" s="915"/>
      <c r="CYP212" s="915"/>
      <c r="CYQ212" s="915"/>
      <c r="CYR212" s="916"/>
      <c r="CYU212" s="989"/>
      <c r="CYV212" s="989"/>
      <c r="CYW212" s="989"/>
      <c r="CYX212" s="989"/>
      <c r="CYY212" s="989"/>
      <c r="CYZ212" s="989"/>
      <c r="CZA212" s="959"/>
      <c r="CZB212" s="959"/>
      <c r="CZF212" s="915"/>
      <c r="CZG212" s="915"/>
      <c r="CZH212" s="915"/>
      <c r="CZJ212" s="917"/>
      <c r="CZL212" s="915"/>
      <c r="CZM212" s="915"/>
      <c r="CZN212" s="915"/>
      <c r="CZO212" s="916"/>
      <c r="CZR212" s="989"/>
      <c r="CZS212" s="989"/>
      <c r="CZT212" s="989"/>
      <c r="CZU212" s="989"/>
      <c r="CZV212" s="989"/>
      <c r="CZW212" s="989"/>
      <c r="CZX212" s="959"/>
      <c r="CZY212" s="959"/>
      <c r="DAC212" s="915"/>
      <c r="DAD212" s="915"/>
      <c r="DAE212" s="915"/>
      <c r="DAG212" s="917"/>
      <c r="DAI212" s="915"/>
      <c r="DAJ212" s="915"/>
      <c r="DAK212" s="915"/>
      <c r="DAL212" s="916"/>
      <c r="DAO212" s="989"/>
      <c r="DAP212" s="989"/>
      <c r="DAQ212" s="989"/>
      <c r="DAR212" s="989"/>
      <c r="DAS212" s="989"/>
      <c r="DAT212" s="989"/>
      <c r="DAU212" s="959"/>
      <c r="DAV212" s="959"/>
      <c r="DAZ212" s="915"/>
      <c r="DBA212" s="915"/>
      <c r="DBB212" s="915"/>
      <c r="DBD212" s="917"/>
      <c r="DBF212" s="915"/>
      <c r="DBG212" s="915"/>
      <c r="DBH212" s="915"/>
      <c r="DBI212" s="916"/>
      <c r="DBL212" s="989"/>
      <c r="DBM212" s="989"/>
      <c r="DBN212" s="989"/>
      <c r="DBO212" s="989"/>
      <c r="DBP212" s="989"/>
      <c r="DBQ212" s="989"/>
      <c r="DBR212" s="959"/>
      <c r="DBS212" s="959"/>
      <c r="DBW212" s="915"/>
      <c r="DBX212" s="915"/>
      <c r="DBY212" s="915"/>
      <c r="DCA212" s="917"/>
      <c r="DCC212" s="915"/>
      <c r="DCD212" s="915"/>
      <c r="DCE212" s="915"/>
      <c r="DCF212" s="916"/>
      <c r="DCI212" s="989"/>
      <c r="DCJ212" s="989"/>
      <c r="DCK212" s="989"/>
      <c r="DCL212" s="989"/>
      <c r="DCM212" s="989"/>
      <c r="DCN212" s="989"/>
      <c r="DCO212" s="959"/>
      <c r="DCP212" s="959"/>
      <c r="DCT212" s="915"/>
      <c r="DCU212" s="915"/>
      <c r="DCV212" s="915"/>
      <c r="DCX212" s="917"/>
      <c r="DCZ212" s="915"/>
      <c r="DDA212" s="915"/>
      <c r="DDB212" s="915"/>
      <c r="DDC212" s="916"/>
      <c r="DDF212" s="989"/>
      <c r="DDG212" s="989"/>
      <c r="DDH212" s="989"/>
      <c r="DDI212" s="989"/>
      <c r="DDJ212" s="989"/>
      <c r="DDK212" s="989"/>
      <c r="DDL212" s="959"/>
      <c r="DDM212" s="959"/>
      <c r="DDQ212" s="915"/>
      <c r="DDR212" s="915"/>
      <c r="DDS212" s="915"/>
      <c r="DDU212" s="917"/>
      <c r="DDW212" s="915"/>
      <c r="DDX212" s="915"/>
      <c r="DDY212" s="915"/>
      <c r="DDZ212" s="916"/>
      <c r="DEC212" s="989"/>
      <c r="DED212" s="989"/>
      <c r="DEE212" s="989"/>
      <c r="DEF212" s="989"/>
      <c r="DEG212" s="989"/>
      <c r="DEH212" s="989"/>
      <c r="DEI212" s="959"/>
      <c r="DEJ212" s="959"/>
      <c r="DEN212" s="915"/>
      <c r="DEO212" s="915"/>
      <c r="DEP212" s="915"/>
      <c r="DER212" s="917"/>
      <c r="DET212" s="915"/>
      <c r="DEU212" s="915"/>
      <c r="DEV212" s="915"/>
      <c r="DEW212" s="916"/>
      <c r="DEZ212" s="989"/>
      <c r="DFA212" s="989"/>
      <c r="DFB212" s="989"/>
      <c r="DFC212" s="989"/>
      <c r="DFD212" s="989"/>
      <c r="DFE212" s="989"/>
      <c r="DFF212" s="959"/>
      <c r="DFG212" s="959"/>
      <c r="DFK212" s="915"/>
      <c r="DFL212" s="915"/>
      <c r="DFM212" s="915"/>
      <c r="DFO212" s="917"/>
      <c r="DFQ212" s="915"/>
      <c r="DFR212" s="915"/>
      <c r="DFS212" s="915"/>
      <c r="DFT212" s="916"/>
      <c r="DFW212" s="989"/>
      <c r="DFX212" s="989"/>
      <c r="DFY212" s="989"/>
      <c r="DFZ212" s="989"/>
      <c r="DGA212" s="989"/>
      <c r="DGB212" s="989"/>
      <c r="DGC212" s="959"/>
      <c r="DGD212" s="959"/>
      <c r="DGH212" s="915"/>
      <c r="DGI212" s="915"/>
      <c r="DGJ212" s="915"/>
      <c r="DGL212" s="917"/>
      <c r="DGN212" s="915"/>
      <c r="DGO212" s="915"/>
      <c r="DGP212" s="915"/>
      <c r="DGQ212" s="916"/>
      <c r="DGT212" s="989"/>
      <c r="DGU212" s="989"/>
      <c r="DGV212" s="989"/>
      <c r="DGW212" s="989"/>
      <c r="DGX212" s="989"/>
      <c r="DGY212" s="989"/>
      <c r="DGZ212" s="959"/>
      <c r="DHA212" s="959"/>
      <c r="DHE212" s="915"/>
      <c r="DHF212" s="915"/>
      <c r="DHG212" s="915"/>
      <c r="DHI212" s="917"/>
      <c r="DHK212" s="915"/>
      <c r="DHL212" s="915"/>
      <c r="DHM212" s="915"/>
      <c r="DHN212" s="916"/>
      <c r="DHQ212" s="989"/>
      <c r="DHR212" s="989"/>
      <c r="DHS212" s="989"/>
      <c r="DHT212" s="989"/>
      <c r="DHU212" s="989"/>
      <c r="DHV212" s="989"/>
      <c r="DHW212" s="959"/>
      <c r="DHX212" s="959"/>
      <c r="DIB212" s="915"/>
      <c r="DIC212" s="915"/>
      <c r="DID212" s="915"/>
      <c r="DIF212" s="917"/>
      <c r="DIH212" s="915"/>
      <c r="DII212" s="915"/>
      <c r="DIJ212" s="915"/>
      <c r="DIK212" s="916"/>
      <c r="DIN212" s="989"/>
      <c r="DIO212" s="989"/>
      <c r="DIP212" s="989"/>
      <c r="DIQ212" s="989"/>
      <c r="DIR212" s="989"/>
      <c r="DIS212" s="989"/>
      <c r="DIT212" s="959"/>
      <c r="DIU212" s="959"/>
      <c r="DIY212" s="915"/>
      <c r="DIZ212" s="915"/>
      <c r="DJA212" s="915"/>
      <c r="DJC212" s="917"/>
      <c r="DJE212" s="915"/>
      <c r="DJF212" s="915"/>
      <c r="DJG212" s="915"/>
      <c r="DJH212" s="916"/>
      <c r="DJK212" s="989"/>
      <c r="DJL212" s="989"/>
      <c r="DJM212" s="989"/>
      <c r="DJN212" s="989"/>
      <c r="DJO212" s="989"/>
      <c r="DJP212" s="989"/>
      <c r="DJQ212" s="959"/>
      <c r="DJR212" s="959"/>
      <c r="DJV212" s="915"/>
      <c r="DJW212" s="915"/>
      <c r="DJX212" s="915"/>
      <c r="DJZ212" s="917"/>
      <c r="DKB212" s="915"/>
      <c r="DKC212" s="915"/>
      <c r="DKD212" s="915"/>
      <c r="DKE212" s="916"/>
      <c r="DKH212" s="989"/>
      <c r="DKI212" s="989"/>
      <c r="DKJ212" s="989"/>
      <c r="DKK212" s="989"/>
      <c r="DKL212" s="989"/>
      <c r="DKM212" s="989"/>
      <c r="DKN212" s="959"/>
      <c r="DKO212" s="959"/>
      <c r="DKS212" s="915"/>
      <c r="DKT212" s="915"/>
      <c r="DKU212" s="915"/>
      <c r="DKW212" s="917"/>
      <c r="DKY212" s="915"/>
      <c r="DKZ212" s="915"/>
      <c r="DLA212" s="915"/>
      <c r="DLB212" s="916"/>
      <c r="DLE212" s="989"/>
      <c r="DLF212" s="989"/>
      <c r="DLG212" s="989"/>
      <c r="DLH212" s="989"/>
      <c r="DLI212" s="989"/>
      <c r="DLJ212" s="989"/>
      <c r="DLK212" s="959"/>
      <c r="DLL212" s="959"/>
      <c r="DLP212" s="915"/>
      <c r="DLQ212" s="915"/>
      <c r="DLR212" s="915"/>
      <c r="DLT212" s="917"/>
      <c r="DLV212" s="915"/>
      <c r="DLW212" s="915"/>
      <c r="DLX212" s="915"/>
      <c r="DLY212" s="916"/>
      <c r="DMB212" s="989"/>
      <c r="DMC212" s="989"/>
      <c r="DMD212" s="989"/>
      <c r="DME212" s="989"/>
      <c r="DMF212" s="989"/>
      <c r="DMG212" s="989"/>
      <c r="DMH212" s="959"/>
      <c r="DMI212" s="959"/>
      <c r="DMM212" s="915"/>
      <c r="DMN212" s="915"/>
      <c r="DMO212" s="915"/>
      <c r="DMQ212" s="917"/>
      <c r="DMS212" s="915"/>
      <c r="DMT212" s="915"/>
      <c r="DMU212" s="915"/>
      <c r="DMV212" s="916"/>
      <c r="DMY212" s="989"/>
      <c r="DMZ212" s="989"/>
      <c r="DNA212" s="989"/>
      <c r="DNB212" s="989"/>
      <c r="DNC212" s="989"/>
      <c r="DND212" s="989"/>
      <c r="DNE212" s="959"/>
      <c r="DNF212" s="959"/>
      <c r="DNJ212" s="915"/>
      <c r="DNK212" s="915"/>
      <c r="DNL212" s="915"/>
      <c r="DNN212" s="917"/>
      <c r="DNP212" s="915"/>
      <c r="DNQ212" s="915"/>
      <c r="DNR212" s="915"/>
      <c r="DNS212" s="916"/>
      <c r="DNV212" s="989"/>
      <c r="DNW212" s="989"/>
      <c r="DNX212" s="989"/>
      <c r="DNY212" s="989"/>
      <c r="DNZ212" s="989"/>
      <c r="DOA212" s="989"/>
      <c r="DOB212" s="959"/>
      <c r="DOC212" s="959"/>
      <c r="DOG212" s="915"/>
      <c r="DOH212" s="915"/>
      <c r="DOI212" s="915"/>
      <c r="DOK212" s="917"/>
      <c r="DOM212" s="915"/>
      <c r="DON212" s="915"/>
      <c r="DOO212" s="915"/>
      <c r="DOP212" s="916"/>
      <c r="DOS212" s="989"/>
      <c r="DOT212" s="989"/>
      <c r="DOU212" s="989"/>
      <c r="DOV212" s="989"/>
      <c r="DOW212" s="989"/>
      <c r="DOX212" s="989"/>
      <c r="DOY212" s="959"/>
      <c r="DOZ212" s="959"/>
      <c r="DPD212" s="915"/>
      <c r="DPE212" s="915"/>
      <c r="DPF212" s="915"/>
      <c r="DPH212" s="917"/>
      <c r="DPJ212" s="915"/>
      <c r="DPK212" s="915"/>
      <c r="DPL212" s="915"/>
      <c r="DPM212" s="916"/>
      <c r="DPP212" s="989"/>
      <c r="DPQ212" s="989"/>
      <c r="DPR212" s="989"/>
      <c r="DPS212" s="989"/>
      <c r="DPT212" s="989"/>
      <c r="DPU212" s="989"/>
      <c r="DPV212" s="959"/>
      <c r="DPW212" s="959"/>
      <c r="DQA212" s="915"/>
      <c r="DQB212" s="915"/>
      <c r="DQC212" s="915"/>
      <c r="DQE212" s="917"/>
      <c r="DQG212" s="915"/>
      <c r="DQH212" s="915"/>
      <c r="DQI212" s="915"/>
      <c r="DQJ212" s="916"/>
      <c r="DQM212" s="989"/>
      <c r="DQN212" s="989"/>
      <c r="DQO212" s="989"/>
      <c r="DQP212" s="989"/>
      <c r="DQQ212" s="989"/>
      <c r="DQR212" s="989"/>
      <c r="DQS212" s="959"/>
      <c r="DQT212" s="959"/>
      <c r="DQX212" s="915"/>
      <c r="DQY212" s="915"/>
      <c r="DQZ212" s="915"/>
      <c r="DRB212" s="917"/>
      <c r="DRD212" s="915"/>
      <c r="DRE212" s="915"/>
      <c r="DRF212" s="915"/>
      <c r="DRG212" s="916"/>
      <c r="DRJ212" s="989"/>
      <c r="DRK212" s="989"/>
      <c r="DRL212" s="989"/>
      <c r="DRM212" s="989"/>
      <c r="DRN212" s="989"/>
      <c r="DRO212" s="989"/>
      <c r="DRP212" s="959"/>
      <c r="DRQ212" s="959"/>
      <c r="DRU212" s="915"/>
      <c r="DRV212" s="915"/>
      <c r="DRW212" s="915"/>
      <c r="DRY212" s="917"/>
      <c r="DSA212" s="915"/>
      <c r="DSB212" s="915"/>
      <c r="DSC212" s="915"/>
      <c r="DSD212" s="916"/>
      <c r="DSG212" s="989"/>
      <c r="DSH212" s="989"/>
      <c r="DSI212" s="989"/>
      <c r="DSJ212" s="989"/>
      <c r="DSK212" s="989"/>
      <c r="DSL212" s="989"/>
      <c r="DSM212" s="959"/>
      <c r="DSN212" s="959"/>
      <c r="DSR212" s="915"/>
      <c r="DSS212" s="915"/>
      <c r="DST212" s="915"/>
      <c r="DSV212" s="917"/>
      <c r="DSX212" s="915"/>
      <c r="DSY212" s="915"/>
      <c r="DSZ212" s="915"/>
      <c r="DTA212" s="916"/>
      <c r="DTD212" s="989"/>
      <c r="DTE212" s="989"/>
      <c r="DTF212" s="989"/>
      <c r="DTG212" s="989"/>
      <c r="DTH212" s="989"/>
      <c r="DTI212" s="989"/>
      <c r="DTJ212" s="959"/>
      <c r="DTK212" s="959"/>
      <c r="DTO212" s="915"/>
      <c r="DTP212" s="915"/>
      <c r="DTQ212" s="915"/>
      <c r="DTS212" s="917"/>
      <c r="DTU212" s="915"/>
      <c r="DTV212" s="915"/>
      <c r="DTW212" s="915"/>
      <c r="DTX212" s="916"/>
      <c r="DUA212" s="989"/>
      <c r="DUB212" s="989"/>
      <c r="DUC212" s="989"/>
      <c r="DUD212" s="989"/>
      <c r="DUE212" s="989"/>
      <c r="DUF212" s="989"/>
      <c r="DUG212" s="959"/>
      <c r="DUH212" s="959"/>
      <c r="DUL212" s="915"/>
      <c r="DUM212" s="915"/>
      <c r="DUN212" s="915"/>
      <c r="DUP212" s="917"/>
      <c r="DUR212" s="915"/>
      <c r="DUS212" s="915"/>
      <c r="DUT212" s="915"/>
      <c r="DUU212" s="916"/>
      <c r="DUX212" s="989"/>
      <c r="DUY212" s="989"/>
      <c r="DUZ212" s="989"/>
      <c r="DVA212" s="989"/>
      <c r="DVB212" s="989"/>
      <c r="DVC212" s="989"/>
      <c r="DVD212" s="959"/>
      <c r="DVE212" s="959"/>
      <c r="DVI212" s="915"/>
      <c r="DVJ212" s="915"/>
      <c r="DVK212" s="915"/>
      <c r="DVM212" s="917"/>
      <c r="DVO212" s="915"/>
      <c r="DVP212" s="915"/>
      <c r="DVQ212" s="915"/>
      <c r="DVR212" s="916"/>
      <c r="DVU212" s="989"/>
      <c r="DVV212" s="989"/>
      <c r="DVW212" s="989"/>
      <c r="DVX212" s="989"/>
      <c r="DVY212" s="989"/>
      <c r="DVZ212" s="989"/>
      <c r="DWA212" s="959"/>
      <c r="DWB212" s="959"/>
      <c r="DWF212" s="915"/>
      <c r="DWG212" s="915"/>
      <c r="DWH212" s="915"/>
      <c r="DWJ212" s="917"/>
      <c r="DWL212" s="915"/>
      <c r="DWM212" s="915"/>
      <c r="DWN212" s="915"/>
      <c r="DWO212" s="916"/>
      <c r="DWR212" s="989"/>
      <c r="DWS212" s="989"/>
      <c r="DWT212" s="989"/>
      <c r="DWU212" s="989"/>
      <c r="DWV212" s="989"/>
      <c r="DWW212" s="989"/>
      <c r="DWX212" s="959"/>
      <c r="DWY212" s="959"/>
      <c r="DXC212" s="915"/>
      <c r="DXD212" s="915"/>
      <c r="DXE212" s="915"/>
      <c r="DXG212" s="917"/>
      <c r="DXI212" s="915"/>
      <c r="DXJ212" s="915"/>
      <c r="DXK212" s="915"/>
      <c r="DXL212" s="916"/>
      <c r="DXO212" s="989"/>
      <c r="DXP212" s="989"/>
      <c r="DXQ212" s="989"/>
      <c r="DXR212" s="989"/>
      <c r="DXS212" s="989"/>
      <c r="DXT212" s="989"/>
      <c r="DXU212" s="959"/>
      <c r="DXV212" s="959"/>
      <c r="DXZ212" s="915"/>
      <c r="DYA212" s="915"/>
      <c r="DYB212" s="915"/>
      <c r="DYD212" s="917"/>
      <c r="DYF212" s="915"/>
      <c r="DYG212" s="915"/>
      <c r="DYH212" s="915"/>
      <c r="DYI212" s="916"/>
      <c r="DYL212" s="989"/>
      <c r="DYM212" s="989"/>
      <c r="DYN212" s="989"/>
      <c r="DYO212" s="989"/>
      <c r="DYP212" s="989"/>
      <c r="DYQ212" s="989"/>
      <c r="DYR212" s="959"/>
      <c r="DYS212" s="959"/>
      <c r="DYW212" s="915"/>
      <c r="DYX212" s="915"/>
      <c r="DYY212" s="915"/>
      <c r="DZA212" s="917"/>
      <c r="DZC212" s="915"/>
      <c r="DZD212" s="915"/>
      <c r="DZE212" s="915"/>
      <c r="DZF212" s="916"/>
      <c r="DZI212" s="989"/>
      <c r="DZJ212" s="989"/>
      <c r="DZK212" s="989"/>
      <c r="DZL212" s="989"/>
      <c r="DZM212" s="989"/>
      <c r="DZN212" s="989"/>
      <c r="DZO212" s="959"/>
      <c r="DZP212" s="959"/>
      <c r="DZT212" s="915"/>
      <c r="DZU212" s="915"/>
      <c r="DZV212" s="915"/>
      <c r="DZX212" s="917"/>
      <c r="DZZ212" s="915"/>
      <c r="EAA212" s="915"/>
      <c r="EAB212" s="915"/>
      <c r="EAC212" s="916"/>
      <c r="EAF212" s="989"/>
      <c r="EAG212" s="989"/>
      <c r="EAH212" s="989"/>
      <c r="EAI212" s="989"/>
      <c r="EAJ212" s="989"/>
      <c r="EAK212" s="989"/>
      <c r="EAL212" s="959"/>
      <c r="EAM212" s="959"/>
      <c r="EAQ212" s="915"/>
      <c r="EAR212" s="915"/>
      <c r="EAS212" s="915"/>
      <c r="EAU212" s="917"/>
      <c r="EAW212" s="915"/>
      <c r="EAX212" s="915"/>
      <c r="EAY212" s="915"/>
      <c r="EAZ212" s="916"/>
      <c r="EBC212" s="989"/>
      <c r="EBD212" s="989"/>
      <c r="EBE212" s="989"/>
      <c r="EBF212" s="989"/>
      <c r="EBG212" s="989"/>
      <c r="EBH212" s="989"/>
      <c r="EBI212" s="959"/>
      <c r="EBJ212" s="959"/>
      <c r="EBN212" s="915"/>
      <c r="EBO212" s="915"/>
      <c r="EBP212" s="915"/>
      <c r="EBR212" s="917"/>
      <c r="EBT212" s="915"/>
      <c r="EBU212" s="915"/>
      <c r="EBV212" s="915"/>
      <c r="EBW212" s="916"/>
      <c r="EBZ212" s="989"/>
      <c r="ECA212" s="989"/>
      <c r="ECB212" s="989"/>
      <c r="ECC212" s="989"/>
      <c r="ECD212" s="989"/>
      <c r="ECE212" s="989"/>
      <c r="ECF212" s="959"/>
      <c r="ECG212" s="959"/>
      <c r="ECK212" s="915"/>
      <c r="ECL212" s="915"/>
      <c r="ECM212" s="915"/>
      <c r="ECO212" s="917"/>
      <c r="ECQ212" s="915"/>
      <c r="ECR212" s="915"/>
      <c r="ECS212" s="915"/>
      <c r="ECT212" s="916"/>
      <c r="ECW212" s="989"/>
      <c r="ECX212" s="989"/>
      <c r="ECY212" s="989"/>
      <c r="ECZ212" s="989"/>
      <c r="EDA212" s="989"/>
      <c r="EDB212" s="989"/>
      <c r="EDC212" s="959"/>
      <c r="EDD212" s="959"/>
      <c r="EDH212" s="915"/>
      <c r="EDI212" s="915"/>
      <c r="EDJ212" s="915"/>
      <c r="EDL212" s="917"/>
      <c r="EDN212" s="915"/>
      <c r="EDO212" s="915"/>
      <c r="EDP212" s="915"/>
      <c r="EDQ212" s="916"/>
      <c r="EDT212" s="989"/>
      <c r="EDU212" s="989"/>
      <c r="EDV212" s="989"/>
      <c r="EDW212" s="989"/>
      <c r="EDX212" s="989"/>
      <c r="EDY212" s="989"/>
      <c r="EDZ212" s="959"/>
      <c r="EEA212" s="959"/>
      <c r="EEE212" s="915"/>
      <c r="EEF212" s="915"/>
      <c r="EEG212" s="915"/>
      <c r="EEI212" s="917"/>
      <c r="EEK212" s="915"/>
      <c r="EEL212" s="915"/>
      <c r="EEM212" s="915"/>
      <c r="EEN212" s="916"/>
      <c r="EEQ212" s="989"/>
      <c r="EER212" s="989"/>
      <c r="EES212" s="989"/>
      <c r="EET212" s="989"/>
      <c r="EEU212" s="989"/>
      <c r="EEV212" s="989"/>
      <c r="EEW212" s="959"/>
      <c r="EEX212" s="959"/>
      <c r="EFB212" s="915"/>
      <c r="EFC212" s="915"/>
      <c r="EFD212" s="915"/>
      <c r="EFF212" s="917"/>
      <c r="EFH212" s="915"/>
      <c r="EFI212" s="915"/>
      <c r="EFJ212" s="915"/>
      <c r="EFK212" s="916"/>
      <c r="EFN212" s="989"/>
      <c r="EFO212" s="989"/>
      <c r="EFP212" s="989"/>
      <c r="EFQ212" s="989"/>
      <c r="EFR212" s="989"/>
      <c r="EFS212" s="989"/>
      <c r="EFT212" s="959"/>
      <c r="EFU212" s="959"/>
      <c r="EFY212" s="915"/>
      <c r="EFZ212" s="915"/>
      <c r="EGA212" s="915"/>
      <c r="EGC212" s="917"/>
      <c r="EGE212" s="915"/>
      <c r="EGF212" s="915"/>
      <c r="EGG212" s="915"/>
      <c r="EGH212" s="916"/>
      <c r="EGK212" s="989"/>
      <c r="EGL212" s="989"/>
      <c r="EGM212" s="989"/>
      <c r="EGN212" s="989"/>
      <c r="EGO212" s="989"/>
      <c r="EGP212" s="989"/>
      <c r="EGQ212" s="959"/>
      <c r="EGR212" s="959"/>
      <c r="EGV212" s="915"/>
      <c r="EGW212" s="915"/>
      <c r="EGX212" s="915"/>
      <c r="EGZ212" s="917"/>
      <c r="EHB212" s="915"/>
      <c r="EHC212" s="915"/>
      <c r="EHD212" s="915"/>
      <c r="EHE212" s="916"/>
      <c r="EHH212" s="989"/>
      <c r="EHI212" s="989"/>
      <c r="EHJ212" s="989"/>
      <c r="EHK212" s="989"/>
      <c r="EHL212" s="989"/>
      <c r="EHM212" s="989"/>
      <c r="EHN212" s="959"/>
      <c r="EHO212" s="959"/>
      <c r="EHS212" s="915"/>
      <c r="EHT212" s="915"/>
      <c r="EHU212" s="915"/>
      <c r="EHW212" s="917"/>
      <c r="EHY212" s="915"/>
      <c r="EHZ212" s="915"/>
      <c r="EIA212" s="915"/>
      <c r="EIB212" s="916"/>
      <c r="EIE212" s="989"/>
      <c r="EIF212" s="989"/>
      <c r="EIG212" s="989"/>
      <c r="EIH212" s="989"/>
      <c r="EII212" s="989"/>
      <c r="EIJ212" s="989"/>
      <c r="EIK212" s="959"/>
      <c r="EIL212" s="959"/>
      <c r="EIP212" s="915"/>
      <c r="EIQ212" s="915"/>
      <c r="EIR212" s="915"/>
      <c r="EIT212" s="917"/>
      <c r="EIV212" s="915"/>
      <c r="EIW212" s="915"/>
      <c r="EIX212" s="915"/>
      <c r="EIY212" s="916"/>
      <c r="EJB212" s="989"/>
      <c r="EJC212" s="989"/>
      <c r="EJD212" s="989"/>
      <c r="EJE212" s="989"/>
      <c r="EJF212" s="989"/>
      <c r="EJG212" s="989"/>
      <c r="EJH212" s="959"/>
      <c r="EJI212" s="959"/>
      <c r="EJM212" s="915"/>
      <c r="EJN212" s="915"/>
      <c r="EJO212" s="915"/>
      <c r="EJQ212" s="917"/>
      <c r="EJS212" s="915"/>
      <c r="EJT212" s="915"/>
      <c r="EJU212" s="915"/>
      <c r="EJV212" s="916"/>
      <c r="EJY212" s="989"/>
      <c r="EJZ212" s="989"/>
      <c r="EKA212" s="989"/>
      <c r="EKB212" s="989"/>
      <c r="EKC212" s="989"/>
      <c r="EKD212" s="989"/>
      <c r="EKE212" s="959"/>
      <c r="EKF212" s="959"/>
      <c r="EKJ212" s="915"/>
      <c r="EKK212" s="915"/>
      <c r="EKL212" s="915"/>
      <c r="EKN212" s="917"/>
      <c r="EKP212" s="915"/>
      <c r="EKQ212" s="915"/>
      <c r="EKR212" s="915"/>
      <c r="EKS212" s="916"/>
      <c r="EKV212" s="989"/>
      <c r="EKW212" s="989"/>
      <c r="EKX212" s="989"/>
      <c r="EKY212" s="989"/>
      <c r="EKZ212" s="989"/>
      <c r="ELA212" s="989"/>
      <c r="ELB212" s="959"/>
      <c r="ELC212" s="959"/>
      <c r="ELG212" s="915"/>
      <c r="ELH212" s="915"/>
      <c r="ELI212" s="915"/>
      <c r="ELK212" s="917"/>
      <c r="ELM212" s="915"/>
      <c r="ELN212" s="915"/>
      <c r="ELO212" s="915"/>
      <c r="ELP212" s="916"/>
      <c r="ELS212" s="989"/>
      <c r="ELT212" s="989"/>
      <c r="ELU212" s="989"/>
      <c r="ELV212" s="989"/>
      <c r="ELW212" s="989"/>
      <c r="ELX212" s="989"/>
      <c r="ELY212" s="959"/>
      <c r="ELZ212" s="959"/>
      <c r="EMD212" s="915"/>
      <c r="EME212" s="915"/>
      <c r="EMF212" s="915"/>
      <c r="EMH212" s="917"/>
      <c r="EMJ212" s="915"/>
      <c r="EMK212" s="915"/>
      <c r="EML212" s="915"/>
      <c r="EMM212" s="916"/>
      <c r="EMP212" s="989"/>
      <c r="EMQ212" s="989"/>
      <c r="EMR212" s="989"/>
      <c r="EMS212" s="989"/>
      <c r="EMT212" s="989"/>
      <c r="EMU212" s="989"/>
      <c r="EMV212" s="959"/>
      <c r="EMW212" s="959"/>
      <c r="ENA212" s="915"/>
      <c r="ENB212" s="915"/>
      <c r="ENC212" s="915"/>
      <c r="ENE212" s="917"/>
      <c r="ENG212" s="915"/>
      <c r="ENH212" s="915"/>
      <c r="ENI212" s="915"/>
      <c r="ENJ212" s="916"/>
      <c r="ENM212" s="989"/>
      <c r="ENN212" s="989"/>
      <c r="ENO212" s="989"/>
      <c r="ENP212" s="989"/>
      <c r="ENQ212" s="989"/>
      <c r="ENR212" s="989"/>
      <c r="ENS212" s="959"/>
      <c r="ENT212" s="959"/>
      <c r="ENX212" s="915"/>
      <c r="ENY212" s="915"/>
      <c r="ENZ212" s="915"/>
      <c r="EOB212" s="917"/>
      <c r="EOD212" s="915"/>
      <c r="EOE212" s="915"/>
      <c r="EOF212" s="915"/>
      <c r="EOG212" s="916"/>
      <c r="EOJ212" s="989"/>
      <c r="EOK212" s="989"/>
      <c r="EOL212" s="989"/>
      <c r="EOM212" s="989"/>
      <c r="EON212" s="989"/>
      <c r="EOO212" s="989"/>
      <c r="EOP212" s="959"/>
      <c r="EOQ212" s="959"/>
      <c r="EOU212" s="915"/>
      <c r="EOV212" s="915"/>
      <c r="EOW212" s="915"/>
      <c r="EOY212" s="917"/>
      <c r="EPA212" s="915"/>
      <c r="EPB212" s="915"/>
      <c r="EPC212" s="915"/>
      <c r="EPD212" s="916"/>
      <c r="EPG212" s="989"/>
      <c r="EPH212" s="989"/>
      <c r="EPI212" s="989"/>
      <c r="EPJ212" s="989"/>
      <c r="EPK212" s="989"/>
      <c r="EPL212" s="989"/>
      <c r="EPM212" s="959"/>
      <c r="EPN212" s="959"/>
      <c r="EPR212" s="915"/>
      <c r="EPS212" s="915"/>
      <c r="EPT212" s="915"/>
      <c r="EPV212" s="917"/>
      <c r="EPX212" s="915"/>
      <c r="EPY212" s="915"/>
      <c r="EPZ212" s="915"/>
      <c r="EQA212" s="916"/>
      <c r="EQD212" s="989"/>
      <c r="EQE212" s="989"/>
      <c r="EQF212" s="989"/>
      <c r="EQG212" s="989"/>
      <c r="EQH212" s="989"/>
      <c r="EQI212" s="989"/>
      <c r="EQJ212" s="959"/>
      <c r="EQK212" s="959"/>
      <c r="EQO212" s="915"/>
      <c r="EQP212" s="915"/>
      <c r="EQQ212" s="915"/>
      <c r="EQS212" s="917"/>
      <c r="EQU212" s="915"/>
      <c r="EQV212" s="915"/>
      <c r="EQW212" s="915"/>
      <c r="EQX212" s="916"/>
      <c r="ERA212" s="989"/>
      <c r="ERB212" s="989"/>
      <c r="ERC212" s="989"/>
      <c r="ERD212" s="989"/>
      <c r="ERE212" s="989"/>
      <c r="ERF212" s="989"/>
      <c r="ERG212" s="959"/>
      <c r="ERH212" s="959"/>
      <c r="ERL212" s="915"/>
      <c r="ERM212" s="915"/>
      <c r="ERN212" s="915"/>
      <c r="ERP212" s="917"/>
      <c r="ERR212" s="915"/>
      <c r="ERS212" s="915"/>
      <c r="ERT212" s="915"/>
      <c r="ERU212" s="916"/>
      <c r="ERX212" s="989"/>
      <c r="ERY212" s="989"/>
      <c r="ERZ212" s="989"/>
      <c r="ESA212" s="989"/>
      <c r="ESB212" s="989"/>
      <c r="ESC212" s="989"/>
      <c r="ESD212" s="959"/>
      <c r="ESE212" s="959"/>
      <c r="ESI212" s="915"/>
      <c r="ESJ212" s="915"/>
      <c r="ESK212" s="915"/>
      <c r="ESM212" s="917"/>
      <c r="ESO212" s="915"/>
      <c r="ESP212" s="915"/>
      <c r="ESQ212" s="915"/>
      <c r="ESR212" s="916"/>
      <c r="ESU212" s="989"/>
      <c r="ESV212" s="989"/>
      <c r="ESW212" s="989"/>
      <c r="ESX212" s="989"/>
      <c r="ESY212" s="989"/>
      <c r="ESZ212" s="989"/>
      <c r="ETA212" s="959"/>
      <c r="ETB212" s="959"/>
      <c r="ETF212" s="915"/>
      <c r="ETG212" s="915"/>
      <c r="ETH212" s="915"/>
      <c r="ETJ212" s="917"/>
      <c r="ETL212" s="915"/>
      <c r="ETM212" s="915"/>
      <c r="ETN212" s="915"/>
      <c r="ETO212" s="916"/>
      <c r="ETR212" s="989"/>
      <c r="ETS212" s="989"/>
      <c r="ETT212" s="989"/>
      <c r="ETU212" s="989"/>
      <c r="ETV212" s="989"/>
      <c r="ETW212" s="989"/>
      <c r="ETX212" s="959"/>
      <c r="ETY212" s="959"/>
      <c r="EUC212" s="915"/>
      <c r="EUD212" s="915"/>
      <c r="EUE212" s="915"/>
      <c r="EUG212" s="917"/>
      <c r="EUI212" s="915"/>
      <c r="EUJ212" s="915"/>
      <c r="EUK212" s="915"/>
      <c r="EUL212" s="916"/>
      <c r="EUO212" s="989"/>
      <c r="EUP212" s="989"/>
      <c r="EUQ212" s="989"/>
      <c r="EUR212" s="989"/>
      <c r="EUS212" s="989"/>
      <c r="EUT212" s="989"/>
      <c r="EUU212" s="959"/>
      <c r="EUV212" s="959"/>
      <c r="EUZ212" s="915"/>
      <c r="EVA212" s="915"/>
      <c r="EVB212" s="915"/>
      <c r="EVD212" s="917"/>
      <c r="EVF212" s="915"/>
      <c r="EVG212" s="915"/>
      <c r="EVH212" s="915"/>
      <c r="EVI212" s="916"/>
      <c r="EVL212" s="989"/>
      <c r="EVM212" s="989"/>
      <c r="EVN212" s="989"/>
      <c r="EVO212" s="989"/>
      <c r="EVP212" s="989"/>
      <c r="EVQ212" s="989"/>
      <c r="EVR212" s="959"/>
      <c r="EVS212" s="959"/>
      <c r="EVW212" s="915"/>
      <c r="EVX212" s="915"/>
      <c r="EVY212" s="915"/>
      <c r="EWA212" s="917"/>
      <c r="EWC212" s="915"/>
      <c r="EWD212" s="915"/>
      <c r="EWE212" s="915"/>
      <c r="EWF212" s="916"/>
      <c r="EWI212" s="989"/>
      <c r="EWJ212" s="989"/>
      <c r="EWK212" s="989"/>
      <c r="EWL212" s="989"/>
      <c r="EWM212" s="989"/>
      <c r="EWN212" s="989"/>
      <c r="EWO212" s="959"/>
      <c r="EWP212" s="959"/>
      <c r="EWT212" s="915"/>
      <c r="EWU212" s="915"/>
      <c r="EWV212" s="915"/>
      <c r="EWX212" s="917"/>
      <c r="EWZ212" s="915"/>
      <c r="EXA212" s="915"/>
      <c r="EXB212" s="915"/>
      <c r="EXC212" s="916"/>
      <c r="EXF212" s="989"/>
      <c r="EXG212" s="989"/>
      <c r="EXH212" s="989"/>
      <c r="EXI212" s="989"/>
      <c r="EXJ212" s="989"/>
      <c r="EXK212" s="989"/>
      <c r="EXL212" s="959"/>
      <c r="EXM212" s="959"/>
      <c r="EXQ212" s="915"/>
      <c r="EXR212" s="915"/>
      <c r="EXS212" s="915"/>
      <c r="EXU212" s="917"/>
      <c r="EXW212" s="915"/>
      <c r="EXX212" s="915"/>
      <c r="EXY212" s="915"/>
      <c r="EXZ212" s="916"/>
      <c r="EYC212" s="989"/>
      <c r="EYD212" s="989"/>
      <c r="EYE212" s="989"/>
      <c r="EYF212" s="989"/>
      <c r="EYG212" s="989"/>
      <c r="EYH212" s="989"/>
      <c r="EYI212" s="959"/>
      <c r="EYJ212" s="959"/>
      <c r="EYN212" s="915"/>
      <c r="EYO212" s="915"/>
      <c r="EYP212" s="915"/>
      <c r="EYR212" s="917"/>
      <c r="EYT212" s="915"/>
      <c r="EYU212" s="915"/>
      <c r="EYV212" s="915"/>
      <c r="EYW212" s="916"/>
      <c r="EYZ212" s="989"/>
      <c r="EZA212" s="989"/>
      <c r="EZB212" s="989"/>
      <c r="EZC212" s="989"/>
      <c r="EZD212" s="989"/>
      <c r="EZE212" s="989"/>
      <c r="EZF212" s="959"/>
      <c r="EZG212" s="959"/>
      <c r="EZK212" s="915"/>
      <c r="EZL212" s="915"/>
      <c r="EZM212" s="915"/>
      <c r="EZO212" s="917"/>
      <c r="EZQ212" s="915"/>
      <c r="EZR212" s="915"/>
      <c r="EZS212" s="915"/>
      <c r="EZT212" s="916"/>
      <c r="EZW212" s="989"/>
      <c r="EZX212" s="989"/>
      <c r="EZY212" s="989"/>
      <c r="EZZ212" s="989"/>
      <c r="FAA212" s="989"/>
      <c r="FAB212" s="989"/>
      <c r="FAC212" s="959"/>
      <c r="FAD212" s="959"/>
      <c r="FAH212" s="915"/>
      <c r="FAI212" s="915"/>
      <c r="FAJ212" s="915"/>
      <c r="FAL212" s="917"/>
      <c r="FAN212" s="915"/>
      <c r="FAO212" s="915"/>
      <c r="FAP212" s="915"/>
      <c r="FAQ212" s="916"/>
      <c r="FAT212" s="989"/>
      <c r="FAU212" s="989"/>
      <c r="FAV212" s="989"/>
      <c r="FAW212" s="989"/>
      <c r="FAX212" s="989"/>
      <c r="FAY212" s="989"/>
      <c r="FAZ212" s="959"/>
      <c r="FBA212" s="959"/>
      <c r="FBE212" s="915"/>
      <c r="FBF212" s="915"/>
      <c r="FBG212" s="915"/>
      <c r="FBI212" s="917"/>
      <c r="FBK212" s="915"/>
      <c r="FBL212" s="915"/>
      <c r="FBM212" s="915"/>
      <c r="FBN212" s="916"/>
      <c r="FBQ212" s="989"/>
      <c r="FBR212" s="989"/>
      <c r="FBS212" s="989"/>
      <c r="FBT212" s="989"/>
      <c r="FBU212" s="989"/>
      <c r="FBV212" s="989"/>
      <c r="FBW212" s="959"/>
      <c r="FBX212" s="959"/>
      <c r="FCB212" s="915"/>
      <c r="FCC212" s="915"/>
      <c r="FCD212" s="915"/>
      <c r="FCF212" s="917"/>
      <c r="FCH212" s="915"/>
      <c r="FCI212" s="915"/>
      <c r="FCJ212" s="915"/>
      <c r="FCK212" s="916"/>
      <c r="FCN212" s="989"/>
      <c r="FCO212" s="989"/>
      <c r="FCP212" s="989"/>
      <c r="FCQ212" s="989"/>
      <c r="FCR212" s="989"/>
      <c r="FCS212" s="989"/>
      <c r="FCT212" s="959"/>
      <c r="FCU212" s="959"/>
      <c r="FCY212" s="915"/>
      <c r="FCZ212" s="915"/>
      <c r="FDA212" s="915"/>
      <c r="FDC212" s="917"/>
      <c r="FDE212" s="915"/>
      <c r="FDF212" s="915"/>
      <c r="FDG212" s="915"/>
      <c r="FDH212" s="916"/>
      <c r="FDK212" s="989"/>
      <c r="FDL212" s="989"/>
      <c r="FDM212" s="989"/>
      <c r="FDN212" s="989"/>
      <c r="FDO212" s="989"/>
      <c r="FDP212" s="989"/>
      <c r="FDQ212" s="959"/>
      <c r="FDR212" s="959"/>
      <c r="FDV212" s="915"/>
      <c r="FDW212" s="915"/>
      <c r="FDX212" s="915"/>
      <c r="FDZ212" s="917"/>
      <c r="FEB212" s="915"/>
      <c r="FEC212" s="915"/>
      <c r="FED212" s="915"/>
      <c r="FEE212" s="916"/>
      <c r="FEH212" s="989"/>
      <c r="FEI212" s="989"/>
      <c r="FEJ212" s="989"/>
      <c r="FEK212" s="989"/>
      <c r="FEL212" s="989"/>
      <c r="FEM212" s="989"/>
      <c r="FEN212" s="959"/>
      <c r="FEO212" s="959"/>
      <c r="FES212" s="915"/>
      <c r="FET212" s="915"/>
      <c r="FEU212" s="915"/>
      <c r="FEW212" s="917"/>
      <c r="FEY212" s="915"/>
      <c r="FEZ212" s="915"/>
      <c r="FFA212" s="915"/>
      <c r="FFB212" s="916"/>
      <c r="FFE212" s="989"/>
      <c r="FFF212" s="989"/>
      <c r="FFG212" s="989"/>
      <c r="FFH212" s="989"/>
      <c r="FFI212" s="989"/>
      <c r="FFJ212" s="989"/>
      <c r="FFK212" s="959"/>
      <c r="FFL212" s="959"/>
      <c r="FFP212" s="915"/>
      <c r="FFQ212" s="915"/>
      <c r="FFR212" s="915"/>
      <c r="FFT212" s="917"/>
      <c r="FFV212" s="915"/>
      <c r="FFW212" s="915"/>
      <c r="FFX212" s="915"/>
      <c r="FFY212" s="916"/>
      <c r="FGB212" s="989"/>
      <c r="FGC212" s="989"/>
      <c r="FGD212" s="989"/>
      <c r="FGE212" s="989"/>
      <c r="FGF212" s="989"/>
      <c r="FGG212" s="989"/>
      <c r="FGH212" s="959"/>
      <c r="FGI212" s="959"/>
      <c r="FGM212" s="915"/>
      <c r="FGN212" s="915"/>
      <c r="FGO212" s="915"/>
      <c r="FGQ212" s="917"/>
      <c r="FGS212" s="915"/>
      <c r="FGT212" s="915"/>
      <c r="FGU212" s="915"/>
      <c r="FGV212" s="916"/>
      <c r="FGY212" s="989"/>
      <c r="FGZ212" s="989"/>
      <c r="FHA212" s="989"/>
      <c r="FHB212" s="989"/>
      <c r="FHC212" s="989"/>
      <c r="FHD212" s="989"/>
      <c r="FHE212" s="959"/>
      <c r="FHF212" s="959"/>
      <c r="FHJ212" s="915"/>
      <c r="FHK212" s="915"/>
      <c r="FHL212" s="915"/>
      <c r="FHN212" s="917"/>
      <c r="FHP212" s="915"/>
      <c r="FHQ212" s="915"/>
      <c r="FHR212" s="915"/>
      <c r="FHS212" s="916"/>
      <c r="FHV212" s="989"/>
      <c r="FHW212" s="989"/>
      <c r="FHX212" s="989"/>
      <c r="FHY212" s="989"/>
      <c r="FHZ212" s="989"/>
      <c r="FIA212" s="989"/>
      <c r="FIB212" s="959"/>
      <c r="FIC212" s="959"/>
      <c r="FIG212" s="915"/>
      <c r="FIH212" s="915"/>
      <c r="FII212" s="915"/>
      <c r="FIK212" s="917"/>
      <c r="FIM212" s="915"/>
      <c r="FIN212" s="915"/>
      <c r="FIO212" s="915"/>
      <c r="FIP212" s="916"/>
      <c r="FIS212" s="989"/>
      <c r="FIT212" s="989"/>
      <c r="FIU212" s="989"/>
      <c r="FIV212" s="989"/>
      <c r="FIW212" s="989"/>
      <c r="FIX212" s="989"/>
      <c r="FIY212" s="959"/>
      <c r="FIZ212" s="959"/>
      <c r="FJD212" s="915"/>
      <c r="FJE212" s="915"/>
      <c r="FJF212" s="915"/>
      <c r="FJH212" s="917"/>
      <c r="FJJ212" s="915"/>
      <c r="FJK212" s="915"/>
      <c r="FJL212" s="915"/>
      <c r="FJM212" s="916"/>
      <c r="FJP212" s="989"/>
      <c r="FJQ212" s="989"/>
      <c r="FJR212" s="989"/>
      <c r="FJS212" s="989"/>
      <c r="FJT212" s="989"/>
      <c r="FJU212" s="989"/>
      <c r="FJV212" s="959"/>
      <c r="FJW212" s="959"/>
      <c r="FKA212" s="915"/>
      <c r="FKB212" s="915"/>
      <c r="FKC212" s="915"/>
      <c r="FKE212" s="917"/>
      <c r="FKG212" s="915"/>
      <c r="FKH212" s="915"/>
      <c r="FKI212" s="915"/>
      <c r="FKJ212" s="916"/>
      <c r="FKM212" s="989"/>
      <c r="FKN212" s="989"/>
      <c r="FKO212" s="989"/>
      <c r="FKP212" s="989"/>
      <c r="FKQ212" s="989"/>
      <c r="FKR212" s="989"/>
      <c r="FKS212" s="959"/>
      <c r="FKT212" s="959"/>
      <c r="FKX212" s="915"/>
      <c r="FKY212" s="915"/>
      <c r="FKZ212" s="915"/>
      <c r="FLB212" s="917"/>
      <c r="FLD212" s="915"/>
      <c r="FLE212" s="915"/>
      <c r="FLF212" s="915"/>
      <c r="FLG212" s="916"/>
      <c r="FLJ212" s="989"/>
      <c r="FLK212" s="989"/>
      <c r="FLL212" s="989"/>
      <c r="FLM212" s="989"/>
      <c r="FLN212" s="989"/>
      <c r="FLO212" s="989"/>
      <c r="FLP212" s="959"/>
      <c r="FLQ212" s="959"/>
      <c r="FLU212" s="915"/>
      <c r="FLV212" s="915"/>
      <c r="FLW212" s="915"/>
      <c r="FLY212" s="917"/>
      <c r="FMA212" s="915"/>
      <c r="FMB212" s="915"/>
      <c r="FMC212" s="915"/>
      <c r="FMD212" s="916"/>
      <c r="FMG212" s="989"/>
      <c r="FMH212" s="989"/>
      <c r="FMI212" s="989"/>
      <c r="FMJ212" s="989"/>
      <c r="FMK212" s="989"/>
      <c r="FML212" s="989"/>
      <c r="FMM212" s="959"/>
      <c r="FMN212" s="959"/>
      <c r="FMR212" s="915"/>
      <c r="FMS212" s="915"/>
      <c r="FMT212" s="915"/>
      <c r="FMV212" s="917"/>
      <c r="FMX212" s="915"/>
      <c r="FMY212" s="915"/>
      <c r="FMZ212" s="915"/>
      <c r="FNA212" s="916"/>
      <c r="FND212" s="989"/>
      <c r="FNE212" s="989"/>
      <c r="FNF212" s="989"/>
      <c r="FNG212" s="989"/>
      <c r="FNH212" s="989"/>
      <c r="FNI212" s="989"/>
      <c r="FNJ212" s="959"/>
      <c r="FNK212" s="959"/>
      <c r="FNO212" s="915"/>
      <c r="FNP212" s="915"/>
      <c r="FNQ212" s="915"/>
      <c r="FNS212" s="917"/>
      <c r="FNU212" s="915"/>
      <c r="FNV212" s="915"/>
      <c r="FNW212" s="915"/>
      <c r="FNX212" s="916"/>
      <c r="FOA212" s="989"/>
      <c r="FOB212" s="989"/>
      <c r="FOC212" s="989"/>
      <c r="FOD212" s="989"/>
      <c r="FOE212" s="989"/>
      <c r="FOF212" s="989"/>
      <c r="FOG212" s="959"/>
      <c r="FOH212" s="959"/>
      <c r="FOL212" s="915"/>
      <c r="FOM212" s="915"/>
      <c r="FON212" s="915"/>
      <c r="FOP212" s="917"/>
      <c r="FOR212" s="915"/>
      <c r="FOS212" s="915"/>
      <c r="FOT212" s="915"/>
      <c r="FOU212" s="916"/>
      <c r="FOX212" s="989"/>
      <c r="FOY212" s="989"/>
      <c r="FOZ212" s="989"/>
      <c r="FPA212" s="989"/>
      <c r="FPB212" s="989"/>
      <c r="FPC212" s="989"/>
      <c r="FPD212" s="959"/>
      <c r="FPE212" s="959"/>
      <c r="FPI212" s="915"/>
      <c r="FPJ212" s="915"/>
      <c r="FPK212" s="915"/>
      <c r="FPM212" s="917"/>
      <c r="FPO212" s="915"/>
      <c r="FPP212" s="915"/>
      <c r="FPQ212" s="915"/>
      <c r="FPR212" s="916"/>
      <c r="FPU212" s="989"/>
      <c r="FPV212" s="989"/>
      <c r="FPW212" s="989"/>
      <c r="FPX212" s="989"/>
      <c r="FPY212" s="989"/>
      <c r="FPZ212" s="989"/>
      <c r="FQA212" s="959"/>
      <c r="FQB212" s="959"/>
      <c r="FQF212" s="915"/>
      <c r="FQG212" s="915"/>
      <c r="FQH212" s="915"/>
      <c r="FQJ212" s="917"/>
      <c r="FQL212" s="915"/>
      <c r="FQM212" s="915"/>
      <c r="FQN212" s="915"/>
      <c r="FQO212" s="916"/>
      <c r="FQR212" s="989"/>
      <c r="FQS212" s="989"/>
      <c r="FQT212" s="989"/>
      <c r="FQU212" s="989"/>
      <c r="FQV212" s="989"/>
      <c r="FQW212" s="989"/>
      <c r="FQX212" s="959"/>
      <c r="FQY212" s="959"/>
      <c r="FRC212" s="915"/>
      <c r="FRD212" s="915"/>
      <c r="FRE212" s="915"/>
      <c r="FRG212" s="917"/>
      <c r="FRI212" s="915"/>
      <c r="FRJ212" s="915"/>
      <c r="FRK212" s="915"/>
      <c r="FRL212" s="916"/>
      <c r="FRO212" s="989"/>
      <c r="FRP212" s="989"/>
      <c r="FRQ212" s="989"/>
      <c r="FRR212" s="989"/>
      <c r="FRS212" s="989"/>
      <c r="FRT212" s="989"/>
      <c r="FRU212" s="959"/>
      <c r="FRV212" s="959"/>
      <c r="FRZ212" s="915"/>
      <c r="FSA212" s="915"/>
      <c r="FSB212" s="915"/>
      <c r="FSD212" s="917"/>
      <c r="FSF212" s="915"/>
      <c r="FSG212" s="915"/>
      <c r="FSH212" s="915"/>
      <c r="FSI212" s="916"/>
      <c r="FSL212" s="989"/>
      <c r="FSM212" s="989"/>
      <c r="FSN212" s="989"/>
      <c r="FSO212" s="989"/>
      <c r="FSP212" s="989"/>
      <c r="FSQ212" s="989"/>
      <c r="FSR212" s="959"/>
      <c r="FSS212" s="959"/>
      <c r="FSW212" s="915"/>
      <c r="FSX212" s="915"/>
      <c r="FSY212" s="915"/>
      <c r="FTA212" s="917"/>
      <c r="FTC212" s="915"/>
      <c r="FTD212" s="915"/>
      <c r="FTE212" s="915"/>
      <c r="FTF212" s="916"/>
      <c r="FTI212" s="989"/>
      <c r="FTJ212" s="989"/>
      <c r="FTK212" s="989"/>
      <c r="FTL212" s="989"/>
      <c r="FTM212" s="989"/>
      <c r="FTN212" s="989"/>
      <c r="FTO212" s="959"/>
      <c r="FTP212" s="959"/>
      <c r="FTT212" s="915"/>
      <c r="FTU212" s="915"/>
      <c r="FTV212" s="915"/>
      <c r="FTX212" s="917"/>
      <c r="FTZ212" s="915"/>
      <c r="FUA212" s="915"/>
      <c r="FUB212" s="915"/>
      <c r="FUC212" s="916"/>
      <c r="FUF212" s="989"/>
      <c r="FUG212" s="989"/>
      <c r="FUH212" s="989"/>
      <c r="FUI212" s="989"/>
      <c r="FUJ212" s="989"/>
      <c r="FUK212" s="989"/>
      <c r="FUL212" s="959"/>
      <c r="FUM212" s="959"/>
      <c r="FUQ212" s="915"/>
      <c r="FUR212" s="915"/>
      <c r="FUS212" s="915"/>
      <c r="FUU212" s="917"/>
      <c r="FUW212" s="915"/>
      <c r="FUX212" s="915"/>
      <c r="FUY212" s="915"/>
      <c r="FUZ212" s="916"/>
      <c r="FVC212" s="989"/>
      <c r="FVD212" s="989"/>
      <c r="FVE212" s="989"/>
      <c r="FVF212" s="989"/>
      <c r="FVG212" s="989"/>
      <c r="FVH212" s="989"/>
      <c r="FVI212" s="959"/>
      <c r="FVJ212" s="959"/>
      <c r="FVN212" s="915"/>
      <c r="FVO212" s="915"/>
      <c r="FVP212" s="915"/>
      <c r="FVR212" s="917"/>
      <c r="FVT212" s="915"/>
      <c r="FVU212" s="915"/>
      <c r="FVV212" s="915"/>
      <c r="FVW212" s="916"/>
      <c r="FVZ212" s="989"/>
      <c r="FWA212" s="989"/>
      <c r="FWB212" s="989"/>
      <c r="FWC212" s="989"/>
      <c r="FWD212" s="989"/>
      <c r="FWE212" s="989"/>
      <c r="FWF212" s="959"/>
      <c r="FWG212" s="959"/>
      <c r="FWK212" s="915"/>
      <c r="FWL212" s="915"/>
      <c r="FWM212" s="915"/>
      <c r="FWO212" s="917"/>
      <c r="FWQ212" s="915"/>
      <c r="FWR212" s="915"/>
      <c r="FWS212" s="915"/>
      <c r="FWT212" s="916"/>
      <c r="FWW212" s="989"/>
      <c r="FWX212" s="989"/>
      <c r="FWY212" s="989"/>
      <c r="FWZ212" s="989"/>
      <c r="FXA212" s="989"/>
      <c r="FXB212" s="989"/>
      <c r="FXC212" s="959"/>
      <c r="FXD212" s="959"/>
      <c r="FXH212" s="915"/>
      <c r="FXI212" s="915"/>
      <c r="FXJ212" s="915"/>
      <c r="FXL212" s="917"/>
      <c r="FXN212" s="915"/>
      <c r="FXO212" s="915"/>
      <c r="FXP212" s="915"/>
      <c r="FXQ212" s="916"/>
      <c r="FXT212" s="989"/>
      <c r="FXU212" s="989"/>
      <c r="FXV212" s="989"/>
      <c r="FXW212" s="989"/>
      <c r="FXX212" s="989"/>
      <c r="FXY212" s="989"/>
      <c r="FXZ212" s="959"/>
      <c r="FYA212" s="959"/>
      <c r="FYE212" s="915"/>
      <c r="FYF212" s="915"/>
      <c r="FYG212" s="915"/>
      <c r="FYI212" s="917"/>
      <c r="FYK212" s="915"/>
      <c r="FYL212" s="915"/>
      <c r="FYM212" s="915"/>
      <c r="FYN212" s="916"/>
      <c r="FYQ212" s="989"/>
      <c r="FYR212" s="989"/>
      <c r="FYS212" s="989"/>
      <c r="FYT212" s="989"/>
      <c r="FYU212" s="989"/>
      <c r="FYV212" s="989"/>
      <c r="FYW212" s="959"/>
      <c r="FYX212" s="959"/>
      <c r="FZB212" s="915"/>
      <c r="FZC212" s="915"/>
      <c r="FZD212" s="915"/>
      <c r="FZF212" s="917"/>
      <c r="FZH212" s="915"/>
      <c r="FZI212" s="915"/>
      <c r="FZJ212" s="915"/>
      <c r="FZK212" s="916"/>
      <c r="FZN212" s="989"/>
      <c r="FZO212" s="989"/>
      <c r="FZP212" s="989"/>
      <c r="FZQ212" s="989"/>
      <c r="FZR212" s="989"/>
      <c r="FZS212" s="989"/>
      <c r="FZT212" s="959"/>
      <c r="FZU212" s="959"/>
      <c r="FZY212" s="915"/>
      <c r="FZZ212" s="915"/>
      <c r="GAA212" s="915"/>
      <c r="GAC212" s="917"/>
      <c r="GAE212" s="915"/>
      <c r="GAF212" s="915"/>
      <c r="GAG212" s="915"/>
      <c r="GAH212" s="916"/>
      <c r="GAK212" s="989"/>
      <c r="GAL212" s="989"/>
      <c r="GAM212" s="989"/>
      <c r="GAN212" s="989"/>
      <c r="GAO212" s="989"/>
      <c r="GAP212" s="989"/>
      <c r="GAQ212" s="959"/>
      <c r="GAR212" s="959"/>
      <c r="GAV212" s="915"/>
      <c r="GAW212" s="915"/>
      <c r="GAX212" s="915"/>
      <c r="GAZ212" s="917"/>
      <c r="GBB212" s="915"/>
      <c r="GBC212" s="915"/>
      <c r="GBD212" s="915"/>
      <c r="GBE212" s="916"/>
      <c r="GBH212" s="989"/>
      <c r="GBI212" s="989"/>
      <c r="GBJ212" s="989"/>
      <c r="GBK212" s="989"/>
      <c r="GBL212" s="989"/>
      <c r="GBM212" s="989"/>
      <c r="GBN212" s="959"/>
      <c r="GBO212" s="959"/>
      <c r="GBS212" s="915"/>
      <c r="GBT212" s="915"/>
      <c r="GBU212" s="915"/>
      <c r="GBW212" s="917"/>
      <c r="GBY212" s="915"/>
      <c r="GBZ212" s="915"/>
      <c r="GCA212" s="915"/>
      <c r="GCB212" s="916"/>
      <c r="GCE212" s="989"/>
      <c r="GCF212" s="989"/>
      <c r="GCG212" s="989"/>
      <c r="GCH212" s="989"/>
      <c r="GCI212" s="989"/>
      <c r="GCJ212" s="989"/>
      <c r="GCK212" s="959"/>
      <c r="GCL212" s="959"/>
      <c r="GCP212" s="915"/>
      <c r="GCQ212" s="915"/>
      <c r="GCR212" s="915"/>
      <c r="GCT212" s="917"/>
      <c r="GCV212" s="915"/>
      <c r="GCW212" s="915"/>
      <c r="GCX212" s="915"/>
      <c r="GCY212" s="916"/>
      <c r="GDB212" s="989"/>
      <c r="GDC212" s="989"/>
      <c r="GDD212" s="989"/>
      <c r="GDE212" s="989"/>
      <c r="GDF212" s="989"/>
      <c r="GDG212" s="989"/>
      <c r="GDH212" s="959"/>
      <c r="GDI212" s="959"/>
      <c r="GDM212" s="915"/>
      <c r="GDN212" s="915"/>
      <c r="GDO212" s="915"/>
      <c r="GDQ212" s="917"/>
      <c r="GDS212" s="915"/>
      <c r="GDT212" s="915"/>
      <c r="GDU212" s="915"/>
      <c r="GDV212" s="916"/>
      <c r="GDY212" s="989"/>
      <c r="GDZ212" s="989"/>
      <c r="GEA212" s="989"/>
      <c r="GEB212" s="989"/>
      <c r="GEC212" s="989"/>
      <c r="GED212" s="989"/>
      <c r="GEE212" s="959"/>
      <c r="GEF212" s="959"/>
      <c r="GEJ212" s="915"/>
      <c r="GEK212" s="915"/>
      <c r="GEL212" s="915"/>
      <c r="GEN212" s="917"/>
      <c r="GEP212" s="915"/>
      <c r="GEQ212" s="915"/>
      <c r="GER212" s="915"/>
      <c r="GES212" s="916"/>
      <c r="GEV212" s="989"/>
      <c r="GEW212" s="989"/>
      <c r="GEX212" s="989"/>
      <c r="GEY212" s="989"/>
      <c r="GEZ212" s="989"/>
      <c r="GFA212" s="989"/>
      <c r="GFB212" s="959"/>
      <c r="GFC212" s="959"/>
      <c r="GFG212" s="915"/>
      <c r="GFH212" s="915"/>
      <c r="GFI212" s="915"/>
      <c r="GFK212" s="917"/>
      <c r="GFM212" s="915"/>
      <c r="GFN212" s="915"/>
      <c r="GFO212" s="915"/>
      <c r="GFP212" s="916"/>
      <c r="GFS212" s="989"/>
      <c r="GFT212" s="989"/>
      <c r="GFU212" s="989"/>
      <c r="GFV212" s="989"/>
      <c r="GFW212" s="989"/>
      <c r="GFX212" s="989"/>
      <c r="GFY212" s="959"/>
      <c r="GFZ212" s="959"/>
      <c r="GGD212" s="915"/>
      <c r="GGE212" s="915"/>
      <c r="GGF212" s="915"/>
      <c r="GGH212" s="917"/>
      <c r="GGJ212" s="915"/>
      <c r="GGK212" s="915"/>
      <c r="GGL212" s="915"/>
      <c r="GGM212" s="916"/>
      <c r="GGP212" s="989"/>
      <c r="GGQ212" s="989"/>
      <c r="GGR212" s="989"/>
      <c r="GGS212" s="989"/>
      <c r="GGT212" s="989"/>
      <c r="GGU212" s="989"/>
      <c r="GGV212" s="959"/>
      <c r="GGW212" s="959"/>
      <c r="GHA212" s="915"/>
      <c r="GHB212" s="915"/>
      <c r="GHC212" s="915"/>
      <c r="GHE212" s="917"/>
      <c r="GHG212" s="915"/>
      <c r="GHH212" s="915"/>
      <c r="GHI212" s="915"/>
      <c r="GHJ212" s="916"/>
      <c r="GHM212" s="989"/>
      <c r="GHN212" s="989"/>
      <c r="GHO212" s="989"/>
      <c r="GHP212" s="989"/>
      <c r="GHQ212" s="989"/>
      <c r="GHR212" s="989"/>
      <c r="GHS212" s="959"/>
      <c r="GHT212" s="959"/>
      <c r="GHX212" s="915"/>
      <c r="GHY212" s="915"/>
      <c r="GHZ212" s="915"/>
      <c r="GIB212" s="917"/>
      <c r="GID212" s="915"/>
      <c r="GIE212" s="915"/>
      <c r="GIF212" s="915"/>
      <c r="GIG212" s="916"/>
      <c r="GIJ212" s="989"/>
      <c r="GIK212" s="989"/>
      <c r="GIL212" s="989"/>
      <c r="GIM212" s="989"/>
      <c r="GIN212" s="989"/>
      <c r="GIO212" s="989"/>
      <c r="GIP212" s="959"/>
      <c r="GIQ212" s="959"/>
      <c r="GIU212" s="915"/>
      <c r="GIV212" s="915"/>
      <c r="GIW212" s="915"/>
      <c r="GIY212" s="917"/>
      <c r="GJA212" s="915"/>
      <c r="GJB212" s="915"/>
      <c r="GJC212" s="915"/>
      <c r="GJD212" s="916"/>
      <c r="GJG212" s="989"/>
      <c r="GJH212" s="989"/>
      <c r="GJI212" s="989"/>
      <c r="GJJ212" s="989"/>
      <c r="GJK212" s="989"/>
      <c r="GJL212" s="989"/>
      <c r="GJM212" s="959"/>
      <c r="GJN212" s="959"/>
      <c r="GJR212" s="915"/>
      <c r="GJS212" s="915"/>
      <c r="GJT212" s="915"/>
      <c r="GJV212" s="917"/>
      <c r="GJX212" s="915"/>
      <c r="GJY212" s="915"/>
      <c r="GJZ212" s="915"/>
      <c r="GKA212" s="916"/>
      <c r="GKD212" s="989"/>
      <c r="GKE212" s="989"/>
      <c r="GKF212" s="989"/>
      <c r="GKG212" s="989"/>
      <c r="GKH212" s="989"/>
      <c r="GKI212" s="989"/>
      <c r="GKJ212" s="959"/>
      <c r="GKK212" s="959"/>
      <c r="GKO212" s="915"/>
      <c r="GKP212" s="915"/>
      <c r="GKQ212" s="915"/>
      <c r="GKS212" s="917"/>
      <c r="GKU212" s="915"/>
      <c r="GKV212" s="915"/>
      <c r="GKW212" s="915"/>
      <c r="GKX212" s="916"/>
      <c r="GLA212" s="989"/>
      <c r="GLB212" s="989"/>
      <c r="GLC212" s="989"/>
      <c r="GLD212" s="989"/>
      <c r="GLE212" s="989"/>
      <c r="GLF212" s="989"/>
      <c r="GLG212" s="959"/>
      <c r="GLH212" s="959"/>
      <c r="GLL212" s="915"/>
      <c r="GLM212" s="915"/>
      <c r="GLN212" s="915"/>
      <c r="GLP212" s="917"/>
      <c r="GLR212" s="915"/>
      <c r="GLS212" s="915"/>
      <c r="GLT212" s="915"/>
      <c r="GLU212" s="916"/>
      <c r="GLX212" s="989"/>
      <c r="GLY212" s="989"/>
      <c r="GLZ212" s="989"/>
      <c r="GMA212" s="989"/>
      <c r="GMB212" s="989"/>
      <c r="GMC212" s="989"/>
      <c r="GMD212" s="959"/>
      <c r="GME212" s="959"/>
      <c r="GMI212" s="915"/>
      <c r="GMJ212" s="915"/>
      <c r="GMK212" s="915"/>
      <c r="GMM212" s="917"/>
      <c r="GMO212" s="915"/>
      <c r="GMP212" s="915"/>
      <c r="GMQ212" s="915"/>
      <c r="GMR212" s="916"/>
      <c r="GMU212" s="989"/>
      <c r="GMV212" s="989"/>
      <c r="GMW212" s="989"/>
      <c r="GMX212" s="989"/>
      <c r="GMY212" s="989"/>
      <c r="GMZ212" s="989"/>
      <c r="GNA212" s="959"/>
      <c r="GNB212" s="959"/>
      <c r="GNF212" s="915"/>
      <c r="GNG212" s="915"/>
      <c r="GNH212" s="915"/>
      <c r="GNJ212" s="917"/>
      <c r="GNL212" s="915"/>
      <c r="GNM212" s="915"/>
      <c r="GNN212" s="915"/>
      <c r="GNO212" s="916"/>
      <c r="GNR212" s="989"/>
      <c r="GNS212" s="989"/>
      <c r="GNT212" s="989"/>
      <c r="GNU212" s="989"/>
      <c r="GNV212" s="989"/>
      <c r="GNW212" s="989"/>
      <c r="GNX212" s="959"/>
      <c r="GNY212" s="959"/>
      <c r="GOC212" s="915"/>
      <c r="GOD212" s="915"/>
      <c r="GOE212" s="915"/>
      <c r="GOG212" s="917"/>
      <c r="GOI212" s="915"/>
      <c r="GOJ212" s="915"/>
      <c r="GOK212" s="915"/>
      <c r="GOL212" s="916"/>
      <c r="GOO212" s="989"/>
      <c r="GOP212" s="989"/>
      <c r="GOQ212" s="989"/>
      <c r="GOR212" s="989"/>
      <c r="GOS212" s="989"/>
      <c r="GOT212" s="989"/>
      <c r="GOU212" s="959"/>
      <c r="GOV212" s="959"/>
      <c r="GOZ212" s="915"/>
      <c r="GPA212" s="915"/>
      <c r="GPB212" s="915"/>
      <c r="GPD212" s="917"/>
      <c r="GPF212" s="915"/>
      <c r="GPG212" s="915"/>
      <c r="GPH212" s="915"/>
      <c r="GPI212" s="916"/>
      <c r="GPL212" s="989"/>
      <c r="GPM212" s="989"/>
      <c r="GPN212" s="989"/>
      <c r="GPO212" s="989"/>
      <c r="GPP212" s="989"/>
      <c r="GPQ212" s="989"/>
      <c r="GPR212" s="959"/>
      <c r="GPS212" s="959"/>
      <c r="GPW212" s="915"/>
      <c r="GPX212" s="915"/>
      <c r="GPY212" s="915"/>
      <c r="GQA212" s="917"/>
      <c r="GQC212" s="915"/>
      <c r="GQD212" s="915"/>
      <c r="GQE212" s="915"/>
      <c r="GQF212" s="916"/>
      <c r="GQI212" s="989"/>
      <c r="GQJ212" s="989"/>
      <c r="GQK212" s="989"/>
      <c r="GQL212" s="989"/>
      <c r="GQM212" s="989"/>
      <c r="GQN212" s="989"/>
      <c r="GQO212" s="959"/>
      <c r="GQP212" s="959"/>
      <c r="GQT212" s="915"/>
      <c r="GQU212" s="915"/>
      <c r="GQV212" s="915"/>
      <c r="GQX212" s="917"/>
      <c r="GQZ212" s="915"/>
      <c r="GRA212" s="915"/>
      <c r="GRB212" s="915"/>
      <c r="GRC212" s="916"/>
      <c r="GRF212" s="989"/>
      <c r="GRG212" s="989"/>
      <c r="GRH212" s="989"/>
      <c r="GRI212" s="989"/>
      <c r="GRJ212" s="989"/>
      <c r="GRK212" s="989"/>
      <c r="GRL212" s="959"/>
      <c r="GRM212" s="959"/>
      <c r="GRQ212" s="915"/>
      <c r="GRR212" s="915"/>
      <c r="GRS212" s="915"/>
      <c r="GRU212" s="917"/>
      <c r="GRW212" s="915"/>
      <c r="GRX212" s="915"/>
      <c r="GRY212" s="915"/>
      <c r="GRZ212" s="916"/>
      <c r="GSC212" s="989"/>
      <c r="GSD212" s="989"/>
      <c r="GSE212" s="989"/>
      <c r="GSF212" s="989"/>
      <c r="GSG212" s="989"/>
      <c r="GSH212" s="989"/>
      <c r="GSI212" s="959"/>
      <c r="GSJ212" s="959"/>
      <c r="GSN212" s="915"/>
      <c r="GSO212" s="915"/>
      <c r="GSP212" s="915"/>
      <c r="GSR212" s="917"/>
      <c r="GST212" s="915"/>
      <c r="GSU212" s="915"/>
      <c r="GSV212" s="915"/>
      <c r="GSW212" s="916"/>
      <c r="GSZ212" s="989"/>
      <c r="GTA212" s="989"/>
      <c r="GTB212" s="989"/>
      <c r="GTC212" s="989"/>
      <c r="GTD212" s="989"/>
      <c r="GTE212" s="989"/>
      <c r="GTF212" s="959"/>
      <c r="GTG212" s="959"/>
      <c r="GTK212" s="915"/>
      <c r="GTL212" s="915"/>
      <c r="GTM212" s="915"/>
      <c r="GTO212" s="917"/>
      <c r="GTQ212" s="915"/>
      <c r="GTR212" s="915"/>
      <c r="GTS212" s="915"/>
      <c r="GTT212" s="916"/>
      <c r="GTW212" s="989"/>
      <c r="GTX212" s="989"/>
      <c r="GTY212" s="989"/>
      <c r="GTZ212" s="989"/>
      <c r="GUA212" s="989"/>
      <c r="GUB212" s="989"/>
      <c r="GUC212" s="959"/>
      <c r="GUD212" s="959"/>
      <c r="GUH212" s="915"/>
      <c r="GUI212" s="915"/>
      <c r="GUJ212" s="915"/>
      <c r="GUL212" s="917"/>
      <c r="GUN212" s="915"/>
      <c r="GUO212" s="915"/>
      <c r="GUP212" s="915"/>
      <c r="GUQ212" s="916"/>
      <c r="GUT212" s="989"/>
      <c r="GUU212" s="989"/>
      <c r="GUV212" s="989"/>
      <c r="GUW212" s="989"/>
      <c r="GUX212" s="989"/>
      <c r="GUY212" s="989"/>
      <c r="GUZ212" s="959"/>
      <c r="GVA212" s="959"/>
      <c r="GVE212" s="915"/>
      <c r="GVF212" s="915"/>
      <c r="GVG212" s="915"/>
      <c r="GVI212" s="917"/>
      <c r="GVK212" s="915"/>
      <c r="GVL212" s="915"/>
      <c r="GVM212" s="915"/>
      <c r="GVN212" s="916"/>
      <c r="GVQ212" s="989"/>
      <c r="GVR212" s="989"/>
      <c r="GVS212" s="989"/>
      <c r="GVT212" s="989"/>
      <c r="GVU212" s="989"/>
      <c r="GVV212" s="989"/>
      <c r="GVW212" s="959"/>
      <c r="GVX212" s="959"/>
      <c r="GWB212" s="915"/>
      <c r="GWC212" s="915"/>
      <c r="GWD212" s="915"/>
      <c r="GWF212" s="917"/>
      <c r="GWH212" s="915"/>
      <c r="GWI212" s="915"/>
      <c r="GWJ212" s="915"/>
      <c r="GWK212" s="916"/>
      <c r="GWN212" s="989"/>
      <c r="GWO212" s="989"/>
      <c r="GWP212" s="989"/>
      <c r="GWQ212" s="989"/>
      <c r="GWR212" s="989"/>
      <c r="GWS212" s="989"/>
      <c r="GWT212" s="959"/>
      <c r="GWU212" s="959"/>
      <c r="GWY212" s="915"/>
      <c r="GWZ212" s="915"/>
      <c r="GXA212" s="915"/>
      <c r="GXC212" s="917"/>
      <c r="GXE212" s="915"/>
      <c r="GXF212" s="915"/>
      <c r="GXG212" s="915"/>
      <c r="GXH212" s="916"/>
      <c r="GXK212" s="989"/>
      <c r="GXL212" s="989"/>
      <c r="GXM212" s="989"/>
      <c r="GXN212" s="989"/>
      <c r="GXO212" s="989"/>
      <c r="GXP212" s="989"/>
      <c r="GXQ212" s="959"/>
      <c r="GXR212" s="959"/>
      <c r="GXV212" s="915"/>
      <c r="GXW212" s="915"/>
      <c r="GXX212" s="915"/>
      <c r="GXZ212" s="917"/>
      <c r="GYB212" s="915"/>
      <c r="GYC212" s="915"/>
      <c r="GYD212" s="915"/>
      <c r="GYE212" s="916"/>
      <c r="GYH212" s="989"/>
      <c r="GYI212" s="989"/>
      <c r="GYJ212" s="989"/>
      <c r="GYK212" s="989"/>
      <c r="GYL212" s="989"/>
      <c r="GYM212" s="989"/>
      <c r="GYN212" s="959"/>
      <c r="GYO212" s="959"/>
      <c r="GYS212" s="915"/>
      <c r="GYT212" s="915"/>
      <c r="GYU212" s="915"/>
      <c r="GYW212" s="917"/>
      <c r="GYY212" s="915"/>
      <c r="GYZ212" s="915"/>
      <c r="GZA212" s="915"/>
      <c r="GZB212" s="916"/>
      <c r="GZE212" s="989"/>
      <c r="GZF212" s="989"/>
      <c r="GZG212" s="989"/>
      <c r="GZH212" s="989"/>
      <c r="GZI212" s="989"/>
      <c r="GZJ212" s="989"/>
      <c r="GZK212" s="959"/>
      <c r="GZL212" s="959"/>
      <c r="GZP212" s="915"/>
      <c r="GZQ212" s="915"/>
      <c r="GZR212" s="915"/>
      <c r="GZT212" s="917"/>
      <c r="GZV212" s="915"/>
      <c r="GZW212" s="915"/>
      <c r="GZX212" s="915"/>
      <c r="GZY212" s="916"/>
      <c r="HAB212" s="989"/>
      <c r="HAC212" s="989"/>
      <c r="HAD212" s="989"/>
      <c r="HAE212" s="989"/>
      <c r="HAF212" s="989"/>
      <c r="HAG212" s="989"/>
      <c r="HAH212" s="959"/>
      <c r="HAI212" s="959"/>
      <c r="HAM212" s="915"/>
      <c r="HAN212" s="915"/>
      <c r="HAO212" s="915"/>
      <c r="HAQ212" s="917"/>
      <c r="HAS212" s="915"/>
      <c r="HAT212" s="915"/>
      <c r="HAU212" s="915"/>
      <c r="HAV212" s="916"/>
      <c r="HAY212" s="989"/>
      <c r="HAZ212" s="989"/>
      <c r="HBA212" s="989"/>
      <c r="HBB212" s="989"/>
      <c r="HBC212" s="989"/>
      <c r="HBD212" s="989"/>
      <c r="HBE212" s="959"/>
      <c r="HBF212" s="959"/>
      <c r="HBJ212" s="915"/>
      <c r="HBK212" s="915"/>
      <c r="HBL212" s="915"/>
      <c r="HBN212" s="917"/>
      <c r="HBP212" s="915"/>
      <c r="HBQ212" s="915"/>
      <c r="HBR212" s="915"/>
      <c r="HBS212" s="916"/>
      <c r="HBV212" s="989"/>
      <c r="HBW212" s="989"/>
      <c r="HBX212" s="989"/>
      <c r="HBY212" s="989"/>
      <c r="HBZ212" s="989"/>
      <c r="HCA212" s="989"/>
      <c r="HCB212" s="959"/>
      <c r="HCC212" s="959"/>
      <c r="HCG212" s="915"/>
      <c r="HCH212" s="915"/>
      <c r="HCI212" s="915"/>
      <c r="HCK212" s="917"/>
      <c r="HCM212" s="915"/>
      <c r="HCN212" s="915"/>
      <c r="HCO212" s="915"/>
      <c r="HCP212" s="916"/>
      <c r="HCS212" s="989"/>
      <c r="HCT212" s="989"/>
      <c r="HCU212" s="989"/>
      <c r="HCV212" s="989"/>
      <c r="HCW212" s="989"/>
      <c r="HCX212" s="989"/>
      <c r="HCY212" s="959"/>
      <c r="HCZ212" s="959"/>
      <c r="HDD212" s="915"/>
      <c r="HDE212" s="915"/>
      <c r="HDF212" s="915"/>
      <c r="HDH212" s="917"/>
      <c r="HDJ212" s="915"/>
      <c r="HDK212" s="915"/>
      <c r="HDL212" s="915"/>
      <c r="HDM212" s="916"/>
      <c r="HDP212" s="989"/>
      <c r="HDQ212" s="989"/>
      <c r="HDR212" s="989"/>
      <c r="HDS212" s="989"/>
      <c r="HDT212" s="989"/>
      <c r="HDU212" s="989"/>
      <c r="HDV212" s="959"/>
      <c r="HDW212" s="959"/>
      <c r="HEA212" s="915"/>
      <c r="HEB212" s="915"/>
      <c r="HEC212" s="915"/>
      <c r="HEE212" s="917"/>
      <c r="HEG212" s="915"/>
      <c r="HEH212" s="915"/>
      <c r="HEI212" s="915"/>
      <c r="HEJ212" s="916"/>
      <c r="HEM212" s="989"/>
      <c r="HEN212" s="989"/>
      <c r="HEO212" s="989"/>
      <c r="HEP212" s="989"/>
      <c r="HEQ212" s="989"/>
      <c r="HER212" s="989"/>
      <c r="HES212" s="959"/>
      <c r="HET212" s="959"/>
      <c r="HEX212" s="915"/>
      <c r="HEY212" s="915"/>
      <c r="HEZ212" s="915"/>
      <c r="HFB212" s="917"/>
      <c r="HFD212" s="915"/>
      <c r="HFE212" s="915"/>
      <c r="HFF212" s="915"/>
      <c r="HFG212" s="916"/>
      <c r="HFJ212" s="989"/>
      <c r="HFK212" s="989"/>
      <c r="HFL212" s="989"/>
      <c r="HFM212" s="989"/>
      <c r="HFN212" s="989"/>
      <c r="HFO212" s="989"/>
      <c r="HFP212" s="959"/>
      <c r="HFQ212" s="959"/>
      <c r="HFU212" s="915"/>
      <c r="HFV212" s="915"/>
      <c r="HFW212" s="915"/>
      <c r="HFY212" s="917"/>
      <c r="HGA212" s="915"/>
      <c r="HGB212" s="915"/>
      <c r="HGC212" s="915"/>
      <c r="HGD212" s="916"/>
      <c r="HGG212" s="989"/>
      <c r="HGH212" s="989"/>
      <c r="HGI212" s="989"/>
      <c r="HGJ212" s="989"/>
      <c r="HGK212" s="989"/>
      <c r="HGL212" s="989"/>
      <c r="HGM212" s="959"/>
      <c r="HGN212" s="959"/>
      <c r="HGR212" s="915"/>
      <c r="HGS212" s="915"/>
      <c r="HGT212" s="915"/>
      <c r="HGV212" s="917"/>
      <c r="HGX212" s="915"/>
      <c r="HGY212" s="915"/>
      <c r="HGZ212" s="915"/>
      <c r="HHA212" s="916"/>
      <c r="HHD212" s="989"/>
      <c r="HHE212" s="989"/>
      <c r="HHF212" s="989"/>
      <c r="HHG212" s="989"/>
      <c r="HHH212" s="989"/>
      <c r="HHI212" s="989"/>
      <c r="HHJ212" s="959"/>
      <c r="HHK212" s="959"/>
      <c r="HHO212" s="915"/>
      <c r="HHP212" s="915"/>
      <c r="HHQ212" s="915"/>
      <c r="HHS212" s="917"/>
      <c r="HHU212" s="915"/>
      <c r="HHV212" s="915"/>
      <c r="HHW212" s="915"/>
      <c r="HHX212" s="916"/>
      <c r="HIA212" s="989"/>
      <c r="HIB212" s="989"/>
      <c r="HIC212" s="989"/>
      <c r="HID212" s="989"/>
      <c r="HIE212" s="989"/>
      <c r="HIF212" s="989"/>
      <c r="HIG212" s="959"/>
      <c r="HIH212" s="959"/>
      <c r="HIL212" s="915"/>
      <c r="HIM212" s="915"/>
      <c r="HIN212" s="915"/>
      <c r="HIP212" s="917"/>
      <c r="HIR212" s="915"/>
      <c r="HIS212" s="915"/>
      <c r="HIT212" s="915"/>
      <c r="HIU212" s="916"/>
      <c r="HIX212" s="989"/>
      <c r="HIY212" s="989"/>
      <c r="HIZ212" s="989"/>
      <c r="HJA212" s="989"/>
      <c r="HJB212" s="989"/>
      <c r="HJC212" s="989"/>
      <c r="HJD212" s="959"/>
      <c r="HJE212" s="959"/>
      <c r="HJI212" s="915"/>
      <c r="HJJ212" s="915"/>
      <c r="HJK212" s="915"/>
      <c r="HJM212" s="917"/>
      <c r="HJO212" s="915"/>
      <c r="HJP212" s="915"/>
      <c r="HJQ212" s="915"/>
      <c r="HJR212" s="916"/>
      <c r="HJU212" s="989"/>
      <c r="HJV212" s="989"/>
      <c r="HJW212" s="989"/>
      <c r="HJX212" s="989"/>
      <c r="HJY212" s="989"/>
      <c r="HJZ212" s="989"/>
      <c r="HKA212" s="959"/>
      <c r="HKB212" s="959"/>
      <c r="HKF212" s="915"/>
      <c r="HKG212" s="915"/>
      <c r="HKH212" s="915"/>
      <c r="HKJ212" s="917"/>
      <c r="HKL212" s="915"/>
      <c r="HKM212" s="915"/>
      <c r="HKN212" s="915"/>
      <c r="HKO212" s="916"/>
      <c r="HKR212" s="989"/>
      <c r="HKS212" s="989"/>
      <c r="HKT212" s="989"/>
      <c r="HKU212" s="989"/>
      <c r="HKV212" s="989"/>
      <c r="HKW212" s="989"/>
      <c r="HKX212" s="959"/>
      <c r="HKY212" s="959"/>
      <c r="HLC212" s="915"/>
      <c r="HLD212" s="915"/>
      <c r="HLE212" s="915"/>
      <c r="HLG212" s="917"/>
      <c r="HLI212" s="915"/>
      <c r="HLJ212" s="915"/>
      <c r="HLK212" s="915"/>
      <c r="HLL212" s="916"/>
      <c r="HLO212" s="989"/>
      <c r="HLP212" s="989"/>
      <c r="HLQ212" s="989"/>
      <c r="HLR212" s="989"/>
      <c r="HLS212" s="989"/>
      <c r="HLT212" s="989"/>
      <c r="HLU212" s="959"/>
      <c r="HLV212" s="959"/>
      <c r="HLZ212" s="915"/>
      <c r="HMA212" s="915"/>
      <c r="HMB212" s="915"/>
      <c r="HMD212" s="917"/>
      <c r="HMF212" s="915"/>
      <c r="HMG212" s="915"/>
      <c r="HMH212" s="915"/>
      <c r="HMI212" s="916"/>
      <c r="HML212" s="989"/>
      <c r="HMM212" s="989"/>
      <c r="HMN212" s="989"/>
      <c r="HMO212" s="989"/>
      <c r="HMP212" s="989"/>
      <c r="HMQ212" s="989"/>
      <c r="HMR212" s="959"/>
      <c r="HMS212" s="959"/>
      <c r="HMW212" s="915"/>
      <c r="HMX212" s="915"/>
      <c r="HMY212" s="915"/>
      <c r="HNA212" s="917"/>
      <c r="HNC212" s="915"/>
      <c r="HND212" s="915"/>
      <c r="HNE212" s="915"/>
      <c r="HNF212" s="916"/>
      <c r="HNI212" s="989"/>
      <c r="HNJ212" s="989"/>
      <c r="HNK212" s="989"/>
      <c r="HNL212" s="989"/>
      <c r="HNM212" s="989"/>
      <c r="HNN212" s="989"/>
      <c r="HNO212" s="959"/>
      <c r="HNP212" s="959"/>
      <c r="HNT212" s="915"/>
      <c r="HNU212" s="915"/>
      <c r="HNV212" s="915"/>
      <c r="HNX212" s="917"/>
      <c r="HNZ212" s="915"/>
      <c r="HOA212" s="915"/>
      <c r="HOB212" s="915"/>
      <c r="HOC212" s="916"/>
      <c r="HOF212" s="989"/>
      <c r="HOG212" s="989"/>
      <c r="HOH212" s="989"/>
      <c r="HOI212" s="989"/>
      <c r="HOJ212" s="989"/>
      <c r="HOK212" s="989"/>
      <c r="HOL212" s="959"/>
      <c r="HOM212" s="959"/>
      <c r="HOQ212" s="915"/>
      <c r="HOR212" s="915"/>
      <c r="HOS212" s="915"/>
      <c r="HOU212" s="917"/>
      <c r="HOW212" s="915"/>
      <c r="HOX212" s="915"/>
      <c r="HOY212" s="915"/>
      <c r="HOZ212" s="916"/>
      <c r="HPC212" s="989"/>
      <c r="HPD212" s="989"/>
      <c r="HPE212" s="989"/>
      <c r="HPF212" s="989"/>
      <c r="HPG212" s="989"/>
      <c r="HPH212" s="989"/>
      <c r="HPI212" s="959"/>
      <c r="HPJ212" s="959"/>
      <c r="HPN212" s="915"/>
      <c r="HPO212" s="915"/>
      <c r="HPP212" s="915"/>
      <c r="HPR212" s="917"/>
      <c r="HPT212" s="915"/>
      <c r="HPU212" s="915"/>
      <c r="HPV212" s="915"/>
      <c r="HPW212" s="916"/>
      <c r="HPZ212" s="989"/>
      <c r="HQA212" s="989"/>
      <c r="HQB212" s="989"/>
      <c r="HQC212" s="989"/>
      <c r="HQD212" s="989"/>
      <c r="HQE212" s="989"/>
      <c r="HQF212" s="959"/>
      <c r="HQG212" s="959"/>
      <c r="HQK212" s="915"/>
      <c r="HQL212" s="915"/>
      <c r="HQM212" s="915"/>
      <c r="HQO212" s="917"/>
      <c r="HQQ212" s="915"/>
      <c r="HQR212" s="915"/>
      <c r="HQS212" s="915"/>
      <c r="HQT212" s="916"/>
      <c r="HQW212" s="989"/>
      <c r="HQX212" s="989"/>
      <c r="HQY212" s="989"/>
      <c r="HQZ212" s="989"/>
      <c r="HRA212" s="989"/>
      <c r="HRB212" s="989"/>
      <c r="HRC212" s="959"/>
      <c r="HRD212" s="959"/>
      <c r="HRH212" s="915"/>
      <c r="HRI212" s="915"/>
      <c r="HRJ212" s="915"/>
      <c r="HRL212" s="917"/>
      <c r="HRN212" s="915"/>
      <c r="HRO212" s="915"/>
      <c r="HRP212" s="915"/>
      <c r="HRQ212" s="916"/>
      <c r="HRT212" s="989"/>
      <c r="HRU212" s="989"/>
      <c r="HRV212" s="989"/>
      <c r="HRW212" s="989"/>
      <c r="HRX212" s="989"/>
      <c r="HRY212" s="989"/>
      <c r="HRZ212" s="959"/>
      <c r="HSA212" s="959"/>
      <c r="HSE212" s="915"/>
      <c r="HSF212" s="915"/>
      <c r="HSG212" s="915"/>
      <c r="HSI212" s="917"/>
      <c r="HSK212" s="915"/>
      <c r="HSL212" s="915"/>
      <c r="HSM212" s="915"/>
      <c r="HSN212" s="916"/>
      <c r="HSQ212" s="989"/>
      <c r="HSR212" s="989"/>
      <c r="HSS212" s="989"/>
      <c r="HST212" s="989"/>
      <c r="HSU212" s="989"/>
      <c r="HSV212" s="989"/>
      <c r="HSW212" s="959"/>
      <c r="HSX212" s="959"/>
      <c r="HTB212" s="915"/>
      <c r="HTC212" s="915"/>
      <c r="HTD212" s="915"/>
      <c r="HTF212" s="917"/>
      <c r="HTH212" s="915"/>
      <c r="HTI212" s="915"/>
      <c r="HTJ212" s="915"/>
      <c r="HTK212" s="916"/>
      <c r="HTN212" s="989"/>
      <c r="HTO212" s="989"/>
      <c r="HTP212" s="989"/>
      <c r="HTQ212" s="989"/>
      <c r="HTR212" s="989"/>
      <c r="HTS212" s="989"/>
      <c r="HTT212" s="959"/>
      <c r="HTU212" s="959"/>
      <c r="HTY212" s="915"/>
      <c r="HTZ212" s="915"/>
      <c r="HUA212" s="915"/>
      <c r="HUC212" s="917"/>
      <c r="HUE212" s="915"/>
      <c r="HUF212" s="915"/>
      <c r="HUG212" s="915"/>
      <c r="HUH212" s="916"/>
      <c r="HUK212" s="989"/>
      <c r="HUL212" s="989"/>
      <c r="HUM212" s="989"/>
      <c r="HUN212" s="989"/>
      <c r="HUO212" s="989"/>
      <c r="HUP212" s="989"/>
      <c r="HUQ212" s="959"/>
      <c r="HUR212" s="959"/>
      <c r="HUV212" s="915"/>
      <c r="HUW212" s="915"/>
      <c r="HUX212" s="915"/>
      <c r="HUZ212" s="917"/>
      <c r="HVB212" s="915"/>
      <c r="HVC212" s="915"/>
      <c r="HVD212" s="915"/>
      <c r="HVE212" s="916"/>
      <c r="HVH212" s="989"/>
      <c r="HVI212" s="989"/>
      <c r="HVJ212" s="989"/>
      <c r="HVK212" s="989"/>
      <c r="HVL212" s="989"/>
      <c r="HVM212" s="989"/>
      <c r="HVN212" s="959"/>
      <c r="HVO212" s="959"/>
      <c r="HVS212" s="915"/>
      <c r="HVT212" s="915"/>
      <c r="HVU212" s="915"/>
      <c r="HVW212" s="917"/>
      <c r="HVY212" s="915"/>
      <c r="HVZ212" s="915"/>
      <c r="HWA212" s="915"/>
      <c r="HWB212" s="916"/>
      <c r="HWE212" s="989"/>
      <c r="HWF212" s="989"/>
      <c r="HWG212" s="989"/>
      <c r="HWH212" s="989"/>
      <c r="HWI212" s="989"/>
      <c r="HWJ212" s="989"/>
      <c r="HWK212" s="959"/>
      <c r="HWL212" s="959"/>
      <c r="HWP212" s="915"/>
      <c r="HWQ212" s="915"/>
      <c r="HWR212" s="915"/>
      <c r="HWT212" s="917"/>
      <c r="HWV212" s="915"/>
      <c r="HWW212" s="915"/>
      <c r="HWX212" s="915"/>
      <c r="HWY212" s="916"/>
      <c r="HXB212" s="989"/>
      <c r="HXC212" s="989"/>
      <c r="HXD212" s="989"/>
      <c r="HXE212" s="989"/>
      <c r="HXF212" s="989"/>
      <c r="HXG212" s="989"/>
      <c r="HXH212" s="959"/>
      <c r="HXI212" s="959"/>
      <c r="HXM212" s="915"/>
      <c r="HXN212" s="915"/>
      <c r="HXO212" s="915"/>
      <c r="HXQ212" s="917"/>
      <c r="HXS212" s="915"/>
      <c r="HXT212" s="915"/>
      <c r="HXU212" s="915"/>
      <c r="HXV212" s="916"/>
      <c r="HXY212" s="989"/>
      <c r="HXZ212" s="989"/>
      <c r="HYA212" s="989"/>
      <c r="HYB212" s="989"/>
      <c r="HYC212" s="989"/>
      <c r="HYD212" s="989"/>
      <c r="HYE212" s="959"/>
      <c r="HYF212" s="959"/>
      <c r="HYJ212" s="915"/>
      <c r="HYK212" s="915"/>
      <c r="HYL212" s="915"/>
      <c r="HYN212" s="917"/>
      <c r="HYP212" s="915"/>
      <c r="HYQ212" s="915"/>
      <c r="HYR212" s="915"/>
      <c r="HYS212" s="916"/>
      <c r="HYV212" s="989"/>
      <c r="HYW212" s="989"/>
      <c r="HYX212" s="989"/>
      <c r="HYY212" s="989"/>
      <c r="HYZ212" s="989"/>
      <c r="HZA212" s="989"/>
      <c r="HZB212" s="959"/>
      <c r="HZC212" s="959"/>
      <c r="HZG212" s="915"/>
      <c r="HZH212" s="915"/>
      <c r="HZI212" s="915"/>
      <c r="HZK212" s="917"/>
      <c r="HZM212" s="915"/>
      <c r="HZN212" s="915"/>
      <c r="HZO212" s="915"/>
      <c r="HZP212" s="916"/>
      <c r="HZS212" s="989"/>
      <c r="HZT212" s="989"/>
      <c r="HZU212" s="989"/>
      <c r="HZV212" s="989"/>
      <c r="HZW212" s="989"/>
      <c r="HZX212" s="989"/>
      <c r="HZY212" s="959"/>
      <c r="HZZ212" s="959"/>
      <c r="IAD212" s="915"/>
      <c r="IAE212" s="915"/>
      <c r="IAF212" s="915"/>
      <c r="IAH212" s="917"/>
      <c r="IAJ212" s="915"/>
      <c r="IAK212" s="915"/>
      <c r="IAL212" s="915"/>
      <c r="IAM212" s="916"/>
      <c r="IAP212" s="989"/>
      <c r="IAQ212" s="989"/>
      <c r="IAR212" s="989"/>
      <c r="IAS212" s="989"/>
      <c r="IAT212" s="989"/>
      <c r="IAU212" s="989"/>
      <c r="IAV212" s="959"/>
      <c r="IAW212" s="959"/>
      <c r="IBA212" s="915"/>
      <c r="IBB212" s="915"/>
      <c r="IBC212" s="915"/>
      <c r="IBE212" s="917"/>
      <c r="IBG212" s="915"/>
      <c r="IBH212" s="915"/>
      <c r="IBI212" s="915"/>
      <c r="IBJ212" s="916"/>
      <c r="IBM212" s="989"/>
      <c r="IBN212" s="989"/>
      <c r="IBO212" s="989"/>
      <c r="IBP212" s="989"/>
      <c r="IBQ212" s="989"/>
      <c r="IBR212" s="989"/>
      <c r="IBS212" s="959"/>
      <c r="IBT212" s="959"/>
      <c r="IBX212" s="915"/>
      <c r="IBY212" s="915"/>
      <c r="IBZ212" s="915"/>
      <c r="ICB212" s="917"/>
      <c r="ICD212" s="915"/>
      <c r="ICE212" s="915"/>
      <c r="ICF212" s="915"/>
      <c r="ICG212" s="916"/>
      <c r="ICJ212" s="989"/>
      <c r="ICK212" s="989"/>
      <c r="ICL212" s="989"/>
      <c r="ICM212" s="989"/>
      <c r="ICN212" s="989"/>
      <c r="ICO212" s="989"/>
      <c r="ICP212" s="959"/>
      <c r="ICQ212" s="959"/>
      <c r="ICU212" s="915"/>
      <c r="ICV212" s="915"/>
      <c r="ICW212" s="915"/>
      <c r="ICY212" s="917"/>
      <c r="IDA212" s="915"/>
      <c r="IDB212" s="915"/>
      <c r="IDC212" s="915"/>
      <c r="IDD212" s="916"/>
      <c r="IDG212" s="989"/>
      <c r="IDH212" s="989"/>
      <c r="IDI212" s="989"/>
      <c r="IDJ212" s="989"/>
      <c r="IDK212" s="989"/>
      <c r="IDL212" s="989"/>
      <c r="IDM212" s="959"/>
      <c r="IDN212" s="959"/>
      <c r="IDR212" s="915"/>
      <c r="IDS212" s="915"/>
      <c r="IDT212" s="915"/>
      <c r="IDV212" s="917"/>
      <c r="IDX212" s="915"/>
      <c r="IDY212" s="915"/>
      <c r="IDZ212" s="915"/>
      <c r="IEA212" s="916"/>
      <c r="IED212" s="989"/>
      <c r="IEE212" s="989"/>
      <c r="IEF212" s="989"/>
      <c r="IEG212" s="989"/>
      <c r="IEH212" s="989"/>
      <c r="IEI212" s="989"/>
      <c r="IEJ212" s="959"/>
      <c r="IEK212" s="959"/>
      <c r="IEO212" s="915"/>
      <c r="IEP212" s="915"/>
      <c r="IEQ212" s="915"/>
      <c r="IES212" s="917"/>
      <c r="IEU212" s="915"/>
      <c r="IEV212" s="915"/>
      <c r="IEW212" s="915"/>
      <c r="IEX212" s="916"/>
      <c r="IFA212" s="989"/>
      <c r="IFB212" s="989"/>
      <c r="IFC212" s="989"/>
      <c r="IFD212" s="989"/>
      <c r="IFE212" s="989"/>
      <c r="IFF212" s="989"/>
      <c r="IFG212" s="959"/>
      <c r="IFH212" s="959"/>
      <c r="IFL212" s="915"/>
      <c r="IFM212" s="915"/>
      <c r="IFN212" s="915"/>
      <c r="IFP212" s="917"/>
      <c r="IFR212" s="915"/>
      <c r="IFS212" s="915"/>
      <c r="IFT212" s="915"/>
      <c r="IFU212" s="916"/>
      <c r="IFX212" s="989"/>
      <c r="IFY212" s="989"/>
      <c r="IFZ212" s="989"/>
      <c r="IGA212" s="989"/>
      <c r="IGB212" s="989"/>
      <c r="IGC212" s="989"/>
      <c r="IGD212" s="959"/>
      <c r="IGE212" s="959"/>
      <c r="IGI212" s="915"/>
      <c r="IGJ212" s="915"/>
      <c r="IGK212" s="915"/>
      <c r="IGM212" s="917"/>
      <c r="IGO212" s="915"/>
      <c r="IGP212" s="915"/>
      <c r="IGQ212" s="915"/>
      <c r="IGR212" s="916"/>
      <c r="IGU212" s="989"/>
      <c r="IGV212" s="989"/>
      <c r="IGW212" s="989"/>
      <c r="IGX212" s="989"/>
      <c r="IGY212" s="989"/>
      <c r="IGZ212" s="989"/>
      <c r="IHA212" s="959"/>
      <c r="IHB212" s="959"/>
      <c r="IHF212" s="915"/>
      <c r="IHG212" s="915"/>
      <c r="IHH212" s="915"/>
      <c r="IHJ212" s="917"/>
      <c r="IHL212" s="915"/>
      <c r="IHM212" s="915"/>
      <c r="IHN212" s="915"/>
      <c r="IHO212" s="916"/>
      <c r="IHR212" s="989"/>
      <c r="IHS212" s="989"/>
      <c r="IHT212" s="989"/>
      <c r="IHU212" s="989"/>
      <c r="IHV212" s="989"/>
      <c r="IHW212" s="989"/>
      <c r="IHX212" s="959"/>
      <c r="IHY212" s="959"/>
      <c r="IIC212" s="915"/>
      <c r="IID212" s="915"/>
      <c r="IIE212" s="915"/>
      <c r="IIG212" s="917"/>
      <c r="III212" s="915"/>
      <c r="IIJ212" s="915"/>
      <c r="IIK212" s="915"/>
      <c r="IIL212" s="916"/>
      <c r="IIO212" s="989"/>
      <c r="IIP212" s="989"/>
      <c r="IIQ212" s="989"/>
      <c r="IIR212" s="989"/>
      <c r="IIS212" s="989"/>
      <c r="IIT212" s="989"/>
      <c r="IIU212" s="959"/>
      <c r="IIV212" s="959"/>
      <c r="IIZ212" s="915"/>
      <c r="IJA212" s="915"/>
      <c r="IJB212" s="915"/>
      <c r="IJD212" s="917"/>
      <c r="IJF212" s="915"/>
      <c r="IJG212" s="915"/>
      <c r="IJH212" s="915"/>
      <c r="IJI212" s="916"/>
      <c r="IJL212" s="989"/>
      <c r="IJM212" s="989"/>
      <c r="IJN212" s="989"/>
      <c r="IJO212" s="989"/>
      <c r="IJP212" s="989"/>
      <c r="IJQ212" s="989"/>
      <c r="IJR212" s="959"/>
      <c r="IJS212" s="959"/>
      <c r="IJW212" s="915"/>
      <c r="IJX212" s="915"/>
      <c r="IJY212" s="915"/>
      <c r="IKA212" s="917"/>
      <c r="IKC212" s="915"/>
      <c r="IKD212" s="915"/>
      <c r="IKE212" s="915"/>
      <c r="IKF212" s="916"/>
      <c r="IKI212" s="989"/>
      <c r="IKJ212" s="989"/>
      <c r="IKK212" s="989"/>
      <c r="IKL212" s="989"/>
      <c r="IKM212" s="989"/>
      <c r="IKN212" s="989"/>
      <c r="IKO212" s="959"/>
      <c r="IKP212" s="959"/>
      <c r="IKT212" s="915"/>
      <c r="IKU212" s="915"/>
      <c r="IKV212" s="915"/>
      <c r="IKX212" s="917"/>
      <c r="IKZ212" s="915"/>
      <c r="ILA212" s="915"/>
      <c r="ILB212" s="915"/>
      <c r="ILC212" s="916"/>
      <c r="ILF212" s="989"/>
      <c r="ILG212" s="989"/>
      <c r="ILH212" s="989"/>
      <c r="ILI212" s="989"/>
      <c r="ILJ212" s="989"/>
      <c r="ILK212" s="989"/>
      <c r="ILL212" s="959"/>
      <c r="ILM212" s="959"/>
      <c r="ILQ212" s="915"/>
      <c r="ILR212" s="915"/>
      <c r="ILS212" s="915"/>
      <c r="ILU212" s="917"/>
      <c r="ILW212" s="915"/>
      <c r="ILX212" s="915"/>
      <c r="ILY212" s="915"/>
      <c r="ILZ212" s="916"/>
      <c r="IMC212" s="989"/>
      <c r="IMD212" s="989"/>
      <c r="IME212" s="989"/>
      <c r="IMF212" s="989"/>
      <c r="IMG212" s="989"/>
      <c r="IMH212" s="989"/>
      <c r="IMI212" s="959"/>
      <c r="IMJ212" s="959"/>
      <c r="IMN212" s="915"/>
      <c r="IMO212" s="915"/>
      <c r="IMP212" s="915"/>
      <c r="IMR212" s="917"/>
      <c r="IMT212" s="915"/>
      <c r="IMU212" s="915"/>
      <c r="IMV212" s="915"/>
      <c r="IMW212" s="916"/>
      <c r="IMZ212" s="989"/>
      <c r="INA212" s="989"/>
      <c r="INB212" s="989"/>
      <c r="INC212" s="989"/>
      <c r="IND212" s="989"/>
      <c r="INE212" s="989"/>
      <c r="INF212" s="959"/>
      <c r="ING212" s="959"/>
      <c r="INK212" s="915"/>
      <c r="INL212" s="915"/>
      <c r="INM212" s="915"/>
      <c r="INO212" s="917"/>
      <c r="INQ212" s="915"/>
      <c r="INR212" s="915"/>
      <c r="INS212" s="915"/>
      <c r="INT212" s="916"/>
      <c r="INW212" s="989"/>
      <c r="INX212" s="989"/>
      <c r="INY212" s="989"/>
      <c r="INZ212" s="989"/>
      <c r="IOA212" s="989"/>
      <c r="IOB212" s="989"/>
      <c r="IOC212" s="959"/>
      <c r="IOD212" s="959"/>
      <c r="IOH212" s="915"/>
      <c r="IOI212" s="915"/>
      <c r="IOJ212" s="915"/>
      <c r="IOL212" s="917"/>
      <c r="ION212" s="915"/>
      <c r="IOO212" s="915"/>
      <c r="IOP212" s="915"/>
      <c r="IOQ212" s="916"/>
      <c r="IOT212" s="989"/>
      <c r="IOU212" s="989"/>
      <c r="IOV212" s="989"/>
      <c r="IOW212" s="989"/>
      <c r="IOX212" s="989"/>
      <c r="IOY212" s="989"/>
      <c r="IOZ212" s="959"/>
      <c r="IPA212" s="959"/>
      <c r="IPE212" s="915"/>
      <c r="IPF212" s="915"/>
      <c r="IPG212" s="915"/>
      <c r="IPI212" s="917"/>
      <c r="IPK212" s="915"/>
      <c r="IPL212" s="915"/>
      <c r="IPM212" s="915"/>
      <c r="IPN212" s="916"/>
      <c r="IPQ212" s="989"/>
      <c r="IPR212" s="989"/>
      <c r="IPS212" s="989"/>
      <c r="IPT212" s="989"/>
      <c r="IPU212" s="989"/>
      <c r="IPV212" s="989"/>
      <c r="IPW212" s="959"/>
      <c r="IPX212" s="959"/>
      <c r="IQB212" s="915"/>
      <c r="IQC212" s="915"/>
      <c r="IQD212" s="915"/>
      <c r="IQF212" s="917"/>
      <c r="IQH212" s="915"/>
      <c r="IQI212" s="915"/>
      <c r="IQJ212" s="915"/>
      <c r="IQK212" s="916"/>
      <c r="IQN212" s="989"/>
      <c r="IQO212" s="989"/>
      <c r="IQP212" s="989"/>
      <c r="IQQ212" s="989"/>
      <c r="IQR212" s="989"/>
      <c r="IQS212" s="989"/>
      <c r="IQT212" s="959"/>
      <c r="IQU212" s="959"/>
      <c r="IQY212" s="915"/>
      <c r="IQZ212" s="915"/>
      <c r="IRA212" s="915"/>
      <c r="IRC212" s="917"/>
      <c r="IRE212" s="915"/>
      <c r="IRF212" s="915"/>
      <c r="IRG212" s="915"/>
      <c r="IRH212" s="916"/>
      <c r="IRK212" s="989"/>
      <c r="IRL212" s="989"/>
      <c r="IRM212" s="989"/>
      <c r="IRN212" s="989"/>
      <c r="IRO212" s="989"/>
      <c r="IRP212" s="989"/>
      <c r="IRQ212" s="959"/>
      <c r="IRR212" s="959"/>
      <c r="IRV212" s="915"/>
      <c r="IRW212" s="915"/>
      <c r="IRX212" s="915"/>
      <c r="IRZ212" s="917"/>
      <c r="ISB212" s="915"/>
      <c r="ISC212" s="915"/>
      <c r="ISD212" s="915"/>
      <c r="ISE212" s="916"/>
      <c r="ISH212" s="989"/>
      <c r="ISI212" s="989"/>
      <c r="ISJ212" s="989"/>
      <c r="ISK212" s="989"/>
      <c r="ISL212" s="989"/>
      <c r="ISM212" s="989"/>
      <c r="ISN212" s="959"/>
      <c r="ISO212" s="959"/>
      <c r="ISS212" s="915"/>
      <c r="IST212" s="915"/>
      <c r="ISU212" s="915"/>
      <c r="ISW212" s="917"/>
      <c r="ISY212" s="915"/>
      <c r="ISZ212" s="915"/>
      <c r="ITA212" s="915"/>
      <c r="ITB212" s="916"/>
      <c r="ITE212" s="989"/>
      <c r="ITF212" s="989"/>
      <c r="ITG212" s="989"/>
      <c r="ITH212" s="989"/>
      <c r="ITI212" s="989"/>
      <c r="ITJ212" s="989"/>
      <c r="ITK212" s="959"/>
      <c r="ITL212" s="959"/>
      <c r="ITP212" s="915"/>
      <c r="ITQ212" s="915"/>
      <c r="ITR212" s="915"/>
      <c r="ITT212" s="917"/>
      <c r="ITV212" s="915"/>
      <c r="ITW212" s="915"/>
      <c r="ITX212" s="915"/>
      <c r="ITY212" s="916"/>
      <c r="IUB212" s="989"/>
      <c r="IUC212" s="989"/>
      <c r="IUD212" s="989"/>
      <c r="IUE212" s="989"/>
      <c r="IUF212" s="989"/>
      <c r="IUG212" s="989"/>
      <c r="IUH212" s="959"/>
      <c r="IUI212" s="959"/>
      <c r="IUM212" s="915"/>
      <c r="IUN212" s="915"/>
      <c r="IUO212" s="915"/>
      <c r="IUQ212" s="917"/>
      <c r="IUS212" s="915"/>
      <c r="IUT212" s="915"/>
      <c r="IUU212" s="915"/>
      <c r="IUV212" s="916"/>
      <c r="IUY212" s="989"/>
      <c r="IUZ212" s="989"/>
      <c r="IVA212" s="989"/>
      <c r="IVB212" s="989"/>
      <c r="IVC212" s="989"/>
      <c r="IVD212" s="989"/>
      <c r="IVE212" s="959"/>
      <c r="IVF212" s="959"/>
      <c r="IVJ212" s="915"/>
      <c r="IVK212" s="915"/>
      <c r="IVL212" s="915"/>
      <c r="IVN212" s="917"/>
      <c r="IVP212" s="915"/>
      <c r="IVQ212" s="915"/>
      <c r="IVR212" s="915"/>
      <c r="IVS212" s="916"/>
      <c r="IVV212" s="989"/>
      <c r="IVW212" s="989"/>
      <c r="IVX212" s="989"/>
      <c r="IVY212" s="989"/>
      <c r="IVZ212" s="989"/>
      <c r="IWA212" s="989"/>
      <c r="IWB212" s="959"/>
      <c r="IWC212" s="959"/>
      <c r="IWG212" s="915"/>
      <c r="IWH212" s="915"/>
      <c r="IWI212" s="915"/>
      <c r="IWK212" s="917"/>
      <c r="IWM212" s="915"/>
      <c r="IWN212" s="915"/>
      <c r="IWO212" s="915"/>
      <c r="IWP212" s="916"/>
      <c r="IWS212" s="989"/>
      <c r="IWT212" s="989"/>
      <c r="IWU212" s="989"/>
      <c r="IWV212" s="989"/>
      <c r="IWW212" s="989"/>
      <c r="IWX212" s="989"/>
      <c r="IWY212" s="959"/>
      <c r="IWZ212" s="959"/>
      <c r="IXD212" s="915"/>
      <c r="IXE212" s="915"/>
      <c r="IXF212" s="915"/>
      <c r="IXH212" s="917"/>
      <c r="IXJ212" s="915"/>
      <c r="IXK212" s="915"/>
      <c r="IXL212" s="915"/>
      <c r="IXM212" s="916"/>
      <c r="IXP212" s="989"/>
      <c r="IXQ212" s="989"/>
      <c r="IXR212" s="989"/>
      <c r="IXS212" s="989"/>
      <c r="IXT212" s="989"/>
      <c r="IXU212" s="989"/>
      <c r="IXV212" s="959"/>
      <c r="IXW212" s="959"/>
      <c r="IYA212" s="915"/>
      <c r="IYB212" s="915"/>
      <c r="IYC212" s="915"/>
      <c r="IYE212" s="917"/>
      <c r="IYG212" s="915"/>
      <c r="IYH212" s="915"/>
      <c r="IYI212" s="915"/>
      <c r="IYJ212" s="916"/>
      <c r="IYM212" s="989"/>
      <c r="IYN212" s="989"/>
      <c r="IYO212" s="989"/>
      <c r="IYP212" s="989"/>
      <c r="IYQ212" s="989"/>
      <c r="IYR212" s="989"/>
      <c r="IYS212" s="959"/>
      <c r="IYT212" s="959"/>
      <c r="IYX212" s="915"/>
      <c r="IYY212" s="915"/>
      <c r="IYZ212" s="915"/>
      <c r="IZB212" s="917"/>
      <c r="IZD212" s="915"/>
      <c r="IZE212" s="915"/>
      <c r="IZF212" s="915"/>
      <c r="IZG212" s="916"/>
      <c r="IZJ212" s="989"/>
      <c r="IZK212" s="989"/>
      <c r="IZL212" s="989"/>
      <c r="IZM212" s="989"/>
      <c r="IZN212" s="989"/>
      <c r="IZO212" s="989"/>
      <c r="IZP212" s="959"/>
      <c r="IZQ212" s="959"/>
      <c r="IZU212" s="915"/>
      <c r="IZV212" s="915"/>
      <c r="IZW212" s="915"/>
      <c r="IZY212" s="917"/>
      <c r="JAA212" s="915"/>
      <c r="JAB212" s="915"/>
      <c r="JAC212" s="915"/>
      <c r="JAD212" s="916"/>
      <c r="JAG212" s="989"/>
      <c r="JAH212" s="989"/>
      <c r="JAI212" s="989"/>
      <c r="JAJ212" s="989"/>
      <c r="JAK212" s="989"/>
      <c r="JAL212" s="989"/>
      <c r="JAM212" s="959"/>
      <c r="JAN212" s="959"/>
      <c r="JAR212" s="915"/>
      <c r="JAS212" s="915"/>
      <c r="JAT212" s="915"/>
      <c r="JAV212" s="917"/>
      <c r="JAX212" s="915"/>
      <c r="JAY212" s="915"/>
      <c r="JAZ212" s="915"/>
      <c r="JBA212" s="916"/>
      <c r="JBD212" s="989"/>
      <c r="JBE212" s="989"/>
      <c r="JBF212" s="989"/>
      <c r="JBG212" s="989"/>
      <c r="JBH212" s="989"/>
      <c r="JBI212" s="989"/>
      <c r="JBJ212" s="959"/>
      <c r="JBK212" s="959"/>
      <c r="JBO212" s="915"/>
      <c r="JBP212" s="915"/>
      <c r="JBQ212" s="915"/>
      <c r="JBS212" s="917"/>
      <c r="JBU212" s="915"/>
      <c r="JBV212" s="915"/>
      <c r="JBW212" s="915"/>
      <c r="JBX212" s="916"/>
      <c r="JCA212" s="989"/>
      <c r="JCB212" s="989"/>
      <c r="JCC212" s="989"/>
      <c r="JCD212" s="989"/>
      <c r="JCE212" s="989"/>
      <c r="JCF212" s="989"/>
      <c r="JCG212" s="959"/>
      <c r="JCH212" s="959"/>
      <c r="JCL212" s="915"/>
      <c r="JCM212" s="915"/>
      <c r="JCN212" s="915"/>
      <c r="JCP212" s="917"/>
      <c r="JCR212" s="915"/>
      <c r="JCS212" s="915"/>
      <c r="JCT212" s="915"/>
      <c r="JCU212" s="916"/>
      <c r="JCX212" s="989"/>
      <c r="JCY212" s="989"/>
      <c r="JCZ212" s="989"/>
      <c r="JDA212" s="989"/>
      <c r="JDB212" s="989"/>
      <c r="JDC212" s="989"/>
      <c r="JDD212" s="959"/>
      <c r="JDE212" s="959"/>
      <c r="JDI212" s="915"/>
      <c r="JDJ212" s="915"/>
      <c r="JDK212" s="915"/>
      <c r="JDM212" s="917"/>
      <c r="JDO212" s="915"/>
      <c r="JDP212" s="915"/>
      <c r="JDQ212" s="915"/>
      <c r="JDR212" s="916"/>
      <c r="JDU212" s="989"/>
      <c r="JDV212" s="989"/>
      <c r="JDW212" s="989"/>
      <c r="JDX212" s="989"/>
      <c r="JDY212" s="989"/>
      <c r="JDZ212" s="989"/>
      <c r="JEA212" s="959"/>
      <c r="JEB212" s="959"/>
      <c r="JEF212" s="915"/>
      <c r="JEG212" s="915"/>
      <c r="JEH212" s="915"/>
      <c r="JEJ212" s="917"/>
      <c r="JEL212" s="915"/>
      <c r="JEM212" s="915"/>
      <c r="JEN212" s="915"/>
      <c r="JEO212" s="916"/>
      <c r="JER212" s="989"/>
      <c r="JES212" s="989"/>
      <c r="JET212" s="989"/>
      <c r="JEU212" s="989"/>
      <c r="JEV212" s="989"/>
      <c r="JEW212" s="989"/>
      <c r="JEX212" s="959"/>
      <c r="JEY212" s="959"/>
      <c r="JFC212" s="915"/>
      <c r="JFD212" s="915"/>
      <c r="JFE212" s="915"/>
      <c r="JFG212" s="917"/>
      <c r="JFI212" s="915"/>
      <c r="JFJ212" s="915"/>
      <c r="JFK212" s="915"/>
      <c r="JFL212" s="916"/>
      <c r="JFO212" s="989"/>
      <c r="JFP212" s="989"/>
      <c r="JFQ212" s="989"/>
      <c r="JFR212" s="989"/>
      <c r="JFS212" s="989"/>
      <c r="JFT212" s="989"/>
      <c r="JFU212" s="959"/>
      <c r="JFV212" s="959"/>
      <c r="JFZ212" s="915"/>
      <c r="JGA212" s="915"/>
      <c r="JGB212" s="915"/>
      <c r="JGD212" s="917"/>
      <c r="JGF212" s="915"/>
      <c r="JGG212" s="915"/>
      <c r="JGH212" s="915"/>
      <c r="JGI212" s="916"/>
      <c r="JGL212" s="989"/>
      <c r="JGM212" s="989"/>
      <c r="JGN212" s="989"/>
      <c r="JGO212" s="989"/>
      <c r="JGP212" s="989"/>
      <c r="JGQ212" s="989"/>
      <c r="JGR212" s="959"/>
      <c r="JGS212" s="959"/>
      <c r="JGW212" s="915"/>
      <c r="JGX212" s="915"/>
      <c r="JGY212" s="915"/>
      <c r="JHA212" s="917"/>
      <c r="JHC212" s="915"/>
      <c r="JHD212" s="915"/>
      <c r="JHE212" s="915"/>
      <c r="JHF212" s="916"/>
      <c r="JHI212" s="989"/>
      <c r="JHJ212" s="989"/>
      <c r="JHK212" s="989"/>
      <c r="JHL212" s="989"/>
      <c r="JHM212" s="989"/>
      <c r="JHN212" s="989"/>
      <c r="JHO212" s="959"/>
      <c r="JHP212" s="959"/>
      <c r="JHT212" s="915"/>
      <c r="JHU212" s="915"/>
      <c r="JHV212" s="915"/>
      <c r="JHX212" s="917"/>
      <c r="JHZ212" s="915"/>
      <c r="JIA212" s="915"/>
      <c r="JIB212" s="915"/>
      <c r="JIC212" s="916"/>
      <c r="JIF212" s="989"/>
      <c r="JIG212" s="989"/>
      <c r="JIH212" s="989"/>
      <c r="JII212" s="989"/>
      <c r="JIJ212" s="989"/>
      <c r="JIK212" s="989"/>
      <c r="JIL212" s="959"/>
      <c r="JIM212" s="959"/>
      <c r="JIQ212" s="915"/>
      <c r="JIR212" s="915"/>
      <c r="JIS212" s="915"/>
      <c r="JIU212" s="917"/>
      <c r="JIW212" s="915"/>
      <c r="JIX212" s="915"/>
      <c r="JIY212" s="915"/>
      <c r="JIZ212" s="916"/>
      <c r="JJC212" s="989"/>
      <c r="JJD212" s="989"/>
      <c r="JJE212" s="989"/>
      <c r="JJF212" s="989"/>
      <c r="JJG212" s="989"/>
      <c r="JJH212" s="989"/>
      <c r="JJI212" s="959"/>
      <c r="JJJ212" s="959"/>
      <c r="JJN212" s="915"/>
      <c r="JJO212" s="915"/>
      <c r="JJP212" s="915"/>
      <c r="JJR212" s="917"/>
      <c r="JJT212" s="915"/>
      <c r="JJU212" s="915"/>
      <c r="JJV212" s="915"/>
      <c r="JJW212" s="916"/>
      <c r="JJZ212" s="989"/>
      <c r="JKA212" s="989"/>
      <c r="JKB212" s="989"/>
      <c r="JKC212" s="989"/>
      <c r="JKD212" s="989"/>
      <c r="JKE212" s="989"/>
      <c r="JKF212" s="959"/>
      <c r="JKG212" s="959"/>
      <c r="JKK212" s="915"/>
      <c r="JKL212" s="915"/>
      <c r="JKM212" s="915"/>
      <c r="JKO212" s="917"/>
      <c r="JKQ212" s="915"/>
      <c r="JKR212" s="915"/>
      <c r="JKS212" s="915"/>
      <c r="JKT212" s="916"/>
      <c r="JKW212" s="989"/>
      <c r="JKX212" s="989"/>
      <c r="JKY212" s="989"/>
      <c r="JKZ212" s="989"/>
      <c r="JLA212" s="989"/>
      <c r="JLB212" s="989"/>
      <c r="JLC212" s="959"/>
      <c r="JLD212" s="959"/>
      <c r="JLH212" s="915"/>
      <c r="JLI212" s="915"/>
      <c r="JLJ212" s="915"/>
      <c r="JLL212" s="917"/>
      <c r="JLN212" s="915"/>
      <c r="JLO212" s="915"/>
      <c r="JLP212" s="915"/>
      <c r="JLQ212" s="916"/>
      <c r="JLT212" s="989"/>
      <c r="JLU212" s="989"/>
      <c r="JLV212" s="989"/>
      <c r="JLW212" s="989"/>
      <c r="JLX212" s="989"/>
      <c r="JLY212" s="989"/>
      <c r="JLZ212" s="959"/>
      <c r="JMA212" s="959"/>
      <c r="JME212" s="915"/>
      <c r="JMF212" s="915"/>
      <c r="JMG212" s="915"/>
      <c r="JMI212" s="917"/>
      <c r="JMK212" s="915"/>
      <c r="JML212" s="915"/>
      <c r="JMM212" s="915"/>
      <c r="JMN212" s="916"/>
      <c r="JMQ212" s="989"/>
      <c r="JMR212" s="989"/>
      <c r="JMS212" s="989"/>
      <c r="JMT212" s="989"/>
      <c r="JMU212" s="989"/>
      <c r="JMV212" s="989"/>
      <c r="JMW212" s="959"/>
      <c r="JMX212" s="959"/>
      <c r="JNB212" s="915"/>
      <c r="JNC212" s="915"/>
      <c r="JND212" s="915"/>
      <c r="JNF212" s="917"/>
      <c r="JNH212" s="915"/>
      <c r="JNI212" s="915"/>
      <c r="JNJ212" s="915"/>
      <c r="JNK212" s="916"/>
      <c r="JNN212" s="989"/>
      <c r="JNO212" s="989"/>
      <c r="JNP212" s="989"/>
      <c r="JNQ212" s="989"/>
      <c r="JNR212" s="989"/>
      <c r="JNS212" s="989"/>
      <c r="JNT212" s="959"/>
      <c r="JNU212" s="959"/>
      <c r="JNY212" s="915"/>
      <c r="JNZ212" s="915"/>
      <c r="JOA212" s="915"/>
      <c r="JOC212" s="917"/>
      <c r="JOE212" s="915"/>
      <c r="JOF212" s="915"/>
      <c r="JOG212" s="915"/>
      <c r="JOH212" s="916"/>
      <c r="JOK212" s="989"/>
      <c r="JOL212" s="989"/>
      <c r="JOM212" s="989"/>
      <c r="JON212" s="989"/>
      <c r="JOO212" s="989"/>
      <c r="JOP212" s="989"/>
      <c r="JOQ212" s="959"/>
      <c r="JOR212" s="959"/>
      <c r="JOV212" s="915"/>
      <c r="JOW212" s="915"/>
      <c r="JOX212" s="915"/>
      <c r="JOZ212" s="917"/>
      <c r="JPB212" s="915"/>
      <c r="JPC212" s="915"/>
      <c r="JPD212" s="915"/>
      <c r="JPE212" s="916"/>
      <c r="JPH212" s="989"/>
      <c r="JPI212" s="989"/>
      <c r="JPJ212" s="989"/>
      <c r="JPK212" s="989"/>
      <c r="JPL212" s="989"/>
      <c r="JPM212" s="989"/>
      <c r="JPN212" s="959"/>
      <c r="JPO212" s="959"/>
      <c r="JPS212" s="915"/>
      <c r="JPT212" s="915"/>
      <c r="JPU212" s="915"/>
      <c r="JPW212" s="917"/>
      <c r="JPY212" s="915"/>
      <c r="JPZ212" s="915"/>
      <c r="JQA212" s="915"/>
      <c r="JQB212" s="916"/>
      <c r="JQE212" s="989"/>
      <c r="JQF212" s="989"/>
      <c r="JQG212" s="989"/>
      <c r="JQH212" s="989"/>
      <c r="JQI212" s="989"/>
      <c r="JQJ212" s="989"/>
      <c r="JQK212" s="959"/>
      <c r="JQL212" s="959"/>
      <c r="JQP212" s="915"/>
      <c r="JQQ212" s="915"/>
      <c r="JQR212" s="915"/>
      <c r="JQT212" s="917"/>
      <c r="JQV212" s="915"/>
      <c r="JQW212" s="915"/>
      <c r="JQX212" s="915"/>
      <c r="JQY212" s="916"/>
      <c r="JRB212" s="989"/>
      <c r="JRC212" s="989"/>
      <c r="JRD212" s="989"/>
      <c r="JRE212" s="989"/>
      <c r="JRF212" s="989"/>
      <c r="JRG212" s="989"/>
      <c r="JRH212" s="959"/>
      <c r="JRI212" s="959"/>
      <c r="JRM212" s="915"/>
      <c r="JRN212" s="915"/>
      <c r="JRO212" s="915"/>
      <c r="JRQ212" s="917"/>
      <c r="JRS212" s="915"/>
      <c r="JRT212" s="915"/>
      <c r="JRU212" s="915"/>
      <c r="JRV212" s="916"/>
      <c r="JRY212" s="989"/>
      <c r="JRZ212" s="989"/>
      <c r="JSA212" s="989"/>
      <c r="JSB212" s="989"/>
      <c r="JSC212" s="989"/>
      <c r="JSD212" s="989"/>
      <c r="JSE212" s="959"/>
      <c r="JSF212" s="959"/>
      <c r="JSJ212" s="915"/>
      <c r="JSK212" s="915"/>
      <c r="JSL212" s="915"/>
      <c r="JSN212" s="917"/>
      <c r="JSP212" s="915"/>
      <c r="JSQ212" s="915"/>
      <c r="JSR212" s="915"/>
      <c r="JSS212" s="916"/>
      <c r="JSV212" s="989"/>
      <c r="JSW212" s="989"/>
      <c r="JSX212" s="989"/>
      <c r="JSY212" s="989"/>
      <c r="JSZ212" s="989"/>
      <c r="JTA212" s="989"/>
      <c r="JTB212" s="959"/>
      <c r="JTC212" s="959"/>
      <c r="JTG212" s="915"/>
      <c r="JTH212" s="915"/>
      <c r="JTI212" s="915"/>
      <c r="JTK212" s="917"/>
      <c r="JTM212" s="915"/>
      <c r="JTN212" s="915"/>
      <c r="JTO212" s="915"/>
      <c r="JTP212" s="916"/>
      <c r="JTS212" s="989"/>
      <c r="JTT212" s="989"/>
      <c r="JTU212" s="989"/>
      <c r="JTV212" s="989"/>
      <c r="JTW212" s="989"/>
      <c r="JTX212" s="989"/>
      <c r="JTY212" s="959"/>
      <c r="JTZ212" s="959"/>
      <c r="JUD212" s="915"/>
      <c r="JUE212" s="915"/>
      <c r="JUF212" s="915"/>
      <c r="JUH212" s="917"/>
      <c r="JUJ212" s="915"/>
      <c r="JUK212" s="915"/>
      <c r="JUL212" s="915"/>
      <c r="JUM212" s="916"/>
      <c r="JUP212" s="989"/>
      <c r="JUQ212" s="989"/>
      <c r="JUR212" s="989"/>
      <c r="JUS212" s="989"/>
      <c r="JUT212" s="989"/>
      <c r="JUU212" s="989"/>
      <c r="JUV212" s="959"/>
      <c r="JUW212" s="959"/>
      <c r="JVA212" s="915"/>
      <c r="JVB212" s="915"/>
      <c r="JVC212" s="915"/>
      <c r="JVE212" s="917"/>
      <c r="JVG212" s="915"/>
      <c r="JVH212" s="915"/>
      <c r="JVI212" s="915"/>
      <c r="JVJ212" s="916"/>
      <c r="JVM212" s="989"/>
      <c r="JVN212" s="989"/>
      <c r="JVO212" s="989"/>
      <c r="JVP212" s="989"/>
      <c r="JVQ212" s="989"/>
      <c r="JVR212" s="989"/>
      <c r="JVS212" s="959"/>
      <c r="JVT212" s="959"/>
      <c r="JVX212" s="915"/>
      <c r="JVY212" s="915"/>
      <c r="JVZ212" s="915"/>
      <c r="JWB212" s="917"/>
      <c r="JWD212" s="915"/>
      <c r="JWE212" s="915"/>
      <c r="JWF212" s="915"/>
      <c r="JWG212" s="916"/>
      <c r="JWJ212" s="989"/>
      <c r="JWK212" s="989"/>
      <c r="JWL212" s="989"/>
      <c r="JWM212" s="989"/>
      <c r="JWN212" s="989"/>
      <c r="JWO212" s="989"/>
      <c r="JWP212" s="959"/>
      <c r="JWQ212" s="959"/>
      <c r="JWU212" s="915"/>
      <c r="JWV212" s="915"/>
      <c r="JWW212" s="915"/>
      <c r="JWY212" s="917"/>
      <c r="JXA212" s="915"/>
      <c r="JXB212" s="915"/>
      <c r="JXC212" s="915"/>
      <c r="JXD212" s="916"/>
      <c r="JXG212" s="989"/>
      <c r="JXH212" s="989"/>
      <c r="JXI212" s="989"/>
      <c r="JXJ212" s="989"/>
      <c r="JXK212" s="989"/>
      <c r="JXL212" s="989"/>
      <c r="JXM212" s="959"/>
      <c r="JXN212" s="959"/>
      <c r="JXR212" s="915"/>
      <c r="JXS212" s="915"/>
      <c r="JXT212" s="915"/>
      <c r="JXV212" s="917"/>
      <c r="JXX212" s="915"/>
      <c r="JXY212" s="915"/>
      <c r="JXZ212" s="915"/>
      <c r="JYA212" s="916"/>
      <c r="JYD212" s="989"/>
      <c r="JYE212" s="989"/>
      <c r="JYF212" s="989"/>
      <c r="JYG212" s="989"/>
      <c r="JYH212" s="989"/>
      <c r="JYI212" s="989"/>
      <c r="JYJ212" s="959"/>
      <c r="JYK212" s="959"/>
      <c r="JYO212" s="915"/>
      <c r="JYP212" s="915"/>
      <c r="JYQ212" s="915"/>
      <c r="JYS212" s="917"/>
      <c r="JYU212" s="915"/>
      <c r="JYV212" s="915"/>
      <c r="JYW212" s="915"/>
      <c r="JYX212" s="916"/>
      <c r="JZA212" s="989"/>
      <c r="JZB212" s="989"/>
      <c r="JZC212" s="989"/>
      <c r="JZD212" s="989"/>
      <c r="JZE212" s="989"/>
      <c r="JZF212" s="989"/>
      <c r="JZG212" s="959"/>
      <c r="JZH212" s="959"/>
      <c r="JZL212" s="915"/>
      <c r="JZM212" s="915"/>
      <c r="JZN212" s="915"/>
      <c r="JZP212" s="917"/>
      <c r="JZR212" s="915"/>
      <c r="JZS212" s="915"/>
      <c r="JZT212" s="915"/>
      <c r="JZU212" s="916"/>
      <c r="JZX212" s="989"/>
      <c r="JZY212" s="989"/>
      <c r="JZZ212" s="989"/>
      <c r="KAA212" s="989"/>
      <c r="KAB212" s="989"/>
      <c r="KAC212" s="989"/>
      <c r="KAD212" s="959"/>
      <c r="KAE212" s="959"/>
      <c r="KAI212" s="915"/>
      <c r="KAJ212" s="915"/>
      <c r="KAK212" s="915"/>
      <c r="KAM212" s="917"/>
      <c r="KAO212" s="915"/>
      <c r="KAP212" s="915"/>
      <c r="KAQ212" s="915"/>
      <c r="KAR212" s="916"/>
      <c r="KAU212" s="989"/>
      <c r="KAV212" s="989"/>
      <c r="KAW212" s="989"/>
      <c r="KAX212" s="989"/>
      <c r="KAY212" s="989"/>
      <c r="KAZ212" s="989"/>
      <c r="KBA212" s="959"/>
      <c r="KBB212" s="959"/>
      <c r="KBF212" s="915"/>
      <c r="KBG212" s="915"/>
      <c r="KBH212" s="915"/>
      <c r="KBJ212" s="917"/>
      <c r="KBL212" s="915"/>
      <c r="KBM212" s="915"/>
      <c r="KBN212" s="915"/>
      <c r="KBO212" s="916"/>
      <c r="KBR212" s="989"/>
      <c r="KBS212" s="989"/>
      <c r="KBT212" s="989"/>
      <c r="KBU212" s="989"/>
      <c r="KBV212" s="989"/>
      <c r="KBW212" s="989"/>
      <c r="KBX212" s="959"/>
      <c r="KBY212" s="959"/>
      <c r="KCC212" s="915"/>
      <c r="KCD212" s="915"/>
      <c r="KCE212" s="915"/>
      <c r="KCG212" s="917"/>
      <c r="KCI212" s="915"/>
      <c r="KCJ212" s="915"/>
      <c r="KCK212" s="915"/>
      <c r="KCL212" s="916"/>
      <c r="KCO212" s="989"/>
      <c r="KCP212" s="989"/>
      <c r="KCQ212" s="989"/>
      <c r="KCR212" s="989"/>
      <c r="KCS212" s="989"/>
      <c r="KCT212" s="989"/>
      <c r="KCU212" s="959"/>
      <c r="KCV212" s="959"/>
      <c r="KCZ212" s="915"/>
      <c r="KDA212" s="915"/>
      <c r="KDB212" s="915"/>
      <c r="KDD212" s="917"/>
      <c r="KDF212" s="915"/>
      <c r="KDG212" s="915"/>
      <c r="KDH212" s="915"/>
      <c r="KDI212" s="916"/>
      <c r="KDL212" s="989"/>
      <c r="KDM212" s="989"/>
      <c r="KDN212" s="989"/>
      <c r="KDO212" s="989"/>
      <c r="KDP212" s="989"/>
      <c r="KDQ212" s="989"/>
      <c r="KDR212" s="959"/>
      <c r="KDS212" s="959"/>
      <c r="KDW212" s="915"/>
      <c r="KDX212" s="915"/>
      <c r="KDY212" s="915"/>
      <c r="KEA212" s="917"/>
      <c r="KEC212" s="915"/>
      <c r="KED212" s="915"/>
      <c r="KEE212" s="915"/>
      <c r="KEF212" s="916"/>
      <c r="KEI212" s="989"/>
      <c r="KEJ212" s="989"/>
      <c r="KEK212" s="989"/>
      <c r="KEL212" s="989"/>
      <c r="KEM212" s="989"/>
      <c r="KEN212" s="989"/>
      <c r="KEO212" s="959"/>
      <c r="KEP212" s="959"/>
      <c r="KET212" s="915"/>
      <c r="KEU212" s="915"/>
      <c r="KEV212" s="915"/>
      <c r="KEX212" s="917"/>
      <c r="KEZ212" s="915"/>
      <c r="KFA212" s="915"/>
      <c r="KFB212" s="915"/>
      <c r="KFC212" s="916"/>
      <c r="KFF212" s="989"/>
      <c r="KFG212" s="989"/>
      <c r="KFH212" s="989"/>
      <c r="KFI212" s="989"/>
      <c r="KFJ212" s="989"/>
      <c r="KFK212" s="989"/>
      <c r="KFL212" s="959"/>
      <c r="KFM212" s="959"/>
      <c r="KFQ212" s="915"/>
      <c r="KFR212" s="915"/>
      <c r="KFS212" s="915"/>
      <c r="KFU212" s="917"/>
      <c r="KFW212" s="915"/>
      <c r="KFX212" s="915"/>
      <c r="KFY212" s="915"/>
      <c r="KFZ212" s="916"/>
      <c r="KGC212" s="989"/>
      <c r="KGD212" s="989"/>
      <c r="KGE212" s="989"/>
      <c r="KGF212" s="989"/>
      <c r="KGG212" s="989"/>
      <c r="KGH212" s="989"/>
      <c r="KGI212" s="959"/>
      <c r="KGJ212" s="959"/>
      <c r="KGN212" s="915"/>
      <c r="KGO212" s="915"/>
      <c r="KGP212" s="915"/>
      <c r="KGR212" s="917"/>
      <c r="KGT212" s="915"/>
      <c r="KGU212" s="915"/>
      <c r="KGV212" s="915"/>
      <c r="KGW212" s="916"/>
      <c r="KGZ212" s="989"/>
      <c r="KHA212" s="989"/>
      <c r="KHB212" s="989"/>
      <c r="KHC212" s="989"/>
      <c r="KHD212" s="989"/>
      <c r="KHE212" s="989"/>
      <c r="KHF212" s="959"/>
      <c r="KHG212" s="959"/>
      <c r="KHK212" s="915"/>
      <c r="KHL212" s="915"/>
      <c r="KHM212" s="915"/>
      <c r="KHO212" s="917"/>
      <c r="KHQ212" s="915"/>
      <c r="KHR212" s="915"/>
      <c r="KHS212" s="915"/>
      <c r="KHT212" s="916"/>
      <c r="KHW212" s="989"/>
      <c r="KHX212" s="989"/>
      <c r="KHY212" s="989"/>
      <c r="KHZ212" s="989"/>
      <c r="KIA212" s="989"/>
      <c r="KIB212" s="989"/>
      <c r="KIC212" s="959"/>
      <c r="KID212" s="959"/>
      <c r="KIH212" s="915"/>
      <c r="KII212" s="915"/>
      <c r="KIJ212" s="915"/>
      <c r="KIL212" s="917"/>
      <c r="KIN212" s="915"/>
      <c r="KIO212" s="915"/>
      <c r="KIP212" s="915"/>
      <c r="KIQ212" s="916"/>
      <c r="KIT212" s="989"/>
      <c r="KIU212" s="989"/>
      <c r="KIV212" s="989"/>
      <c r="KIW212" s="989"/>
      <c r="KIX212" s="989"/>
      <c r="KIY212" s="989"/>
      <c r="KIZ212" s="959"/>
      <c r="KJA212" s="959"/>
      <c r="KJE212" s="915"/>
      <c r="KJF212" s="915"/>
      <c r="KJG212" s="915"/>
      <c r="KJI212" s="917"/>
      <c r="KJK212" s="915"/>
      <c r="KJL212" s="915"/>
      <c r="KJM212" s="915"/>
      <c r="KJN212" s="916"/>
      <c r="KJQ212" s="989"/>
      <c r="KJR212" s="989"/>
      <c r="KJS212" s="989"/>
      <c r="KJT212" s="989"/>
      <c r="KJU212" s="989"/>
      <c r="KJV212" s="989"/>
      <c r="KJW212" s="959"/>
      <c r="KJX212" s="959"/>
      <c r="KKB212" s="915"/>
      <c r="KKC212" s="915"/>
      <c r="KKD212" s="915"/>
      <c r="KKF212" s="917"/>
      <c r="KKH212" s="915"/>
      <c r="KKI212" s="915"/>
      <c r="KKJ212" s="915"/>
      <c r="KKK212" s="916"/>
      <c r="KKN212" s="989"/>
      <c r="KKO212" s="989"/>
      <c r="KKP212" s="989"/>
      <c r="KKQ212" s="989"/>
      <c r="KKR212" s="989"/>
      <c r="KKS212" s="989"/>
      <c r="KKT212" s="959"/>
      <c r="KKU212" s="959"/>
      <c r="KKY212" s="915"/>
      <c r="KKZ212" s="915"/>
      <c r="KLA212" s="915"/>
      <c r="KLC212" s="917"/>
      <c r="KLE212" s="915"/>
      <c r="KLF212" s="915"/>
      <c r="KLG212" s="915"/>
      <c r="KLH212" s="916"/>
      <c r="KLK212" s="989"/>
      <c r="KLL212" s="989"/>
      <c r="KLM212" s="989"/>
      <c r="KLN212" s="989"/>
      <c r="KLO212" s="989"/>
      <c r="KLP212" s="989"/>
      <c r="KLQ212" s="959"/>
      <c r="KLR212" s="959"/>
      <c r="KLV212" s="915"/>
      <c r="KLW212" s="915"/>
      <c r="KLX212" s="915"/>
      <c r="KLZ212" s="917"/>
      <c r="KMB212" s="915"/>
      <c r="KMC212" s="915"/>
      <c r="KMD212" s="915"/>
      <c r="KME212" s="916"/>
      <c r="KMH212" s="989"/>
      <c r="KMI212" s="989"/>
      <c r="KMJ212" s="989"/>
      <c r="KMK212" s="989"/>
      <c r="KML212" s="989"/>
      <c r="KMM212" s="989"/>
      <c r="KMN212" s="959"/>
      <c r="KMO212" s="959"/>
      <c r="KMS212" s="915"/>
      <c r="KMT212" s="915"/>
      <c r="KMU212" s="915"/>
      <c r="KMW212" s="917"/>
      <c r="KMY212" s="915"/>
      <c r="KMZ212" s="915"/>
      <c r="KNA212" s="915"/>
      <c r="KNB212" s="916"/>
      <c r="KNE212" s="989"/>
      <c r="KNF212" s="989"/>
      <c r="KNG212" s="989"/>
      <c r="KNH212" s="989"/>
      <c r="KNI212" s="989"/>
      <c r="KNJ212" s="989"/>
      <c r="KNK212" s="959"/>
      <c r="KNL212" s="959"/>
      <c r="KNP212" s="915"/>
      <c r="KNQ212" s="915"/>
      <c r="KNR212" s="915"/>
      <c r="KNT212" s="917"/>
      <c r="KNV212" s="915"/>
      <c r="KNW212" s="915"/>
      <c r="KNX212" s="915"/>
      <c r="KNY212" s="916"/>
      <c r="KOB212" s="989"/>
      <c r="KOC212" s="989"/>
      <c r="KOD212" s="989"/>
      <c r="KOE212" s="989"/>
      <c r="KOF212" s="989"/>
      <c r="KOG212" s="989"/>
      <c r="KOH212" s="959"/>
      <c r="KOI212" s="959"/>
      <c r="KOM212" s="915"/>
      <c r="KON212" s="915"/>
      <c r="KOO212" s="915"/>
      <c r="KOQ212" s="917"/>
      <c r="KOS212" s="915"/>
      <c r="KOT212" s="915"/>
      <c r="KOU212" s="915"/>
      <c r="KOV212" s="916"/>
      <c r="KOY212" s="989"/>
      <c r="KOZ212" s="989"/>
      <c r="KPA212" s="989"/>
      <c r="KPB212" s="989"/>
      <c r="KPC212" s="989"/>
      <c r="KPD212" s="989"/>
      <c r="KPE212" s="959"/>
      <c r="KPF212" s="959"/>
      <c r="KPJ212" s="915"/>
      <c r="KPK212" s="915"/>
      <c r="KPL212" s="915"/>
      <c r="KPN212" s="917"/>
      <c r="KPP212" s="915"/>
      <c r="KPQ212" s="915"/>
      <c r="KPR212" s="915"/>
      <c r="KPS212" s="916"/>
      <c r="KPV212" s="989"/>
      <c r="KPW212" s="989"/>
      <c r="KPX212" s="989"/>
      <c r="KPY212" s="989"/>
      <c r="KPZ212" s="989"/>
      <c r="KQA212" s="989"/>
      <c r="KQB212" s="959"/>
      <c r="KQC212" s="959"/>
      <c r="KQG212" s="915"/>
      <c r="KQH212" s="915"/>
      <c r="KQI212" s="915"/>
      <c r="KQK212" s="917"/>
      <c r="KQM212" s="915"/>
      <c r="KQN212" s="915"/>
      <c r="KQO212" s="915"/>
      <c r="KQP212" s="916"/>
      <c r="KQS212" s="989"/>
      <c r="KQT212" s="989"/>
      <c r="KQU212" s="989"/>
      <c r="KQV212" s="989"/>
      <c r="KQW212" s="989"/>
      <c r="KQX212" s="989"/>
      <c r="KQY212" s="959"/>
      <c r="KQZ212" s="959"/>
      <c r="KRD212" s="915"/>
      <c r="KRE212" s="915"/>
      <c r="KRF212" s="915"/>
      <c r="KRH212" s="917"/>
      <c r="KRJ212" s="915"/>
      <c r="KRK212" s="915"/>
      <c r="KRL212" s="915"/>
      <c r="KRM212" s="916"/>
      <c r="KRP212" s="989"/>
      <c r="KRQ212" s="989"/>
      <c r="KRR212" s="989"/>
      <c r="KRS212" s="989"/>
      <c r="KRT212" s="989"/>
      <c r="KRU212" s="989"/>
      <c r="KRV212" s="959"/>
      <c r="KRW212" s="959"/>
      <c r="KSA212" s="915"/>
      <c r="KSB212" s="915"/>
      <c r="KSC212" s="915"/>
      <c r="KSE212" s="917"/>
      <c r="KSG212" s="915"/>
      <c r="KSH212" s="915"/>
      <c r="KSI212" s="915"/>
      <c r="KSJ212" s="916"/>
      <c r="KSM212" s="989"/>
      <c r="KSN212" s="989"/>
      <c r="KSO212" s="989"/>
      <c r="KSP212" s="989"/>
      <c r="KSQ212" s="989"/>
      <c r="KSR212" s="989"/>
      <c r="KSS212" s="959"/>
      <c r="KST212" s="959"/>
      <c r="KSX212" s="915"/>
      <c r="KSY212" s="915"/>
      <c r="KSZ212" s="915"/>
      <c r="KTB212" s="917"/>
      <c r="KTD212" s="915"/>
      <c r="KTE212" s="915"/>
      <c r="KTF212" s="915"/>
      <c r="KTG212" s="916"/>
      <c r="KTJ212" s="989"/>
      <c r="KTK212" s="989"/>
      <c r="KTL212" s="989"/>
      <c r="KTM212" s="989"/>
      <c r="KTN212" s="989"/>
      <c r="KTO212" s="989"/>
      <c r="KTP212" s="959"/>
      <c r="KTQ212" s="959"/>
      <c r="KTU212" s="915"/>
      <c r="KTV212" s="915"/>
      <c r="KTW212" s="915"/>
      <c r="KTY212" s="917"/>
      <c r="KUA212" s="915"/>
      <c r="KUB212" s="915"/>
      <c r="KUC212" s="915"/>
      <c r="KUD212" s="916"/>
      <c r="KUG212" s="989"/>
      <c r="KUH212" s="989"/>
      <c r="KUI212" s="989"/>
      <c r="KUJ212" s="989"/>
      <c r="KUK212" s="989"/>
      <c r="KUL212" s="989"/>
      <c r="KUM212" s="959"/>
      <c r="KUN212" s="959"/>
      <c r="KUR212" s="915"/>
      <c r="KUS212" s="915"/>
      <c r="KUT212" s="915"/>
      <c r="KUV212" s="917"/>
      <c r="KUX212" s="915"/>
      <c r="KUY212" s="915"/>
      <c r="KUZ212" s="915"/>
      <c r="KVA212" s="916"/>
      <c r="KVD212" s="989"/>
      <c r="KVE212" s="989"/>
      <c r="KVF212" s="989"/>
      <c r="KVG212" s="989"/>
      <c r="KVH212" s="989"/>
      <c r="KVI212" s="989"/>
      <c r="KVJ212" s="959"/>
      <c r="KVK212" s="959"/>
      <c r="KVO212" s="915"/>
      <c r="KVP212" s="915"/>
      <c r="KVQ212" s="915"/>
      <c r="KVS212" s="917"/>
      <c r="KVU212" s="915"/>
      <c r="KVV212" s="915"/>
      <c r="KVW212" s="915"/>
      <c r="KVX212" s="916"/>
      <c r="KWA212" s="989"/>
      <c r="KWB212" s="989"/>
      <c r="KWC212" s="989"/>
      <c r="KWD212" s="989"/>
      <c r="KWE212" s="989"/>
      <c r="KWF212" s="989"/>
      <c r="KWG212" s="959"/>
      <c r="KWH212" s="959"/>
      <c r="KWL212" s="915"/>
      <c r="KWM212" s="915"/>
      <c r="KWN212" s="915"/>
      <c r="KWP212" s="917"/>
      <c r="KWR212" s="915"/>
      <c r="KWS212" s="915"/>
      <c r="KWT212" s="915"/>
      <c r="KWU212" s="916"/>
      <c r="KWX212" s="989"/>
      <c r="KWY212" s="989"/>
      <c r="KWZ212" s="989"/>
      <c r="KXA212" s="989"/>
      <c r="KXB212" s="989"/>
      <c r="KXC212" s="989"/>
      <c r="KXD212" s="959"/>
      <c r="KXE212" s="959"/>
      <c r="KXI212" s="915"/>
      <c r="KXJ212" s="915"/>
      <c r="KXK212" s="915"/>
      <c r="KXM212" s="917"/>
      <c r="KXO212" s="915"/>
      <c r="KXP212" s="915"/>
      <c r="KXQ212" s="915"/>
      <c r="KXR212" s="916"/>
      <c r="KXU212" s="989"/>
      <c r="KXV212" s="989"/>
      <c r="KXW212" s="989"/>
      <c r="KXX212" s="989"/>
      <c r="KXY212" s="989"/>
      <c r="KXZ212" s="989"/>
      <c r="KYA212" s="959"/>
      <c r="KYB212" s="959"/>
      <c r="KYF212" s="915"/>
      <c r="KYG212" s="915"/>
      <c r="KYH212" s="915"/>
      <c r="KYJ212" s="917"/>
      <c r="KYL212" s="915"/>
      <c r="KYM212" s="915"/>
      <c r="KYN212" s="915"/>
      <c r="KYO212" s="916"/>
      <c r="KYR212" s="989"/>
      <c r="KYS212" s="989"/>
      <c r="KYT212" s="989"/>
      <c r="KYU212" s="989"/>
      <c r="KYV212" s="989"/>
      <c r="KYW212" s="989"/>
      <c r="KYX212" s="959"/>
      <c r="KYY212" s="959"/>
      <c r="KZC212" s="915"/>
      <c r="KZD212" s="915"/>
      <c r="KZE212" s="915"/>
      <c r="KZG212" s="917"/>
      <c r="KZI212" s="915"/>
      <c r="KZJ212" s="915"/>
      <c r="KZK212" s="915"/>
      <c r="KZL212" s="916"/>
      <c r="KZO212" s="989"/>
      <c r="KZP212" s="989"/>
      <c r="KZQ212" s="989"/>
      <c r="KZR212" s="989"/>
      <c r="KZS212" s="989"/>
      <c r="KZT212" s="989"/>
      <c r="KZU212" s="959"/>
      <c r="KZV212" s="959"/>
      <c r="KZZ212" s="915"/>
      <c r="LAA212" s="915"/>
      <c r="LAB212" s="915"/>
      <c r="LAD212" s="917"/>
      <c r="LAF212" s="915"/>
      <c r="LAG212" s="915"/>
      <c r="LAH212" s="915"/>
      <c r="LAI212" s="916"/>
      <c r="LAL212" s="989"/>
      <c r="LAM212" s="989"/>
      <c r="LAN212" s="989"/>
      <c r="LAO212" s="989"/>
      <c r="LAP212" s="989"/>
      <c r="LAQ212" s="989"/>
      <c r="LAR212" s="959"/>
      <c r="LAS212" s="959"/>
      <c r="LAW212" s="915"/>
      <c r="LAX212" s="915"/>
      <c r="LAY212" s="915"/>
      <c r="LBA212" s="917"/>
      <c r="LBC212" s="915"/>
      <c r="LBD212" s="915"/>
      <c r="LBE212" s="915"/>
      <c r="LBF212" s="916"/>
      <c r="LBI212" s="989"/>
      <c r="LBJ212" s="989"/>
      <c r="LBK212" s="989"/>
      <c r="LBL212" s="989"/>
      <c r="LBM212" s="989"/>
      <c r="LBN212" s="989"/>
      <c r="LBO212" s="959"/>
      <c r="LBP212" s="959"/>
      <c r="LBT212" s="915"/>
      <c r="LBU212" s="915"/>
      <c r="LBV212" s="915"/>
      <c r="LBX212" s="917"/>
      <c r="LBZ212" s="915"/>
      <c r="LCA212" s="915"/>
      <c r="LCB212" s="915"/>
      <c r="LCC212" s="916"/>
      <c r="LCF212" s="989"/>
      <c r="LCG212" s="989"/>
      <c r="LCH212" s="989"/>
      <c r="LCI212" s="989"/>
      <c r="LCJ212" s="989"/>
      <c r="LCK212" s="989"/>
      <c r="LCL212" s="959"/>
      <c r="LCM212" s="959"/>
      <c r="LCQ212" s="915"/>
      <c r="LCR212" s="915"/>
      <c r="LCS212" s="915"/>
      <c r="LCU212" s="917"/>
      <c r="LCW212" s="915"/>
      <c r="LCX212" s="915"/>
      <c r="LCY212" s="915"/>
      <c r="LCZ212" s="916"/>
      <c r="LDC212" s="989"/>
      <c r="LDD212" s="989"/>
      <c r="LDE212" s="989"/>
      <c r="LDF212" s="989"/>
      <c r="LDG212" s="989"/>
      <c r="LDH212" s="989"/>
      <c r="LDI212" s="959"/>
      <c r="LDJ212" s="959"/>
      <c r="LDN212" s="915"/>
      <c r="LDO212" s="915"/>
      <c r="LDP212" s="915"/>
      <c r="LDR212" s="917"/>
      <c r="LDT212" s="915"/>
      <c r="LDU212" s="915"/>
      <c r="LDV212" s="915"/>
      <c r="LDW212" s="916"/>
      <c r="LDZ212" s="989"/>
      <c r="LEA212" s="989"/>
      <c r="LEB212" s="989"/>
      <c r="LEC212" s="989"/>
      <c r="LED212" s="989"/>
      <c r="LEE212" s="989"/>
      <c r="LEF212" s="959"/>
      <c r="LEG212" s="959"/>
      <c r="LEK212" s="915"/>
      <c r="LEL212" s="915"/>
      <c r="LEM212" s="915"/>
      <c r="LEO212" s="917"/>
      <c r="LEQ212" s="915"/>
      <c r="LER212" s="915"/>
      <c r="LES212" s="915"/>
      <c r="LET212" s="916"/>
      <c r="LEW212" s="989"/>
      <c r="LEX212" s="989"/>
      <c r="LEY212" s="989"/>
      <c r="LEZ212" s="989"/>
      <c r="LFA212" s="989"/>
      <c r="LFB212" s="989"/>
      <c r="LFC212" s="959"/>
      <c r="LFD212" s="959"/>
      <c r="LFH212" s="915"/>
      <c r="LFI212" s="915"/>
      <c r="LFJ212" s="915"/>
      <c r="LFL212" s="917"/>
      <c r="LFN212" s="915"/>
      <c r="LFO212" s="915"/>
      <c r="LFP212" s="915"/>
      <c r="LFQ212" s="916"/>
      <c r="LFT212" s="989"/>
      <c r="LFU212" s="989"/>
      <c r="LFV212" s="989"/>
      <c r="LFW212" s="989"/>
      <c r="LFX212" s="989"/>
      <c r="LFY212" s="989"/>
      <c r="LFZ212" s="959"/>
      <c r="LGA212" s="959"/>
      <c r="LGE212" s="915"/>
      <c r="LGF212" s="915"/>
      <c r="LGG212" s="915"/>
      <c r="LGI212" s="917"/>
      <c r="LGK212" s="915"/>
      <c r="LGL212" s="915"/>
      <c r="LGM212" s="915"/>
      <c r="LGN212" s="916"/>
      <c r="LGQ212" s="989"/>
      <c r="LGR212" s="989"/>
      <c r="LGS212" s="989"/>
      <c r="LGT212" s="989"/>
      <c r="LGU212" s="989"/>
      <c r="LGV212" s="989"/>
      <c r="LGW212" s="959"/>
      <c r="LGX212" s="959"/>
      <c r="LHB212" s="915"/>
      <c r="LHC212" s="915"/>
      <c r="LHD212" s="915"/>
      <c r="LHF212" s="917"/>
      <c r="LHH212" s="915"/>
      <c r="LHI212" s="915"/>
      <c r="LHJ212" s="915"/>
      <c r="LHK212" s="916"/>
      <c r="LHN212" s="989"/>
      <c r="LHO212" s="989"/>
      <c r="LHP212" s="989"/>
      <c r="LHQ212" s="989"/>
      <c r="LHR212" s="989"/>
      <c r="LHS212" s="989"/>
      <c r="LHT212" s="959"/>
      <c r="LHU212" s="959"/>
      <c r="LHY212" s="915"/>
      <c r="LHZ212" s="915"/>
      <c r="LIA212" s="915"/>
      <c r="LIC212" s="917"/>
      <c r="LIE212" s="915"/>
      <c r="LIF212" s="915"/>
      <c r="LIG212" s="915"/>
      <c r="LIH212" s="916"/>
      <c r="LIK212" s="989"/>
      <c r="LIL212" s="989"/>
      <c r="LIM212" s="989"/>
      <c r="LIN212" s="989"/>
      <c r="LIO212" s="989"/>
      <c r="LIP212" s="989"/>
      <c r="LIQ212" s="959"/>
      <c r="LIR212" s="959"/>
      <c r="LIV212" s="915"/>
      <c r="LIW212" s="915"/>
      <c r="LIX212" s="915"/>
      <c r="LIZ212" s="917"/>
      <c r="LJB212" s="915"/>
      <c r="LJC212" s="915"/>
      <c r="LJD212" s="915"/>
      <c r="LJE212" s="916"/>
      <c r="LJH212" s="989"/>
      <c r="LJI212" s="989"/>
      <c r="LJJ212" s="989"/>
      <c r="LJK212" s="989"/>
      <c r="LJL212" s="989"/>
      <c r="LJM212" s="989"/>
      <c r="LJN212" s="959"/>
      <c r="LJO212" s="959"/>
      <c r="LJS212" s="915"/>
      <c r="LJT212" s="915"/>
      <c r="LJU212" s="915"/>
      <c r="LJW212" s="917"/>
      <c r="LJY212" s="915"/>
      <c r="LJZ212" s="915"/>
      <c r="LKA212" s="915"/>
      <c r="LKB212" s="916"/>
      <c r="LKE212" s="989"/>
      <c r="LKF212" s="989"/>
      <c r="LKG212" s="989"/>
      <c r="LKH212" s="989"/>
      <c r="LKI212" s="989"/>
      <c r="LKJ212" s="989"/>
      <c r="LKK212" s="959"/>
      <c r="LKL212" s="959"/>
      <c r="LKP212" s="915"/>
      <c r="LKQ212" s="915"/>
      <c r="LKR212" s="915"/>
      <c r="LKT212" s="917"/>
      <c r="LKV212" s="915"/>
      <c r="LKW212" s="915"/>
      <c r="LKX212" s="915"/>
      <c r="LKY212" s="916"/>
      <c r="LLB212" s="989"/>
      <c r="LLC212" s="989"/>
      <c r="LLD212" s="989"/>
      <c r="LLE212" s="989"/>
      <c r="LLF212" s="989"/>
      <c r="LLG212" s="989"/>
      <c r="LLH212" s="959"/>
      <c r="LLI212" s="959"/>
      <c r="LLM212" s="915"/>
      <c r="LLN212" s="915"/>
      <c r="LLO212" s="915"/>
      <c r="LLQ212" s="917"/>
      <c r="LLS212" s="915"/>
      <c r="LLT212" s="915"/>
      <c r="LLU212" s="915"/>
      <c r="LLV212" s="916"/>
      <c r="LLY212" s="989"/>
      <c r="LLZ212" s="989"/>
      <c r="LMA212" s="989"/>
      <c r="LMB212" s="989"/>
      <c r="LMC212" s="989"/>
      <c r="LMD212" s="989"/>
      <c r="LME212" s="959"/>
      <c r="LMF212" s="959"/>
      <c r="LMJ212" s="915"/>
      <c r="LMK212" s="915"/>
      <c r="LML212" s="915"/>
      <c r="LMN212" s="917"/>
      <c r="LMP212" s="915"/>
      <c r="LMQ212" s="915"/>
      <c r="LMR212" s="915"/>
      <c r="LMS212" s="916"/>
      <c r="LMV212" s="989"/>
      <c r="LMW212" s="989"/>
      <c r="LMX212" s="989"/>
      <c r="LMY212" s="989"/>
      <c r="LMZ212" s="989"/>
      <c r="LNA212" s="989"/>
      <c r="LNB212" s="959"/>
      <c r="LNC212" s="959"/>
      <c r="LNG212" s="915"/>
      <c r="LNH212" s="915"/>
      <c r="LNI212" s="915"/>
      <c r="LNK212" s="917"/>
      <c r="LNM212" s="915"/>
      <c r="LNN212" s="915"/>
      <c r="LNO212" s="915"/>
      <c r="LNP212" s="916"/>
      <c r="LNS212" s="989"/>
      <c r="LNT212" s="989"/>
      <c r="LNU212" s="989"/>
      <c r="LNV212" s="989"/>
      <c r="LNW212" s="989"/>
      <c r="LNX212" s="989"/>
      <c r="LNY212" s="959"/>
      <c r="LNZ212" s="959"/>
      <c r="LOD212" s="915"/>
      <c r="LOE212" s="915"/>
      <c r="LOF212" s="915"/>
      <c r="LOH212" s="917"/>
      <c r="LOJ212" s="915"/>
      <c r="LOK212" s="915"/>
      <c r="LOL212" s="915"/>
      <c r="LOM212" s="916"/>
      <c r="LOP212" s="989"/>
      <c r="LOQ212" s="989"/>
      <c r="LOR212" s="989"/>
      <c r="LOS212" s="989"/>
      <c r="LOT212" s="989"/>
      <c r="LOU212" s="989"/>
      <c r="LOV212" s="959"/>
      <c r="LOW212" s="959"/>
      <c r="LPA212" s="915"/>
      <c r="LPB212" s="915"/>
      <c r="LPC212" s="915"/>
      <c r="LPE212" s="917"/>
      <c r="LPG212" s="915"/>
      <c r="LPH212" s="915"/>
      <c r="LPI212" s="915"/>
      <c r="LPJ212" s="916"/>
      <c r="LPM212" s="989"/>
      <c r="LPN212" s="989"/>
      <c r="LPO212" s="989"/>
      <c r="LPP212" s="989"/>
      <c r="LPQ212" s="989"/>
      <c r="LPR212" s="989"/>
      <c r="LPS212" s="959"/>
      <c r="LPT212" s="959"/>
      <c r="LPX212" s="915"/>
      <c r="LPY212" s="915"/>
      <c r="LPZ212" s="915"/>
      <c r="LQB212" s="917"/>
      <c r="LQD212" s="915"/>
      <c r="LQE212" s="915"/>
      <c r="LQF212" s="915"/>
      <c r="LQG212" s="916"/>
      <c r="LQJ212" s="989"/>
      <c r="LQK212" s="989"/>
      <c r="LQL212" s="989"/>
      <c r="LQM212" s="989"/>
      <c r="LQN212" s="989"/>
      <c r="LQO212" s="989"/>
      <c r="LQP212" s="959"/>
      <c r="LQQ212" s="959"/>
      <c r="LQU212" s="915"/>
      <c r="LQV212" s="915"/>
      <c r="LQW212" s="915"/>
      <c r="LQY212" s="917"/>
      <c r="LRA212" s="915"/>
      <c r="LRB212" s="915"/>
      <c r="LRC212" s="915"/>
      <c r="LRD212" s="916"/>
      <c r="LRG212" s="989"/>
      <c r="LRH212" s="989"/>
      <c r="LRI212" s="989"/>
      <c r="LRJ212" s="989"/>
      <c r="LRK212" s="989"/>
      <c r="LRL212" s="989"/>
      <c r="LRM212" s="959"/>
      <c r="LRN212" s="959"/>
      <c r="LRR212" s="915"/>
      <c r="LRS212" s="915"/>
      <c r="LRT212" s="915"/>
      <c r="LRV212" s="917"/>
      <c r="LRX212" s="915"/>
      <c r="LRY212" s="915"/>
      <c r="LRZ212" s="915"/>
      <c r="LSA212" s="916"/>
      <c r="LSD212" s="989"/>
      <c r="LSE212" s="989"/>
      <c r="LSF212" s="989"/>
      <c r="LSG212" s="989"/>
      <c r="LSH212" s="989"/>
      <c r="LSI212" s="989"/>
      <c r="LSJ212" s="959"/>
      <c r="LSK212" s="959"/>
      <c r="LSO212" s="915"/>
      <c r="LSP212" s="915"/>
      <c r="LSQ212" s="915"/>
      <c r="LSS212" s="917"/>
      <c r="LSU212" s="915"/>
      <c r="LSV212" s="915"/>
      <c r="LSW212" s="915"/>
      <c r="LSX212" s="916"/>
      <c r="LTA212" s="989"/>
      <c r="LTB212" s="989"/>
      <c r="LTC212" s="989"/>
      <c r="LTD212" s="989"/>
      <c r="LTE212" s="989"/>
      <c r="LTF212" s="989"/>
      <c r="LTG212" s="959"/>
      <c r="LTH212" s="959"/>
      <c r="LTL212" s="915"/>
      <c r="LTM212" s="915"/>
      <c r="LTN212" s="915"/>
      <c r="LTP212" s="917"/>
      <c r="LTR212" s="915"/>
      <c r="LTS212" s="915"/>
      <c r="LTT212" s="915"/>
      <c r="LTU212" s="916"/>
      <c r="LTX212" s="989"/>
      <c r="LTY212" s="989"/>
      <c r="LTZ212" s="989"/>
      <c r="LUA212" s="989"/>
      <c r="LUB212" s="989"/>
      <c r="LUC212" s="989"/>
      <c r="LUD212" s="959"/>
      <c r="LUE212" s="959"/>
      <c r="LUI212" s="915"/>
      <c r="LUJ212" s="915"/>
      <c r="LUK212" s="915"/>
      <c r="LUM212" s="917"/>
      <c r="LUO212" s="915"/>
      <c r="LUP212" s="915"/>
      <c r="LUQ212" s="915"/>
      <c r="LUR212" s="916"/>
      <c r="LUU212" s="989"/>
      <c r="LUV212" s="989"/>
      <c r="LUW212" s="989"/>
      <c r="LUX212" s="989"/>
      <c r="LUY212" s="989"/>
      <c r="LUZ212" s="989"/>
      <c r="LVA212" s="959"/>
      <c r="LVB212" s="959"/>
      <c r="LVF212" s="915"/>
      <c r="LVG212" s="915"/>
      <c r="LVH212" s="915"/>
      <c r="LVJ212" s="917"/>
      <c r="LVL212" s="915"/>
      <c r="LVM212" s="915"/>
      <c r="LVN212" s="915"/>
      <c r="LVO212" s="916"/>
      <c r="LVR212" s="989"/>
      <c r="LVS212" s="989"/>
      <c r="LVT212" s="989"/>
      <c r="LVU212" s="989"/>
      <c r="LVV212" s="989"/>
      <c r="LVW212" s="989"/>
      <c r="LVX212" s="959"/>
      <c r="LVY212" s="959"/>
      <c r="LWC212" s="915"/>
      <c r="LWD212" s="915"/>
      <c r="LWE212" s="915"/>
      <c r="LWG212" s="917"/>
      <c r="LWI212" s="915"/>
      <c r="LWJ212" s="915"/>
      <c r="LWK212" s="915"/>
      <c r="LWL212" s="916"/>
      <c r="LWO212" s="989"/>
      <c r="LWP212" s="989"/>
      <c r="LWQ212" s="989"/>
      <c r="LWR212" s="989"/>
      <c r="LWS212" s="989"/>
      <c r="LWT212" s="989"/>
      <c r="LWU212" s="959"/>
      <c r="LWV212" s="959"/>
      <c r="LWZ212" s="915"/>
      <c r="LXA212" s="915"/>
      <c r="LXB212" s="915"/>
      <c r="LXD212" s="917"/>
      <c r="LXF212" s="915"/>
      <c r="LXG212" s="915"/>
      <c r="LXH212" s="915"/>
      <c r="LXI212" s="916"/>
      <c r="LXL212" s="989"/>
      <c r="LXM212" s="989"/>
      <c r="LXN212" s="989"/>
      <c r="LXO212" s="989"/>
      <c r="LXP212" s="989"/>
      <c r="LXQ212" s="989"/>
      <c r="LXR212" s="959"/>
      <c r="LXS212" s="959"/>
      <c r="LXW212" s="915"/>
      <c r="LXX212" s="915"/>
      <c r="LXY212" s="915"/>
      <c r="LYA212" s="917"/>
      <c r="LYC212" s="915"/>
      <c r="LYD212" s="915"/>
      <c r="LYE212" s="915"/>
      <c r="LYF212" s="916"/>
      <c r="LYI212" s="989"/>
      <c r="LYJ212" s="989"/>
      <c r="LYK212" s="989"/>
      <c r="LYL212" s="989"/>
      <c r="LYM212" s="989"/>
      <c r="LYN212" s="989"/>
      <c r="LYO212" s="959"/>
      <c r="LYP212" s="959"/>
      <c r="LYT212" s="915"/>
      <c r="LYU212" s="915"/>
      <c r="LYV212" s="915"/>
      <c r="LYX212" s="917"/>
      <c r="LYZ212" s="915"/>
      <c r="LZA212" s="915"/>
      <c r="LZB212" s="915"/>
      <c r="LZC212" s="916"/>
      <c r="LZF212" s="989"/>
      <c r="LZG212" s="989"/>
      <c r="LZH212" s="989"/>
      <c r="LZI212" s="989"/>
      <c r="LZJ212" s="989"/>
      <c r="LZK212" s="989"/>
      <c r="LZL212" s="959"/>
      <c r="LZM212" s="959"/>
      <c r="LZQ212" s="915"/>
      <c r="LZR212" s="915"/>
      <c r="LZS212" s="915"/>
      <c r="LZU212" s="917"/>
      <c r="LZW212" s="915"/>
      <c r="LZX212" s="915"/>
      <c r="LZY212" s="915"/>
      <c r="LZZ212" s="916"/>
      <c r="MAC212" s="989"/>
      <c r="MAD212" s="989"/>
      <c r="MAE212" s="989"/>
      <c r="MAF212" s="989"/>
      <c r="MAG212" s="989"/>
      <c r="MAH212" s="989"/>
      <c r="MAI212" s="959"/>
      <c r="MAJ212" s="959"/>
      <c r="MAN212" s="915"/>
      <c r="MAO212" s="915"/>
      <c r="MAP212" s="915"/>
      <c r="MAR212" s="917"/>
      <c r="MAT212" s="915"/>
      <c r="MAU212" s="915"/>
      <c r="MAV212" s="915"/>
      <c r="MAW212" s="916"/>
      <c r="MAZ212" s="989"/>
      <c r="MBA212" s="989"/>
      <c r="MBB212" s="989"/>
      <c r="MBC212" s="989"/>
      <c r="MBD212" s="989"/>
      <c r="MBE212" s="989"/>
      <c r="MBF212" s="959"/>
      <c r="MBG212" s="959"/>
      <c r="MBK212" s="915"/>
      <c r="MBL212" s="915"/>
      <c r="MBM212" s="915"/>
      <c r="MBO212" s="917"/>
      <c r="MBQ212" s="915"/>
      <c r="MBR212" s="915"/>
      <c r="MBS212" s="915"/>
      <c r="MBT212" s="916"/>
      <c r="MBW212" s="989"/>
      <c r="MBX212" s="989"/>
      <c r="MBY212" s="989"/>
      <c r="MBZ212" s="989"/>
      <c r="MCA212" s="989"/>
      <c r="MCB212" s="989"/>
      <c r="MCC212" s="959"/>
      <c r="MCD212" s="959"/>
      <c r="MCH212" s="915"/>
      <c r="MCI212" s="915"/>
      <c r="MCJ212" s="915"/>
      <c r="MCL212" s="917"/>
      <c r="MCN212" s="915"/>
      <c r="MCO212" s="915"/>
      <c r="MCP212" s="915"/>
      <c r="MCQ212" s="916"/>
      <c r="MCT212" s="989"/>
      <c r="MCU212" s="989"/>
      <c r="MCV212" s="989"/>
      <c r="MCW212" s="989"/>
      <c r="MCX212" s="989"/>
      <c r="MCY212" s="989"/>
      <c r="MCZ212" s="959"/>
      <c r="MDA212" s="959"/>
      <c r="MDE212" s="915"/>
      <c r="MDF212" s="915"/>
      <c r="MDG212" s="915"/>
      <c r="MDI212" s="917"/>
      <c r="MDK212" s="915"/>
      <c r="MDL212" s="915"/>
      <c r="MDM212" s="915"/>
      <c r="MDN212" s="916"/>
      <c r="MDQ212" s="989"/>
      <c r="MDR212" s="989"/>
      <c r="MDS212" s="989"/>
      <c r="MDT212" s="989"/>
      <c r="MDU212" s="989"/>
      <c r="MDV212" s="989"/>
      <c r="MDW212" s="959"/>
      <c r="MDX212" s="959"/>
      <c r="MEB212" s="915"/>
      <c r="MEC212" s="915"/>
      <c r="MED212" s="915"/>
      <c r="MEF212" s="917"/>
      <c r="MEH212" s="915"/>
      <c r="MEI212" s="915"/>
      <c r="MEJ212" s="915"/>
      <c r="MEK212" s="916"/>
      <c r="MEN212" s="989"/>
      <c r="MEO212" s="989"/>
      <c r="MEP212" s="989"/>
      <c r="MEQ212" s="989"/>
      <c r="MER212" s="989"/>
      <c r="MES212" s="989"/>
      <c r="MET212" s="959"/>
      <c r="MEU212" s="959"/>
      <c r="MEY212" s="915"/>
      <c r="MEZ212" s="915"/>
      <c r="MFA212" s="915"/>
      <c r="MFC212" s="917"/>
      <c r="MFE212" s="915"/>
      <c r="MFF212" s="915"/>
      <c r="MFG212" s="915"/>
      <c r="MFH212" s="916"/>
      <c r="MFK212" s="989"/>
      <c r="MFL212" s="989"/>
      <c r="MFM212" s="989"/>
      <c r="MFN212" s="989"/>
      <c r="MFO212" s="989"/>
      <c r="MFP212" s="989"/>
      <c r="MFQ212" s="959"/>
      <c r="MFR212" s="959"/>
      <c r="MFV212" s="915"/>
      <c r="MFW212" s="915"/>
      <c r="MFX212" s="915"/>
      <c r="MFZ212" s="917"/>
      <c r="MGB212" s="915"/>
      <c r="MGC212" s="915"/>
      <c r="MGD212" s="915"/>
      <c r="MGE212" s="916"/>
      <c r="MGH212" s="989"/>
      <c r="MGI212" s="989"/>
      <c r="MGJ212" s="989"/>
      <c r="MGK212" s="989"/>
      <c r="MGL212" s="989"/>
      <c r="MGM212" s="989"/>
      <c r="MGN212" s="959"/>
      <c r="MGO212" s="959"/>
      <c r="MGS212" s="915"/>
      <c r="MGT212" s="915"/>
      <c r="MGU212" s="915"/>
      <c r="MGW212" s="917"/>
      <c r="MGY212" s="915"/>
      <c r="MGZ212" s="915"/>
      <c r="MHA212" s="915"/>
      <c r="MHB212" s="916"/>
      <c r="MHE212" s="989"/>
      <c r="MHF212" s="989"/>
      <c r="MHG212" s="989"/>
      <c r="MHH212" s="989"/>
      <c r="MHI212" s="989"/>
      <c r="MHJ212" s="989"/>
      <c r="MHK212" s="959"/>
      <c r="MHL212" s="959"/>
      <c r="MHP212" s="915"/>
      <c r="MHQ212" s="915"/>
      <c r="MHR212" s="915"/>
      <c r="MHT212" s="917"/>
      <c r="MHV212" s="915"/>
      <c r="MHW212" s="915"/>
      <c r="MHX212" s="915"/>
      <c r="MHY212" s="916"/>
      <c r="MIB212" s="989"/>
      <c r="MIC212" s="989"/>
      <c r="MID212" s="989"/>
      <c r="MIE212" s="989"/>
      <c r="MIF212" s="989"/>
      <c r="MIG212" s="989"/>
      <c r="MIH212" s="959"/>
      <c r="MII212" s="959"/>
      <c r="MIM212" s="915"/>
      <c r="MIN212" s="915"/>
      <c r="MIO212" s="915"/>
      <c r="MIQ212" s="917"/>
      <c r="MIS212" s="915"/>
      <c r="MIT212" s="915"/>
      <c r="MIU212" s="915"/>
      <c r="MIV212" s="916"/>
      <c r="MIY212" s="989"/>
      <c r="MIZ212" s="989"/>
      <c r="MJA212" s="989"/>
      <c r="MJB212" s="989"/>
      <c r="MJC212" s="989"/>
      <c r="MJD212" s="989"/>
      <c r="MJE212" s="959"/>
      <c r="MJF212" s="959"/>
      <c r="MJJ212" s="915"/>
      <c r="MJK212" s="915"/>
      <c r="MJL212" s="915"/>
      <c r="MJN212" s="917"/>
      <c r="MJP212" s="915"/>
      <c r="MJQ212" s="915"/>
      <c r="MJR212" s="915"/>
      <c r="MJS212" s="916"/>
      <c r="MJV212" s="989"/>
      <c r="MJW212" s="989"/>
      <c r="MJX212" s="989"/>
      <c r="MJY212" s="989"/>
      <c r="MJZ212" s="989"/>
      <c r="MKA212" s="989"/>
      <c r="MKB212" s="959"/>
      <c r="MKC212" s="959"/>
      <c r="MKG212" s="915"/>
      <c r="MKH212" s="915"/>
      <c r="MKI212" s="915"/>
      <c r="MKK212" s="917"/>
      <c r="MKM212" s="915"/>
      <c r="MKN212" s="915"/>
      <c r="MKO212" s="915"/>
      <c r="MKP212" s="916"/>
      <c r="MKS212" s="989"/>
      <c r="MKT212" s="989"/>
      <c r="MKU212" s="989"/>
      <c r="MKV212" s="989"/>
      <c r="MKW212" s="989"/>
      <c r="MKX212" s="989"/>
      <c r="MKY212" s="959"/>
      <c r="MKZ212" s="959"/>
      <c r="MLD212" s="915"/>
      <c r="MLE212" s="915"/>
      <c r="MLF212" s="915"/>
      <c r="MLH212" s="917"/>
      <c r="MLJ212" s="915"/>
      <c r="MLK212" s="915"/>
      <c r="MLL212" s="915"/>
      <c r="MLM212" s="916"/>
      <c r="MLP212" s="989"/>
      <c r="MLQ212" s="989"/>
      <c r="MLR212" s="989"/>
      <c r="MLS212" s="989"/>
      <c r="MLT212" s="989"/>
      <c r="MLU212" s="989"/>
      <c r="MLV212" s="959"/>
      <c r="MLW212" s="959"/>
      <c r="MMA212" s="915"/>
      <c r="MMB212" s="915"/>
      <c r="MMC212" s="915"/>
      <c r="MME212" s="917"/>
      <c r="MMG212" s="915"/>
      <c r="MMH212" s="915"/>
      <c r="MMI212" s="915"/>
      <c r="MMJ212" s="916"/>
      <c r="MMM212" s="989"/>
      <c r="MMN212" s="989"/>
      <c r="MMO212" s="989"/>
      <c r="MMP212" s="989"/>
      <c r="MMQ212" s="989"/>
      <c r="MMR212" s="989"/>
      <c r="MMS212" s="959"/>
      <c r="MMT212" s="959"/>
      <c r="MMX212" s="915"/>
      <c r="MMY212" s="915"/>
      <c r="MMZ212" s="915"/>
      <c r="MNB212" s="917"/>
      <c r="MND212" s="915"/>
      <c r="MNE212" s="915"/>
      <c r="MNF212" s="915"/>
      <c r="MNG212" s="916"/>
      <c r="MNJ212" s="989"/>
      <c r="MNK212" s="989"/>
      <c r="MNL212" s="989"/>
      <c r="MNM212" s="989"/>
      <c r="MNN212" s="989"/>
      <c r="MNO212" s="989"/>
      <c r="MNP212" s="959"/>
      <c r="MNQ212" s="959"/>
      <c r="MNU212" s="915"/>
      <c r="MNV212" s="915"/>
      <c r="MNW212" s="915"/>
      <c r="MNY212" s="917"/>
      <c r="MOA212" s="915"/>
      <c r="MOB212" s="915"/>
      <c r="MOC212" s="915"/>
      <c r="MOD212" s="916"/>
      <c r="MOG212" s="989"/>
      <c r="MOH212" s="989"/>
      <c r="MOI212" s="989"/>
      <c r="MOJ212" s="989"/>
      <c r="MOK212" s="989"/>
      <c r="MOL212" s="989"/>
      <c r="MOM212" s="959"/>
      <c r="MON212" s="959"/>
      <c r="MOR212" s="915"/>
      <c r="MOS212" s="915"/>
      <c r="MOT212" s="915"/>
      <c r="MOV212" s="917"/>
      <c r="MOX212" s="915"/>
      <c r="MOY212" s="915"/>
      <c r="MOZ212" s="915"/>
      <c r="MPA212" s="916"/>
      <c r="MPD212" s="989"/>
      <c r="MPE212" s="989"/>
      <c r="MPF212" s="989"/>
      <c r="MPG212" s="989"/>
      <c r="MPH212" s="989"/>
      <c r="MPI212" s="989"/>
      <c r="MPJ212" s="959"/>
      <c r="MPK212" s="959"/>
      <c r="MPO212" s="915"/>
      <c r="MPP212" s="915"/>
      <c r="MPQ212" s="915"/>
      <c r="MPS212" s="917"/>
      <c r="MPU212" s="915"/>
      <c r="MPV212" s="915"/>
      <c r="MPW212" s="915"/>
      <c r="MPX212" s="916"/>
      <c r="MQA212" s="989"/>
      <c r="MQB212" s="989"/>
      <c r="MQC212" s="989"/>
      <c r="MQD212" s="989"/>
      <c r="MQE212" s="989"/>
      <c r="MQF212" s="989"/>
      <c r="MQG212" s="959"/>
      <c r="MQH212" s="959"/>
      <c r="MQL212" s="915"/>
      <c r="MQM212" s="915"/>
      <c r="MQN212" s="915"/>
      <c r="MQP212" s="917"/>
      <c r="MQR212" s="915"/>
      <c r="MQS212" s="915"/>
      <c r="MQT212" s="915"/>
      <c r="MQU212" s="916"/>
      <c r="MQX212" s="989"/>
      <c r="MQY212" s="989"/>
      <c r="MQZ212" s="989"/>
      <c r="MRA212" s="989"/>
      <c r="MRB212" s="989"/>
      <c r="MRC212" s="989"/>
      <c r="MRD212" s="959"/>
      <c r="MRE212" s="959"/>
      <c r="MRI212" s="915"/>
      <c r="MRJ212" s="915"/>
      <c r="MRK212" s="915"/>
      <c r="MRM212" s="917"/>
      <c r="MRO212" s="915"/>
      <c r="MRP212" s="915"/>
      <c r="MRQ212" s="915"/>
      <c r="MRR212" s="916"/>
      <c r="MRU212" s="989"/>
      <c r="MRV212" s="989"/>
      <c r="MRW212" s="989"/>
      <c r="MRX212" s="989"/>
      <c r="MRY212" s="989"/>
      <c r="MRZ212" s="989"/>
      <c r="MSA212" s="959"/>
      <c r="MSB212" s="959"/>
      <c r="MSF212" s="915"/>
      <c r="MSG212" s="915"/>
      <c r="MSH212" s="915"/>
      <c r="MSJ212" s="917"/>
      <c r="MSL212" s="915"/>
      <c r="MSM212" s="915"/>
      <c r="MSN212" s="915"/>
      <c r="MSO212" s="916"/>
      <c r="MSR212" s="989"/>
      <c r="MSS212" s="989"/>
      <c r="MST212" s="989"/>
      <c r="MSU212" s="989"/>
      <c r="MSV212" s="989"/>
      <c r="MSW212" s="989"/>
      <c r="MSX212" s="959"/>
      <c r="MSY212" s="959"/>
      <c r="MTC212" s="915"/>
      <c r="MTD212" s="915"/>
      <c r="MTE212" s="915"/>
      <c r="MTG212" s="917"/>
      <c r="MTI212" s="915"/>
      <c r="MTJ212" s="915"/>
      <c r="MTK212" s="915"/>
      <c r="MTL212" s="916"/>
      <c r="MTO212" s="989"/>
      <c r="MTP212" s="989"/>
      <c r="MTQ212" s="989"/>
      <c r="MTR212" s="989"/>
      <c r="MTS212" s="989"/>
      <c r="MTT212" s="989"/>
      <c r="MTU212" s="959"/>
      <c r="MTV212" s="959"/>
      <c r="MTZ212" s="915"/>
      <c r="MUA212" s="915"/>
      <c r="MUB212" s="915"/>
      <c r="MUD212" s="917"/>
      <c r="MUF212" s="915"/>
      <c r="MUG212" s="915"/>
      <c r="MUH212" s="915"/>
      <c r="MUI212" s="916"/>
      <c r="MUL212" s="989"/>
      <c r="MUM212" s="989"/>
      <c r="MUN212" s="989"/>
      <c r="MUO212" s="989"/>
      <c r="MUP212" s="989"/>
      <c r="MUQ212" s="989"/>
      <c r="MUR212" s="959"/>
      <c r="MUS212" s="959"/>
      <c r="MUW212" s="915"/>
      <c r="MUX212" s="915"/>
      <c r="MUY212" s="915"/>
      <c r="MVA212" s="917"/>
      <c r="MVC212" s="915"/>
      <c r="MVD212" s="915"/>
      <c r="MVE212" s="915"/>
      <c r="MVF212" s="916"/>
      <c r="MVI212" s="989"/>
      <c r="MVJ212" s="989"/>
      <c r="MVK212" s="989"/>
      <c r="MVL212" s="989"/>
      <c r="MVM212" s="989"/>
      <c r="MVN212" s="989"/>
      <c r="MVO212" s="959"/>
      <c r="MVP212" s="959"/>
      <c r="MVT212" s="915"/>
      <c r="MVU212" s="915"/>
      <c r="MVV212" s="915"/>
      <c r="MVX212" s="917"/>
      <c r="MVZ212" s="915"/>
      <c r="MWA212" s="915"/>
      <c r="MWB212" s="915"/>
      <c r="MWC212" s="916"/>
      <c r="MWF212" s="989"/>
      <c r="MWG212" s="989"/>
      <c r="MWH212" s="989"/>
      <c r="MWI212" s="989"/>
      <c r="MWJ212" s="989"/>
      <c r="MWK212" s="989"/>
      <c r="MWL212" s="959"/>
      <c r="MWM212" s="959"/>
      <c r="MWQ212" s="915"/>
      <c r="MWR212" s="915"/>
      <c r="MWS212" s="915"/>
      <c r="MWU212" s="917"/>
      <c r="MWW212" s="915"/>
      <c r="MWX212" s="915"/>
      <c r="MWY212" s="915"/>
      <c r="MWZ212" s="916"/>
      <c r="MXC212" s="989"/>
      <c r="MXD212" s="989"/>
      <c r="MXE212" s="989"/>
      <c r="MXF212" s="989"/>
      <c r="MXG212" s="989"/>
      <c r="MXH212" s="989"/>
      <c r="MXI212" s="959"/>
      <c r="MXJ212" s="959"/>
      <c r="MXN212" s="915"/>
      <c r="MXO212" s="915"/>
      <c r="MXP212" s="915"/>
      <c r="MXR212" s="917"/>
      <c r="MXT212" s="915"/>
      <c r="MXU212" s="915"/>
      <c r="MXV212" s="915"/>
      <c r="MXW212" s="916"/>
      <c r="MXZ212" s="989"/>
      <c r="MYA212" s="989"/>
      <c r="MYB212" s="989"/>
      <c r="MYC212" s="989"/>
      <c r="MYD212" s="989"/>
      <c r="MYE212" s="989"/>
      <c r="MYF212" s="959"/>
      <c r="MYG212" s="959"/>
      <c r="MYK212" s="915"/>
      <c r="MYL212" s="915"/>
      <c r="MYM212" s="915"/>
      <c r="MYO212" s="917"/>
      <c r="MYQ212" s="915"/>
      <c r="MYR212" s="915"/>
      <c r="MYS212" s="915"/>
      <c r="MYT212" s="916"/>
      <c r="MYW212" s="989"/>
      <c r="MYX212" s="989"/>
      <c r="MYY212" s="989"/>
      <c r="MYZ212" s="989"/>
      <c r="MZA212" s="989"/>
      <c r="MZB212" s="989"/>
      <c r="MZC212" s="959"/>
      <c r="MZD212" s="959"/>
      <c r="MZH212" s="915"/>
      <c r="MZI212" s="915"/>
      <c r="MZJ212" s="915"/>
      <c r="MZL212" s="917"/>
      <c r="MZN212" s="915"/>
      <c r="MZO212" s="915"/>
      <c r="MZP212" s="915"/>
      <c r="MZQ212" s="916"/>
      <c r="MZT212" s="989"/>
      <c r="MZU212" s="989"/>
      <c r="MZV212" s="989"/>
      <c r="MZW212" s="989"/>
      <c r="MZX212" s="989"/>
      <c r="MZY212" s="989"/>
      <c r="MZZ212" s="959"/>
      <c r="NAA212" s="959"/>
      <c r="NAE212" s="915"/>
      <c r="NAF212" s="915"/>
      <c r="NAG212" s="915"/>
      <c r="NAI212" s="917"/>
      <c r="NAK212" s="915"/>
      <c r="NAL212" s="915"/>
      <c r="NAM212" s="915"/>
      <c r="NAN212" s="916"/>
      <c r="NAQ212" s="989"/>
      <c r="NAR212" s="989"/>
      <c r="NAS212" s="989"/>
      <c r="NAT212" s="989"/>
      <c r="NAU212" s="989"/>
      <c r="NAV212" s="989"/>
      <c r="NAW212" s="959"/>
      <c r="NAX212" s="959"/>
      <c r="NBB212" s="915"/>
      <c r="NBC212" s="915"/>
      <c r="NBD212" s="915"/>
      <c r="NBF212" s="917"/>
      <c r="NBH212" s="915"/>
      <c r="NBI212" s="915"/>
      <c r="NBJ212" s="915"/>
      <c r="NBK212" s="916"/>
      <c r="NBN212" s="989"/>
      <c r="NBO212" s="989"/>
      <c r="NBP212" s="989"/>
      <c r="NBQ212" s="989"/>
      <c r="NBR212" s="989"/>
      <c r="NBS212" s="989"/>
      <c r="NBT212" s="959"/>
      <c r="NBU212" s="959"/>
      <c r="NBY212" s="915"/>
      <c r="NBZ212" s="915"/>
      <c r="NCA212" s="915"/>
      <c r="NCC212" s="917"/>
      <c r="NCE212" s="915"/>
      <c r="NCF212" s="915"/>
      <c r="NCG212" s="915"/>
      <c r="NCH212" s="916"/>
      <c r="NCK212" s="989"/>
      <c r="NCL212" s="989"/>
      <c r="NCM212" s="989"/>
      <c r="NCN212" s="989"/>
      <c r="NCO212" s="989"/>
      <c r="NCP212" s="989"/>
      <c r="NCQ212" s="959"/>
      <c r="NCR212" s="959"/>
      <c r="NCV212" s="915"/>
      <c r="NCW212" s="915"/>
      <c r="NCX212" s="915"/>
      <c r="NCZ212" s="917"/>
      <c r="NDB212" s="915"/>
      <c r="NDC212" s="915"/>
      <c r="NDD212" s="915"/>
      <c r="NDE212" s="916"/>
      <c r="NDH212" s="989"/>
      <c r="NDI212" s="989"/>
      <c r="NDJ212" s="989"/>
      <c r="NDK212" s="989"/>
      <c r="NDL212" s="989"/>
      <c r="NDM212" s="989"/>
      <c r="NDN212" s="959"/>
      <c r="NDO212" s="959"/>
      <c r="NDS212" s="915"/>
      <c r="NDT212" s="915"/>
      <c r="NDU212" s="915"/>
      <c r="NDW212" s="917"/>
      <c r="NDY212" s="915"/>
      <c r="NDZ212" s="915"/>
      <c r="NEA212" s="915"/>
      <c r="NEB212" s="916"/>
      <c r="NEE212" s="989"/>
      <c r="NEF212" s="989"/>
      <c r="NEG212" s="989"/>
      <c r="NEH212" s="989"/>
      <c r="NEI212" s="989"/>
      <c r="NEJ212" s="989"/>
      <c r="NEK212" s="959"/>
      <c r="NEL212" s="959"/>
      <c r="NEP212" s="915"/>
      <c r="NEQ212" s="915"/>
      <c r="NER212" s="915"/>
      <c r="NET212" s="917"/>
      <c r="NEV212" s="915"/>
      <c r="NEW212" s="915"/>
      <c r="NEX212" s="915"/>
      <c r="NEY212" s="916"/>
      <c r="NFB212" s="989"/>
      <c r="NFC212" s="989"/>
      <c r="NFD212" s="989"/>
      <c r="NFE212" s="989"/>
      <c r="NFF212" s="989"/>
      <c r="NFG212" s="989"/>
      <c r="NFH212" s="959"/>
      <c r="NFI212" s="959"/>
      <c r="NFM212" s="915"/>
      <c r="NFN212" s="915"/>
      <c r="NFO212" s="915"/>
      <c r="NFQ212" s="917"/>
      <c r="NFS212" s="915"/>
      <c r="NFT212" s="915"/>
      <c r="NFU212" s="915"/>
      <c r="NFV212" s="916"/>
      <c r="NFY212" s="989"/>
      <c r="NFZ212" s="989"/>
      <c r="NGA212" s="989"/>
      <c r="NGB212" s="989"/>
      <c r="NGC212" s="989"/>
      <c r="NGD212" s="989"/>
      <c r="NGE212" s="959"/>
      <c r="NGF212" s="959"/>
      <c r="NGJ212" s="915"/>
      <c r="NGK212" s="915"/>
      <c r="NGL212" s="915"/>
      <c r="NGN212" s="917"/>
      <c r="NGP212" s="915"/>
      <c r="NGQ212" s="915"/>
      <c r="NGR212" s="915"/>
      <c r="NGS212" s="916"/>
      <c r="NGV212" s="989"/>
      <c r="NGW212" s="989"/>
      <c r="NGX212" s="989"/>
      <c r="NGY212" s="989"/>
      <c r="NGZ212" s="989"/>
      <c r="NHA212" s="989"/>
      <c r="NHB212" s="959"/>
      <c r="NHC212" s="959"/>
      <c r="NHG212" s="915"/>
      <c r="NHH212" s="915"/>
      <c r="NHI212" s="915"/>
      <c r="NHK212" s="917"/>
      <c r="NHM212" s="915"/>
      <c r="NHN212" s="915"/>
      <c r="NHO212" s="915"/>
      <c r="NHP212" s="916"/>
      <c r="NHS212" s="989"/>
      <c r="NHT212" s="989"/>
      <c r="NHU212" s="989"/>
      <c r="NHV212" s="989"/>
      <c r="NHW212" s="989"/>
      <c r="NHX212" s="989"/>
      <c r="NHY212" s="959"/>
      <c r="NHZ212" s="959"/>
      <c r="NID212" s="915"/>
      <c r="NIE212" s="915"/>
      <c r="NIF212" s="915"/>
      <c r="NIH212" s="917"/>
      <c r="NIJ212" s="915"/>
      <c r="NIK212" s="915"/>
      <c r="NIL212" s="915"/>
      <c r="NIM212" s="916"/>
      <c r="NIP212" s="989"/>
      <c r="NIQ212" s="989"/>
      <c r="NIR212" s="989"/>
      <c r="NIS212" s="989"/>
      <c r="NIT212" s="989"/>
      <c r="NIU212" s="989"/>
      <c r="NIV212" s="959"/>
      <c r="NIW212" s="959"/>
      <c r="NJA212" s="915"/>
      <c r="NJB212" s="915"/>
      <c r="NJC212" s="915"/>
      <c r="NJE212" s="917"/>
      <c r="NJG212" s="915"/>
      <c r="NJH212" s="915"/>
      <c r="NJI212" s="915"/>
      <c r="NJJ212" s="916"/>
      <c r="NJM212" s="989"/>
      <c r="NJN212" s="989"/>
      <c r="NJO212" s="989"/>
      <c r="NJP212" s="989"/>
      <c r="NJQ212" s="989"/>
      <c r="NJR212" s="989"/>
      <c r="NJS212" s="959"/>
      <c r="NJT212" s="959"/>
      <c r="NJX212" s="915"/>
      <c r="NJY212" s="915"/>
      <c r="NJZ212" s="915"/>
      <c r="NKB212" s="917"/>
      <c r="NKD212" s="915"/>
      <c r="NKE212" s="915"/>
      <c r="NKF212" s="915"/>
      <c r="NKG212" s="916"/>
      <c r="NKJ212" s="989"/>
      <c r="NKK212" s="989"/>
      <c r="NKL212" s="989"/>
      <c r="NKM212" s="989"/>
      <c r="NKN212" s="989"/>
      <c r="NKO212" s="989"/>
      <c r="NKP212" s="959"/>
      <c r="NKQ212" s="959"/>
      <c r="NKU212" s="915"/>
      <c r="NKV212" s="915"/>
      <c r="NKW212" s="915"/>
      <c r="NKY212" s="917"/>
      <c r="NLA212" s="915"/>
      <c r="NLB212" s="915"/>
      <c r="NLC212" s="915"/>
      <c r="NLD212" s="916"/>
      <c r="NLG212" s="989"/>
      <c r="NLH212" s="989"/>
      <c r="NLI212" s="989"/>
      <c r="NLJ212" s="989"/>
      <c r="NLK212" s="989"/>
      <c r="NLL212" s="989"/>
      <c r="NLM212" s="959"/>
      <c r="NLN212" s="959"/>
      <c r="NLR212" s="915"/>
      <c r="NLS212" s="915"/>
      <c r="NLT212" s="915"/>
      <c r="NLV212" s="917"/>
      <c r="NLX212" s="915"/>
      <c r="NLY212" s="915"/>
      <c r="NLZ212" s="915"/>
      <c r="NMA212" s="916"/>
      <c r="NMD212" s="989"/>
      <c r="NME212" s="989"/>
      <c r="NMF212" s="989"/>
      <c r="NMG212" s="989"/>
      <c r="NMH212" s="989"/>
      <c r="NMI212" s="989"/>
      <c r="NMJ212" s="959"/>
      <c r="NMK212" s="959"/>
      <c r="NMO212" s="915"/>
      <c r="NMP212" s="915"/>
      <c r="NMQ212" s="915"/>
      <c r="NMS212" s="917"/>
      <c r="NMU212" s="915"/>
      <c r="NMV212" s="915"/>
      <c r="NMW212" s="915"/>
      <c r="NMX212" s="916"/>
      <c r="NNA212" s="989"/>
      <c r="NNB212" s="989"/>
      <c r="NNC212" s="989"/>
      <c r="NND212" s="989"/>
      <c r="NNE212" s="989"/>
      <c r="NNF212" s="989"/>
      <c r="NNG212" s="959"/>
      <c r="NNH212" s="959"/>
      <c r="NNL212" s="915"/>
      <c r="NNM212" s="915"/>
      <c r="NNN212" s="915"/>
      <c r="NNP212" s="917"/>
      <c r="NNR212" s="915"/>
      <c r="NNS212" s="915"/>
      <c r="NNT212" s="915"/>
      <c r="NNU212" s="916"/>
      <c r="NNX212" s="989"/>
      <c r="NNY212" s="989"/>
      <c r="NNZ212" s="989"/>
      <c r="NOA212" s="989"/>
      <c r="NOB212" s="989"/>
      <c r="NOC212" s="989"/>
      <c r="NOD212" s="959"/>
      <c r="NOE212" s="959"/>
      <c r="NOI212" s="915"/>
      <c r="NOJ212" s="915"/>
      <c r="NOK212" s="915"/>
      <c r="NOM212" s="917"/>
      <c r="NOO212" s="915"/>
      <c r="NOP212" s="915"/>
      <c r="NOQ212" s="915"/>
      <c r="NOR212" s="916"/>
      <c r="NOU212" s="989"/>
      <c r="NOV212" s="989"/>
      <c r="NOW212" s="989"/>
      <c r="NOX212" s="989"/>
      <c r="NOY212" s="989"/>
      <c r="NOZ212" s="989"/>
      <c r="NPA212" s="959"/>
      <c r="NPB212" s="959"/>
      <c r="NPF212" s="915"/>
      <c r="NPG212" s="915"/>
      <c r="NPH212" s="915"/>
      <c r="NPJ212" s="917"/>
      <c r="NPL212" s="915"/>
      <c r="NPM212" s="915"/>
      <c r="NPN212" s="915"/>
      <c r="NPO212" s="916"/>
      <c r="NPR212" s="989"/>
      <c r="NPS212" s="989"/>
      <c r="NPT212" s="989"/>
      <c r="NPU212" s="989"/>
      <c r="NPV212" s="989"/>
      <c r="NPW212" s="989"/>
      <c r="NPX212" s="959"/>
      <c r="NPY212" s="959"/>
      <c r="NQC212" s="915"/>
      <c r="NQD212" s="915"/>
      <c r="NQE212" s="915"/>
      <c r="NQG212" s="917"/>
      <c r="NQI212" s="915"/>
      <c r="NQJ212" s="915"/>
      <c r="NQK212" s="915"/>
      <c r="NQL212" s="916"/>
      <c r="NQO212" s="989"/>
      <c r="NQP212" s="989"/>
      <c r="NQQ212" s="989"/>
      <c r="NQR212" s="989"/>
      <c r="NQS212" s="989"/>
      <c r="NQT212" s="989"/>
      <c r="NQU212" s="959"/>
      <c r="NQV212" s="959"/>
      <c r="NQZ212" s="915"/>
      <c r="NRA212" s="915"/>
      <c r="NRB212" s="915"/>
      <c r="NRD212" s="917"/>
      <c r="NRF212" s="915"/>
      <c r="NRG212" s="915"/>
      <c r="NRH212" s="915"/>
      <c r="NRI212" s="916"/>
      <c r="NRL212" s="989"/>
      <c r="NRM212" s="989"/>
      <c r="NRN212" s="989"/>
      <c r="NRO212" s="989"/>
      <c r="NRP212" s="989"/>
      <c r="NRQ212" s="989"/>
      <c r="NRR212" s="959"/>
      <c r="NRS212" s="959"/>
      <c r="NRW212" s="915"/>
      <c r="NRX212" s="915"/>
      <c r="NRY212" s="915"/>
      <c r="NSA212" s="917"/>
      <c r="NSC212" s="915"/>
      <c r="NSD212" s="915"/>
      <c r="NSE212" s="915"/>
      <c r="NSF212" s="916"/>
      <c r="NSI212" s="989"/>
      <c r="NSJ212" s="989"/>
      <c r="NSK212" s="989"/>
      <c r="NSL212" s="989"/>
      <c r="NSM212" s="989"/>
      <c r="NSN212" s="989"/>
      <c r="NSO212" s="959"/>
      <c r="NSP212" s="959"/>
      <c r="NST212" s="915"/>
      <c r="NSU212" s="915"/>
      <c r="NSV212" s="915"/>
      <c r="NSX212" s="917"/>
      <c r="NSZ212" s="915"/>
      <c r="NTA212" s="915"/>
      <c r="NTB212" s="915"/>
      <c r="NTC212" s="916"/>
      <c r="NTF212" s="989"/>
      <c r="NTG212" s="989"/>
      <c r="NTH212" s="989"/>
      <c r="NTI212" s="989"/>
      <c r="NTJ212" s="989"/>
      <c r="NTK212" s="989"/>
      <c r="NTL212" s="959"/>
      <c r="NTM212" s="959"/>
      <c r="NTQ212" s="915"/>
      <c r="NTR212" s="915"/>
      <c r="NTS212" s="915"/>
      <c r="NTU212" s="917"/>
      <c r="NTW212" s="915"/>
      <c r="NTX212" s="915"/>
      <c r="NTY212" s="915"/>
      <c r="NTZ212" s="916"/>
      <c r="NUC212" s="989"/>
      <c r="NUD212" s="989"/>
      <c r="NUE212" s="989"/>
      <c r="NUF212" s="989"/>
      <c r="NUG212" s="989"/>
      <c r="NUH212" s="989"/>
      <c r="NUI212" s="959"/>
      <c r="NUJ212" s="959"/>
      <c r="NUN212" s="915"/>
      <c r="NUO212" s="915"/>
      <c r="NUP212" s="915"/>
      <c r="NUR212" s="917"/>
      <c r="NUT212" s="915"/>
      <c r="NUU212" s="915"/>
      <c r="NUV212" s="915"/>
      <c r="NUW212" s="916"/>
      <c r="NUZ212" s="989"/>
      <c r="NVA212" s="989"/>
      <c r="NVB212" s="989"/>
      <c r="NVC212" s="989"/>
      <c r="NVD212" s="989"/>
      <c r="NVE212" s="989"/>
      <c r="NVF212" s="959"/>
      <c r="NVG212" s="959"/>
      <c r="NVK212" s="915"/>
      <c r="NVL212" s="915"/>
      <c r="NVM212" s="915"/>
      <c r="NVO212" s="917"/>
      <c r="NVQ212" s="915"/>
      <c r="NVR212" s="915"/>
      <c r="NVS212" s="915"/>
      <c r="NVT212" s="916"/>
      <c r="NVW212" s="989"/>
      <c r="NVX212" s="989"/>
      <c r="NVY212" s="989"/>
      <c r="NVZ212" s="989"/>
      <c r="NWA212" s="989"/>
      <c r="NWB212" s="989"/>
      <c r="NWC212" s="959"/>
      <c r="NWD212" s="959"/>
      <c r="NWH212" s="915"/>
      <c r="NWI212" s="915"/>
      <c r="NWJ212" s="915"/>
      <c r="NWL212" s="917"/>
      <c r="NWN212" s="915"/>
      <c r="NWO212" s="915"/>
      <c r="NWP212" s="915"/>
      <c r="NWQ212" s="916"/>
      <c r="NWT212" s="989"/>
      <c r="NWU212" s="989"/>
      <c r="NWV212" s="989"/>
      <c r="NWW212" s="989"/>
      <c r="NWX212" s="989"/>
      <c r="NWY212" s="989"/>
      <c r="NWZ212" s="959"/>
      <c r="NXA212" s="959"/>
      <c r="NXE212" s="915"/>
      <c r="NXF212" s="915"/>
      <c r="NXG212" s="915"/>
      <c r="NXI212" s="917"/>
      <c r="NXK212" s="915"/>
      <c r="NXL212" s="915"/>
      <c r="NXM212" s="915"/>
      <c r="NXN212" s="916"/>
      <c r="NXQ212" s="989"/>
      <c r="NXR212" s="989"/>
      <c r="NXS212" s="989"/>
      <c r="NXT212" s="989"/>
      <c r="NXU212" s="989"/>
      <c r="NXV212" s="989"/>
      <c r="NXW212" s="959"/>
      <c r="NXX212" s="959"/>
      <c r="NYB212" s="915"/>
      <c r="NYC212" s="915"/>
      <c r="NYD212" s="915"/>
      <c r="NYF212" s="917"/>
      <c r="NYH212" s="915"/>
      <c r="NYI212" s="915"/>
      <c r="NYJ212" s="915"/>
      <c r="NYK212" s="916"/>
      <c r="NYN212" s="989"/>
      <c r="NYO212" s="989"/>
      <c r="NYP212" s="989"/>
      <c r="NYQ212" s="989"/>
      <c r="NYR212" s="989"/>
      <c r="NYS212" s="989"/>
      <c r="NYT212" s="959"/>
      <c r="NYU212" s="959"/>
      <c r="NYY212" s="915"/>
      <c r="NYZ212" s="915"/>
      <c r="NZA212" s="915"/>
      <c r="NZC212" s="917"/>
      <c r="NZE212" s="915"/>
      <c r="NZF212" s="915"/>
      <c r="NZG212" s="915"/>
      <c r="NZH212" s="916"/>
      <c r="NZK212" s="989"/>
      <c r="NZL212" s="989"/>
      <c r="NZM212" s="989"/>
      <c r="NZN212" s="989"/>
      <c r="NZO212" s="989"/>
      <c r="NZP212" s="989"/>
      <c r="NZQ212" s="959"/>
      <c r="NZR212" s="959"/>
      <c r="NZV212" s="915"/>
      <c r="NZW212" s="915"/>
      <c r="NZX212" s="915"/>
      <c r="NZZ212" s="917"/>
      <c r="OAB212" s="915"/>
      <c r="OAC212" s="915"/>
      <c r="OAD212" s="915"/>
      <c r="OAE212" s="916"/>
      <c r="OAH212" s="989"/>
      <c r="OAI212" s="989"/>
      <c r="OAJ212" s="989"/>
      <c r="OAK212" s="989"/>
      <c r="OAL212" s="989"/>
      <c r="OAM212" s="989"/>
      <c r="OAN212" s="959"/>
      <c r="OAO212" s="959"/>
      <c r="OAS212" s="915"/>
      <c r="OAT212" s="915"/>
      <c r="OAU212" s="915"/>
      <c r="OAW212" s="917"/>
      <c r="OAY212" s="915"/>
      <c r="OAZ212" s="915"/>
      <c r="OBA212" s="915"/>
      <c r="OBB212" s="916"/>
      <c r="OBE212" s="989"/>
      <c r="OBF212" s="989"/>
      <c r="OBG212" s="989"/>
      <c r="OBH212" s="989"/>
      <c r="OBI212" s="989"/>
      <c r="OBJ212" s="989"/>
      <c r="OBK212" s="959"/>
      <c r="OBL212" s="959"/>
      <c r="OBP212" s="915"/>
      <c r="OBQ212" s="915"/>
      <c r="OBR212" s="915"/>
      <c r="OBT212" s="917"/>
      <c r="OBV212" s="915"/>
      <c r="OBW212" s="915"/>
      <c r="OBX212" s="915"/>
      <c r="OBY212" s="916"/>
      <c r="OCB212" s="989"/>
      <c r="OCC212" s="989"/>
      <c r="OCD212" s="989"/>
      <c r="OCE212" s="989"/>
      <c r="OCF212" s="989"/>
      <c r="OCG212" s="989"/>
      <c r="OCH212" s="959"/>
      <c r="OCI212" s="959"/>
      <c r="OCM212" s="915"/>
      <c r="OCN212" s="915"/>
      <c r="OCO212" s="915"/>
      <c r="OCQ212" s="917"/>
      <c r="OCS212" s="915"/>
      <c r="OCT212" s="915"/>
      <c r="OCU212" s="915"/>
      <c r="OCV212" s="916"/>
      <c r="OCY212" s="989"/>
      <c r="OCZ212" s="989"/>
      <c r="ODA212" s="989"/>
      <c r="ODB212" s="989"/>
      <c r="ODC212" s="989"/>
      <c r="ODD212" s="989"/>
      <c r="ODE212" s="959"/>
      <c r="ODF212" s="959"/>
      <c r="ODJ212" s="915"/>
      <c r="ODK212" s="915"/>
      <c r="ODL212" s="915"/>
      <c r="ODN212" s="917"/>
      <c r="ODP212" s="915"/>
      <c r="ODQ212" s="915"/>
      <c r="ODR212" s="915"/>
      <c r="ODS212" s="916"/>
      <c r="ODV212" s="989"/>
      <c r="ODW212" s="989"/>
      <c r="ODX212" s="989"/>
      <c r="ODY212" s="989"/>
      <c r="ODZ212" s="989"/>
      <c r="OEA212" s="989"/>
      <c r="OEB212" s="959"/>
      <c r="OEC212" s="959"/>
      <c r="OEG212" s="915"/>
      <c r="OEH212" s="915"/>
      <c r="OEI212" s="915"/>
      <c r="OEK212" s="917"/>
      <c r="OEM212" s="915"/>
      <c r="OEN212" s="915"/>
      <c r="OEO212" s="915"/>
      <c r="OEP212" s="916"/>
      <c r="OES212" s="989"/>
      <c r="OET212" s="989"/>
      <c r="OEU212" s="989"/>
      <c r="OEV212" s="989"/>
      <c r="OEW212" s="989"/>
      <c r="OEX212" s="989"/>
      <c r="OEY212" s="959"/>
      <c r="OEZ212" s="959"/>
      <c r="OFD212" s="915"/>
      <c r="OFE212" s="915"/>
      <c r="OFF212" s="915"/>
      <c r="OFH212" s="917"/>
      <c r="OFJ212" s="915"/>
      <c r="OFK212" s="915"/>
      <c r="OFL212" s="915"/>
      <c r="OFM212" s="916"/>
      <c r="OFP212" s="989"/>
      <c r="OFQ212" s="989"/>
      <c r="OFR212" s="989"/>
      <c r="OFS212" s="989"/>
      <c r="OFT212" s="989"/>
      <c r="OFU212" s="989"/>
      <c r="OFV212" s="959"/>
      <c r="OFW212" s="959"/>
      <c r="OGA212" s="915"/>
      <c r="OGB212" s="915"/>
      <c r="OGC212" s="915"/>
      <c r="OGE212" s="917"/>
      <c r="OGG212" s="915"/>
      <c r="OGH212" s="915"/>
      <c r="OGI212" s="915"/>
      <c r="OGJ212" s="916"/>
      <c r="OGM212" s="989"/>
      <c r="OGN212" s="989"/>
      <c r="OGO212" s="989"/>
      <c r="OGP212" s="989"/>
      <c r="OGQ212" s="989"/>
      <c r="OGR212" s="989"/>
      <c r="OGS212" s="959"/>
      <c r="OGT212" s="959"/>
      <c r="OGX212" s="915"/>
      <c r="OGY212" s="915"/>
      <c r="OGZ212" s="915"/>
      <c r="OHB212" s="917"/>
      <c r="OHD212" s="915"/>
      <c r="OHE212" s="915"/>
      <c r="OHF212" s="915"/>
      <c r="OHG212" s="916"/>
      <c r="OHJ212" s="989"/>
      <c r="OHK212" s="989"/>
      <c r="OHL212" s="989"/>
      <c r="OHM212" s="989"/>
      <c r="OHN212" s="989"/>
      <c r="OHO212" s="989"/>
      <c r="OHP212" s="959"/>
      <c r="OHQ212" s="959"/>
      <c r="OHU212" s="915"/>
      <c r="OHV212" s="915"/>
      <c r="OHW212" s="915"/>
      <c r="OHY212" s="917"/>
      <c r="OIA212" s="915"/>
      <c r="OIB212" s="915"/>
      <c r="OIC212" s="915"/>
      <c r="OID212" s="916"/>
      <c r="OIG212" s="989"/>
      <c r="OIH212" s="989"/>
      <c r="OII212" s="989"/>
      <c r="OIJ212" s="989"/>
      <c r="OIK212" s="989"/>
      <c r="OIL212" s="989"/>
      <c r="OIM212" s="959"/>
      <c r="OIN212" s="959"/>
      <c r="OIR212" s="915"/>
      <c r="OIS212" s="915"/>
      <c r="OIT212" s="915"/>
      <c r="OIV212" s="917"/>
      <c r="OIX212" s="915"/>
      <c r="OIY212" s="915"/>
      <c r="OIZ212" s="915"/>
      <c r="OJA212" s="916"/>
      <c r="OJD212" s="989"/>
      <c r="OJE212" s="989"/>
      <c r="OJF212" s="989"/>
      <c r="OJG212" s="989"/>
      <c r="OJH212" s="989"/>
      <c r="OJI212" s="989"/>
      <c r="OJJ212" s="959"/>
      <c r="OJK212" s="959"/>
      <c r="OJO212" s="915"/>
      <c r="OJP212" s="915"/>
      <c r="OJQ212" s="915"/>
      <c r="OJS212" s="917"/>
      <c r="OJU212" s="915"/>
      <c r="OJV212" s="915"/>
      <c r="OJW212" s="915"/>
      <c r="OJX212" s="916"/>
      <c r="OKA212" s="989"/>
      <c r="OKB212" s="989"/>
      <c r="OKC212" s="989"/>
      <c r="OKD212" s="989"/>
      <c r="OKE212" s="989"/>
      <c r="OKF212" s="989"/>
      <c r="OKG212" s="959"/>
      <c r="OKH212" s="959"/>
      <c r="OKL212" s="915"/>
      <c r="OKM212" s="915"/>
      <c r="OKN212" s="915"/>
      <c r="OKP212" s="917"/>
      <c r="OKR212" s="915"/>
      <c r="OKS212" s="915"/>
      <c r="OKT212" s="915"/>
      <c r="OKU212" s="916"/>
      <c r="OKX212" s="989"/>
      <c r="OKY212" s="989"/>
      <c r="OKZ212" s="989"/>
      <c r="OLA212" s="989"/>
      <c r="OLB212" s="989"/>
      <c r="OLC212" s="989"/>
      <c r="OLD212" s="959"/>
      <c r="OLE212" s="959"/>
      <c r="OLI212" s="915"/>
      <c r="OLJ212" s="915"/>
      <c r="OLK212" s="915"/>
      <c r="OLM212" s="917"/>
      <c r="OLO212" s="915"/>
      <c r="OLP212" s="915"/>
      <c r="OLQ212" s="915"/>
      <c r="OLR212" s="916"/>
      <c r="OLU212" s="989"/>
      <c r="OLV212" s="989"/>
      <c r="OLW212" s="989"/>
      <c r="OLX212" s="989"/>
      <c r="OLY212" s="989"/>
      <c r="OLZ212" s="989"/>
      <c r="OMA212" s="959"/>
      <c r="OMB212" s="959"/>
      <c r="OMF212" s="915"/>
      <c r="OMG212" s="915"/>
      <c r="OMH212" s="915"/>
      <c r="OMJ212" s="917"/>
      <c r="OML212" s="915"/>
      <c r="OMM212" s="915"/>
      <c r="OMN212" s="915"/>
      <c r="OMO212" s="916"/>
      <c r="OMR212" s="989"/>
      <c r="OMS212" s="989"/>
      <c r="OMT212" s="989"/>
      <c r="OMU212" s="989"/>
      <c r="OMV212" s="989"/>
      <c r="OMW212" s="989"/>
      <c r="OMX212" s="959"/>
      <c r="OMY212" s="959"/>
      <c r="ONC212" s="915"/>
      <c r="OND212" s="915"/>
      <c r="ONE212" s="915"/>
      <c r="ONG212" s="917"/>
      <c r="ONI212" s="915"/>
      <c r="ONJ212" s="915"/>
      <c r="ONK212" s="915"/>
      <c r="ONL212" s="916"/>
      <c r="ONO212" s="989"/>
      <c r="ONP212" s="989"/>
      <c r="ONQ212" s="989"/>
      <c r="ONR212" s="989"/>
      <c r="ONS212" s="989"/>
      <c r="ONT212" s="989"/>
      <c r="ONU212" s="959"/>
      <c r="ONV212" s="959"/>
      <c r="ONZ212" s="915"/>
      <c r="OOA212" s="915"/>
      <c r="OOB212" s="915"/>
      <c r="OOD212" s="917"/>
      <c r="OOF212" s="915"/>
      <c r="OOG212" s="915"/>
      <c r="OOH212" s="915"/>
      <c r="OOI212" s="916"/>
      <c r="OOL212" s="989"/>
      <c r="OOM212" s="989"/>
      <c r="OON212" s="989"/>
      <c r="OOO212" s="989"/>
      <c r="OOP212" s="989"/>
      <c r="OOQ212" s="989"/>
      <c r="OOR212" s="959"/>
      <c r="OOS212" s="959"/>
      <c r="OOW212" s="915"/>
      <c r="OOX212" s="915"/>
      <c r="OOY212" s="915"/>
      <c r="OPA212" s="917"/>
      <c r="OPC212" s="915"/>
      <c r="OPD212" s="915"/>
      <c r="OPE212" s="915"/>
      <c r="OPF212" s="916"/>
      <c r="OPI212" s="989"/>
      <c r="OPJ212" s="989"/>
      <c r="OPK212" s="989"/>
      <c r="OPL212" s="989"/>
      <c r="OPM212" s="989"/>
      <c r="OPN212" s="989"/>
      <c r="OPO212" s="959"/>
      <c r="OPP212" s="959"/>
      <c r="OPT212" s="915"/>
      <c r="OPU212" s="915"/>
      <c r="OPV212" s="915"/>
      <c r="OPX212" s="917"/>
      <c r="OPZ212" s="915"/>
      <c r="OQA212" s="915"/>
      <c r="OQB212" s="915"/>
      <c r="OQC212" s="916"/>
      <c r="OQF212" s="989"/>
      <c r="OQG212" s="989"/>
      <c r="OQH212" s="989"/>
      <c r="OQI212" s="989"/>
      <c r="OQJ212" s="989"/>
      <c r="OQK212" s="989"/>
      <c r="OQL212" s="959"/>
      <c r="OQM212" s="959"/>
      <c r="OQQ212" s="915"/>
      <c r="OQR212" s="915"/>
      <c r="OQS212" s="915"/>
      <c r="OQU212" s="917"/>
      <c r="OQW212" s="915"/>
      <c r="OQX212" s="915"/>
      <c r="OQY212" s="915"/>
      <c r="OQZ212" s="916"/>
      <c r="ORC212" s="989"/>
      <c r="ORD212" s="989"/>
      <c r="ORE212" s="989"/>
      <c r="ORF212" s="989"/>
      <c r="ORG212" s="989"/>
      <c r="ORH212" s="989"/>
      <c r="ORI212" s="959"/>
      <c r="ORJ212" s="959"/>
      <c r="ORN212" s="915"/>
      <c r="ORO212" s="915"/>
      <c r="ORP212" s="915"/>
      <c r="ORR212" s="917"/>
      <c r="ORT212" s="915"/>
      <c r="ORU212" s="915"/>
      <c r="ORV212" s="915"/>
      <c r="ORW212" s="916"/>
      <c r="ORZ212" s="989"/>
      <c r="OSA212" s="989"/>
      <c r="OSB212" s="989"/>
      <c r="OSC212" s="989"/>
      <c r="OSD212" s="989"/>
      <c r="OSE212" s="989"/>
      <c r="OSF212" s="959"/>
      <c r="OSG212" s="959"/>
      <c r="OSK212" s="915"/>
      <c r="OSL212" s="915"/>
      <c r="OSM212" s="915"/>
      <c r="OSO212" s="917"/>
      <c r="OSQ212" s="915"/>
      <c r="OSR212" s="915"/>
      <c r="OSS212" s="915"/>
      <c r="OST212" s="916"/>
      <c r="OSW212" s="989"/>
      <c r="OSX212" s="989"/>
      <c r="OSY212" s="989"/>
      <c r="OSZ212" s="989"/>
      <c r="OTA212" s="989"/>
      <c r="OTB212" s="989"/>
      <c r="OTC212" s="959"/>
      <c r="OTD212" s="959"/>
      <c r="OTH212" s="915"/>
      <c r="OTI212" s="915"/>
      <c r="OTJ212" s="915"/>
      <c r="OTL212" s="917"/>
      <c r="OTN212" s="915"/>
      <c r="OTO212" s="915"/>
      <c r="OTP212" s="915"/>
      <c r="OTQ212" s="916"/>
      <c r="OTT212" s="989"/>
      <c r="OTU212" s="989"/>
      <c r="OTV212" s="989"/>
      <c r="OTW212" s="989"/>
      <c r="OTX212" s="989"/>
      <c r="OTY212" s="989"/>
      <c r="OTZ212" s="959"/>
      <c r="OUA212" s="959"/>
      <c r="OUE212" s="915"/>
      <c r="OUF212" s="915"/>
      <c r="OUG212" s="915"/>
      <c r="OUI212" s="917"/>
      <c r="OUK212" s="915"/>
      <c r="OUL212" s="915"/>
      <c r="OUM212" s="915"/>
      <c r="OUN212" s="916"/>
      <c r="OUQ212" s="989"/>
      <c r="OUR212" s="989"/>
      <c r="OUS212" s="989"/>
      <c r="OUT212" s="989"/>
      <c r="OUU212" s="989"/>
      <c r="OUV212" s="989"/>
      <c r="OUW212" s="959"/>
      <c r="OUX212" s="959"/>
      <c r="OVB212" s="915"/>
      <c r="OVC212" s="915"/>
      <c r="OVD212" s="915"/>
      <c r="OVF212" s="917"/>
      <c r="OVH212" s="915"/>
      <c r="OVI212" s="915"/>
      <c r="OVJ212" s="915"/>
      <c r="OVK212" s="916"/>
      <c r="OVN212" s="989"/>
      <c r="OVO212" s="989"/>
      <c r="OVP212" s="989"/>
      <c r="OVQ212" s="989"/>
      <c r="OVR212" s="989"/>
      <c r="OVS212" s="989"/>
      <c r="OVT212" s="959"/>
      <c r="OVU212" s="959"/>
      <c r="OVY212" s="915"/>
      <c r="OVZ212" s="915"/>
      <c r="OWA212" s="915"/>
      <c r="OWC212" s="917"/>
      <c r="OWE212" s="915"/>
      <c r="OWF212" s="915"/>
      <c r="OWG212" s="915"/>
      <c r="OWH212" s="916"/>
      <c r="OWK212" s="989"/>
      <c r="OWL212" s="989"/>
      <c r="OWM212" s="989"/>
      <c r="OWN212" s="989"/>
      <c r="OWO212" s="989"/>
      <c r="OWP212" s="989"/>
      <c r="OWQ212" s="959"/>
      <c r="OWR212" s="959"/>
      <c r="OWV212" s="915"/>
      <c r="OWW212" s="915"/>
      <c r="OWX212" s="915"/>
      <c r="OWZ212" s="917"/>
      <c r="OXB212" s="915"/>
      <c r="OXC212" s="915"/>
      <c r="OXD212" s="915"/>
      <c r="OXE212" s="916"/>
      <c r="OXH212" s="989"/>
      <c r="OXI212" s="989"/>
      <c r="OXJ212" s="989"/>
      <c r="OXK212" s="989"/>
      <c r="OXL212" s="989"/>
      <c r="OXM212" s="989"/>
      <c r="OXN212" s="959"/>
      <c r="OXO212" s="959"/>
      <c r="OXS212" s="915"/>
      <c r="OXT212" s="915"/>
      <c r="OXU212" s="915"/>
      <c r="OXW212" s="917"/>
      <c r="OXY212" s="915"/>
      <c r="OXZ212" s="915"/>
      <c r="OYA212" s="915"/>
      <c r="OYB212" s="916"/>
      <c r="OYE212" s="989"/>
      <c r="OYF212" s="989"/>
      <c r="OYG212" s="989"/>
      <c r="OYH212" s="989"/>
      <c r="OYI212" s="989"/>
      <c r="OYJ212" s="989"/>
      <c r="OYK212" s="959"/>
      <c r="OYL212" s="959"/>
      <c r="OYP212" s="915"/>
      <c r="OYQ212" s="915"/>
      <c r="OYR212" s="915"/>
      <c r="OYT212" s="917"/>
      <c r="OYV212" s="915"/>
      <c r="OYW212" s="915"/>
      <c r="OYX212" s="915"/>
      <c r="OYY212" s="916"/>
      <c r="OZB212" s="989"/>
      <c r="OZC212" s="989"/>
      <c r="OZD212" s="989"/>
      <c r="OZE212" s="989"/>
      <c r="OZF212" s="989"/>
      <c r="OZG212" s="989"/>
      <c r="OZH212" s="959"/>
      <c r="OZI212" s="959"/>
      <c r="OZM212" s="915"/>
      <c r="OZN212" s="915"/>
      <c r="OZO212" s="915"/>
      <c r="OZQ212" s="917"/>
      <c r="OZS212" s="915"/>
      <c r="OZT212" s="915"/>
      <c r="OZU212" s="915"/>
      <c r="OZV212" s="916"/>
      <c r="OZY212" s="989"/>
      <c r="OZZ212" s="989"/>
      <c r="PAA212" s="989"/>
      <c r="PAB212" s="989"/>
      <c r="PAC212" s="989"/>
      <c r="PAD212" s="989"/>
      <c r="PAE212" s="959"/>
      <c r="PAF212" s="959"/>
      <c r="PAJ212" s="915"/>
      <c r="PAK212" s="915"/>
      <c r="PAL212" s="915"/>
      <c r="PAN212" s="917"/>
      <c r="PAP212" s="915"/>
      <c r="PAQ212" s="915"/>
      <c r="PAR212" s="915"/>
      <c r="PAS212" s="916"/>
      <c r="PAV212" s="989"/>
      <c r="PAW212" s="989"/>
      <c r="PAX212" s="989"/>
      <c r="PAY212" s="989"/>
      <c r="PAZ212" s="989"/>
      <c r="PBA212" s="989"/>
      <c r="PBB212" s="959"/>
      <c r="PBC212" s="959"/>
      <c r="PBG212" s="915"/>
      <c r="PBH212" s="915"/>
      <c r="PBI212" s="915"/>
      <c r="PBK212" s="917"/>
      <c r="PBM212" s="915"/>
      <c r="PBN212" s="915"/>
      <c r="PBO212" s="915"/>
      <c r="PBP212" s="916"/>
      <c r="PBS212" s="989"/>
      <c r="PBT212" s="989"/>
      <c r="PBU212" s="989"/>
      <c r="PBV212" s="989"/>
      <c r="PBW212" s="989"/>
      <c r="PBX212" s="989"/>
      <c r="PBY212" s="959"/>
      <c r="PBZ212" s="959"/>
      <c r="PCD212" s="915"/>
      <c r="PCE212" s="915"/>
      <c r="PCF212" s="915"/>
      <c r="PCH212" s="917"/>
      <c r="PCJ212" s="915"/>
      <c r="PCK212" s="915"/>
      <c r="PCL212" s="915"/>
      <c r="PCM212" s="916"/>
      <c r="PCP212" s="989"/>
      <c r="PCQ212" s="989"/>
      <c r="PCR212" s="989"/>
      <c r="PCS212" s="989"/>
      <c r="PCT212" s="989"/>
      <c r="PCU212" s="989"/>
      <c r="PCV212" s="959"/>
      <c r="PCW212" s="959"/>
      <c r="PDA212" s="915"/>
      <c r="PDB212" s="915"/>
      <c r="PDC212" s="915"/>
      <c r="PDE212" s="917"/>
      <c r="PDG212" s="915"/>
      <c r="PDH212" s="915"/>
      <c r="PDI212" s="915"/>
      <c r="PDJ212" s="916"/>
      <c r="PDM212" s="989"/>
      <c r="PDN212" s="989"/>
      <c r="PDO212" s="989"/>
      <c r="PDP212" s="989"/>
      <c r="PDQ212" s="989"/>
      <c r="PDR212" s="989"/>
      <c r="PDS212" s="959"/>
      <c r="PDT212" s="959"/>
      <c r="PDX212" s="915"/>
      <c r="PDY212" s="915"/>
      <c r="PDZ212" s="915"/>
      <c r="PEB212" s="917"/>
      <c r="PED212" s="915"/>
      <c r="PEE212" s="915"/>
      <c r="PEF212" s="915"/>
      <c r="PEG212" s="916"/>
      <c r="PEJ212" s="989"/>
      <c r="PEK212" s="989"/>
      <c r="PEL212" s="989"/>
      <c r="PEM212" s="989"/>
      <c r="PEN212" s="989"/>
      <c r="PEO212" s="989"/>
      <c r="PEP212" s="959"/>
      <c r="PEQ212" s="959"/>
      <c r="PEU212" s="915"/>
      <c r="PEV212" s="915"/>
      <c r="PEW212" s="915"/>
      <c r="PEY212" s="917"/>
      <c r="PFA212" s="915"/>
      <c r="PFB212" s="915"/>
      <c r="PFC212" s="915"/>
      <c r="PFD212" s="916"/>
      <c r="PFG212" s="989"/>
      <c r="PFH212" s="989"/>
      <c r="PFI212" s="989"/>
      <c r="PFJ212" s="989"/>
      <c r="PFK212" s="989"/>
      <c r="PFL212" s="989"/>
      <c r="PFM212" s="959"/>
      <c r="PFN212" s="959"/>
      <c r="PFR212" s="915"/>
      <c r="PFS212" s="915"/>
      <c r="PFT212" s="915"/>
      <c r="PFV212" s="917"/>
      <c r="PFX212" s="915"/>
      <c r="PFY212" s="915"/>
      <c r="PFZ212" s="915"/>
      <c r="PGA212" s="916"/>
      <c r="PGD212" s="989"/>
      <c r="PGE212" s="989"/>
      <c r="PGF212" s="989"/>
      <c r="PGG212" s="989"/>
      <c r="PGH212" s="989"/>
      <c r="PGI212" s="989"/>
      <c r="PGJ212" s="959"/>
      <c r="PGK212" s="959"/>
      <c r="PGO212" s="915"/>
      <c r="PGP212" s="915"/>
      <c r="PGQ212" s="915"/>
      <c r="PGS212" s="917"/>
      <c r="PGU212" s="915"/>
      <c r="PGV212" s="915"/>
      <c r="PGW212" s="915"/>
      <c r="PGX212" s="916"/>
      <c r="PHA212" s="989"/>
      <c r="PHB212" s="989"/>
      <c r="PHC212" s="989"/>
      <c r="PHD212" s="989"/>
      <c r="PHE212" s="989"/>
      <c r="PHF212" s="989"/>
      <c r="PHG212" s="959"/>
      <c r="PHH212" s="959"/>
      <c r="PHL212" s="915"/>
      <c r="PHM212" s="915"/>
      <c r="PHN212" s="915"/>
      <c r="PHP212" s="917"/>
      <c r="PHR212" s="915"/>
      <c r="PHS212" s="915"/>
      <c r="PHT212" s="915"/>
      <c r="PHU212" s="916"/>
      <c r="PHX212" s="989"/>
      <c r="PHY212" s="989"/>
      <c r="PHZ212" s="989"/>
      <c r="PIA212" s="989"/>
      <c r="PIB212" s="989"/>
      <c r="PIC212" s="989"/>
      <c r="PID212" s="959"/>
      <c r="PIE212" s="959"/>
      <c r="PII212" s="915"/>
      <c r="PIJ212" s="915"/>
      <c r="PIK212" s="915"/>
      <c r="PIM212" s="917"/>
      <c r="PIO212" s="915"/>
      <c r="PIP212" s="915"/>
      <c r="PIQ212" s="915"/>
      <c r="PIR212" s="916"/>
      <c r="PIU212" s="989"/>
      <c r="PIV212" s="989"/>
      <c r="PIW212" s="989"/>
      <c r="PIX212" s="989"/>
      <c r="PIY212" s="989"/>
      <c r="PIZ212" s="989"/>
      <c r="PJA212" s="959"/>
      <c r="PJB212" s="959"/>
      <c r="PJF212" s="915"/>
      <c r="PJG212" s="915"/>
      <c r="PJH212" s="915"/>
      <c r="PJJ212" s="917"/>
      <c r="PJL212" s="915"/>
      <c r="PJM212" s="915"/>
      <c r="PJN212" s="915"/>
      <c r="PJO212" s="916"/>
      <c r="PJR212" s="989"/>
      <c r="PJS212" s="989"/>
      <c r="PJT212" s="989"/>
      <c r="PJU212" s="989"/>
      <c r="PJV212" s="989"/>
      <c r="PJW212" s="989"/>
      <c r="PJX212" s="959"/>
      <c r="PJY212" s="959"/>
      <c r="PKC212" s="915"/>
      <c r="PKD212" s="915"/>
      <c r="PKE212" s="915"/>
      <c r="PKG212" s="917"/>
      <c r="PKI212" s="915"/>
      <c r="PKJ212" s="915"/>
      <c r="PKK212" s="915"/>
      <c r="PKL212" s="916"/>
      <c r="PKO212" s="989"/>
      <c r="PKP212" s="989"/>
      <c r="PKQ212" s="989"/>
      <c r="PKR212" s="989"/>
      <c r="PKS212" s="989"/>
      <c r="PKT212" s="989"/>
      <c r="PKU212" s="959"/>
      <c r="PKV212" s="959"/>
      <c r="PKZ212" s="915"/>
      <c r="PLA212" s="915"/>
      <c r="PLB212" s="915"/>
      <c r="PLD212" s="917"/>
      <c r="PLF212" s="915"/>
      <c r="PLG212" s="915"/>
      <c r="PLH212" s="915"/>
      <c r="PLI212" s="916"/>
      <c r="PLL212" s="989"/>
      <c r="PLM212" s="989"/>
      <c r="PLN212" s="989"/>
      <c r="PLO212" s="989"/>
      <c r="PLP212" s="989"/>
      <c r="PLQ212" s="989"/>
      <c r="PLR212" s="959"/>
      <c r="PLS212" s="959"/>
      <c r="PLW212" s="915"/>
      <c r="PLX212" s="915"/>
      <c r="PLY212" s="915"/>
      <c r="PMA212" s="917"/>
      <c r="PMC212" s="915"/>
      <c r="PMD212" s="915"/>
      <c r="PME212" s="915"/>
      <c r="PMF212" s="916"/>
      <c r="PMI212" s="989"/>
      <c r="PMJ212" s="989"/>
      <c r="PMK212" s="989"/>
      <c r="PML212" s="989"/>
      <c r="PMM212" s="989"/>
      <c r="PMN212" s="989"/>
      <c r="PMO212" s="959"/>
      <c r="PMP212" s="959"/>
      <c r="PMT212" s="915"/>
      <c r="PMU212" s="915"/>
      <c r="PMV212" s="915"/>
      <c r="PMX212" s="917"/>
      <c r="PMZ212" s="915"/>
      <c r="PNA212" s="915"/>
      <c r="PNB212" s="915"/>
      <c r="PNC212" s="916"/>
      <c r="PNF212" s="989"/>
      <c r="PNG212" s="989"/>
      <c r="PNH212" s="989"/>
      <c r="PNI212" s="989"/>
      <c r="PNJ212" s="989"/>
      <c r="PNK212" s="989"/>
      <c r="PNL212" s="959"/>
      <c r="PNM212" s="959"/>
      <c r="PNQ212" s="915"/>
      <c r="PNR212" s="915"/>
      <c r="PNS212" s="915"/>
      <c r="PNU212" s="917"/>
      <c r="PNW212" s="915"/>
      <c r="PNX212" s="915"/>
      <c r="PNY212" s="915"/>
      <c r="PNZ212" s="916"/>
      <c r="POC212" s="989"/>
      <c r="POD212" s="989"/>
      <c r="POE212" s="989"/>
      <c r="POF212" s="989"/>
      <c r="POG212" s="989"/>
      <c r="POH212" s="989"/>
      <c r="POI212" s="959"/>
      <c r="POJ212" s="959"/>
      <c r="PON212" s="915"/>
      <c r="POO212" s="915"/>
      <c r="POP212" s="915"/>
      <c r="POR212" s="917"/>
      <c r="POT212" s="915"/>
      <c r="POU212" s="915"/>
      <c r="POV212" s="915"/>
      <c r="POW212" s="916"/>
      <c r="POZ212" s="989"/>
      <c r="PPA212" s="989"/>
      <c r="PPB212" s="989"/>
      <c r="PPC212" s="989"/>
      <c r="PPD212" s="989"/>
      <c r="PPE212" s="989"/>
      <c r="PPF212" s="959"/>
      <c r="PPG212" s="959"/>
      <c r="PPK212" s="915"/>
      <c r="PPL212" s="915"/>
      <c r="PPM212" s="915"/>
      <c r="PPO212" s="917"/>
      <c r="PPQ212" s="915"/>
      <c r="PPR212" s="915"/>
      <c r="PPS212" s="915"/>
      <c r="PPT212" s="916"/>
      <c r="PPW212" s="989"/>
      <c r="PPX212" s="989"/>
      <c r="PPY212" s="989"/>
      <c r="PPZ212" s="989"/>
      <c r="PQA212" s="989"/>
      <c r="PQB212" s="989"/>
      <c r="PQC212" s="959"/>
      <c r="PQD212" s="959"/>
      <c r="PQH212" s="915"/>
      <c r="PQI212" s="915"/>
      <c r="PQJ212" s="915"/>
      <c r="PQL212" s="917"/>
      <c r="PQN212" s="915"/>
      <c r="PQO212" s="915"/>
      <c r="PQP212" s="915"/>
      <c r="PQQ212" s="916"/>
      <c r="PQT212" s="989"/>
      <c r="PQU212" s="989"/>
      <c r="PQV212" s="989"/>
      <c r="PQW212" s="989"/>
      <c r="PQX212" s="989"/>
      <c r="PQY212" s="989"/>
      <c r="PQZ212" s="959"/>
      <c r="PRA212" s="959"/>
      <c r="PRE212" s="915"/>
      <c r="PRF212" s="915"/>
      <c r="PRG212" s="915"/>
      <c r="PRI212" s="917"/>
      <c r="PRK212" s="915"/>
      <c r="PRL212" s="915"/>
      <c r="PRM212" s="915"/>
      <c r="PRN212" s="916"/>
      <c r="PRQ212" s="989"/>
      <c r="PRR212" s="989"/>
      <c r="PRS212" s="989"/>
      <c r="PRT212" s="989"/>
      <c r="PRU212" s="989"/>
      <c r="PRV212" s="989"/>
      <c r="PRW212" s="959"/>
      <c r="PRX212" s="959"/>
      <c r="PSB212" s="915"/>
      <c r="PSC212" s="915"/>
      <c r="PSD212" s="915"/>
      <c r="PSF212" s="917"/>
      <c r="PSH212" s="915"/>
      <c r="PSI212" s="915"/>
      <c r="PSJ212" s="915"/>
      <c r="PSK212" s="916"/>
      <c r="PSN212" s="989"/>
      <c r="PSO212" s="989"/>
      <c r="PSP212" s="989"/>
      <c r="PSQ212" s="989"/>
      <c r="PSR212" s="989"/>
      <c r="PSS212" s="989"/>
      <c r="PST212" s="959"/>
      <c r="PSU212" s="959"/>
      <c r="PSY212" s="915"/>
      <c r="PSZ212" s="915"/>
      <c r="PTA212" s="915"/>
      <c r="PTC212" s="917"/>
      <c r="PTE212" s="915"/>
      <c r="PTF212" s="915"/>
      <c r="PTG212" s="915"/>
      <c r="PTH212" s="916"/>
      <c r="PTK212" s="989"/>
      <c r="PTL212" s="989"/>
      <c r="PTM212" s="989"/>
      <c r="PTN212" s="989"/>
      <c r="PTO212" s="989"/>
      <c r="PTP212" s="989"/>
      <c r="PTQ212" s="959"/>
      <c r="PTR212" s="959"/>
      <c r="PTV212" s="915"/>
      <c r="PTW212" s="915"/>
      <c r="PTX212" s="915"/>
      <c r="PTZ212" s="917"/>
      <c r="PUB212" s="915"/>
      <c r="PUC212" s="915"/>
      <c r="PUD212" s="915"/>
      <c r="PUE212" s="916"/>
      <c r="PUH212" s="989"/>
      <c r="PUI212" s="989"/>
      <c r="PUJ212" s="989"/>
      <c r="PUK212" s="989"/>
      <c r="PUL212" s="989"/>
      <c r="PUM212" s="989"/>
      <c r="PUN212" s="959"/>
      <c r="PUO212" s="959"/>
      <c r="PUS212" s="915"/>
      <c r="PUT212" s="915"/>
      <c r="PUU212" s="915"/>
      <c r="PUW212" s="917"/>
      <c r="PUY212" s="915"/>
      <c r="PUZ212" s="915"/>
      <c r="PVA212" s="915"/>
      <c r="PVB212" s="916"/>
      <c r="PVE212" s="989"/>
      <c r="PVF212" s="989"/>
      <c r="PVG212" s="989"/>
      <c r="PVH212" s="989"/>
      <c r="PVI212" s="989"/>
      <c r="PVJ212" s="989"/>
      <c r="PVK212" s="959"/>
      <c r="PVL212" s="959"/>
      <c r="PVP212" s="915"/>
      <c r="PVQ212" s="915"/>
      <c r="PVR212" s="915"/>
      <c r="PVT212" s="917"/>
      <c r="PVV212" s="915"/>
      <c r="PVW212" s="915"/>
      <c r="PVX212" s="915"/>
      <c r="PVY212" s="916"/>
      <c r="PWB212" s="989"/>
      <c r="PWC212" s="989"/>
      <c r="PWD212" s="989"/>
      <c r="PWE212" s="989"/>
      <c r="PWF212" s="989"/>
      <c r="PWG212" s="989"/>
      <c r="PWH212" s="959"/>
      <c r="PWI212" s="959"/>
      <c r="PWM212" s="915"/>
      <c r="PWN212" s="915"/>
      <c r="PWO212" s="915"/>
      <c r="PWQ212" s="917"/>
      <c r="PWS212" s="915"/>
      <c r="PWT212" s="915"/>
      <c r="PWU212" s="915"/>
      <c r="PWV212" s="916"/>
      <c r="PWY212" s="989"/>
      <c r="PWZ212" s="989"/>
      <c r="PXA212" s="989"/>
      <c r="PXB212" s="989"/>
      <c r="PXC212" s="989"/>
      <c r="PXD212" s="989"/>
      <c r="PXE212" s="959"/>
      <c r="PXF212" s="959"/>
      <c r="PXJ212" s="915"/>
      <c r="PXK212" s="915"/>
      <c r="PXL212" s="915"/>
      <c r="PXN212" s="917"/>
      <c r="PXP212" s="915"/>
      <c r="PXQ212" s="915"/>
      <c r="PXR212" s="915"/>
      <c r="PXS212" s="916"/>
      <c r="PXV212" s="989"/>
      <c r="PXW212" s="989"/>
      <c r="PXX212" s="989"/>
      <c r="PXY212" s="989"/>
      <c r="PXZ212" s="989"/>
      <c r="PYA212" s="989"/>
      <c r="PYB212" s="959"/>
      <c r="PYC212" s="959"/>
      <c r="PYG212" s="915"/>
      <c r="PYH212" s="915"/>
      <c r="PYI212" s="915"/>
      <c r="PYK212" s="917"/>
      <c r="PYM212" s="915"/>
      <c r="PYN212" s="915"/>
      <c r="PYO212" s="915"/>
      <c r="PYP212" s="916"/>
      <c r="PYS212" s="989"/>
      <c r="PYT212" s="989"/>
      <c r="PYU212" s="989"/>
      <c r="PYV212" s="989"/>
      <c r="PYW212" s="989"/>
      <c r="PYX212" s="989"/>
      <c r="PYY212" s="959"/>
      <c r="PYZ212" s="959"/>
      <c r="PZD212" s="915"/>
      <c r="PZE212" s="915"/>
      <c r="PZF212" s="915"/>
      <c r="PZH212" s="917"/>
      <c r="PZJ212" s="915"/>
      <c r="PZK212" s="915"/>
      <c r="PZL212" s="915"/>
      <c r="PZM212" s="916"/>
      <c r="PZP212" s="989"/>
      <c r="PZQ212" s="989"/>
      <c r="PZR212" s="989"/>
      <c r="PZS212" s="989"/>
      <c r="PZT212" s="989"/>
      <c r="PZU212" s="989"/>
      <c r="PZV212" s="959"/>
      <c r="PZW212" s="959"/>
      <c r="QAA212" s="915"/>
      <c r="QAB212" s="915"/>
      <c r="QAC212" s="915"/>
      <c r="QAE212" s="917"/>
      <c r="QAG212" s="915"/>
      <c r="QAH212" s="915"/>
      <c r="QAI212" s="915"/>
      <c r="QAJ212" s="916"/>
      <c r="QAM212" s="989"/>
      <c r="QAN212" s="989"/>
      <c r="QAO212" s="989"/>
      <c r="QAP212" s="989"/>
      <c r="QAQ212" s="989"/>
      <c r="QAR212" s="989"/>
      <c r="QAS212" s="959"/>
      <c r="QAT212" s="959"/>
      <c r="QAX212" s="915"/>
      <c r="QAY212" s="915"/>
      <c r="QAZ212" s="915"/>
      <c r="QBB212" s="917"/>
      <c r="QBD212" s="915"/>
      <c r="QBE212" s="915"/>
      <c r="QBF212" s="915"/>
      <c r="QBG212" s="916"/>
      <c r="QBJ212" s="989"/>
      <c r="QBK212" s="989"/>
      <c r="QBL212" s="989"/>
      <c r="QBM212" s="989"/>
      <c r="QBN212" s="989"/>
      <c r="QBO212" s="989"/>
      <c r="QBP212" s="959"/>
      <c r="QBQ212" s="959"/>
      <c r="QBU212" s="915"/>
      <c r="QBV212" s="915"/>
      <c r="QBW212" s="915"/>
      <c r="QBY212" s="917"/>
      <c r="QCA212" s="915"/>
      <c r="QCB212" s="915"/>
      <c r="QCC212" s="915"/>
      <c r="QCD212" s="916"/>
      <c r="QCG212" s="989"/>
      <c r="QCH212" s="989"/>
      <c r="QCI212" s="989"/>
      <c r="QCJ212" s="989"/>
      <c r="QCK212" s="989"/>
      <c r="QCL212" s="989"/>
      <c r="QCM212" s="959"/>
      <c r="QCN212" s="959"/>
      <c r="QCR212" s="915"/>
      <c r="QCS212" s="915"/>
      <c r="QCT212" s="915"/>
      <c r="QCV212" s="917"/>
      <c r="QCX212" s="915"/>
      <c r="QCY212" s="915"/>
      <c r="QCZ212" s="915"/>
      <c r="QDA212" s="916"/>
      <c r="QDD212" s="989"/>
      <c r="QDE212" s="989"/>
      <c r="QDF212" s="989"/>
      <c r="QDG212" s="989"/>
      <c r="QDH212" s="989"/>
      <c r="QDI212" s="989"/>
      <c r="QDJ212" s="959"/>
      <c r="QDK212" s="959"/>
      <c r="QDO212" s="915"/>
      <c r="QDP212" s="915"/>
      <c r="QDQ212" s="915"/>
      <c r="QDS212" s="917"/>
      <c r="QDU212" s="915"/>
      <c r="QDV212" s="915"/>
      <c r="QDW212" s="915"/>
      <c r="QDX212" s="916"/>
      <c r="QEA212" s="989"/>
      <c r="QEB212" s="989"/>
      <c r="QEC212" s="989"/>
      <c r="QED212" s="989"/>
      <c r="QEE212" s="989"/>
      <c r="QEF212" s="989"/>
      <c r="QEG212" s="959"/>
      <c r="QEH212" s="959"/>
      <c r="QEL212" s="915"/>
      <c r="QEM212" s="915"/>
      <c r="QEN212" s="915"/>
      <c r="QEP212" s="917"/>
      <c r="QER212" s="915"/>
      <c r="QES212" s="915"/>
      <c r="QET212" s="915"/>
      <c r="QEU212" s="916"/>
      <c r="QEX212" s="989"/>
      <c r="QEY212" s="989"/>
      <c r="QEZ212" s="989"/>
      <c r="QFA212" s="989"/>
      <c r="QFB212" s="989"/>
      <c r="QFC212" s="989"/>
      <c r="QFD212" s="959"/>
      <c r="QFE212" s="959"/>
      <c r="QFI212" s="915"/>
      <c r="QFJ212" s="915"/>
      <c r="QFK212" s="915"/>
      <c r="QFM212" s="917"/>
      <c r="QFO212" s="915"/>
      <c r="QFP212" s="915"/>
      <c r="QFQ212" s="915"/>
      <c r="QFR212" s="916"/>
      <c r="QFU212" s="989"/>
      <c r="QFV212" s="989"/>
      <c r="QFW212" s="989"/>
      <c r="QFX212" s="989"/>
      <c r="QFY212" s="989"/>
      <c r="QFZ212" s="989"/>
      <c r="QGA212" s="959"/>
      <c r="QGB212" s="959"/>
      <c r="QGF212" s="915"/>
      <c r="QGG212" s="915"/>
      <c r="QGH212" s="915"/>
      <c r="QGJ212" s="917"/>
      <c r="QGL212" s="915"/>
      <c r="QGM212" s="915"/>
      <c r="QGN212" s="915"/>
      <c r="QGO212" s="916"/>
      <c r="QGR212" s="989"/>
      <c r="QGS212" s="989"/>
      <c r="QGT212" s="989"/>
      <c r="QGU212" s="989"/>
      <c r="QGV212" s="989"/>
      <c r="QGW212" s="989"/>
      <c r="QGX212" s="959"/>
      <c r="QGY212" s="959"/>
      <c r="QHC212" s="915"/>
      <c r="QHD212" s="915"/>
      <c r="QHE212" s="915"/>
      <c r="QHG212" s="917"/>
      <c r="QHI212" s="915"/>
      <c r="QHJ212" s="915"/>
      <c r="QHK212" s="915"/>
      <c r="QHL212" s="916"/>
      <c r="QHO212" s="989"/>
      <c r="QHP212" s="989"/>
      <c r="QHQ212" s="989"/>
      <c r="QHR212" s="989"/>
      <c r="QHS212" s="989"/>
      <c r="QHT212" s="989"/>
      <c r="QHU212" s="959"/>
      <c r="QHV212" s="959"/>
      <c r="QHZ212" s="915"/>
      <c r="QIA212" s="915"/>
      <c r="QIB212" s="915"/>
      <c r="QID212" s="917"/>
      <c r="QIF212" s="915"/>
      <c r="QIG212" s="915"/>
      <c r="QIH212" s="915"/>
      <c r="QII212" s="916"/>
      <c r="QIL212" s="989"/>
      <c r="QIM212" s="989"/>
      <c r="QIN212" s="989"/>
      <c r="QIO212" s="989"/>
      <c r="QIP212" s="989"/>
      <c r="QIQ212" s="989"/>
      <c r="QIR212" s="959"/>
      <c r="QIS212" s="959"/>
      <c r="QIW212" s="915"/>
      <c r="QIX212" s="915"/>
      <c r="QIY212" s="915"/>
      <c r="QJA212" s="917"/>
      <c r="QJC212" s="915"/>
      <c r="QJD212" s="915"/>
      <c r="QJE212" s="915"/>
      <c r="QJF212" s="916"/>
      <c r="QJI212" s="989"/>
      <c r="QJJ212" s="989"/>
      <c r="QJK212" s="989"/>
      <c r="QJL212" s="989"/>
      <c r="QJM212" s="989"/>
      <c r="QJN212" s="989"/>
      <c r="QJO212" s="959"/>
      <c r="QJP212" s="959"/>
      <c r="QJT212" s="915"/>
      <c r="QJU212" s="915"/>
      <c r="QJV212" s="915"/>
      <c r="QJX212" s="917"/>
      <c r="QJZ212" s="915"/>
      <c r="QKA212" s="915"/>
      <c r="QKB212" s="915"/>
      <c r="QKC212" s="916"/>
      <c r="QKF212" s="989"/>
      <c r="QKG212" s="989"/>
      <c r="QKH212" s="989"/>
      <c r="QKI212" s="989"/>
      <c r="QKJ212" s="989"/>
      <c r="QKK212" s="989"/>
      <c r="QKL212" s="959"/>
      <c r="QKM212" s="959"/>
      <c r="QKQ212" s="915"/>
      <c r="QKR212" s="915"/>
      <c r="QKS212" s="915"/>
      <c r="QKU212" s="917"/>
      <c r="QKW212" s="915"/>
      <c r="QKX212" s="915"/>
      <c r="QKY212" s="915"/>
      <c r="QKZ212" s="916"/>
      <c r="QLC212" s="989"/>
      <c r="QLD212" s="989"/>
      <c r="QLE212" s="989"/>
      <c r="QLF212" s="989"/>
      <c r="QLG212" s="989"/>
      <c r="QLH212" s="989"/>
      <c r="QLI212" s="959"/>
      <c r="QLJ212" s="959"/>
      <c r="QLN212" s="915"/>
      <c r="QLO212" s="915"/>
      <c r="QLP212" s="915"/>
      <c r="QLR212" s="917"/>
      <c r="QLT212" s="915"/>
      <c r="QLU212" s="915"/>
      <c r="QLV212" s="915"/>
      <c r="QLW212" s="916"/>
      <c r="QLZ212" s="989"/>
      <c r="QMA212" s="989"/>
      <c r="QMB212" s="989"/>
      <c r="QMC212" s="989"/>
      <c r="QMD212" s="989"/>
      <c r="QME212" s="989"/>
      <c r="QMF212" s="959"/>
      <c r="QMG212" s="959"/>
      <c r="QMK212" s="915"/>
      <c r="QML212" s="915"/>
      <c r="QMM212" s="915"/>
      <c r="QMO212" s="917"/>
      <c r="QMQ212" s="915"/>
      <c r="QMR212" s="915"/>
      <c r="QMS212" s="915"/>
      <c r="QMT212" s="916"/>
      <c r="QMW212" s="989"/>
      <c r="QMX212" s="989"/>
      <c r="QMY212" s="989"/>
      <c r="QMZ212" s="989"/>
      <c r="QNA212" s="989"/>
      <c r="QNB212" s="989"/>
      <c r="QNC212" s="959"/>
      <c r="QND212" s="959"/>
      <c r="QNH212" s="915"/>
      <c r="QNI212" s="915"/>
      <c r="QNJ212" s="915"/>
      <c r="QNL212" s="917"/>
      <c r="QNN212" s="915"/>
      <c r="QNO212" s="915"/>
      <c r="QNP212" s="915"/>
      <c r="QNQ212" s="916"/>
      <c r="QNT212" s="989"/>
      <c r="QNU212" s="989"/>
      <c r="QNV212" s="989"/>
      <c r="QNW212" s="989"/>
      <c r="QNX212" s="989"/>
      <c r="QNY212" s="989"/>
      <c r="QNZ212" s="959"/>
      <c r="QOA212" s="959"/>
      <c r="QOE212" s="915"/>
      <c r="QOF212" s="915"/>
      <c r="QOG212" s="915"/>
      <c r="QOI212" s="917"/>
      <c r="QOK212" s="915"/>
      <c r="QOL212" s="915"/>
      <c r="QOM212" s="915"/>
      <c r="QON212" s="916"/>
      <c r="QOQ212" s="989"/>
      <c r="QOR212" s="989"/>
      <c r="QOS212" s="989"/>
      <c r="QOT212" s="989"/>
      <c r="QOU212" s="989"/>
      <c r="QOV212" s="989"/>
      <c r="QOW212" s="959"/>
      <c r="QOX212" s="959"/>
      <c r="QPB212" s="915"/>
      <c r="QPC212" s="915"/>
      <c r="QPD212" s="915"/>
      <c r="QPF212" s="917"/>
      <c r="QPH212" s="915"/>
      <c r="QPI212" s="915"/>
      <c r="QPJ212" s="915"/>
      <c r="QPK212" s="916"/>
      <c r="QPN212" s="989"/>
      <c r="QPO212" s="989"/>
      <c r="QPP212" s="989"/>
      <c r="QPQ212" s="989"/>
      <c r="QPR212" s="989"/>
      <c r="QPS212" s="989"/>
      <c r="QPT212" s="959"/>
      <c r="QPU212" s="959"/>
      <c r="QPY212" s="915"/>
      <c r="QPZ212" s="915"/>
      <c r="QQA212" s="915"/>
      <c r="QQC212" s="917"/>
      <c r="QQE212" s="915"/>
      <c r="QQF212" s="915"/>
      <c r="QQG212" s="915"/>
      <c r="QQH212" s="916"/>
      <c r="QQK212" s="989"/>
      <c r="QQL212" s="989"/>
      <c r="QQM212" s="989"/>
      <c r="QQN212" s="989"/>
      <c r="QQO212" s="989"/>
      <c r="QQP212" s="989"/>
      <c r="QQQ212" s="959"/>
      <c r="QQR212" s="959"/>
      <c r="QQV212" s="915"/>
      <c r="QQW212" s="915"/>
      <c r="QQX212" s="915"/>
      <c r="QQZ212" s="917"/>
      <c r="QRB212" s="915"/>
      <c r="QRC212" s="915"/>
      <c r="QRD212" s="915"/>
      <c r="QRE212" s="916"/>
      <c r="QRH212" s="989"/>
      <c r="QRI212" s="989"/>
      <c r="QRJ212" s="989"/>
      <c r="QRK212" s="989"/>
      <c r="QRL212" s="989"/>
      <c r="QRM212" s="989"/>
      <c r="QRN212" s="959"/>
      <c r="QRO212" s="959"/>
      <c r="QRS212" s="915"/>
      <c r="QRT212" s="915"/>
      <c r="QRU212" s="915"/>
      <c r="QRW212" s="917"/>
      <c r="QRY212" s="915"/>
      <c r="QRZ212" s="915"/>
      <c r="QSA212" s="915"/>
      <c r="QSB212" s="916"/>
      <c r="QSE212" s="989"/>
      <c r="QSF212" s="989"/>
      <c r="QSG212" s="989"/>
      <c r="QSH212" s="989"/>
      <c r="QSI212" s="989"/>
      <c r="QSJ212" s="989"/>
      <c r="QSK212" s="959"/>
      <c r="QSL212" s="959"/>
      <c r="QSP212" s="915"/>
      <c r="QSQ212" s="915"/>
      <c r="QSR212" s="915"/>
      <c r="QST212" s="917"/>
      <c r="QSV212" s="915"/>
      <c r="QSW212" s="915"/>
      <c r="QSX212" s="915"/>
      <c r="QSY212" s="916"/>
      <c r="QTB212" s="989"/>
      <c r="QTC212" s="989"/>
      <c r="QTD212" s="989"/>
      <c r="QTE212" s="989"/>
      <c r="QTF212" s="989"/>
      <c r="QTG212" s="989"/>
      <c r="QTH212" s="959"/>
      <c r="QTI212" s="959"/>
      <c r="QTM212" s="915"/>
      <c r="QTN212" s="915"/>
      <c r="QTO212" s="915"/>
      <c r="QTQ212" s="917"/>
      <c r="QTS212" s="915"/>
      <c r="QTT212" s="915"/>
      <c r="QTU212" s="915"/>
      <c r="QTV212" s="916"/>
      <c r="QTY212" s="989"/>
      <c r="QTZ212" s="989"/>
      <c r="QUA212" s="989"/>
      <c r="QUB212" s="989"/>
      <c r="QUC212" s="989"/>
      <c r="QUD212" s="989"/>
      <c r="QUE212" s="959"/>
      <c r="QUF212" s="959"/>
      <c r="QUJ212" s="915"/>
      <c r="QUK212" s="915"/>
      <c r="QUL212" s="915"/>
      <c r="QUN212" s="917"/>
      <c r="QUP212" s="915"/>
      <c r="QUQ212" s="915"/>
      <c r="QUR212" s="915"/>
      <c r="QUS212" s="916"/>
      <c r="QUV212" s="989"/>
      <c r="QUW212" s="989"/>
      <c r="QUX212" s="989"/>
      <c r="QUY212" s="989"/>
      <c r="QUZ212" s="989"/>
      <c r="QVA212" s="989"/>
      <c r="QVB212" s="959"/>
      <c r="QVC212" s="959"/>
      <c r="QVG212" s="915"/>
      <c r="QVH212" s="915"/>
      <c r="QVI212" s="915"/>
      <c r="QVK212" s="917"/>
      <c r="QVM212" s="915"/>
      <c r="QVN212" s="915"/>
      <c r="QVO212" s="915"/>
      <c r="QVP212" s="916"/>
      <c r="QVS212" s="989"/>
      <c r="QVT212" s="989"/>
      <c r="QVU212" s="989"/>
      <c r="QVV212" s="989"/>
      <c r="QVW212" s="989"/>
      <c r="QVX212" s="989"/>
      <c r="QVY212" s="959"/>
      <c r="QVZ212" s="959"/>
      <c r="QWD212" s="915"/>
      <c r="QWE212" s="915"/>
      <c r="QWF212" s="915"/>
      <c r="QWH212" s="917"/>
      <c r="QWJ212" s="915"/>
      <c r="QWK212" s="915"/>
      <c r="QWL212" s="915"/>
      <c r="QWM212" s="916"/>
      <c r="QWP212" s="989"/>
      <c r="QWQ212" s="989"/>
      <c r="QWR212" s="989"/>
      <c r="QWS212" s="989"/>
      <c r="QWT212" s="989"/>
      <c r="QWU212" s="989"/>
      <c r="QWV212" s="959"/>
      <c r="QWW212" s="959"/>
      <c r="QXA212" s="915"/>
      <c r="QXB212" s="915"/>
      <c r="QXC212" s="915"/>
      <c r="QXE212" s="917"/>
      <c r="QXG212" s="915"/>
      <c r="QXH212" s="915"/>
      <c r="QXI212" s="915"/>
      <c r="QXJ212" s="916"/>
      <c r="QXM212" s="989"/>
      <c r="QXN212" s="989"/>
      <c r="QXO212" s="989"/>
      <c r="QXP212" s="989"/>
      <c r="QXQ212" s="989"/>
      <c r="QXR212" s="989"/>
      <c r="QXS212" s="959"/>
      <c r="QXT212" s="959"/>
      <c r="QXX212" s="915"/>
      <c r="QXY212" s="915"/>
      <c r="QXZ212" s="915"/>
      <c r="QYB212" s="917"/>
      <c r="QYD212" s="915"/>
      <c r="QYE212" s="915"/>
      <c r="QYF212" s="915"/>
      <c r="QYG212" s="916"/>
      <c r="QYJ212" s="989"/>
      <c r="QYK212" s="989"/>
      <c r="QYL212" s="989"/>
      <c r="QYM212" s="989"/>
      <c r="QYN212" s="989"/>
      <c r="QYO212" s="989"/>
      <c r="QYP212" s="959"/>
      <c r="QYQ212" s="959"/>
      <c r="QYU212" s="915"/>
      <c r="QYV212" s="915"/>
      <c r="QYW212" s="915"/>
      <c r="QYY212" s="917"/>
      <c r="QZA212" s="915"/>
      <c r="QZB212" s="915"/>
      <c r="QZC212" s="915"/>
      <c r="QZD212" s="916"/>
      <c r="QZG212" s="989"/>
      <c r="QZH212" s="989"/>
      <c r="QZI212" s="989"/>
      <c r="QZJ212" s="989"/>
      <c r="QZK212" s="989"/>
      <c r="QZL212" s="989"/>
      <c r="QZM212" s="959"/>
      <c r="QZN212" s="959"/>
      <c r="QZR212" s="915"/>
      <c r="QZS212" s="915"/>
      <c r="QZT212" s="915"/>
      <c r="QZV212" s="917"/>
      <c r="QZX212" s="915"/>
      <c r="QZY212" s="915"/>
      <c r="QZZ212" s="915"/>
      <c r="RAA212" s="916"/>
      <c r="RAD212" s="989"/>
      <c r="RAE212" s="989"/>
      <c r="RAF212" s="989"/>
      <c r="RAG212" s="989"/>
      <c r="RAH212" s="989"/>
      <c r="RAI212" s="989"/>
      <c r="RAJ212" s="959"/>
      <c r="RAK212" s="959"/>
      <c r="RAO212" s="915"/>
      <c r="RAP212" s="915"/>
      <c r="RAQ212" s="915"/>
      <c r="RAS212" s="917"/>
      <c r="RAU212" s="915"/>
      <c r="RAV212" s="915"/>
      <c r="RAW212" s="915"/>
      <c r="RAX212" s="916"/>
      <c r="RBA212" s="989"/>
      <c r="RBB212" s="989"/>
      <c r="RBC212" s="989"/>
      <c r="RBD212" s="989"/>
      <c r="RBE212" s="989"/>
      <c r="RBF212" s="989"/>
      <c r="RBG212" s="959"/>
      <c r="RBH212" s="959"/>
      <c r="RBL212" s="915"/>
      <c r="RBM212" s="915"/>
      <c r="RBN212" s="915"/>
      <c r="RBP212" s="917"/>
      <c r="RBR212" s="915"/>
      <c r="RBS212" s="915"/>
      <c r="RBT212" s="915"/>
      <c r="RBU212" s="916"/>
      <c r="RBX212" s="989"/>
      <c r="RBY212" s="989"/>
      <c r="RBZ212" s="989"/>
      <c r="RCA212" s="989"/>
      <c r="RCB212" s="989"/>
      <c r="RCC212" s="989"/>
      <c r="RCD212" s="959"/>
      <c r="RCE212" s="959"/>
      <c r="RCI212" s="915"/>
      <c r="RCJ212" s="915"/>
      <c r="RCK212" s="915"/>
      <c r="RCM212" s="917"/>
      <c r="RCO212" s="915"/>
      <c r="RCP212" s="915"/>
      <c r="RCQ212" s="915"/>
      <c r="RCR212" s="916"/>
      <c r="RCU212" s="989"/>
      <c r="RCV212" s="989"/>
      <c r="RCW212" s="989"/>
      <c r="RCX212" s="989"/>
      <c r="RCY212" s="989"/>
      <c r="RCZ212" s="989"/>
      <c r="RDA212" s="959"/>
      <c r="RDB212" s="959"/>
      <c r="RDF212" s="915"/>
      <c r="RDG212" s="915"/>
      <c r="RDH212" s="915"/>
      <c r="RDJ212" s="917"/>
      <c r="RDL212" s="915"/>
      <c r="RDM212" s="915"/>
      <c r="RDN212" s="915"/>
      <c r="RDO212" s="916"/>
      <c r="RDR212" s="989"/>
      <c r="RDS212" s="989"/>
      <c r="RDT212" s="989"/>
      <c r="RDU212" s="989"/>
      <c r="RDV212" s="989"/>
      <c r="RDW212" s="989"/>
      <c r="RDX212" s="959"/>
      <c r="RDY212" s="959"/>
      <c r="REC212" s="915"/>
      <c r="RED212" s="915"/>
      <c r="REE212" s="915"/>
      <c r="REG212" s="917"/>
      <c r="REI212" s="915"/>
      <c r="REJ212" s="915"/>
      <c r="REK212" s="915"/>
      <c r="REL212" s="916"/>
      <c r="REO212" s="989"/>
      <c r="REP212" s="989"/>
      <c r="REQ212" s="989"/>
      <c r="RER212" s="989"/>
      <c r="RES212" s="989"/>
      <c r="RET212" s="989"/>
      <c r="REU212" s="959"/>
      <c r="REV212" s="959"/>
      <c r="REZ212" s="915"/>
      <c r="RFA212" s="915"/>
      <c r="RFB212" s="915"/>
      <c r="RFD212" s="917"/>
      <c r="RFF212" s="915"/>
      <c r="RFG212" s="915"/>
      <c r="RFH212" s="915"/>
      <c r="RFI212" s="916"/>
      <c r="RFL212" s="989"/>
      <c r="RFM212" s="989"/>
      <c r="RFN212" s="989"/>
      <c r="RFO212" s="989"/>
      <c r="RFP212" s="989"/>
      <c r="RFQ212" s="989"/>
      <c r="RFR212" s="959"/>
      <c r="RFS212" s="959"/>
      <c r="RFW212" s="915"/>
      <c r="RFX212" s="915"/>
      <c r="RFY212" s="915"/>
      <c r="RGA212" s="917"/>
      <c r="RGC212" s="915"/>
      <c r="RGD212" s="915"/>
      <c r="RGE212" s="915"/>
      <c r="RGF212" s="916"/>
      <c r="RGI212" s="989"/>
      <c r="RGJ212" s="989"/>
      <c r="RGK212" s="989"/>
      <c r="RGL212" s="989"/>
      <c r="RGM212" s="989"/>
      <c r="RGN212" s="989"/>
      <c r="RGO212" s="959"/>
      <c r="RGP212" s="959"/>
      <c r="RGT212" s="915"/>
      <c r="RGU212" s="915"/>
      <c r="RGV212" s="915"/>
      <c r="RGX212" s="917"/>
      <c r="RGZ212" s="915"/>
      <c r="RHA212" s="915"/>
      <c r="RHB212" s="915"/>
      <c r="RHC212" s="916"/>
      <c r="RHF212" s="989"/>
      <c r="RHG212" s="989"/>
      <c r="RHH212" s="989"/>
      <c r="RHI212" s="989"/>
      <c r="RHJ212" s="989"/>
      <c r="RHK212" s="989"/>
      <c r="RHL212" s="959"/>
      <c r="RHM212" s="959"/>
      <c r="RHQ212" s="915"/>
      <c r="RHR212" s="915"/>
      <c r="RHS212" s="915"/>
      <c r="RHU212" s="917"/>
      <c r="RHW212" s="915"/>
      <c r="RHX212" s="915"/>
      <c r="RHY212" s="915"/>
      <c r="RHZ212" s="916"/>
      <c r="RIC212" s="989"/>
      <c r="RID212" s="989"/>
      <c r="RIE212" s="989"/>
      <c r="RIF212" s="989"/>
      <c r="RIG212" s="989"/>
      <c r="RIH212" s="989"/>
      <c r="RII212" s="959"/>
      <c r="RIJ212" s="959"/>
      <c r="RIN212" s="915"/>
      <c r="RIO212" s="915"/>
      <c r="RIP212" s="915"/>
      <c r="RIR212" s="917"/>
      <c r="RIT212" s="915"/>
      <c r="RIU212" s="915"/>
      <c r="RIV212" s="915"/>
      <c r="RIW212" s="916"/>
      <c r="RIZ212" s="989"/>
      <c r="RJA212" s="989"/>
      <c r="RJB212" s="989"/>
      <c r="RJC212" s="989"/>
      <c r="RJD212" s="989"/>
      <c r="RJE212" s="989"/>
      <c r="RJF212" s="959"/>
      <c r="RJG212" s="959"/>
      <c r="RJK212" s="915"/>
      <c r="RJL212" s="915"/>
      <c r="RJM212" s="915"/>
      <c r="RJO212" s="917"/>
      <c r="RJQ212" s="915"/>
      <c r="RJR212" s="915"/>
      <c r="RJS212" s="915"/>
      <c r="RJT212" s="916"/>
      <c r="RJW212" s="989"/>
      <c r="RJX212" s="989"/>
      <c r="RJY212" s="989"/>
      <c r="RJZ212" s="989"/>
      <c r="RKA212" s="989"/>
      <c r="RKB212" s="989"/>
      <c r="RKC212" s="959"/>
      <c r="RKD212" s="959"/>
      <c r="RKH212" s="915"/>
      <c r="RKI212" s="915"/>
      <c r="RKJ212" s="915"/>
      <c r="RKL212" s="917"/>
      <c r="RKN212" s="915"/>
      <c r="RKO212" s="915"/>
      <c r="RKP212" s="915"/>
      <c r="RKQ212" s="916"/>
      <c r="RKT212" s="989"/>
      <c r="RKU212" s="989"/>
      <c r="RKV212" s="989"/>
      <c r="RKW212" s="989"/>
      <c r="RKX212" s="989"/>
      <c r="RKY212" s="989"/>
      <c r="RKZ212" s="959"/>
      <c r="RLA212" s="959"/>
      <c r="RLE212" s="915"/>
      <c r="RLF212" s="915"/>
      <c r="RLG212" s="915"/>
      <c r="RLI212" s="917"/>
      <c r="RLK212" s="915"/>
      <c r="RLL212" s="915"/>
      <c r="RLM212" s="915"/>
      <c r="RLN212" s="916"/>
      <c r="RLQ212" s="989"/>
      <c r="RLR212" s="989"/>
      <c r="RLS212" s="989"/>
      <c r="RLT212" s="989"/>
      <c r="RLU212" s="989"/>
      <c r="RLV212" s="989"/>
      <c r="RLW212" s="959"/>
      <c r="RLX212" s="959"/>
      <c r="RMB212" s="915"/>
      <c r="RMC212" s="915"/>
      <c r="RMD212" s="915"/>
      <c r="RMF212" s="917"/>
      <c r="RMH212" s="915"/>
      <c r="RMI212" s="915"/>
      <c r="RMJ212" s="915"/>
      <c r="RMK212" s="916"/>
      <c r="RMN212" s="989"/>
      <c r="RMO212" s="989"/>
      <c r="RMP212" s="989"/>
      <c r="RMQ212" s="989"/>
      <c r="RMR212" s="989"/>
      <c r="RMS212" s="989"/>
      <c r="RMT212" s="959"/>
      <c r="RMU212" s="959"/>
      <c r="RMY212" s="915"/>
      <c r="RMZ212" s="915"/>
      <c r="RNA212" s="915"/>
      <c r="RNC212" s="917"/>
      <c r="RNE212" s="915"/>
      <c r="RNF212" s="915"/>
      <c r="RNG212" s="915"/>
      <c r="RNH212" s="916"/>
      <c r="RNK212" s="989"/>
      <c r="RNL212" s="989"/>
      <c r="RNM212" s="989"/>
      <c r="RNN212" s="989"/>
      <c r="RNO212" s="989"/>
      <c r="RNP212" s="989"/>
      <c r="RNQ212" s="959"/>
      <c r="RNR212" s="959"/>
      <c r="RNV212" s="915"/>
      <c r="RNW212" s="915"/>
      <c r="RNX212" s="915"/>
      <c r="RNZ212" s="917"/>
      <c r="ROB212" s="915"/>
      <c r="ROC212" s="915"/>
      <c r="ROD212" s="915"/>
      <c r="ROE212" s="916"/>
      <c r="ROH212" s="989"/>
      <c r="ROI212" s="989"/>
      <c r="ROJ212" s="989"/>
      <c r="ROK212" s="989"/>
      <c r="ROL212" s="989"/>
      <c r="ROM212" s="989"/>
      <c r="RON212" s="959"/>
      <c r="ROO212" s="959"/>
      <c r="ROS212" s="915"/>
      <c r="ROT212" s="915"/>
      <c r="ROU212" s="915"/>
      <c r="ROW212" s="917"/>
      <c r="ROY212" s="915"/>
      <c r="ROZ212" s="915"/>
      <c r="RPA212" s="915"/>
      <c r="RPB212" s="916"/>
      <c r="RPE212" s="989"/>
      <c r="RPF212" s="989"/>
      <c r="RPG212" s="989"/>
      <c r="RPH212" s="989"/>
      <c r="RPI212" s="989"/>
      <c r="RPJ212" s="989"/>
      <c r="RPK212" s="959"/>
      <c r="RPL212" s="959"/>
      <c r="RPP212" s="915"/>
      <c r="RPQ212" s="915"/>
      <c r="RPR212" s="915"/>
      <c r="RPT212" s="917"/>
      <c r="RPV212" s="915"/>
      <c r="RPW212" s="915"/>
      <c r="RPX212" s="915"/>
      <c r="RPY212" s="916"/>
      <c r="RQB212" s="989"/>
      <c r="RQC212" s="989"/>
      <c r="RQD212" s="989"/>
      <c r="RQE212" s="989"/>
      <c r="RQF212" s="989"/>
      <c r="RQG212" s="989"/>
      <c r="RQH212" s="959"/>
      <c r="RQI212" s="959"/>
      <c r="RQM212" s="915"/>
      <c r="RQN212" s="915"/>
      <c r="RQO212" s="915"/>
      <c r="RQQ212" s="917"/>
      <c r="RQS212" s="915"/>
      <c r="RQT212" s="915"/>
      <c r="RQU212" s="915"/>
      <c r="RQV212" s="916"/>
      <c r="RQY212" s="989"/>
      <c r="RQZ212" s="989"/>
      <c r="RRA212" s="989"/>
      <c r="RRB212" s="989"/>
      <c r="RRC212" s="989"/>
      <c r="RRD212" s="989"/>
      <c r="RRE212" s="959"/>
      <c r="RRF212" s="959"/>
      <c r="RRJ212" s="915"/>
      <c r="RRK212" s="915"/>
      <c r="RRL212" s="915"/>
      <c r="RRN212" s="917"/>
      <c r="RRP212" s="915"/>
      <c r="RRQ212" s="915"/>
      <c r="RRR212" s="915"/>
      <c r="RRS212" s="916"/>
      <c r="RRV212" s="989"/>
      <c r="RRW212" s="989"/>
      <c r="RRX212" s="989"/>
      <c r="RRY212" s="989"/>
      <c r="RRZ212" s="989"/>
      <c r="RSA212" s="989"/>
      <c r="RSB212" s="959"/>
      <c r="RSC212" s="959"/>
      <c r="RSG212" s="915"/>
      <c r="RSH212" s="915"/>
      <c r="RSI212" s="915"/>
      <c r="RSK212" s="917"/>
      <c r="RSM212" s="915"/>
      <c r="RSN212" s="915"/>
      <c r="RSO212" s="915"/>
      <c r="RSP212" s="916"/>
      <c r="RSS212" s="989"/>
      <c r="RST212" s="989"/>
      <c r="RSU212" s="989"/>
      <c r="RSV212" s="989"/>
      <c r="RSW212" s="989"/>
      <c r="RSX212" s="989"/>
      <c r="RSY212" s="959"/>
      <c r="RSZ212" s="959"/>
      <c r="RTD212" s="915"/>
      <c r="RTE212" s="915"/>
      <c r="RTF212" s="915"/>
      <c r="RTH212" s="917"/>
      <c r="RTJ212" s="915"/>
      <c r="RTK212" s="915"/>
      <c r="RTL212" s="915"/>
      <c r="RTM212" s="916"/>
      <c r="RTP212" s="989"/>
      <c r="RTQ212" s="989"/>
      <c r="RTR212" s="989"/>
      <c r="RTS212" s="989"/>
      <c r="RTT212" s="989"/>
      <c r="RTU212" s="989"/>
      <c r="RTV212" s="959"/>
      <c r="RTW212" s="959"/>
      <c r="RUA212" s="915"/>
      <c r="RUB212" s="915"/>
      <c r="RUC212" s="915"/>
      <c r="RUE212" s="917"/>
      <c r="RUG212" s="915"/>
      <c r="RUH212" s="915"/>
      <c r="RUI212" s="915"/>
      <c r="RUJ212" s="916"/>
      <c r="RUM212" s="989"/>
      <c r="RUN212" s="989"/>
      <c r="RUO212" s="989"/>
      <c r="RUP212" s="989"/>
      <c r="RUQ212" s="989"/>
      <c r="RUR212" s="989"/>
      <c r="RUS212" s="959"/>
      <c r="RUT212" s="959"/>
      <c r="RUX212" s="915"/>
      <c r="RUY212" s="915"/>
      <c r="RUZ212" s="915"/>
      <c r="RVB212" s="917"/>
      <c r="RVD212" s="915"/>
      <c r="RVE212" s="915"/>
      <c r="RVF212" s="915"/>
      <c r="RVG212" s="916"/>
      <c r="RVJ212" s="989"/>
      <c r="RVK212" s="989"/>
      <c r="RVL212" s="989"/>
      <c r="RVM212" s="989"/>
      <c r="RVN212" s="989"/>
      <c r="RVO212" s="989"/>
      <c r="RVP212" s="959"/>
      <c r="RVQ212" s="959"/>
      <c r="RVU212" s="915"/>
      <c r="RVV212" s="915"/>
      <c r="RVW212" s="915"/>
      <c r="RVY212" s="917"/>
      <c r="RWA212" s="915"/>
      <c r="RWB212" s="915"/>
      <c r="RWC212" s="915"/>
      <c r="RWD212" s="916"/>
      <c r="RWG212" s="989"/>
      <c r="RWH212" s="989"/>
      <c r="RWI212" s="989"/>
      <c r="RWJ212" s="989"/>
      <c r="RWK212" s="989"/>
      <c r="RWL212" s="989"/>
      <c r="RWM212" s="959"/>
      <c r="RWN212" s="959"/>
      <c r="RWR212" s="915"/>
      <c r="RWS212" s="915"/>
      <c r="RWT212" s="915"/>
      <c r="RWV212" s="917"/>
      <c r="RWX212" s="915"/>
      <c r="RWY212" s="915"/>
      <c r="RWZ212" s="915"/>
      <c r="RXA212" s="916"/>
      <c r="RXD212" s="989"/>
      <c r="RXE212" s="989"/>
      <c r="RXF212" s="989"/>
      <c r="RXG212" s="989"/>
      <c r="RXH212" s="989"/>
      <c r="RXI212" s="989"/>
      <c r="RXJ212" s="959"/>
      <c r="RXK212" s="959"/>
      <c r="RXO212" s="915"/>
      <c r="RXP212" s="915"/>
      <c r="RXQ212" s="915"/>
      <c r="RXS212" s="917"/>
      <c r="RXU212" s="915"/>
      <c r="RXV212" s="915"/>
      <c r="RXW212" s="915"/>
      <c r="RXX212" s="916"/>
      <c r="RYA212" s="989"/>
      <c r="RYB212" s="989"/>
      <c r="RYC212" s="989"/>
      <c r="RYD212" s="989"/>
      <c r="RYE212" s="989"/>
      <c r="RYF212" s="989"/>
      <c r="RYG212" s="959"/>
      <c r="RYH212" s="959"/>
      <c r="RYL212" s="915"/>
      <c r="RYM212" s="915"/>
      <c r="RYN212" s="915"/>
      <c r="RYP212" s="917"/>
      <c r="RYR212" s="915"/>
      <c r="RYS212" s="915"/>
      <c r="RYT212" s="915"/>
      <c r="RYU212" s="916"/>
      <c r="RYX212" s="989"/>
      <c r="RYY212" s="989"/>
      <c r="RYZ212" s="989"/>
      <c r="RZA212" s="989"/>
      <c r="RZB212" s="989"/>
      <c r="RZC212" s="989"/>
      <c r="RZD212" s="959"/>
      <c r="RZE212" s="959"/>
      <c r="RZI212" s="915"/>
      <c r="RZJ212" s="915"/>
      <c r="RZK212" s="915"/>
      <c r="RZM212" s="917"/>
      <c r="RZO212" s="915"/>
      <c r="RZP212" s="915"/>
      <c r="RZQ212" s="915"/>
      <c r="RZR212" s="916"/>
      <c r="RZU212" s="989"/>
      <c r="RZV212" s="989"/>
      <c r="RZW212" s="989"/>
      <c r="RZX212" s="989"/>
      <c r="RZY212" s="989"/>
      <c r="RZZ212" s="989"/>
      <c r="SAA212" s="959"/>
      <c r="SAB212" s="959"/>
      <c r="SAF212" s="915"/>
      <c r="SAG212" s="915"/>
      <c r="SAH212" s="915"/>
      <c r="SAJ212" s="917"/>
      <c r="SAL212" s="915"/>
      <c r="SAM212" s="915"/>
      <c r="SAN212" s="915"/>
      <c r="SAO212" s="916"/>
      <c r="SAR212" s="989"/>
      <c r="SAS212" s="989"/>
      <c r="SAT212" s="989"/>
      <c r="SAU212" s="989"/>
      <c r="SAV212" s="989"/>
      <c r="SAW212" s="989"/>
      <c r="SAX212" s="959"/>
      <c r="SAY212" s="959"/>
      <c r="SBC212" s="915"/>
      <c r="SBD212" s="915"/>
      <c r="SBE212" s="915"/>
      <c r="SBG212" s="917"/>
      <c r="SBI212" s="915"/>
      <c r="SBJ212" s="915"/>
      <c r="SBK212" s="915"/>
      <c r="SBL212" s="916"/>
      <c r="SBO212" s="989"/>
      <c r="SBP212" s="989"/>
      <c r="SBQ212" s="989"/>
      <c r="SBR212" s="989"/>
      <c r="SBS212" s="989"/>
      <c r="SBT212" s="989"/>
      <c r="SBU212" s="959"/>
      <c r="SBV212" s="959"/>
      <c r="SBZ212" s="915"/>
      <c r="SCA212" s="915"/>
      <c r="SCB212" s="915"/>
      <c r="SCD212" s="917"/>
      <c r="SCF212" s="915"/>
      <c r="SCG212" s="915"/>
      <c r="SCH212" s="915"/>
      <c r="SCI212" s="916"/>
      <c r="SCL212" s="989"/>
      <c r="SCM212" s="989"/>
      <c r="SCN212" s="989"/>
      <c r="SCO212" s="989"/>
      <c r="SCP212" s="989"/>
      <c r="SCQ212" s="989"/>
      <c r="SCR212" s="959"/>
      <c r="SCS212" s="959"/>
      <c r="SCW212" s="915"/>
      <c r="SCX212" s="915"/>
      <c r="SCY212" s="915"/>
      <c r="SDA212" s="917"/>
      <c r="SDC212" s="915"/>
      <c r="SDD212" s="915"/>
      <c r="SDE212" s="915"/>
      <c r="SDF212" s="916"/>
      <c r="SDI212" s="989"/>
      <c r="SDJ212" s="989"/>
      <c r="SDK212" s="989"/>
      <c r="SDL212" s="989"/>
      <c r="SDM212" s="989"/>
      <c r="SDN212" s="989"/>
      <c r="SDO212" s="959"/>
      <c r="SDP212" s="959"/>
      <c r="SDT212" s="915"/>
      <c r="SDU212" s="915"/>
      <c r="SDV212" s="915"/>
      <c r="SDX212" s="917"/>
      <c r="SDZ212" s="915"/>
      <c r="SEA212" s="915"/>
      <c r="SEB212" s="915"/>
      <c r="SEC212" s="916"/>
      <c r="SEF212" s="989"/>
      <c r="SEG212" s="989"/>
      <c r="SEH212" s="989"/>
      <c r="SEI212" s="989"/>
      <c r="SEJ212" s="989"/>
      <c r="SEK212" s="989"/>
      <c r="SEL212" s="959"/>
      <c r="SEM212" s="959"/>
      <c r="SEQ212" s="915"/>
      <c r="SER212" s="915"/>
      <c r="SES212" s="915"/>
      <c r="SEU212" s="917"/>
      <c r="SEW212" s="915"/>
      <c r="SEX212" s="915"/>
      <c r="SEY212" s="915"/>
      <c r="SEZ212" s="916"/>
      <c r="SFC212" s="989"/>
      <c r="SFD212" s="989"/>
      <c r="SFE212" s="989"/>
      <c r="SFF212" s="989"/>
      <c r="SFG212" s="989"/>
      <c r="SFH212" s="989"/>
      <c r="SFI212" s="959"/>
      <c r="SFJ212" s="959"/>
      <c r="SFN212" s="915"/>
      <c r="SFO212" s="915"/>
      <c r="SFP212" s="915"/>
      <c r="SFR212" s="917"/>
      <c r="SFT212" s="915"/>
      <c r="SFU212" s="915"/>
      <c r="SFV212" s="915"/>
      <c r="SFW212" s="916"/>
      <c r="SFZ212" s="989"/>
      <c r="SGA212" s="989"/>
      <c r="SGB212" s="989"/>
      <c r="SGC212" s="989"/>
      <c r="SGD212" s="989"/>
      <c r="SGE212" s="989"/>
      <c r="SGF212" s="959"/>
      <c r="SGG212" s="959"/>
      <c r="SGK212" s="915"/>
      <c r="SGL212" s="915"/>
      <c r="SGM212" s="915"/>
      <c r="SGO212" s="917"/>
      <c r="SGQ212" s="915"/>
      <c r="SGR212" s="915"/>
      <c r="SGS212" s="915"/>
      <c r="SGT212" s="916"/>
      <c r="SGW212" s="989"/>
      <c r="SGX212" s="989"/>
      <c r="SGY212" s="989"/>
      <c r="SGZ212" s="989"/>
      <c r="SHA212" s="989"/>
      <c r="SHB212" s="989"/>
      <c r="SHC212" s="959"/>
      <c r="SHD212" s="959"/>
      <c r="SHH212" s="915"/>
      <c r="SHI212" s="915"/>
      <c r="SHJ212" s="915"/>
      <c r="SHL212" s="917"/>
      <c r="SHN212" s="915"/>
      <c r="SHO212" s="915"/>
      <c r="SHP212" s="915"/>
      <c r="SHQ212" s="916"/>
      <c r="SHT212" s="989"/>
      <c r="SHU212" s="989"/>
      <c r="SHV212" s="989"/>
      <c r="SHW212" s="989"/>
      <c r="SHX212" s="989"/>
      <c r="SHY212" s="989"/>
      <c r="SHZ212" s="959"/>
      <c r="SIA212" s="959"/>
      <c r="SIE212" s="915"/>
      <c r="SIF212" s="915"/>
      <c r="SIG212" s="915"/>
      <c r="SII212" s="917"/>
      <c r="SIK212" s="915"/>
      <c r="SIL212" s="915"/>
      <c r="SIM212" s="915"/>
      <c r="SIN212" s="916"/>
      <c r="SIQ212" s="989"/>
      <c r="SIR212" s="989"/>
      <c r="SIS212" s="989"/>
      <c r="SIT212" s="989"/>
      <c r="SIU212" s="989"/>
      <c r="SIV212" s="989"/>
      <c r="SIW212" s="959"/>
      <c r="SIX212" s="959"/>
      <c r="SJB212" s="915"/>
      <c r="SJC212" s="915"/>
      <c r="SJD212" s="915"/>
      <c r="SJF212" s="917"/>
      <c r="SJH212" s="915"/>
      <c r="SJI212" s="915"/>
      <c r="SJJ212" s="915"/>
      <c r="SJK212" s="916"/>
      <c r="SJN212" s="989"/>
      <c r="SJO212" s="989"/>
      <c r="SJP212" s="989"/>
      <c r="SJQ212" s="989"/>
      <c r="SJR212" s="989"/>
      <c r="SJS212" s="989"/>
      <c r="SJT212" s="959"/>
      <c r="SJU212" s="959"/>
      <c r="SJY212" s="915"/>
      <c r="SJZ212" s="915"/>
      <c r="SKA212" s="915"/>
      <c r="SKC212" s="917"/>
      <c r="SKE212" s="915"/>
      <c r="SKF212" s="915"/>
      <c r="SKG212" s="915"/>
      <c r="SKH212" s="916"/>
      <c r="SKK212" s="989"/>
      <c r="SKL212" s="989"/>
      <c r="SKM212" s="989"/>
      <c r="SKN212" s="989"/>
      <c r="SKO212" s="989"/>
      <c r="SKP212" s="989"/>
      <c r="SKQ212" s="959"/>
      <c r="SKR212" s="959"/>
      <c r="SKV212" s="915"/>
      <c r="SKW212" s="915"/>
      <c r="SKX212" s="915"/>
      <c r="SKZ212" s="917"/>
      <c r="SLB212" s="915"/>
      <c r="SLC212" s="915"/>
      <c r="SLD212" s="915"/>
      <c r="SLE212" s="916"/>
      <c r="SLH212" s="989"/>
      <c r="SLI212" s="989"/>
      <c r="SLJ212" s="989"/>
      <c r="SLK212" s="989"/>
      <c r="SLL212" s="989"/>
      <c r="SLM212" s="989"/>
      <c r="SLN212" s="959"/>
      <c r="SLO212" s="959"/>
      <c r="SLS212" s="915"/>
      <c r="SLT212" s="915"/>
      <c r="SLU212" s="915"/>
      <c r="SLW212" s="917"/>
      <c r="SLY212" s="915"/>
      <c r="SLZ212" s="915"/>
      <c r="SMA212" s="915"/>
      <c r="SMB212" s="916"/>
      <c r="SME212" s="989"/>
      <c r="SMF212" s="989"/>
      <c r="SMG212" s="989"/>
      <c r="SMH212" s="989"/>
      <c r="SMI212" s="989"/>
      <c r="SMJ212" s="989"/>
      <c r="SMK212" s="959"/>
      <c r="SML212" s="959"/>
      <c r="SMP212" s="915"/>
      <c r="SMQ212" s="915"/>
      <c r="SMR212" s="915"/>
      <c r="SMT212" s="917"/>
      <c r="SMV212" s="915"/>
      <c r="SMW212" s="915"/>
      <c r="SMX212" s="915"/>
      <c r="SMY212" s="916"/>
      <c r="SNB212" s="989"/>
      <c r="SNC212" s="989"/>
      <c r="SND212" s="989"/>
      <c r="SNE212" s="989"/>
      <c r="SNF212" s="989"/>
      <c r="SNG212" s="989"/>
      <c r="SNH212" s="959"/>
      <c r="SNI212" s="959"/>
      <c r="SNM212" s="915"/>
      <c r="SNN212" s="915"/>
      <c r="SNO212" s="915"/>
      <c r="SNQ212" s="917"/>
      <c r="SNS212" s="915"/>
      <c r="SNT212" s="915"/>
      <c r="SNU212" s="915"/>
      <c r="SNV212" s="916"/>
      <c r="SNY212" s="989"/>
      <c r="SNZ212" s="989"/>
      <c r="SOA212" s="989"/>
      <c r="SOB212" s="989"/>
      <c r="SOC212" s="989"/>
      <c r="SOD212" s="989"/>
      <c r="SOE212" s="959"/>
      <c r="SOF212" s="959"/>
      <c r="SOJ212" s="915"/>
      <c r="SOK212" s="915"/>
      <c r="SOL212" s="915"/>
      <c r="SON212" s="917"/>
      <c r="SOP212" s="915"/>
      <c r="SOQ212" s="915"/>
      <c r="SOR212" s="915"/>
      <c r="SOS212" s="916"/>
      <c r="SOV212" s="989"/>
      <c r="SOW212" s="989"/>
      <c r="SOX212" s="989"/>
      <c r="SOY212" s="989"/>
      <c r="SOZ212" s="989"/>
      <c r="SPA212" s="989"/>
      <c r="SPB212" s="959"/>
      <c r="SPC212" s="959"/>
      <c r="SPG212" s="915"/>
      <c r="SPH212" s="915"/>
      <c r="SPI212" s="915"/>
      <c r="SPK212" s="917"/>
      <c r="SPM212" s="915"/>
      <c r="SPN212" s="915"/>
      <c r="SPO212" s="915"/>
      <c r="SPP212" s="916"/>
      <c r="SPS212" s="989"/>
      <c r="SPT212" s="989"/>
      <c r="SPU212" s="989"/>
      <c r="SPV212" s="989"/>
      <c r="SPW212" s="989"/>
      <c r="SPX212" s="989"/>
      <c r="SPY212" s="959"/>
      <c r="SPZ212" s="959"/>
      <c r="SQD212" s="915"/>
      <c r="SQE212" s="915"/>
      <c r="SQF212" s="915"/>
      <c r="SQH212" s="917"/>
      <c r="SQJ212" s="915"/>
      <c r="SQK212" s="915"/>
      <c r="SQL212" s="915"/>
      <c r="SQM212" s="916"/>
      <c r="SQP212" s="989"/>
      <c r="SQQ212" s="989"/>
      <c r="SQR212" s="989"/>
      <c r="SQS212" s="989"/>
      <c r="SQT212" s="989"/>
      <c r="SQU212" s="989"/>
      <c r="SQV212" s="959"/>
      <c r="SQW212" s="959"/>
      <c r="SRA212" s="915"/>
      <c r="SRB212" s="915"/>
      <c r="SRC212" s="915"/>
      <c r="SRE212" s="917"/>
      <c r="SRG212" s="915"/>
      <c r="SRH212" s="915"/>
      <c r="SRI212" s="915"/>
      <c r="SRJ212" s="916"/>
      <c r="SRM212" s="989"/>
      <c r="SRN212" s="989"/>
      <c r="SRO212" s="989"/>
      <c r="SRP212" s="989"/>
      <c r="SRQ212" s="989"/>
      <c r="SRR212" s="989"/>
      <c r="SRS212" s="959"/>
      <c r="SRT212" s="959"/>
      <c r="SRX212" s="915"/>
      <c r="SRY212" s="915"/>
      <c r="SRZ212" s="915"/>
      <c r="SSB212" s="917"/>
      <c r="SSD212" s="915"/>
      <c r="SSE212" s="915"/>
      <c r="SSF212" s="915"/>
      <c r="SSG212" s="916"/>
      <c r="SSJ212" s="989"/>
      <c r="SSK212" s="989"/>
      <c r="SSL212" s="989"/>
      <c r="SSM212" s="989"/>
      <c r="SSN212" s="989"/>
      <c r="SSO212" s="989"/>
      <c r="SSP212" s="959"/>
      <c r="SSQ212" s="959"/>
      <c r="SSU212" s="915"/>
      <c r="SSV212" s="915"/>
      <c r="SSW212" s="915"/>
      <c r="SSY212" s="917"/>
      <c r="STA212" s="915"/>
      <c r="STB212" s="915"/>
      <c r="STC212" s="915"/>
      <c r="STD212" s="916"/>
      <c r="STG212" s="989"/>
      <c r="STH212" s="989"/>
      <c r="STI212" s="989"/>
      <c r="STJ212" s="989"/>
      <c r="STK212" s="989"/>
      <c r="STL212" s="989"/>
      <c r="STM212" s="959"/>
      <c r="STN212" s="959"/>
      <c r="STR212" s="915"/>
      <c r="STS212" s="915"/>
      <c r="STT212" s="915"/>
      <c r="STV212" s="917"/>
      <c r="STX212" s="915"/>
      <c r="STY212" s="915"/>
      <c r="STZ212" s="915"/>
      <c r="SUA212" s="916"/>
      <c r="SUD212" s="989"/>
      <c r="SUE212" s="989"/>
      <c r="SUF212" s="989"/>
      <c r="SUG212" s="989"/>
      <c r="SUH212" s="989"/>
      <c r="SUI212" s="989"/>
      <c r="SUJ212" s="959"/>
      <c r="SUK212" s="959"/>
      <c r="SUO212" s="915"/>
      <c r="SUP212" s="915"/>
      <c r="SUQ212" s="915"/>
      <c r="SUS212" s="917"/>
      <c r="SUU212" s="915"/>
      <c r="SUV212" s="915"/>
      <c r="SUW212" s="915"/>
      <c r="SUX212" s="916"/>
      <c r="SVA212" s="989"/>
      <c r="SVB212" s="989"/>
      <c r="SVC212" s="989"/>
      <c r="SVD212" s="989"/>
      <c r="SVE212" s="989"/>
      <c r="SVF212" s="989"/>
      <c r="SVG212" s="959"/>
      <c r="SVH212" s="959"/>
      <c r="SVL212" s="915"/>
      <c r="SVM212" s="915"/>
      <c r="SVN212" s="915"/>
      <c r="SVP212" s="917"/>
      <c r="SVR212" s="915"/>
      <c r="SVS212" s="915"/>
      <c r="SVT212" s="915"/>
      <c r="SVU212" s="916"/>
      <c r="SVX212" s="989"/>
      <c r="SVY212" s="989"/>
      <c r="SVZ212" s="989"/>
      <c r="SWA212" s="989"/>
      <c r="SWB212" s="989"/>
      <c r="SWC212" s="989"/>
      <c r="SWD212" s="959"/>
      <c r="SWE212" s="959"/>
      <c r="SWI212" s="915"/>
      <c r="SWJ212" s="915"/>
      <c r="SWK212" s="915"/>
      <c r="SWM212" s="917"/>
      <c r="SWO212" s="915"/>
      <c r="SWP212" s="915"/>
      <c r="SWQ212" s="915"/>
      <c r="SWR212" s="916"/>
      <c r="SWU212" s="989"/>
      <c r="SWV212" s="989"/>
      <c r="SWW212" s="989"/>
      <c r="SWX212" s="989"/>
      <c r="SWY212" s="989"/>
      <c r="SWZ212" s="989"/>
      <c r="SXA212" s="959"/>
      <c r="SXB212" s="959"/>
      <c r="SXF212" s="915"/>
      <c r="SXG212" s="915"/>
      <c r="SXH212" s="915"/>
      <c r="SXJ212" s="917"/>
      <c r="SXL212" s="915"/>
      <c r="SXM212" s="915"/>
      <c r="SXN212" s="915"/>
      <c r="SXO212" s="916"/>
      <c r="SXR212" s="989"/>
      <c r="SXS212" s="989"/>
      <c r="SXT212" s="989"/>
      <c r="SXU212" s="989"/>
      <c r="SXV212" s="989"/>
      <c r="SXW212" s="989"/>
      <c r="SXX212" s="959"/>
      <c r="SXY212" s="959"/>
      <c r="SYC212" s="915"/>
      <c r="SYD212" s="915"/>
      <c r="SYE212" s="915"/>
      <c r="SYG212" s="917"/>
      <c r="SYI212" s="915"/>
      <c r="SYJ212" s="915"/>
      <c r="SYK212" s="915"/>
      <c r="SYL212" s="916"/>
      <c r="SYO212" s="989"/>
      <c r="SYP212" s="989"/>
      <c r="SYQ212" s="989"/>
      <c r="SYR212" s="989"/>
      <c r="SYS212" s="989"/>
      <c r="SYT212" s="989"/>
      <c r="SYU212" s="959"/>
      <c r="SYV212" s="959"/>
      <c r="SYZ212" s="915"/>
      <c r="SZA212" s="915"/>
      <c r="SZB212" s="915"/>
      <c r="SZD212" s="917"/>
      <c r="SZF212" s="915"/>
      <c r="SZG212" s="915"/>
      <c r="SZH212" s="915"/>
      <c r="SZI212" s="916"/>
      <c r="SZL212" s="989"/>
      <c r="SZM212" s="989"/>
      <c r="SZN212" s="989"/>
      <c r="SZO212" s="989"/>
      <c r="SZP212" s="989"/>
      <c r="SZQ212" s="989"/>
      <c r="SZR212" s="959"/>
      <c r="SZS212" s="959"/>
      <c r="SZW212" s="915"/>
      <c r="SZX212" s="915"/>
      <c r="SZY212" s="915"/>
      <c r="TAA212" s="917"/>
      <c r="TAC212" s="915"/>
      <c r="TAD212" s="915"/>
      <c r="TAE212" s="915"/>
      <c r="TAF212" s="916"/>
      <c r="TAI212" s="989"/>
      <c r="TAJ212" s="989"/>
      <c r="TAK212" s="989"/>
      <c r="TAL212" s="989"/>
      <c r="TAM212" s="989"/>
      <c r="TAN212" s="989"/>
      <c r="TAO212" s="959"/>
      <c r="TAP212" s="959"/>
      <c r="TAT212" s="915"/>
      <c r="TAU212" s="915"/>
      <c r="TAV212" s="915"/>
      <c r="TAX212" s="917"/>
      <c r="TAZ212" s="915"/>
      <c r="TBA212" s="915"/>
      <c r="TBB212" s="915"/>
      <c r="TBC212" s="916"/>
      <c r="TBF212" s="989"/>
      <c r="TBG212" s="989"/>
      <c r="TBH212" s="989"/>
      <c r="TBI212" s="989"/>
      <c r="TBJ212" s="989"/>
      <c r="TBK212" s="989"/>
      <c r="TBL212" s="959"/>
      <c r="TBM212" s="959"/>
      <c r="TBQ212" s="915"/>
      <c r="TBR212" s="915"/>
      <c r="TBS212" s="915"/>
      <c r="TBU212" s="917"/>
      <c r="TBW212" s="915"/>
      <c r="TBX212" s="915"/>
      <c r="TBY212" s="915"/>
      <c r="TBZ212" s="916"/>
      <c r="TCC212" s="989"/>
      <c r="TCD212" s="989"/>
      <c r="TCE212" s="989"/>
      <c r="TCF212" s="989"/>
      <c r="TCG212" s="989"/>
      <c r="TCH212" s="989"/>
      <c r="TCI212" s="959"/>
      <c r="TCJ212" s="959"/>
      <c r="TCN212" s="915"/>
      <c r="TCO212" s="915"/>
      <c r="TCP212" s="915"/>
      <c r="TCR212" s="917"/>
      <c r="TCT212" s="915"/>
      <c r="TCU212" s="915"/>
      <c r="TCV212" s="915"/>
      <c r="TCW212" s="916"/>
      <c r="TCZ212" s="989"/>
      <c r="TDA212" s="989"/>
      <c r="TDB212" s="989"/>
      <c r="TDC212" s="989"/>
      <c r="TDD212" s="989"/>
      <c r="TDE212" s="989"/>
      <c r="TDF212" s="959"/>
      <c r="TDG212" s="959"/>
      <c r="TDK212" s="915"/>
      <c r="TDL212" s="915"/>
      <c r="TDM212" s="915"/>
      <c r="TDO212" s="917"/>
      <c r="TDQ212" s="915"/>
      <c r="TDR212" s="915"/>
      <c r="TDS212" s="915"/>
      <c r="TDT212" s="916"/>
      <c r="TDW212" s="989"/>
      <c r="TDX212" s="989"/>
      <c r="TDY212" s="989"/>
      <c r="TDZ212" s="989"/>
      <c r="TEA212" s="989"/>
      <c r="TEB212" s="989"/>
      <c r="TEC212" s="959"/>
      <c r="TED212" s="959"/>
      <c r="TEH212" s="915"/>
      <c r="TEI212" s="915"/>
      <c r="TEJ212" s="915"/>
      <c r="TEL212" s="917"/>
      <c r="TEN212" s="915"/>
      <c r="TEO212" s="915"/>
      <c r="TEP212" s="915"/>
      <c r="TEQ212" s="916"/>
      <c r="TET212" s="989"/>
      <c r="TEU212" s="989"/>
      <c r="TEV212" s="989"/>
      <c r="TEW212" s="989"/>
      <c r="TEX212" s="989"/>
      <c r="TEY212" s="989"/>
      <c r="TEZ212" s="959"/>
      <c r="TFA212" s="959"/>
      <c r="TFE212" s="915"/>
      <c r="TFF212" s="915"/>
      <c r="TFG212" s="915"/>
      <c r="TFI212" s="917"/>
      <c r="TFK212" s="915"/>
      <c r="TFL212" s="915"/>
      <c r="TFM212" s="915"/>
      <c r="TFN212" s="916"/>
      <c r="TFQ212" s="989"/>
      <c r="TFR212" s="989"/>
      <c r="TFS212" s="989"/>
      <c r="TFT212" s="989"/>
      <c r="TFU212" s="989"/>
      <c r="TFV212" s="989"/>
      <c r="TFW212" s="959"/>
      <c r="TFX212" s="959"/>
      <c r="TGB212" s="915"/>
      <c r="TGC212" s="915"/>
      <c r="TGD212" s="915"/>
      <c r="TGF212" s="917"/>
      <c r="TGH212" s="915"/>
      <c r="TGI212" s="915"/>
      <c r="TGJ212" s="915"/>
      <c r="TGK212" s="916"/>
      <c r="TGN212" s="989"/>
      <c r="TGO212" s="989"/>
      <c r="TGP212" s="989"/>
      <c r="TGQ212" s="989"/>
      <c r="TGR212" s="989"/>
      <c r="TGS212" s="989"/>
      <c r="TGT212" s="959"/>
      <c r="TGU212" s="959"/>
      <c r="TGY212" s="915"/>
      <c r="TGZ212" s="915"/>
      <c r="THA212" s="915"/>
      <c r="THC212" s="917"/>
      <c r="THE212" s="915"/>
      <c r="THF212" s="915"/>
      <c r="THG212" s="915"/>
      <c r="THH212" s="916"/>
      <c r="THK212" s="989"/>
      <c r="THL212" s="989"/>
      <c r="THM212" s="989"/>
      <c r="THN212" s="989"/>
      <c r="THO212" s="989"/>
      <c r="THP212" s="989"/>
      <c r="THQ212" s="959"/>
      <c r="THR212" s="959"/>
      <c r="THV212" s="915"/>
      <c r="THW212" s="915"/>
      <c r="THX212" s="915"/>
      <c r="THZ212" s="917"/>
      <c r="TIB212" s="915"/>
      <c r="TIC212" s="915"/>
      <c r="TID212" s="915"/>
      <c r="TIE212" s="916"/>
      <c r="TIH212" s="989"/>
      <c r="TII212" s="989"/>
      <c r="TIJ212" s="989"/>
      <c r="TIK212" s="989"/>
      <c r="TIL212" s="989"/>
      <c r="TIM212" s="989"/>
      <c r="TIN212" s="959"/>
      <c r="TIO212" s="959"/>
      <c r="TIS212" s="915"/>
      <c r="TIT212" s="915"/>
      <c r="TIU212" s="915"/>
      <c r="TIW212" s="917"/>
      <c r="TIY212" s="915"/>
      <c r="TIZ212" s="915"/>
      <c r="TJA212" s="915"/>
      <c r="TJB212" s="916"/>
      <c r="TJE212" s="989"/>
      <c r="TJF212" s="989"/>
      <c r="TJG212" s="989"/>
      <c r="TJH212" s="989"/>
      <c r="TJI212" s="989"/>
      <c r="TJJ212" s="989"/>
      <c r="TJK212" s="959"/>
      <c r="TJL212" s="959"/>
      <c r="TJP212" s="915"/>
      <c r="TJQ212" s="915"/>
      <c r="TJR212" s="915"/>
      <c r="TJT212" s="917"/>
      <c r="TJV212" s="915"/>
      <c r="TJW212" s="915"/>
      <c r="TJX212" s="915"/>
      <c r="TJY212" s="916"/>
      <c r="TKB212" s="989"/>
      <c r="TKC212" s="989"/>
      <c r="TKD212" s="989"/>
      <c r="TKE212" s="989"/>
      <c r="TKF212" s="989"/>
      <c r="TKG212" s="989"/>
      <c r="TKH212" s="959"/>
      <c r="TKI212" s="959"/>
      <c r="TKM212" s="915"/>
      <c r="TKN212" s="915"/>
      <c r="TKO212" s="915"/>
      <c r="TKQ212" s="917"/>
      <c r="TKS212" s="915"/>
      <c r="TKT212" s="915"/>
      <c r="TKU212" s="915"/>
      <c r="TKV212" s="916"/>
      <c r="TKY212" s="989"/>
      <c r="TKZ212" s="989"/>
      <c r="TLA212" s="989"/>
      <c r="TLB212" s="989"/>
      <c r="TLC212" s="989"/>
      <c r="TLD212" s="989"/>
      <c r="TLE212" s="959"/>
      <c r="TLF212" s="959"/>
      <c r="TLJ212" s="915"/>
      <c r="TLK212" s="915"/>
      <c r="TLL212" s="915"/>
      <c r="TLN212" s="917"/>
      <c r="TLP212" s="915"/>
      <c r="TLQ212" s="915"/>
      <c r="TLR212" s="915"/>
      <c r="TLS212" s="916"/>
      <c r="TLV212" s="989"/>
      <c r="TLW212" s="989"/>
      <c r="TLX212" s="989"/>
      <c r="TLY212" s="989"/>
      <c r="TLZ212" s="989"/>
      <c r="TMA212" s="989"/>
      <c r="TMB212" s="959"/>
      <c r="TMC212" s="959"/>
      <c r="TMG212" s="915"/>
      <c r="TMH212" s="915"/>
      <c r="TMI212" s="915"/>
      <c r="TMK212" s="917"/>
      <c r="TMM212" s="915"/>
      <c r="TMN212" s="915"/>
      <c r="TMO212" s="915"/>
      <c r="TMP212" s="916"/>
      <c r="TMS212" s="989"/>
      <c r="TMT212" s="989"/>
      <c r="TMU212" s="989"/>
      <c r="TMV212" s="989"/>
      <c r="TMW212" s="989"/>
      <c r="TMX212" s="989"/>
      <c r="TMY212" s="959"/>
      <c r="TMZ212" s="959"/>
      <c r="TND212" s="915"/>
      <c r="TNE212" s="915"/>
      <c r="TNF212" s="915"/>
      <c r="TNH212" s="917"/>
      <c r="TNJ212" s="915"/>
      <c r="TNK212" s="915"/>
      <c r="TNL212" s="915"/>
      <c r="TNM212" s="916"/>
      <c r="TNP212" s="989"/>
      <c r="TNQ212" s="989"/>
      <c r="TNR212" s="989"/>
      <c r="TNS212" s="989"/>
      <c r="TNT212" s="989"/>
      <c r="TNU212" s="989"/>
      <c r="TNV212" s="959"/>
      <c r="TNW212" s="959"/>
      <c r="TOA212" s="915"/>
      <c r="TOB212" s="915"/>
      <c r="TOC212" s="915"/>
      <c r="TOE212" s="917"/>
      <c r="TOG212" s="915"/>
      <c r="TOH212" s="915"/>
      <c r="TOI212" s="915"/>
      <c r="TOJ212" s="916"/>
      <c r="TOM212" s="989"/>
      <c r="TON212" s="989"/>
      <c r="TOO212" s="989"/>
      <c r="TOP212" s="989"/>
      <c r="TOQ212" s="989"/>
      <c r="TOR212" s="989"/>
      <c r="TOS212" s="959"/>
      <c r="TOT212" s="959"/>
      <c r="TOX212" s="915"/>
      <c r="TOY212" s="915"/>
      <c r="TOZ212" s="915"/>
      <c r="TPB212" s="917"/>
      <c r="TPD212" s="915"/>
      <c r="TPE212" s="915"/>
      <c r="TPF212" s="915"/>
      <c r="TPG212" s="916"/>
      <c r="TPJ212" s="989"/>
      <c r="TPK212" s="989"/>
      <c r="TPL212" s="989"/>
      <c r="TPM212" s="989"/>
      <c r="TPN212" s="989"/>
      <c r="TPO212" s="989"/>
      <c r="TPP212" s="959"/>
      <c r="TPQ212" s="959"/>
      <c r="TPU212" s="915"/>
      <c r="TPV212" s="915"/>
      <c r="TPW212" s="915"/>
      <c r="TPY212" s="917"/>
      <c r="TQA212" s="915"/>
      <c r="TQB212" s="915"/>
      <c r="TQC212" s="915"/>
      <c r="TQD212" s="916"/>
      <c r="TQG212" s="989"/>
      <c r="TQH212" s="989"/>
      <c r="TQI212" s="989"/>
      <c r="TQJ212" s="989"/>
      <c r="TQK212" s="989"/>
      <c r="TQL212" s="989"/>
      <c r="TQM212" s="959"/>
      <c r="TQN212" s="959"/>
      <c r="TQR212" s="915"/>
      <c r="TQS212" s="915"/>
      <c r="TQT212" s="915"/>
      <c r="TQV212" s="917"/>
      <c r="TQX212" s="915"/>
      <c r="TQY212" s="915"/>
      <c r="TQZ212" s="915"/>
      <c r="TRA212" s="916"/>
      <c r="TRD212" s="989"/>
      <c r="TRE212" s="989"/>
      <c r="TRF212" s="989"/>
      <c r="TRG212" s="989"/>
      <c r="TRH212" s="989"/>
      <c r="TRI212" s="989"/>
      <c r="TRJ212" s="959"/>
      <c r="TRK212" s="959"/>
      <c r="TRO212" s="915"/>
      <c r="TRP212" s="915"/>
      <c r="TRQ212" s="915"/>
      <c r="TRS212" s="917"/>
      <c r="TRU212" s="915"/>
      <c r="TRV212" s="915"/>
      <c r="TRW212" s="915"/>
      <c r="TRX212" s="916"/>
      <c r="TSA212" s="989"/>
      <c r="TSB212" s="989"/>
      <c r="TSC212" s="989"/>
      <c r="TSD212" s="989"/>
      <c r="TSE212" s="989"/>
      <c r="TSF212" s="989"/>
      <c r="TSG212" s="959"/>
      <c r="TSH212" s="959"/>
      <c r="TSL212" s="915"/>
      <c r="TSM212" s="915"/>
      <c r="TSN212" s="915"/>
      <c r="TSP212" s="917"/>
      <c r="TSR212" s="915"/>
      <c r="TSS212" s="915"/>
      <c r="TST212" s="915"/>
      <c r="TSU212" s="916"/>
      <c r="TSX212" s="989"/>
      <c r="TSY212" s="989"/>
      <c r="TSZ212" s="989"/>
      <c r="TTA212" s="989"/>
      <c r="TTB212" s="989"/>
      <c r="TTC212" s="989"/>
      <c r="TTD212" s="959"/>
      <c r="TTE212" s="959"/>
      <c r="TTI212" s="915"/>
      <c r="TTJ212" s="915"/>
      <c r="TTK212" s="915"/>
      <c r="TTM212" s="917"/>
      <c r="TTO212" s="915"/>
      <c r="TTP212" s="915"/>
      <c r="TTQ212" s="915"/>
      <c r="TTR212" s="916"/>
      <c r="TTU212" s="989"/>
      <c r="TTV212" s="989"/>
      <c r="TTW212" s="989"/>
      <c r="TTX212" s="989"/>
      <c r="TTY212" s="989"/>
      <c r="TTZ212" s="989"/>
      <c r="TUA212" s="959"/>
      <c r="TUB212" s="959"/>
      <c r="TUF212" s="915"/>
      <c r="TUG212" s="915"/>
      <c r="TUH212" s="915"/>
      <c r="TUJ212" s="917"/>
      <c r="TUL212" s="915"/>
      <c r="TUM212" s="915"/>
      <c r="TUN212" s="915"/>
      <c r="TUO212" s="916"/>
      <c r="TUR212" s="989"/>
      <c r="TUS212" s="989"/>
      <c r="TUT212" s="989"/>
      <c r="TUU212" s="989"/>
      <c r="TUV212" s="989"/>
      <c r="TUW212" s="989"/>
      <c r="TUX212" s="959"/>
      <c r="TUY212" s="959"/>
      <c r="TVC212" s="915"/>
      <c r="TVD212" s="915"/>
      <c r="TVE212" s="915"/>
      <c r="TVG212" s="917"/>
      <c r="TVI212" s="915"/>
      <c r="TVJ212" s="915"/>
      <c r="TVK212" s="915"/>
      <c r="TVL212" s="916"/>
      <c r="TVO212" s="989"/>
      <c r="TVP212" s="989"/>
      <c r="TVQ212" s="989"/>
      <c r="TVR212" s="989"/>
      <c r="TVS212" s="989"/>
      <c r="TVT212" s="989"/>
      <c r="TVU212" s="959"/>
      <c r="TVV212" s="959"/>
      <c r="TVZ212" s="915"/>
      <c r="TWA212" s="915"/>
      <c r="TWB212" s="915"/>
      <c r="TWD212" s="917"/>
      <c r="TWF212" s="915"/>
      <c r="TWG212" s="915"/>
      <c r="TWH212" s="915"/>
      <c r="TWI212" s="916"/>
      <c r="TWL212" s="989"/>
      <c r="TWM212" s="989"/>
      <c r="TWN212" s="989"/>
      <c r="TWO212" s="989"/>
      <c r="TWP212" s="989"/>
      <c r="TWQ212" s="989"/>
      <c r="TWR212" s="959"/>
      <c r="TWS212" s="959"/>
      <c r="TWW212" s="915"/>
      <c r="TWX212" s="915"/>
      <c r="TWY212" s="915"/>
      <c r="TXA212" s="917"/>
      <c r="TXC212" s="915"/>
      <c r="TXD212" s="915"/>
      <c r="TXE212" s="915"/>
      <c r="TXF212" s="916"/>
      <c r="TXI212" s="989"/>
      <c r="TXJ212" s="989"/>
      <c r="TXK212" s="989"/>
      <c r="TXL212" s="989"/>
      <c r="TXM212" s="989"/>
      <c r="TXN212" s="989"/>
      <c r="TXO212" s="959"/>
      <c r="TXP212" s="959"/>
      <c r="TXT212" s="915"/>
      <c r="TXU212" s="915"/>
      <c r="TXV212" s="915"/>
      <c r="TXX212" s="917"/>
      <c r="TXZ212" s="915"/>
      <c r="TYA212" s="915"/>
      <c r="TYB212" s="915"/>
      <c r="TYC212" s="916"/>
      <c r="TYF212" s="989"/>
      <c r="TYG212" s="989"/>
      <c r="TYH212" s="989"/>
      <c r="TYI212" s="989"/>
      <c r="TYJ212" s="989"/>
      <c r="TYK212" s="989"/>
      <c r="TYL212" s="959"/>
      <c r="TYM212" s="959"/>
      <c r="TYQ212" s="915"/>
      <c r="TYR212" s="915"/>
      <c r="TYS212" s="915"/>
      <c r="TYU212" s="917"/>
      <c r="TYW212" s="915"/>
      <c r="TYX212" s="915"/>
      <c r="TYY212" s="915"/>
      <c r="TYZ212" s="916"/>
      <c r="TZC212" s="989"/>
      <c r="TZD212" s="989"/>
      <c r="TZE212" s="989"/>
      <c r="TZF212" s="989"/>
      <c r="TZG212" s="989"/>
      <c r="TZH212" s="989"/>
      <c r="TZI212" s="959"/>
      <c r="TZJ212" s="959"/>
      <c r="TZN212" s="915"/>
      <c r="TZO212" s="915"/>
      <c r="TZP212" s="915"/>
      <c r="TZR212" s="917"/>
      <c r="TZT212" s="915"/>
      <c r="TZU212" s="915"/>
      <c r="TZV212" s="915"/>
      <c r="TZW212" s="916"/>
      <c r="TZZ212" s="989"/>
      <c r="UAA212" s="989"/>
      <c r="UAB212" s="989"/>
      <c r="UAC212" s="989"/>
      <c r="UAD212" s="989"/>
      <c r="UAE212" s="989"/>
      <c r="UAF212" s="959"/>
      <c r="UAG212" s="959"/>
      <c r="UAK212" s="915"/>
      <c r="UAL212" s="915"/>
      <c r="UAM212" s="915"/>
      <c r="UAO212" s="917"/>
      <c r="UAQ212" s="915"/>
      <c r="UAR212" s="915"/>
      <c r="UAS212" s="915"/>
      <c r="UAT212" s="916"/>
      <c r="UAW212" s="989"/>
      <c r="UAX212" s="989"/>
      <c r="UAY212" s="989"/>
      <c r="UAZ212" s="989"/>
      <c r="UBA212" s="989"/>
      <c r="UBB212" s="989"/>
      <c r="UBC212" s="959"/>
      <c r="UBD212" s="959"/>
      <c r="UBH212" s="915"/>
      <c r="UBI212" s="915"/>
      <c r="UBJ212" s="915"/>
      <c r="UBL212" s="917"/>
      <c r="UBN212" s="915"/>
      <c r="UBO212" s="915"/>
      <c r="UBP212" s="915"/>
      <c r="UBQ212" s="916"/>
      <c r="UBT212" s="989"/>
      <c r="UBU212" s="989"/>
      <c r="UBV212" s="989"/>
      <c r="UBW212" s="989"/>
      <c r="UBX212" s="989"/>
      <c r="UBY212" s="989"/>
      <c r="UBZ212" s="959"/>
      <c r="UCA212" s="959"/>
      <c r="UCE212" s="915"/>
      <c r="UCF212" s="915"/>
      <c r="UCG212" s="915"/>
      <c r="UCI212" s="917"/>
      <c r="UCK212" s="915"/>
      <c r="UCL212" s="915"/>
      <c r="UCM212" s="915"/>
      <c r="UCN212" s="916"/>
      <c r="UCQ212" s="989"/>
      <c r="UCR212" s="989"/>
      <c r="UCS212" s="989"/>
      <c r="UCT212" s="989"/>
      <c r="UCU212" s="989"/>
      <c r="UCV212" s="989"/>
      <c r="UCW212" s="959"/>
      <c r="UCX212" s="959"/>
      <c r="UDB212" s="915"/>
      <c r="UDC212" s="915"/>
      <c r="UDD212" s="915"/>
      <c r="UDF212" s="917"/>
      <c r="UDH212" s="915"/>
      <c r="UDI212" s="915"/>
      <c r="UDJ212" s="915"/>
      <c r="UDK212" s="916"/>
      <c r="UDN212" s="989"/>
      <c r="UDO212" s="989"/>
      <c r="UDP212" s="989"/>
      <c r="UDQ212" s="989"/>
      <c r="UDR212" s="989"/>
      <c r="UDS212" s="989"/>
      <c r="UDT212" s="959"/>
      <c r="UDU212" s="959"/>
      <c r="UDY212" s="915"/>
      <c r="UDZ212" s="915"/>
      <c r="UEA212" s="915"/>
      <c r="UEC212" s="917"/>
      <c r="UEE212" s="915"/>
      <c r="UEF212" s="915"/>
      <c r="UEG212" s="915"/>
      <c r="UEH212" s="916"/>
      <c r="UEK212" s="989"/>
      <c r="UEL212" s="989"/>
      <c r="UEM212" s="989"/>
      <c r="UEN212" s="989"/>
      <c r="UEO212" s="989"/>
      <c r="UEP212" s="989"/>
      <c r="UEQ212" s="959"/>
      <c r="UER212" s="959"/>
      <c r="UEV212" s="915"/>
      <c r="UEW212" s="915"/>
      <c r="UEX212" s="915"/>
      <c r="UEZ212" s="917"/>
      <c r="UFB212" s="915"/>
      <c r="UFC212" s="915"/>
      <c r="UFD212" s="915"/>
      <c r="UFE212" s="916"/>
      <c r="UFH212" s="989"/>
      <c r="UFI212" s="989"/>
      <c r="UFJ212" s="989"/>
      <c r="UFK212" s="989"/>
      <c r="UFL212" s="989"/>
      <c r="UFM212" s="989"/>
      <c r="UFN212" s="959"/>
      <c r="UFO212" s="959"/>
      <c r="UFS212" s="915"/>
      <c r="UFT212" s="915"/>
      <c r="UFU212" s="915"/>
      <c r="UFW212" s="917"/>
      <c r="UFY212" s="915"/>
      <c r="UFZ212" s="915"/>
      <c r="UGA212" s="915"/>
      <c r="UGB212" s="916"/>
      <c r="UGE212" s="989"/>
      <c r="UGF212" s="989"/>
      <c r="UGG212" s="989"/>
      <c r="UGH212" s="989"/>
      <c r="UGI212" s="989"/>
      <c r="UGJ212" s="989"/>
      <c r="UGK212" s="959"/>
      <c r="UGL212" s="959"/>
      <c r="UGP212" s="915"/>
      <c r="UGQ212" s="915"/>
      <c r="UGR212" s="915"/>
      <c r="UGT212" s="917"/>
      <c r="UGV212" s="915"/>
      <c r="UGW212" s="915"/>
      <c r="UGX212" s="915"/>
      <c r="UGY212" s="916"/>
      <c r="UHB212" s="989"/>
      <c r="UHC212" s="989"/>
      <c r="UHD212" s="989"/>
      <c r="UHE212" s="989"/>
      <c r="UHF212" s="989"/>
      <c r="UHG212" s="989"/>
      <c r="UHH212" s="959"/>
      <c r="UHI212" s="959"/>
      <c r="UHM212" s="915"/>
      <c r="UHN212" s="915"/>
      <c r="UHO212" s="915"/>
      <c r="UHQ212" s="917"/>
      <c r="UHS212" s="915"/>
      <c r="UHT212" s="915"/>
      <c r="UHU212" s="915"/>
      <c r="UHV212" s="916"/>
      <c r="UHY212" s="989"/>
      <c r="UHZ212" s="989"/>
      <c r="UIA212" s="989"/>
      <c r="UIB212" s="989"/>
      <c r="UIC212" s="989"/>
      <c r="UID212" s="989"/>
      <c r="UIE212" s="959"/>
      <c r="UIF212" s="959"/>
      <c r="UIJ212" s="915"/>
      <c r="UIK212" s="915"/>
      <c r="UIL212" s="915"/>
      <c r="UIN212" s="917"/>
      <c r="UIP212" s="915"/>
      <c r="UIQ212" s="915"/>
      <c r="UIR212" s="915"/>
      <c r="UIS212" s="916"/>
      <c r="UIV212" s="989"/>
      <c r="UIW212" s="989"/>
      <c r="UIX212" s="989"/>
      <c r="UIY212" s="989"/>
      <c r="UIZ212" s="989"/>
      <c r="UJA212" s="989"/>
      <c r="UJB212" s="959"/>
      <c r="UJC212" s="959"/>
      <c r="UJG212" s="915"/>
      <c r="UJH212" s="915"/>
      <c r="UJI212" s="915"/>
      <c r="UJK212" s="917"/>
      <c r="UJM212" s="915"/>
      <c r="UJN212" s="915"/>
      <c r="UJO212" s="915"/>
      <c r="UJP212" s="916"/>
      <c r="UJS212" s="989"/>
      <c r="UJT212" s="989"/>
      <c r="UJU212" s="989"/>
      <c r="UJV212" s="989"/>
      <c r="UJW212" s="989"/>
      <c r="UJX212" s="989"/>
      <c r="UJY212" s="959"/>
      <c r="UJZ212" s="959"/>
      <c r="UKD212" s="915"/>
      <c r="UKE212" s="915"/>
      <c r="UKF212" s="915"/>
      <c r="UKH212" s="917"/>
      <c r="UKJ212" s="915"/>
      <c r="UKK212" s="915"/>
      <c r="UKL212" s="915"/>
      <c r="UKM212" s="916"/>
      <c r="UKP212" s="989"/>
      <c r="UKQ212" s="989"/>
      <c r="UKR212" s="989"/>
      <c r="UKS212" s="989"/>
      <c r="UKT212" s="989"/>
      <c r="UKU212" s="989"/>
      <c r="UKV212" s="959"/>
      <c r="UKW212" s="959"/>
      <c r="ULA212" s="915"/>
      <c r="ULB212" s="915"/>
      <c r="ULC212" s="915"/>
      <c r="ULE212" s="917"/>
      <c r="ULG212" s="915"/>
      <c r="ULH212" s="915"/>
      <c r="ULI212" s="915"/>
      <c r="ULJ212" s="916"/>
      <c r="ULM212" s="989"/>
      <c r="ULN212" s="989"/>
      <c r="ULO212" s="989"/>
      <c r="ULP212" s="989"/>
      <c r="ULQ212" s="989"/>
      <c r="ULR212" s="989"/>
      <c r="ULS212" s="959"/>
      <c r="ULT212" s="959"/>
      <c r="ULX212" s="915"/>
      <c r="ULY212" s="915"/>
      <c r="ULZ212" s="915"/>
      <c r="UMB212" s="917"/>
      <c r="UMD212" s="915"/>
      <c r="UME212" s="915"/>
      <c r="UMF212" s="915"/>
      <c r="UMG212" s="916"/>
      <c r="UMJ212" s="989"/>
      <c r="UMK212" s="989"/>
      <c r="UML212" s="989"/>
      <c r="UMM212" s="989"/>
      <c r="UMN212" s="989"/>
      <c r="UMO212" s="989"/>
      <c r="UMP212" s="959"/>
      <c r="UMQ212" s="959"/>
      <c r="UMU212" s="915"/>
      <c r="UMV212" s="915"/>
      <c r="UMW212" s="915"/>
      <c r="UMY212" s="917"/>
      <c r="UNA212" s="915"/>
      <c r="UNB212" s="915"/>
      <c r="UNC212" s="915"/>
      <c r="UND212" s="916"/>
      <c r="UNG212" s="989"/>
      <c r="UNH212" s="989"/>
      <c r="UNI212" s="989"/>
      <c r="UNJ212" s="989"/>
      <c r="UNK212" s="989"/>
      <c r="UNL212" s="989"/>
      <c r="UNM212" s="959"/>
      <c r="UNN212" s="959"/>
      <c r="UNR212" s="915"/>
      <c r="UNS212" s="915"/>
      <c r="UNT212" s="915"/>
      <c r="UNV212" s="917"/>
      <c r="UNX212" s="915"/>
      <c r="UNY212" s="915"/>
      <c r="UNZ212" s="915"/>
      <c r="UOA212" s="916"/>
      <c r="UOD212" s="989"/>
      <c r="UOE212" s="989"/>
      <c r="UOF212" s="989"/>
      <c r="UOG212" s="989"/>
      <c r="UOH212" s="989"/>
      <c r="UOI212" s="989"/>
      <c r="UOJ212" s="959"/>
      <c r="UOK212" s="959"/>
      <c r="UOO212" s="915"/>
      <c r="UOP212" s="915"/>
      <c r="UOQ212" s="915"/>
      <c r="UOS212" s="917"/>
      <c r="UOU212" s="915"/>
      <c r="UOV212" s="915"/>
      <c r="UOW212" s="915"/>
      <c r="UOX212" s="916"/>
      <c r="UPA212" s="989"/>
      <c r="UPB212" s="989"/>
      <c r="UPC212" s="989"/>
      <c r="UPD212" s="989"/>
      <c r="UPE212" s="989"/>
      <c r="UPF212" s="989"/>
      <c r="UPG212" s="959"/>
      <c r="UPH212" s="959"/>
      <c r="UPL212" s="915"/>
      <c r="UPM212" s="915"/>
      <c r="UPN212" s="915"/>
      <c r="UPP212" s="917"/>
      <c r="UPR212" s="915"/>
      <c r="UPS212" s="915"/>
      <c r="UPT212" s="915"/>
      <c r="UPU212" s="916"/>
      <c r="UPX212" s="989"/>
      <c r="UPY212" s="989"/>
      <c r="UPZ212" s="989"/>
      <c r="UQA212" s="989"/>
      <c r="UQB212" s="989"/>
      <c r="UQC212" s="989"/>
      <c r="UQD212" s="959"/>
      <c r="UQE212" s="959"/>
      <c r="UQI212" s="915"/>
      <c r="UQJ212" s="915"/>
      <c r="UQK212" s="915"/>
      <c r="UQM212" s="917"/>
      <c r="UQO212" s="915"/>
      <c r="UQP212" s="915"/>
      <c r="UQQ212" s="915"/>
      <c r="UQR212" s="916"/>
      <c r="UQU212" s="989"/>
      <c r="UQV212" s="989"/>
      <c r="UQW212" s="989"/>
      <c r="UQX212" s="989"/>
      <c r="UQY212" s="989"/>
      <c r="UQZ212" s="989"/>
      <c r="URA212" s="959"/>
      <c r="URB212" s="959"/>
      <c r="URF212" s="915"/>
      <c r="URG212" s="915"/>
      <c r="URH212" s="915"/>
      <c r="URJ212" s="917"/>
      <c r="URL212" s="915"/>
      <c r="URM212" s="915"/>
      <c r="URN212" s="915"/>
      <c r="URO212" s="916"/>
      <c r="URR212" s="989"/>
      <c r="URS212" s="989"/>
      <c r="URT212" s="989"/>
      <c r="URU212" s="989"/>
      <c r="URV212" s="989"/>
      <c r="URW212" s="989"/>
      <c r="URX212" s="959"/>
      <c r="URY212" s="959"/>
      <c r="USC212" s="915"/>
      <c r="USD212" s="915"/>
      <c r="USE212" s="915"/>
      <c r="USG212" s="917"/>
      <c r="USI212" s="915"/>
      <c r="USJ212" s="915"/>
      <c r="USK212" s="915"/>
      <c r="USL212" s="916"/>
      <c r="USO212" s="989"/>
      <c r="USP212" s="989"/>
      <c r="USQ212" s="989"/>
      <c r="USR212" s="989"/>
      <c r="USS212" s="989"/>
      <c r="UST212" s="989"/>
      <c r="USU212" s="959"/>
      <c r="USV212" s="959"/>
      <c r="USZ212" s="915"/>
      <c r="UTA212" s="915"/>
      <c r="UTB212" s="915"/>
      <c r="UTD212" s="917"/>
      <c r="UTF212" s="915"/>
      <c r="UTG212" s="915"/>
      <c r="UTH212" s="915"/>
      <c r="UTI212" s="916"/>
      <c r="UTL212" s="989"/>
      <c r="UTM212" s="989"/>
      <c r="UTN212" s="989"/>
      <c r="UTO212" s="989"/>
      <c r="UTP212" s="989"/>
      <c r="UTQ212" s="989"/>
      <c r="UTR212" s="959"/>
      <c r="UTS212" s="959"/>
      <c r="UTW212" s="915"/>
      <c r="UTX212" s="915"/>
      <c r="UTY212" s="915"/>
      <c r="UUA212" s="917"/>
      <c r="UUC212" s="915"/>
      <c r="UUD212" s="915"/>
      <c r="UUE212" s="915"/>
      <c r="UUF212" s="916"/>
      <c r="UUI212" s="989"/>
      <c r="UUJ212" s="989"/>
      <c r="UUK212" s="989"/>
      <c r="UUL212" s="989"/>
      <c r="UUM212" s="989"/>
      <c r="UUN212" s="989"/>
      <c r="UUO212" s="959"/>
      <c r="UUP212" s="959"/>
      <c r="UUT212" s="915"/>
      <c r="UUU212" s="915"/>
      <c r="UUV212" s="915"/>
      <c r="UUX212" s="917"/>
      <c r="UUZ212" s="915"/>
      <c r="UVA212" s="915"/>
      <c r="UVB212" s="915"/>
      <c r="UVC212" s="916"/>
      <c r="UVF212" s="989"/>
      <c r="UVG212" s="989"/>
      <c r="UVH212" s="989"/>
      <c r="UVI212" s="989"/>
      <c r="UVJ212" s="989"/>
      <c r="UVK212" s="989"/>
      <c r="UVL212" s="959"/>
      <c r="UVM212" s="959"/>
      <c r="UVQ212" s="915"/>
      <c r="UVR212" s="915"/>
      <c r="UVS212" s="915"/>
      <c r="UVU212" s="917"/>
      <c r="UVW212" s="915"/>
      <c r="UVX212" s="915"/>
      <c r="UVY212" s="915"/>
      <c r="UVZ212" s="916"/>
      <c r="UWC212" s="989"/>
      <c r="UWD212" s="989"/>
      <c r="UWE212" s="989"/>
      <c r="UWF212" s="989"/>
      <c r="UWG212" s="989"/>
      <c r="UWH212" s="989"/>
      <c r="UWI212" s="959"/>
      <c r="UWJ212" s="959"/>
      <c r="UWN212" s="915"/>
      <c r="UWO212" s="915"/>
      <c r="UWP212" s="915"/>
      <c r="UWR212" s="917"/>
      <c r="UWT212" s="915"/>
      <c r="UWU212" s="915"/>
      <c r="UWV212" s="915"/>
      <c r="UWW212" s="916"/>
      <c r="UWZ212" s="989"/>
      <c r="UXA212" s="989"/>
      <c r="UXB212" s="989"/>
      <c r="UXC212" s="989"/>
      <c r="UXD212" s="989"/>
      <c r="UXE212" s="989"/>
      <c r="UXF212" s="959"/>
      <c r="UXG212" s="959"/>
      <c r="UXK212" s="915"/>
      <c r="UXL212" s="915"/>
      <c r="UXM212" s="915"/>
      <c r="UXO212" s="917"/>
      <c r="UXQ212" s="915"/>
      <c r="UXR212" s="915"/>
      <c r="UXS212" s="915"/>
      <c r="UXT212" s="916"/>
      <c r="UXW212" s="989"/>
      <c r="UXX212" s="989"/>
      <c r="UXY212" s="989"/>
      <c r="UXZ212" s="989"/>
      <c r="UYA212" s="989"/>
      <c r="UYB212" s="989"/>
      <c r="UYC212" s="959"/>
      <c r="UYD212" s="959"/>
      <c r="UYH212" s="915"/>
      <c r="UYI212" s="915"/>
      <c r="UYJ212" s="915"/>
      <c r="UYL212" s="917"/>
      <c r="UYN212" s="915"/>
      <c r="UYO212" s="915"/>
      <c r="UYP212" s="915"/>
      <c r="UYQ212" s="916"/>
      <c r="UYT212" s="989"/>
      <c r="UYU212" s="989"/>
      <c r="UYV212" s="989"/>
      <c r="UYW212" s="989"/>
      <c r="UYX212" s="989"/>
      <c r="UYY212" s="989"/>
      <c r="UYZ212" s="959"/>
      <c r="UZA212" s="959"/>
      <c r="UZE212" s="915"/>
      <c r="UZF212" s="915"/>
      <c r="UZG212" s="915"/>
      <c r="UZI212" s="917"/>
      <c r="UZK212" s="915"/>
      <c r="UZL212" s="915"/>
      <c r="UZM212" s="915"/>
      <c r="UZN212" s="916"/>
      <c r="UZQ212" s="989"/>
      <c r="UZR212" s="989"/>
      <c r="UZS212" s="989"/>
      <c r="UZT212" s="989"/>
      <c r="UZU212" s="989"/>
      <c r="UZV212" s="989"/>
      <c r="UZW212" s="959"/>
      <c r="UZX212" s="959"/>
      <c r="VAB212" s="915"/>
      <c r="VAC212" s="915"/>
      <c r="VAD212" s="915"/>
      <c r="VAF212" s="917"/>
      <c r="VAH212" s="915"/>
      <c r="VAI212" s="915"/>
      <c r="VAJ212" s="915"/>
      <c r="VAK212" s="916"/>
      <c r="VAN212" s="989"/>
      <c r="VAO212" s="989"/>
      <c r="VAP212" s="989"/>
      <c r="VAQ212" s="989"/>
      <c r="VAR212" s="989"/>
      <c r="VAS212" s="989"/>
      <c r="VAT212" s="959"/>
      <c r="VAU212" s="959"/>
      <c r="VAY212" s="915"/>
      <c r="VAZ212" s="915"/>
      <c r="VBA212" s="915"/>
      <c r="VBC212" s="917"/>
      <c r="VBE212" s="915"/>
      <c r="VBF212" s="915"/>
      <c r="VBG212" s="915"/>
      <c r="VBH212" s="916"/>
      <c r="VBK212" s="989"/>
      <c r="VBL212" s="989"/>
      <c r="VBM212" s="989"/>
      <c r="VBN212" s="989"/>
      <c r="VBO212" s="989"/>
      <c r="VBP212" s="989"/>
      <c r="VBQ212" s="959"/>
      <c r="VBR212" s="959"/>
      <c r="VBV212" s="915"/>
      <c r="VBW212" s="915"/>
      <c r="VBX212" s="915"/>
      <c r="VBZ212" s="917"/>
      <c r="VCB212" s="915"/>
      <c r="VCC212" s="915"/>
      <c r="VCD212" s="915"/>
      <c r="VCE212" s="916"/>
      <c r="VCH212" s="989"/>
      <c r="VCI212" s="989"/>
      <c r="VCJ212" s="989"/>
      <c r="VCK212" s="989"/>
      <c r="VCL212" s="989"/>
      <c r="VCM212" s="989"/>
      <c r="VCN212" s="959"/>
      <c r="VCO212" s="959"/>
      <c r="VCS212" s="915"/>
      <c r="VCT212" s="915"/>
      <c r="VCU212" s="915"/>
      <c r="VCW212" s="917"/>
      <c r="VCY212" s="915"/>
      <c r="VCZ212" s="915"/>
      <c r="VDA212" s="915"/>
      <c r="VDB212" s="916"/>
      <c r="VDE212" s="989"/>
      <c r="VDF212" s="989"/>
      <c r="VDG212" s="989"/>
      <c r="VDH212" s="989"/>
      <c r="VDI212" s="989"/>
      <c r="VDJ212" s="989"/>
      <c r="VDK212" s="959"/>
      <c r="VDL212" s="959"/>
      <c r="VDP212" s="915"/>
      <c r="VDQ212" s="915"/>
      <c r="VDR212" s="915"/>
      <c r="VDT212" s="917"/>
      <c r="VDV212" s="915"/>
      <c r="VDW212" s="915"/>
      <c r="VDX212" s="915"/>
      <c r="VDY212" s="916"/>
      <c r="VEB212" s="989"/>
      <c r="VEC212" s="989"/>
      <c r="VED212" s="989"/>
      <c r="VEE212" s="989"/>
      <c r="VEF212" s="989"/>
      <c r="VEG212" s="989"/>
      <c r="VEH212" s="959"/>
      <c r="VEI212" s="959"/>
      <c r="VEM212" s="915"/>
      <c r="VEN212" s="915"/>
      <c r="VEO212" s="915"/>
      <c r="VEQ212" s="917"/>
      <c r="VES212" s="915"/>
      <c r="VET212" s="915"/>
      <c r="VEU212" s="915"/>
      <c r="VEV212" s="916"/>
      <c r="VEY212" s="989"/>
      <c r="VEZ212" s="989"/>
      <c r="VFA212" s="989"/>
      <c r="VFB212" s="989"/>
      <c r="VFC212" s="989"/>
      <c r="VFD212" s="989"/>
      <c r="VFE212" s="959"/>
      <c r="VFF212" s="959"/>
      <c r="VFJ212" s="915"/>
      <c r="VFK212" s="915"/>
      <c r="VFL212" s="915"/>
      <c r="VFN212" s="917"/>
      <c r="VFP212" s="915"/>
      <c r="VFQ212" s="915"/>
      <c r="VFR212" s="915"/>
      <c r="VFS212" s="916"/>
      <c r="VFV212" s="989"/>
      <c r="VFW212" s="989"/>
      <c r="VFX212" s="989"/>
      <c r="VFY212" s="989"/>
      <c r="VFZ212" s="989"/>
      <c r="VGA212" s="989"/>
      <c r="VGB212" s="959"/>
      <c r="VGC212" s="959"/>
      <c r="VGG212" s="915"/>
      <c r="VGH212" s="915"/>
      <c r="VGI212" s="915"/>
      <c r="VGK212" s="917"/>
      <c r="VGM212" s="915"/>
      <c r="VGN212" s="915"/>
      <c r="VGO212" s="915"/>
      <c r="VGP212" s="916"/>
      <c r="VGS212" s="989"/>
      <c r="VGT212" s="989"/>
      <c r="VGU212" s="989"/>
      <c r="VGV212" s="989"/>
      <c r="VGW212" s="989"/>
      <c r="VGX212" s="989"/>
      <c r="VGY212" s="959"/>
      <c r="VGZ212" s="959"/>
      <c r="VHD212" s="915"/>
      <c r="VHE212" s="915"/>
      <c r="VHF212" s="915"/>
      <c r="VHH212" s="917"/>
      <c r="VHJ212" s="915"/>
      <c r="VHK212" s="915"/>
      <c r="VHL212" s="915"/>
      <c r="VHM212" s="916"/>
      <c r="VHP212" s="989"/>
      <c r="VHQ212" s="989"/>
      <c r="VHR212" s="989"/>
      <c r="VHS212" s="989"/>
      <c r="VHT212" s="989"/>
      <c r="VHU212" s="989"/>
      <c r="VHV212" s="959"/>
      <c r="VHW212" s="959"/>
      <c r="VIA212" s="915"/>
      <c r="VIB212" s="915"/>
      <c r="VIC212" s="915"/>
      <c r="VIE212" s="917"/>
      <c r="VIG212" s="915"/>
      <c r="VIH212" s="915"/>
      <c r="VII212" s="915"/>
      <c r="VIJ212" s="916"/>
      <c r="VIM212" s="989"/>
      <c r="VIN212" s="989"/>
      <c r="VIO212" s="989"/>
      <c r="VIP212" s="989"/>
      <c r="VIQ212" s="989"/>
      <c r="VIR212" s="989"/>
      <c r="VIS212" s="959"/>
      <c r="VIT212" s="959"/>
      <c r="VIX212" s="915"/>
      <c r="VIY212" s="915"/>
      <c r="VIZ212" s="915"/>
      <c r="VJB212" s="917"/>
      <c r="VJD212" s="915"/>
      <c r="VJE212" s="915"/>
      <c r="VJF212" s="915"/>
      <c r="VJG212" s="916"/>
      <c r="VJJ212" s="989"/>
      <c r="VJK212" s="989"/>
      <c r="VJL212" s="989"/>
      <c r="VJM212" s="989"/>
      <c r="VJN212" s="989"/>
      <c r="VJO212" s="989"/>
      <c r="VJP212" s="959"/>
      <c r="VJQ212" s="959"/>
      <c r="VJU212" s="915"/>
      <c r="VJV212" s="915"/>
      <c r="VJW212" s="915"/>
      <c r="VJY212" s="917"/>
      <c r="VKA212" s="915"/>
      <c r="VKB212" s="915"/>
      <c r="VKC212" s="915"/>
      <c r="VKD212" s="916"/>
      <c r="VKG212" s="989"/>
      <c r="VKH212" s="989"/>
      <c r="VKI212" s="989"/>
      <c r="VKJ212" s="989"/>
      <c r="VKK212" s="989"/>
      <c r="VKL212" s="989"/>
      <c r="VKM212" s="959"/>
      <c r="VKN212" s="959"/>
      <c r="VKR212" s="915"/>
      <c r="VKS212" s="915"/>
      <c r="VKT212" s="915"/>
      <c r="VKV212" s="917"/>
      <c r="VKX212" s="915"/>
      <c r="VKY212" s="915"/>
      <c r="VKZ212" s="915"/>
      <c r="VLA212" s="916"/>
      <c r="VLD212" s="989"/>
      <c r="VLE212" s="989"/>
      <c r="VLF212" s="989"/>
      <c r="VLG212" s="989"/>
      <c r="VLH212" s="989"/>
      <c r="VLI212" s="989"/>
      <c r="VLJ212" s="959"/>
      <c r="VLK212" s="959"/>
      <c r="VLO212" s="915"/>
      <c r="VLP212" s="915"/>
      <c r="VLQ212" s="915"/>
      <c r="VLS212" s="917"/>
      <c r="VLU212" s="915"/>
      <c r="VLV212" s="915"/>
      <c r="VLW212" s="915"/>
      <c r="VLX212" s="916"/>
      <c r="VMA212" s="989"/>
      <c r="VMB212" s="989"/>
      <c r="VMC212" s="989"/>
      <c r="VMD212" s="989"/>
      <c r="VME212" s="989"/>
      <c r="VMF212" s="989"/>
      <c r="VMG212" s="959"/>
      <c r="VMH212" s="959"/>
      <c r="VML212" s="915"/>
      <c r="VMM212" s="915"/>
      <c r="VMN212" s="915"/>
      <c r="VMP212" s="917"/>
      <c r="VMR212" s="915"/>
      <c r="VMS212" s="915"/>
      <c r="VMT212" s="915"/>
      <c r="VMU212" s="916"/>
      <c r="VMX212" s="989"/>
      <c r="VMY212" s="989"/>
      <c r="VMZ212" s="989"/>
      <c r="VNA212" s="989"/>
      <c r="VNB212" s="989"/>
      <c r="VNC212" s="989"/>
      <c r="VND212" s="959"/>
      <c r="VNE212" s="959"/>
      <c r="VNI212" s="915"/>
      <c r="VNJ212" s="915"/>
      <c r="VNK212" s="915"/>
      <c r="VNM212" s="917"/>
      <c r="VNO212" s="915"/>
      <c r="VNP212" s="915"/>
      <c r="VNQ212" s="915"/>
      <c r="VNR212" s="916"/>
      <c r="VNU212" s="989"/>
      <c r="VNV212" s="989"/>
      <c r="VNW212" s="989"/>
      <c r="VNX212" s="989"/>
      <c r="VNY212" s="989"/>
      <c r="VNZ212" s="989"/>
      <c r="VOA212" s="959"/>
      <c r="VOB212" s="959"/>
      <c r="VOF212" s="915"/>
      <c r="VOG212" s="915"/>
      <c r="VOH212" s="915"/>
      <c r="VOJ212" s="917"/>
      <c r="VOL212" s="915"/>
      <c r="VOM212" s="915"/>
      <c r="VON212" s="915"/>
      <c r="VOO212" s="916"/>
      <c r="VOR212" s="989"/>
      <c r="VOS212" s="989"/>
      <c r="VOT212" s="989"/>
      <c r="VOU212" s="989"/>
      <c r="VOV212" s="989"/>
      <c r="VOW212" s="989"/>
      <c r="VOX212" s="959"/>
      <c r="VOY212" s="959"/>
      <c r="VPC212" s="915"/>
      <c r="VPD212" s="915"/>
      <c r="VPE212" s="915"/>
      <c r="VPG212" s="917"/>
      <c r="VPI212" s="915"/>
      <c r="VPJ212" s="915"/>
      <c r="VPK212" s="915"/>
      <c r="VPL212" s="916"/>
      <c r="VPO212" s="989"/>
      <c r="VPP212" s="989"/>
      <c r="VPQ212" s="989"/>
      <c r="VPR212" s="989"/>
      <c r="VPS212" s="989"/>
      <c r="VPT212" s="989"/>
      <c r="VPU212" s="959"/>
      <c r="VPV212" s="959"/>
      <c r="VPZ212" s="915"/>
      <c r="VQA212" s="915"/>
      <c r="VQB212" s="915"/>
      <c r="VQD212" s="917"/>
      <c r="VQF212" s="915"/>
      <c r="VQG212" s="915"/>
      <c r="VQH212" s="915"/>
      <c r="VQI212" s="916"/>
      <c r="VQL212" s="989"/>
      <c r="VQM212" s="989"/>
      <c r="VQN212" s="989"/>
      <c r="VQO212" s="989"/>
      <c r="VQP212" s="989"/>
      <c r="VQQ212" s="989"/>
      <c r="VQR212" s="959"/>
      <c r="VQS212" s="959"/>
      <c r="VQW212" s="915"/>
      <c r="VQX212" s="915"/>
      <c r="VQY212" s="915"/>
      <c r="VRA212" s="917"/>
      <c r="VRC212" s="915"/>
      <c r="VRD212" s="915"/>
      <c r="VRE212" s="915"/>
      <c r="VRF212" s="916"/>
      <c r="VRI212" s="989"/>
      <c r="VRJ212" s="989"/>
      <c r="VRK212" s="989"/>
      <c r="VRL212" s="989"/>
      <c r="VRM212" s="989"/>
      <c r="VRN212" s="989"/>
      <c r="VRO212" s="959"/>
      <c r="VRP212" s="959"/>
      <c r="VRT212" s="915"/>
      <c r="VRU212" s="915"/>
      <c r="VRV212" s="915"/>
      <c r="VRX212" s="917"/>
      <c r="VRZ212" s="915"/>
      <c r="VSA212" s="915"/>
      <c r="VSB212" s="915"/>
      <c r="VSC212" s="916"/>
      <c r="VSF212" s="989"/>
      <c r="VSG212" s="989"/>
      <c r="VSH212" s="989"/>
      <c r="VSI212" s="989"/>
      <c r="VSJ212" s="989"/>
      <c r="VSK212" s="989"/>
      <c r="VSL212" s="959"/>
      <c r="VSM212" s="959"/>
      <c r="VSQ212" s="915"/>
      <c r="VSR212" s="915"/>
      <c r="VSS212" s="915"/>
      <c r="VSU212" s="917"/>
      <c r="VSW212" s="915"/>
      <c r="VSX212" s="915"/>
      <c r="VSY212" s="915"/>
      <c r="VSZ212" s="916"/>
      <c r="VTC212" s="989"/>
      <c r="VTD212" s="989"/>
      <c r="VTE212" s="989"/>
      <c r="VTF212" s="989"/>
      <c r="VTG212" s="989"/>
      <c r="VTH212" s="989"/>
      <c r="VTI212" s="959"/>
      <c r="VTJ212" s="959"/>
      <c r="VTN212" s="915"/>
      <c r="VTO212" s="915"/>
      <c r="VTP212" s="915"/>
      <c r="VTR212" s="917"/>
      <c r="VTT212" s="915"/>
      <c r="VTU212" s="915"/>
      <c r="VTV212" s="915"/>
      <c r="VTW212" s="916"/>
      <c r="VTZ212" s="989"/>
      <c r="VUA212" s="989"/>
      <c r="VUB212" s="989"/>
      <c r="VUC212" s="989"/>
      <c r="VUD212" s="989"/>
      <c r="VUE212" s="989"/>
      <c r="VUF212" s="959"/>
      <c r="VUG212" s="959"/>
      <c r="VUK212" s="915"/>
      <c r="VUL212" s="915"/>
      <c r="VUM212" s="915"/>
      <c r="VUO212" s="917"/>
      <c r="VUQ212" s="915"/>
      <c r="VUR212" s="915"/>
      <c r="VUS212" s="915"/>
      <c r="VUT212" s="916"/>
      <c r="VUW212" s="989"/>
      <c r="VUX212" s="989"/>
      <c r="VUY212" s="989"/>
      <c r="VUZ212" s="989"/>
      <c r="VVA212" s="989"/>
      <c r="VVB212" s="989"/>
      <c r="VVC212" s="959"/>
      <c r="VVD212" s="959"/>
      <c r="VVH212" s="915"/>
      <c r="VVI212" s="915"/>
      <c r="VVJ212" s="915"/>
      <c r="VVL212" s="917"/>
      <c r="VVN212" s="915"/>
      <c r="VVO212" s="915"/>
      <c r="VVP212" s="915"/>
      <c r="VVQ212" s="916"/>
      <c r="VVT212" s="989"/>
      <c r="VVU212" s="989"/>
      <c r="VVV212" s="989"/>
      <c r="VVW212" s="989"/>
      <c r="VVX212" s="989"/>
      <c r="VVY212" s="989"/>
      <c r="VVZ212" s="959"/>
      <c r="VWA212" s="959"/>
      <c r="VWE212" s="915"/>
      <c r="VWF212" s="915"/>
      <c r="VWG212" s="915"/>
      <c r="VWI212" s="917"/>
      <c r="VWK212" s="915"/>
      <c r="VWL212" s="915"/>
      <c r="VWM212" s="915"/>
      <c r="VWN212" s="916"/>
      <c r="VWQ212" s="989"/>
      <c r="VWR212" s="989"/>
      <c r="VWS212" s="989"/>
      <c r="VWT212" s="989"/>
      <c r="VWU212" s="989"/>
      <c r="VWV212" s="989"/>
      <c r="VWW212" s="959"/>
      <c r="VWX212" s="959"/>
      <c r="VXB212" s="915"/>
      <c r="VXC212" s="915"/>
      <c r="VXD212" s="915"/>
      <c r="VXF212" s="917"/>
      <c r="VXH212" s="915"/>
      <c r="VXI212" s="915"/>
      <c r="VXJ212" s="915"/>
      <c r="VXK212" s="916"/>
      <c r="VXN212" s="989"/>
      <c r="VXO212" s="989"/>
      <c r="VXP212" s="989"/>
      <c r="VXQ212" s="989"/>
      <c r="VXR212" s="989"/>
      <c r="VXS212" s="989"/>
      <c r="VXT212" s="959"/>
      <c r="VXU212" s="959"/>
      <c r="VXY212" s="915"/>
      <c r="VXZ212" s="915"/>
      <c r="VYA212" s="915"/>
      <c r="VYC212" s="917"/>
      <c r="VYE212" s="915"/>
      <c r="VYF212" s="915"/>
      <c r="VYG212" s="915"/>
      <c r="VYH212" s="916"/>
      <c r="VYK212" s="989"/>
      <c r="VYL212" s="989"/>
      <c r="VYM212" s="989"/>
      <c r="VYN212" s="989"/>
      <c r="VYO212" s="989"/>
      <c r="VYP212" s="989"/>
      <c r="VYQ212" s="959"/>
      <c r="VYR212" s="959"/>
      <c r="VYV212" s="915"/>
      <c r="VYW212" s="915"/>
      <c r="VYX212" s="915"/>
      <c r="VYZ212" s="917"/>
      <c r="VZB212" s="915"/>
      <c r="VZC212" s="915"/>
      <c r="VZD212" s="915"/>
      <c r="VZE212" s="916"/>
      <c r="VZH212" s="989"/>
      <c r="VZI212" s="989"/>
      <c r="VZJ212" s="989"/>
      <c r="VZK212" s="989"/>
      <c r="VZL212" s="989"/>
      <c r="VZM212" s="989"/>
      <c r="VZN212" s="959"/>
      <c r="VZO212" s="959"/>
      <c r="VZS212" s="915"/>
      <c r="VZT212" s="915"/>
      <c r="VZU212" s="915"/>
      <c r="VZW212" s="917"/>
      <c r="VZY212" s="915"/>
      <c r="VZZ212" s="915"/>
      <c r="WAA212" s="915"/>
      <c r="WAB212" s="916"/>
      <c r="WAE212" s="989"/>
      <c r="WAF212" s="989"/>
      <c r="WAG212" s="989"/>
      <c r="WAH212" s="989"/>
      <c r="WAI212" s="989"/>
      <c r="WAJ212" s="989"/>
      <c r="WAK212" s="959"/>
      <c r="WAL212" s="959"/>
      <c r="WAP212" s="915"/>
      <c r="WAQ212" s="915"/>
      <c r="WAR212" s="915"/>
      <c r="WAT212" s="917"/>
      <c r="WAV212" s="915"/>
      <c r="WAW212" s="915"/>
      <c r="WAX212" s="915"/>
      <c r="WAY212" s="916"/>
      <c r="WBB212" s="989"/>
      <c r="WBC212" s="989"/>
      <c r="WBD212" s="989"/>
      <c r="WBE212" s="989"/>
      <c r="WBF212" s="989"/>
      <c r="WBG212" s="989"/>
      <c r="WBH212" s="959"/>
      <c r="WBI212" s="959"/>
      <c r="WBM212" s="915"/>
      <c r="WBN212" s="915"/>
      <c r="WBO212" s="915"/>
      <c r="WBQ212" s="917"/>
      <c r="WBS212" s="915"/>
      <c r="WBT212" s="915"/>
      <c r="WBU212" s="915"/>
      <c r="WBV212" s="916"/>
      <c r="WBY212" s="989"/>
      <c r="WBZ212" s="989"/>
      <c r="WCA212" s="989"/>
      <c r="WCB212" s="989"/>
      <c r="WCC212" s="989"/>
      <c r="WCD212" s="989"/>
      <c r="WCE212" s="959"/>
      <c r="WCF212" s="959"/>
      <c r="WCJ212" s="915"/>
      <c r="WCK212" s="915"/>
      <c r="WCL212" s="915"/>
      <c r="WCN212" s="917"/>
      <c r="WCP212" s="915"/>
      <c r="WCQ212" s="915"/>
      <c r="WCR212" s="915"/>
      <c r="WCS212" s="916"/>
      <c r="WCV212" s="989"/>
      <c r="WCW212" s="989"/>
      <c r="WCX212" s="989"/>
      <c r="WCY212" s="989"/>
      <c r="WCZ212" s="989"/>
      <c r="WDA212" s="989"/>
      <c r="WDB212" s="959"/>
      <c r="WDC212" s="959"/>
      <c r="WDG212" s="915"/>
      <c r="WDH212" s="915"/>
      <c r="WDI212" s="915"/>
      <c r="WDK212" s="917"/>
      <c r="WDM212" s="915"/>
      <c r="WDN212" s="915"/>
      <c r="WDO212" s="915"/>
      <c r="WDP212" s="916"/>
      <c r="WDS212" s="989"/>
      <c r="WDT212" s="989"/>
      <c r="WDU212" s="989"/>
      <c r="WDV212" s="989"/>
      <c r="WDW212" s="989"/>
      <c r="WDX212" s="989"/>
      <c r="WDY212" s="959"/>
      <c r="WDZ212" s="959"/>
      <c r="WED212" s="915"/>
      <c r="WEE212" s="915"/>
      <c r="WEF212" s="915"/>
      <c r="WEH212" s="917"/>
      <c r="WEJ212" s="915"/>
      <c r="WEK212" s="915"/>
      <c r="WEL212" s="915"/>
      <c r="WEM212" s="916"/>
      <c r="WEP212" s="989"/>
      <c r="WEQ212" s="989"/>
      <c r="WER212" s="989"/>
      <c r="WES212" s="989"/>
      <c r="WET212" s="989"/>
      <c r="WEU212" s="989"/>
      <c r="WEV212" s="959"/>
      <c r="WEW212" s="959"/>
      <c r="WFA212" s="915"/>
      <c r="WFB212" s="915"/>
      <c r="WFC212" s="915"/>
      <c r="WFE212" s="917"/>
      <c r="WFG212" s="915"/>
      <c r="WFH212" s="915"/>
      <c r="WFI212" s="915"/>
      <c r="WFJ212" s="916"/>
      <c r="WFM212" s="989"/>
      <c r="WFN212" s="989"/>
      <c r="WFO212" s="989"/>
      <c r="WFP212" s="989"/>
      <c r="WFQ212" s="989"/>
      <c r="WFR212" s="989"/>
      <c r="WFS212" s="959"/>
      <c r="WFT212" s="959"/>
      <c r="WFX212" s="915"/>
      <c r="WFY212" s="915"/>
      <c r="WFZ212" s="915"/>
      <c r="WGB212" s="917"/>
      <c r="WGD212" s="915"/>
      <c r="WGE212" s="915"/>
      <c r="WGF212" s="915"/>
      <c r="WGG212" s="916"/>
      <c r="WGJ212" s="989"/>
      <c r="WGK212" s="989"/>
      <c r="WGL212" s="989"/>
      <c r="WGM212" s="989"/>
      <c r="WGN212" s="989"/>
      <c r="WGO212" s="989"/>
      <c r="WGP212" s="959"/>
      <c r="WGQ212" s="959"/>
      <c r="WGU212" s="915"/>
      <c r="WGV212" s="915"/>
      <c r="WGW212" s="915"/>
      <c r="WGY212" s="917"/>
      <c r="WHA212" s="915"/>
      <c r="WHB212" s="915"/>
      <c r="WHC212" s="915"/>
      <c r="WHD212" s="916"/>
      <c r="WHG212" s="989"/>
      <c r="WHH212" s="989"/>
      <c r="WHI212" s="989"/>
      <c r="WHJ212" s="989"/>
      <c r="WHK212" s="989"/>
      <c r="WHL212" s="989"/>
      <c r="WHM212" s="959"/>
      <c r="WHN212" s="959"/>
      <c r="WHR212" s="915"/>
      <c r="WHS212" s="915"/>
      <c r="WHT212" s="915"/>
      <c r="WHV212" s="917"/>
      <c r="WHX212" s="915"/>
      <c r="WHY212" s="915"/>
      <c r="WHZ212" s="915"/>
      <c r="WIA212" s="916"/>
      <c r="WID212" s="989"/>
      <c r="WIE212" s="989"/>
      <c r="WIF212" s="989"/>
      <c r="WIG212" s="989"/>
      <c r="WIH212" s="989"/>
      <c r="WII212" s="989"/>
      <c r="WIJ212" s="959"/>
      <c r="WIK212" s="959"/>
      <c r="WIO212" s="915"/>
      <c r="WIP212" s="915"/>
      <c r="WIQ212" s="915"/>
      <c r="WIS212" s="917"/>
      <c r="WIU212" s="915"/>
      <c r="WIV212" s="915"/>
      <c r="WIW212" s="915"/>
      <c r="WIX212" s="916"/>
      <c r="WJA212" s="989"/>
      <c r="WJB212" s="989"/>
      <c r="WJC212" s="989"/>
      <c r="WJD212" s="989"/>
      <c r="WJE212" s="989"/>
      <c r="WJF212" s="989"/>
      <c r="WJG212" s="959"/>
      <c r="WJH212" s="959"/>
      <c r="WJL212" s="915"/>
      <c r="WJM212" s="915"/>
      <c r="WJN212" s="915"/>
      <c r="WJP212" s="917"/>
      <c r="WJR212" s="915"/>
      <c r="WJS212" s="915"/>
      <c r="WJT212" s="915"/>
      <c r="WJU212" s="916"/>
      <c r="WJX212" s="989"/>
      <c r="WJY212" s="989"/>
      <c r="WJZ212" s="989"/>
      <c r="WKA212" s="989"/>
      <c r="WKB212" s="989"/>
      <c r="WKC212" s="989"/>
      <c r="WKD212" s="959"/>
      <c r="WKE212" s="959"/>
      <c r="WKI212" s="915"/>
      <c r="WKJ212" s="915"/>
      <c r="WKK212" s="915"/>
      <c r="WKM212" s="917"/>
      <c r="WKO212" s="915"/>
      <c r="WKP212" s="915"/>
      <c r="WKQ212" s="915"/>
      <c r="WKR212" s="916"/>
      <c r="WKU212" s="989"/>
      <c r="WKV212" s="989"/>
      <c r="WKW212" s="989"/>
      <c r="WKX212" s="989"/>
      <c r="WKY212" s="989"/>
      <c r="WKZ212" s="989"/>
      <c r="WLA212" s="959"/>
      <c r="WLB212" s="959"/>
      <c r="WLF212" s="915"/>
      <c r="WLG212" s="915"/>
      <c r="WLH212" s="915"/>
      <c r="WLJ212" s="917"/>
      <c r="WLL212" s="915"/>
      <c r="WLM212" s="915"/>
      <c r="WLN212" s="915"/>
      <c r="WLO212" s="916"/>
      <c r="WLR212" s="989"/>
      <c r="WLS212" s="989"/>
      <c r="WLT212" s="989"/>
      <c r="WLU212" s="989"/>
      <c r="WLV212" s="989"/>
      <c r="WLW212" s="989"/>
      <c r="WLX212" s="959"/>
      <c r="WLY212" s="959"/>
      <c r="WMC212" s="915"/>
      <c r="WMD212" s="915"/>
      <c r="WME212" s="915"/>
      <c r="WMG212" s="917"/>
      <c r="WMI212" s="915"/>
      <c r="WMJ212" s="915"/>
      <c r="WMK212" s="915"/>
      <c r="WML212" s="916"/>
      <c r="WMO212" s="989"/>
      <c r="WMP212" s="989"/>
      <c r="WMQ212" s="989"/>
      <c r="WMR212" s="989"/>
      <c r="WMS212" s="989"/>
      <c r="WMT212" s="989"/>
      <c r="WMU212" s="959"/>
      <c r="WMV212" s="959"/>
      <c r="WMZ212" s="915"/>
      <c r="WNA212" s="915"/>
      <c r="WNB212" s="915"/>
      <c r="WND212" s="917"/>
      <c r="WNF212" s="915"/>
      <c r="WNG212" s="915"/>
      <c r="WNH212" s="915"/>
      <c r="WNI212" s="916"/>
      <c r="WNL212" s="989"/>
      <c r="WNM212" s="989"/>
      <c r="WNN212" s="989"/>
      <c r="WNO212" s="989"/>
      <c r="WNP212" s="989"/>
      <c r="WNQ212" s="989"/>
      <c r="WNR212" s="959"/>
      <c r="WNS212" s="959"/>
      <c r="WNW212" s="915"/>
      <c r="WNX212" s="915"/>
      <c r="WNY212" s="915"/>
      <c r="WOA212" s="917"/>
      <c r="WOC212" s="915"/>
      <c r="WOD212" s="915"/>
      <c r="WOE212" s="915"/>
      <c r="WOF212" s="916"/>
      <c r="WOI212" s="989"/>
      <c r="WOJ212" s="989"/>
      <c r="WOK212" s="989"/>
      <c r="WOL212" s="989"/>
      <c r="WOM212" s="989"/>
      <c r="WON212" s="989"/>
      <c r="WOO212" s="959"/>
      <c r="WOP212" s="959"/>
      <c r="WOT212" s="915"/>
      <c r="WOU212" s="915"/>
      <c r="WOV212" s="915"/>
      <c r="WOX212" s="917"/>
      <c r="WOZ212" s="915"/>
      <c r="WPA212" s="915"/>
      <c r="WPB212" s="915"/>
      <c r="WPC212" s="916"/>
      <c r="WPF212" s="989"/>
      <c r="WPG212" s="989"/>
      <c r="WPH212" s="989"/>
      <c r="WPI212" s="989"/>
      <c r="WPJ212" s="989"/>
      <c r="WPK212" s="989"/>
      <c r="WPL212" s="959"/>
      <c r="WPM212" s="959"/>
      <c r="WPQ212" s="915"/>
      <c r="WPR212" s="915"/>
      <c r="WPS212" s="915"/>
      <c r="WPU212" s="917"/>
      <c r="WPW212" s="915"/>
      <c r="WPX212" s="915"/>
      <c r="WPY212" s="915"/>
      <c r="WPZ212" s="916"/>
      <c r="WQC212" s="989"/>
      <c r="WQD212" s="989"/>
      <c r="WQE212" s="989"/>
      <c r="WQF212" s="989"/>
      <c r="WQG212" s="989"/>
      <c r="WQH212" s="989"/>
      <c r="WQI212" s="959"/>
      <c r="WQJ212" s="959"/>
      <c r="WQN212" s="915"/>
      <c r="WQO212" s="915"/>
      <c r="WQP212" s="915"/>
      <c r="WQR212" s="917"/>
      <c r="WQT212" s="915"/>
      <c r="WQU212" s="915"/>
      <c r="WQV212" s="915"/>
      <c r="WQW212" s="916"/>
      <c r="WQZ212" s="989"/>
      <c r="WRA212" s="989"/>
      <c r="WRB212" s="989"/>
      <c r="WRC212" s="989"/>
      <c r="WRD212" s="989"/>
      <c r="WRE212" s="989"/>
      <c r="WRF212" s="959"/>
      <c r="WRG212" s="959"/>
      <c r="WRK212" s="915"/>
      <c r="WRL212" s="915"/>
      <c r="WRM212" s="915"/>
      <c r="WRO212" s="917"/>
      <c r="WRQ212" s="915"/>
      <c r="WRR212" s="915"/>
      <c r="WRS212" s="915"/>
      <c r="WRT212" s="916"/>
      <c r="WRW212" s="989"/>
      <c r="WRX212" s="989"/>
      <c r="WRY212" s="989"/>
      <c r="WRZ212" s="989"/>
      <c r="WSA212" s="989"/>
      <c r="WSB212" s="989"/>
      <c r="WSC212" s="959"/>
      <c r="WSD212" s="959"/>
      <c r="WSH212" s="915"/>
      <c r="WSI212" s="915"/>
      <c r="WSJ212" s="915"/>
      <c r="WSL212" s="917"/>
      <c r="WSN212" s="915"/>
      <c r="WSO212" s="915"/>
      <c r="WSP212" s="915"/>
      <c r="WSQ212" s="916"/>
      <c r="WST212" s="989"/>
      <c r="WSU212" s="989"/>
      <c r="WSV212" s="989"/>
      <c r="WSW212" s="989"/>
      <c r="WSX212" s="989"/>
      <c r="WSY212" s="989"/>
      <c r="WSZ212" s="959"/>
      <c r="WTA212" s="959"/>
      <c r="WTE212" s="915"/>
      <c r="WTF212" s="915"/>
      <c r="WTG212" s="915"/>
      <c r="WTI212" s="917"/>
      <c r="WTK212" s="915"/>
      <c r="WTL212" s="915"/>
      <c r="WTM212" s="915"/>
      <c r="WTN212" s="916"/>
      <c r="WTQ212" s="989"/>
      <c r="WTR212" s="989"/>
      <c r="WTS212" s="989"/>
      <c r="WTT212" s="989"/>
      <c r="WTU212" s="989"/>
      <c r="WTV212" s="989"/>
      <c r="WTW212" s="959"/>
      <c r="WTX212" s="959"/>
      <c r="WUB212" s="915"/>
      <c r="WUC212" s="915"/>
      <c r="WUD212" s="915"/>
      <c r="WUF212" s="917"/>
      <c r="WUH212" s="915"/>
      <c r="WUI212" s="915"/>
      <c r="WUJ212" s="915"/>
      <c r="WUK212" s="916"/>
      <c r="WUN212" s="989"/>
      <c r="WUO212" s="989"/>
      <c r="WUP212" s="989"/>
      <c r="WUQ212" s="989"/>
      <c r="WUR212" s="989"/>
      <c r="WUS212" s="989"/>
      <c r="WUT212" s="959"/>
      <c r="WUU212" s="959"/>
      <c r="WUY212" s="915"/>
      <c r="WUZ212" s="915"/>
      <c r="WVA212" s="915"/>
      <c r="WVC212" s="917"/>
      <c r="WVE212" s="915"/>
      <c r="WVF212" s="915"/>
      <c r="WVG212" s="915"/>
      <c r="WVH212" s="916"/>
      <c r="WVK212" s="989"/>
      <c r="WVL212" s="989"/>
      <c r="WVM212" s="989"/>
      <c r="WVN212" s="989"/>
      <c r="WVO212" s="989"/>
      <c r="WVP212" s="989"/>
      <c r="WVQ212" s="959"/>
      <c r="WVR212" s="959"/>
      <c r="WVV212" s="915"/>
      <c r="WVW212" s="915"/>
      <c r="WVX212" s="915"/>
      <c r="WVZ212" s="917"/>
      <c r="WWB212" s="915"/>
      <c r="WWC212" s="915"/>
      <c r="WWD212" s="915"/>
      <c r="WWE212" s="916"/>
      <c r="WWH212" s="989"/>
      <c r="WWI212" s="989"/>
      <c r="WWJ212" s="989"/>
      <c r="WWK212" s="989"/>
      <c r="WWL212" s="989"/>
      <c r="WWM212" s="989"/>
      <c r="WWN212" s="959"/>
      <c r="WWO212" s="959"/>
      <c r="WWS212" s="915"/>
      <c r="WWT212" s="915"/>
      <c r="WWU212" s="915"/>
      <c r="WWW212" s="917"/>
      <c r="WWY212" s="915"/>
      <c r="WWZ212" s="915"/>
      <c r="WXA212" s="915"/>
      <c r="WXB212" s="916"/>
      <c r="WXE212" s="989"/>
      <c r="WXF212" s="989"/>
      <c r="WXG212" s="989"/>
      <c r="WXH212" s="989"/>
      <c r="WXI212" s="989"/>
      <c r="WXJ212" s="989"/>
      <c r="WXK212" s="959"/>
      <c r="WXL212" s="959"/>
      <c r="WXP212" s="915"/>
      <c r="WXQ212" s="915"/>
      <c r="WXR212" s="915"/>
      <c r="WXT212" s="917"/>
      <c r="WXV212" s="915"/>
      <c r="WXW212" s="915"/>
      <c r="WXX212" s="915"/>
      <c r="WXY212" s="916"/>
      <c r="WYB212" s="989"/>
      <c r="WYC212" s="989"/>
      <c r="WYD212" s="989"/>
      <c r="WYE212" s="989"/>
      <c r="WYF212" s="989"/>
      <c r="WYG212" s="989"/>
      <c r="WYH212" s="959"/>
      <c r="WYI212" s="959"/>
      <c r="WYM212" s="915"/>
      <c r="WYN212" s="915"/>
      <c r="WYO212" s="915"/>
      <c r="WYQ212" s="917"/>
      <c r="WYS212" s="915"/>
      <c r="WYT212" s="915"/>
      <c r="WYU212" s="915"/>
      <c r="WYV212" s="916"/>
      <c r="WYY212" s="989"/>
      <c r="WYZ212" s="989"/>
      <c r="WZA212" s="989"/>
      <c r="WZB212" s="989"/>
      <c r="WZC212" s="989"/>
      <c r="WZD212" s="989"/>
      <c r="WZE212" s="959"/>
      <c r="WZF212" s="959"/>
      <c r="WZJ212" s="915"/>
      <c r="WZK212" s="915"/>
      <c r="WZL212" s="915"/>
      <c r="WZN212" s="917"/>
      <c r="WZP212" s="915"/>
      <c r="WZQ212" s="915"/>
      <c r="WZR212" s="915"/>
      <c r="WZS212" s="916"/>
      <c r="WZV212" s="989"/>
      <c r="WZW212" s="989"/>
      <c r="WZX212" s="989"/>
      <c r="WZY212" s="989"/>
      <c r="WZZ212" s="989"/>
      <c r="XAA212" s="989"/>
      <c r="XAB212" s="959"/>
      <c r="XAC212" s="959"/>
      <c r="XAG212" s="915"/>
      <c r="XAH212" s="915"/>
      <c r="XAI212" s="915"/>
      <c r="XAK212" s="917"/>
      <c r="XAM212" s="915"/>
      <c r="XAN212" s="915"/>
      <c r="XAO212" s="915"/>
      <c r="XAP212" s="916"/>
      <c r="XAS212" s="989"/>
      <c r="XAT212" s="989"/>
      <c r="XAU212" s="989"/>
      <c r="XAV212" s="989"/>
      <c r="XAW212" s="989"/>
      <c r="XAX212" s="989"/>
      <c r="XAY212" s="959"/>
      <c r="XAZ212" s="959"/>
      <c r="XBD212" s="915"/>
      <c r="XBE212" s="915"/>
      <c r="XBF212" s="915"/>
      <c r="XBH212" s="917"/>
      <c r="XBJ212" s="915"/>
      <c r="XBK212" s="915"/>
      <c r="XBL212" s="915"/>
      <c r="XBM212" s="916"/>
      <c r="XBP212" s="989"/>
      <c r="XBQ212" s="989"/>
      <c r="XBR212" s="989"/>
      <c r="XBS212" s="989"/>
      <c r="XBT212" s="989"/>
      <c r="XBU212" s="989"/>
      <c r="XBV212" s="959"/>
      <c r="XBW212" s="959"/>
      <c r="XCA212" s="915"/>
      <c r="XCB212" s="915"/>
      <c r="XCC212" s="915"/>
      <c r="XCE212" s="917"/>
      <c r="XCG212" s="915"/>
      <c r="XCH212" s="915"/>
      <c r="XCI212" s="915"/>
      <c r="XCJ212" s="916"/>
      <c r="XCM212" s="989"/>
      <c r="XCN212" s="989"/>
      <c r="XCO212" s="989"/>
      <c r="XCP212" s="989"/>
      <c r="XCQ212" s="989"/>
      <c r="XCR212" s="989"/>
      <c r="XCS212" s="959"/>
      <c r="XCT212" s="959"/>
      <c r="XCX212" s="915"/>
      <c r="XCY212" s="915"/>
      <c r="XCZ212" s="915"/>
      <c r="XDB212" s="917"/>
      <c r="XDD212" s="915"/>
      <c r="XDE212" s="915"/>
      <c r="XDF212" s="915"/>
      <c r="XDG212" s="916"/>
      <c r="XDJ212" s="989"/>
      <c r="XDK212" s="989"/>
      <c r="XDL212" s="989"/>
      <c r="XDM212" s="989"/>
      <c r="XDN212" s="989"/>
      <c r="XDO212" s="989"/>
      <c r="XDP212" s="959"/>
      <c r="XDQ212" s="959"/>
      <c r="XDU212" s="915"/>
      <c r="XDV212" s="915"/>
      <c r="XDW212" s="915"/>
      <c r="XDY212" s="917"/>
      <c r="XEA212" s="915"/>
      <c r="XEB212" s="915"/>
      <c r="XEC212" s="915"/>
      <c r="XED212" s="916"/>
      <c r="XEG212" s="989"/>
      <c r="XEH212" s="989"/>
      <c r="XEI212" s="989"/>
      <c r="XEJ212" s="989"/>
      <c r="XEK212" s="989"/>
      <c r="XEL212" s="989"/>
      <c r="XEM212" s="959"/>
      <c r="XEN212" s="959"/>
      <c r="XER212" s="915"/>
      <c r="XES212" s="915"/>
      <c r="XET212" s="915"/>
      <c r="XEV212" s="917"/>
      <c r="XEX212" s="915"/>
      <c r="XEY212" s="915"/>
      <c r="XEZ212" s="915"/>
      <c r="XFA212" s="916"/>
      <c r="XFD212" s="915"/>
    </row>
    <row r="213" spans="1:2047 2049:7168 7172:9215 9219:10240 10243:11262 11266:12287 12290:13309 13313:14334 14337:16384">
      <c r="A213" s="939">
        <v>2018</v>
      </c>
      <c r="B213" s="930">
        <f>(K146*($E146/365))+(K147*($E147/365))</f>
        <v>15.428983417447728</v>
      </c>
      <c r="C213" s="930">
        <f>(L146*($E146/365))+(L147*($E147/365))</f>
        <v>31.218457101658252</v>
      </c>
      <c r="D213" s="930">
        <f>(M146*($E146/365))+(M147*($E147/365))</f>
        <v>30.483056957462146</v>
      </c>
      <c r="E213" s="931">
        <f t="shared" ref="E213" si="43">B213+C213+D213</f>
        <v>77.130497476568138</v>
      </c>
      <c r="F213" s="939"/>
      <c r="G213" s="939">
        <v>2018</v>
      </c>
      <c r="H213" s="989">
        <f>(O146/$R146*100*($E146/365))+(O147/$R147*100*($E147/365))</f>
        <v>20.705417746513639</v>
      </c>
      <c r="I213" s="989"/>
      <c r="J213" s="989">
        <f>(Q146/$R146*100*($E146/365))+(Q147/$R147*100*($E147/365))</f>
        <v>38.120505957067131</v>
      </c>
      <c r="K213" s="989"/>
      <c r="L213" s="989">
        <f>(Q146/$R146*100*($E146/365))+(Q147/$R147*100*($E147/365))</f>
        <v>38.120505957067131</v>
      </c>
      <c r="M213" s="989"/>
      <c r="N213" s="959">
        <f t="shared" ref="N213" si="44">H213+J213+L213</f>
        <v>96.946429660647908</v>
      </c>
      <c r="O213" s="959"/>
      <c r="P213" s="939"/>
      <c r="Q213" s="939"/>
      <c r="R213" s="939">
        <v>2018</v>
      </c>
      <c r="S213" s="930">
        <f>(O146*($E146/365))+(O147*($E147/365))</f>
        <v>11.491506849315069</v>
      </c>
      <c r="T213" s="930">
        <f>(P146*($E146/365))+(P147*($E147/365))</f>
        <v>22.744383561643836</v>
      </c>
      <c r="U213" s="930">
        <f>(Q146*($E146/365))+(Q147*($E147/365))</f>
        <v>19.898904109589044</v>
      </c>
      <c r="V213" s="930"/>
      <c r="W213" s="935">
        <f t="shared" ref="W213" si="45">S213+T213+U213</f>
        <v>54.134794520547942</v>
      </c>
    </row>
  </sheetData>
  <mergeCells count="3253">
    <mergeCell ref="J205:K205"/>
    <mergeCell ref="L205:M205"/>
    <mergeCell ref="N205:O205"/>
    <mergeCell ref="H204:I204"/>
    <mergeCell ref="H202:I202"/>
    <mergeCell ref="J202:K202"/>
    <mergeCell ref="L202:M202"/>
    <mergeCell ref="N202:O202"/>
    <mergeCell ref="H203:I203"/>
    <mergeCell ref="J203:K203"/>
    <mergeCell ref="L203:M203"/>
    <mergeCell ref="N203:O203"/>
    <mergeCell ref="H200:I200"/>
    <mergeCell ref="J200:K200"/>
    <mergeCell ref="L200:M200"/>
    <mergeCell ref="N200:O200"/>
    <mergeCell ref="H201:I201"/>
    <mergeCell ref="J201:K201"/>
    <mergeCell ref="L201:M201"/>
    <mergeCell ref="N201:O201"/>
    <mergeCell ref="AT4:AW4"/>
    <mergeCell ref="AX4:BA4"/>
    <mergeCell ref="H208:I208"/>
    <mergeCell ref="J208:K208"/>
    <mergeCell ref="L208:M208"/>
    <mergeCell ref="N208:O208"/>
    <mergeCell ref="H206:I206"/>
    <mergeCell ref="J206:K206"/>
    <mergeCell ref="L206:M206"/>
    <mergeCell ref="N206:O206"/>
    <mergeCell ref="H207:I207"/>
    <mergeCell ref="J207:K207"/>
    <mergeCell ref="L207:M207"/>
    <mergeCell ref="N207:O207"/>
    <mergeCell ref="J204:K204"/>
    <mergeCell ref="L204:M204"/>
    <mergeCell ref="N204:O204"/>
    <mergeCell ref="H205:I205"/>
    <mergeCell ref="H198:I198"/>
    <mergeCell ref="J198:K198"/>
    <mergeCell ref="L198:M198"/>
    <mergeCell ref="N198:O198"/>
    <mergeCell ref="H199:I199"/>
    <mergeCell ref="J199:K199"/>
    <mergeCell ref="L199:M199"/>
    <mergeCell ref="N199:O199"/>
    <mergeCell ref="N190:O190"/>
    <mergeCell ref="N191:O191"/>
    <mergeCell ref="N192:O192"/>
    <mergeCell ref="L196:M196"/>
    <mergeCell ref="L190:M190"/>
    <mergeCell ref="J196:K196"/>
    <mergeCell ref="H196:I196"/>
    <mergeCell ref="H194:I194"/>
    <mergeCell ref="H195:I195"/>
    <mergeCell ref="J193:K193"/>
    <mergeCell ref="J194:K194"/>
    <mergeCell ref="J195:K195"/>
    <mergeCell ref="L191:M191"/>
    <mergeCell ref="L192:M192"/>
    <mergeCell ref="L193:M193"/>
    <mergeCell ref="L194:M194"/>
    <mergeCell ref="H197:I197"/>
    <mergeCell ref="J197:K197"/>
    <mergeCell ref="L197:M197"/>
    <mergeCell ref="N197:O197"/>
    <mergeCell ref="N195:O195"/>
    <mergeCell ref="N196:O196"/>
    <mergeCell ref="N189:O189"/>
    <mergeCell ref="L195:M195"/>
    <mergeCell ref="J191:K191"/>
    <mergeCell ref="J192:K192"/>
    <mergeCell ref="H192:I192"/>
    <mergeCell ref="H193:I193"/>
    <mergeCell ref="H189:I189"/>
    <mergeCell ref="J189:K189"/>
    <mergeCell ref="H190:I190"/>
    <mergeCell ref="H191:I191"/>
    <mergeCell ref="L189:M189"/>
    <mergeCell ref="J190:K190"/>
    <mergeCell ref="C20:D20"/>
    <mergeCell ref="C21:D21"/>
    <mergeCell ref="C22:D22"/>
    <mergeCell ref="C23:D23"/>
    <mergeCell ref="C24:D24"/>
    <mergeCell ref="C25:D25"/>
    <mergeCell ref="C123:D123"/>
    <mergeCell ref="C124:D124"/>
    <mergeCell ref="C125:D125"/>
    <mergeCell ref="C126:D126"/>
    <mergeCell ref="C127:D127"/>
    <mergeCell ref="C128:D128"/>
    <mergeCell ref="N193:O193"/>
    <mergeCell ref="N194:O194"/>
    <mergeCell ref="N183:O183"/>
    <mergeCell ref="N184:O184"/>
    <mergeCell ref="N185:O185"/>
    <mergeCell ref="N186:O186"/>
    <mergeCell ref="N187:O187"/>
    <mergeCell ref="N172:O172"/>
    <mergeCell ref="N173:O173"/>
    <mergeCell ref="N174:O174"/>
    <mergeCell ref="N175:O175"/>
    <mergeCell ref="N176:O176"/>
    <mergeCell ref="N188:O188"/>
    <mergeCell ref="N177:O177"/>
    <mergeCell ref="N178:O178"/>
    <mergeCell ref="N179:O179"/>
    <mergeCell ref="N180:O180"/>
    <mergeCell ref="N181:O181"/>
    <mergeCell ref="N182:O182"/>
    <mergeCell ref="L184:M184"/>
    <mergeCell ref="L178:M178"/>
    <mergeCell ref="L179:M179"/>
    <mergeCell ref="L180:M180"/>
    <mergeCell ref="L181:M181"/>
    <mergeCell ref="L182:M182"/>
    <mergeCell ref="L183:M183"/>
    <mergeCell ref="J178:K178"/>
    <mergeCell ref="J179:K179"/>
    <mergeCell ref="J180:K180"/>
    <mergeCell ref="H178:I178"/>
    <mergeCell ref="H179:I179"/>
    <mergeCell ref="H180:I180"/>
    <mergeCell ref="H181:I181"/>
    <mergeCell ref="H182:I182"/>
    <mergeCell ref="H183:I183"/>
    <mergeCell ref="J187:K187"/>
    <mergeCell ref="J188:K188"/>
    <mergeCell ref="J181:K181"/>
    <mergeCell ref="J182:K182"/>
    <mergeCell ref="L185:M185"/>
    <mergeCell ref="L186:M186"/>
    <mergeCell ref="L187:M187"/>
    <mergeCell ref="L188:M188"/>
    <mergeCell ref="J183:K183"/>
    <mergeCell ref="J184:K184"/>
    <mergeCell ref="J185:K185"/>
    <mergeCell ref="J186:K186"/>
    <mergeCell ref="H184:I184"/>
    <mergeCell ref="H185:I185"/>
    <mergeCell ref="H186:I186"/>
    <mergeCell ref="H187:I187"/>
    <mergeCell ref="H188:I188"/>
    <mergeCell ref="J169:K169"/>
    <mergeCell ref="L169:M169"/>
    <mergeCell ref="N169:O169"/>
    <mergeCell ref="H172:I172"/>
    <mergeCell ref="H173:I173"/>
    <mergeCell ref="H174:I174"/>
    <mergeCell ref="H175:I175"/>
    <mergeCell ref="H176:I176"/>
    <mergeCell ref="H177:I177"/>
    <mergeCell ref="H170:I170"/>
    <mergeCell ref="J170:K170"/>
    <mergeCell ref="L170:M170"/>
    <mergeCell ref="J176:K176"/>
    <mergeCell ref="J177:K177"/>
    <mergeCell ref="L172:M172"/>
    <mergeCell ref="L173:M173"/>
    <mergeCell ref="L174:M174"/>
    <mergeCell ref="L175:M175"/>
    <mergeCell ref="L176:M176"/>
    <mergeCell ref="L177:M177"/>
    <mergeCell ref="J172:K172"/>
    <mergeCell ref="J173:K173"/>
    <mergeCell ref="J174:K174"/>
    <mergeCell ref="J175:K175"/>
    <mergeCell ref="AL4:AO4"/>
    <mergeCell ref="C7:D7"/>
    <mergeCell ref="C6:D6"/>
    <mergeCell ref="U4:U5"/>
    <mergeCell ref="V4:Y4"/>
    <mergeCell ref="A4:A5"/>
    <mergeCell ref="B4:B5"/>
    <mergeCell ref="C4:D5"/>
    <mergeCell ref="E4:E5"/>
    <mergeCell ref="F4:F5"/>
    <mergeCell ref="G4:J4"/>
    <mergeCell ref="AP4:AS4"/>
    <mergeCell ref="G3:M3"/>
    <mergeCell ref="O3:Q3"/>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R151:W151"/>
    <mergeCell ref="C30:D30"/>
    <mergeCell ref="C31:D31"/>
    <mergeCell ref="C32:D32"/>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C49:D49"/>
    <mergeCell ref="C50:D50"/>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119:D119"/>
    <mergeCell ref="C111:D111"/>
    <mergeCell ref="C113:D113"/>
    <mergeCell ref="C115:D115"/>
    <mergeCell ref="C116:D116"/>
    <mergeCell ref="N153:O153"/>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53:I153"/>
    <mergeCell ref="C146:D146"/>
    <mergeCell ref="C147:D147"/>
    <mergeCell ref="J153:K153"/>
    <mergeCell ref="L153:M153"/>
    <mergeCell ref="C133:D133"/>
    <mergeCell ref="H155:I155"/>
    <mergeCell ref="J155:K155"/>
    <mergeCell ref="L155:M155"/>
    <mergeCell ref="H154:I154"/>
    <mergeCell ref="J154:K154"/>
    <mergeCell ref="L154:M154"/>
    <mergeCell ref="C139:D139"/>
    <mergeCell ref="C141:D141"/>
    <mergeCell ref="C143:D143"/>
    <mergeCell ref="C142:D142"/>
    <mergeCell ref="C144:D144"/>
    <mergeCell ref="C145:D145"/>
    <mergeCell ref="C148:D148"/>
    <mergeCell ref="H166:I166"/>
    <mergeCell ref="J166:K166"/>
    <mergeCell ref="L166:M166"/>
    <mergeCell ref="H165:I165"/>
    <mergeCell ref="J165:K165"/>
    <mergeCell ref="L165:M165"/>
    <mergeCell ref="J162:K162"/>
    <mergeCell ref="H167:I167"/>
    <mergeCell ref="J167:K167"/>
    <mergeCell ref="L167:M167"/>
    <mergeCell ref="N167:O167"/>
    <mergeCell ref="H164:I164"/>
    <mergeCell ref="J164:K164"/>
    <mergeCell ref="L164:M164"/>
    <mergeCell ref="N164:O164"/>
    <mergeCell ref="H212:I212"/>
    <mergeCell ref="J212:K212"/>
    <mergeCell ref="L212:M212"/>
    <mergeCell ref="N212:O212"/>
    <mergeCell ref="H211:I211"/>
    <mergeCell ref="J211:K211"/>
    <mergeCell ref="L211:M211"/>
    <mergeCell ref="N211:O211"/>
    <mergeCell ref="H210:I210"/>
    <mergeCell ref="J210:K210"/>
    <mergeCell ref="L210:M210"/>
    <mergeCell ref="N210:O210"/>
    <mergeCell ref="N166:O166"/>
    <mergeCell ref="N165:O165"/>
    <mergeCell ref="N170:O170"/>
    <mergeCell ref="H171:I171"/>
    <mergeCell ref="J171:K171"/>
    <mergeCell ref="L171:M171"/>
    <mergeCell ref="N171:O171"/>
    <mergeCell ref="H168:I168"/>
    <mergeCell ref="J168:K168"/>
    <mergeCell ref="L168:M168"/>
    <mergeCell ref="N168:O168"/>
    <mergeCell ref="H169:I169"/>
    <mergeCell ref="AE212:AF212"/>
    <mergeCell ref="AG212:AH212"/>
    <mergeCell ref="AI212:AJ212"/>
    <mergeCell ref="AK212:AL212"/>
    <mergeCell ref="BB212:BC212"/>
    <mergeCell ref="BD212:BE212"/>
    <mergeCell ref="BF212:BG212"/>
    <mergeCell ref="BH212:BI212"/>
    <mergeCell ref="BY212:BZ212"/>
    <mergeCell ref="H209:I209"/>
    <mergeCell ref="J209:K209"/>
    <mergeCell ref="L209:M209"/>
    <mergeCell ref="N209:O209"/>
    <mergeCell ref="N155:O155"/>
    <mergeCell ref="N154:O154"/>
    <mergeCell ref="H158:I158"/>
    <mergeCell ref="J158:K158"/>
    <mergeCell ref="L158:M158"/>
    <mergeCell ref="L159:M159"/>
    <mergeCell ref="N159:O159"/>
    <mergeCell ref="H156:I156"/>
    <mergeCell ref="J156:K156"/>
    <mergeCell ref="L156:M156"/>
    <mergeCell ref="N156:O156"/>
    <mergeCell ref="H157:I157"/>
    <mergeCell ref="J157:K157"/>
    <mergeCell ref="L157:M157"/>
    <mergeCell ref="N157:O157"/>
    <mergeCell ref="N158:O158"/>
    <mergeCell ref="H159:I159"/>
    <mergeCell ref="J159:K159"/>
    <mergeCell ref="H162:I162"/>
    <mergeCell ref="DW212:DX212"/>
    <mergeCell ref="DY212:DZ212"/>
    <mergeCell ref="EP212:EQ212"/>
    <mergeCell ref="ER212:ES212"/>
    <mergeCell ref="ET212:EU212"/>
    <mergeCell ref="EV212:EW212"/>
    <mergeCell ref="FM212:FN212"/>
    <mergeCell ref="FO212:FP212"/>
    <mergeCell ref="FQ212:FR212"/>
    <mergeCell ref="CA212:CB212"/>
    <mergeCell ref="CC212:CD212"/>
    <mergeCell ref="CE212:CF212"/>
    <mergeCell ref="CV212:CW212"/>
    <mergeCell ref="CX212:CY212"/>
    <mergeCell ref="CZ212:DA212"/>
    <mergeCell ref="DB212:DC212"/>
    <mergeCell ref="DS212:DT212"/>
    <mergeCell ref="DU212:DV212"/>
    <mergeCell ref="ID212:IE212"/>
    <mergeCell ref="IF212:IG212"/>
    <mergeCell ref="IH212:II212"/>
    <mergeCell ref="IJ212:IK212"/>
    <mergeCell ref="JA212:JB212"/>
    <mergeCell ref="JC212:JD212"/>
    <mergeCell ref="JE212:JF212"/>
    <mergeCell ref="JG212:JH212"/>
    <mergeCell ref="JX212:JY212"/>
    <mergeCell ref="FS212:FT212"/>
    <mergeCell ref="GJ212:GK212"/>
    <mergeCell ref="GL212:GM212"/>
    <mergeCell ref="GN212:GO212"/>
    <mergeCell ref="GP212:GQ212"/>
    <mergeCell ref="HG212:HH212"/>
    <mergeCell ref="HI212:HJ212"/>
    <mergeCell ref="HK212:HL212"/>
    <mergeCell ref="HM212:HN212"/>
    <mergeCell ref="LV212:LW212"/>
    <mergeCell ref="LX212:LY212"/>
    <mergeCell ref="MO212:MP212"/>
    <mergeCell ref="MQ212:MR212"/>
    <mergeCell ref="MS212:MT212"/>
    <mergeCell ref="MU212:MV212"/>
    <mergeCell ref="NL212:NM212"/>
    <mergeCell ref="NN212:NO212"/>
    <mergeCell ref="NP212:NQ212"/>
    <mergeCell ref="JZ212:KA212"/>
    <mergeCell ref="KB212:KC212"/>
    <mergeCell ref="KD212:KE212"/>
    <mergeCell ref="KU212:KV212"/>
    <mergeCell ref="KW212:KX212"/>
    <mergeCell ref="KY212:KZ212"/>
    <mergeCell ref="LA212:LB212"/>
    <mergeCell ref="LR212:LS212"/>
    <mergeCell ref="LT212:LU212"/>
    <mergeCell ref="QC212:QD212"/>
    <mergeCell ref="QE212:QF212"/>
    <mergeCell ref="QG212:QH212"/>
    <mergeCell ref="QI212:QJ212"/>
    <mergeCell ref="QZ212:RA212"/>
    <mergeCell ref="RB212:RC212"/>
    <mergeCell ref="RD212:RE212"/>
    <mergeCell ref="RF212:RG212"/>
    <mergeCell ref="RW212:RX212"/>
    <mergeCell ref="NR212:NS212"/>
    <mergeCell ref="OI212:OJ212"/>
    <mergeCell ref="OK212:OL212"/>
    <mergeCell ref="OM212:ON212"/>
    <mergeCell ref="OO212:OP212"/>
    <mergeCell ref="PF212:PG212"/>
    <mergeCell ref="PH212:PI212"/>
    <mergeCell ref="PJ212:PK212"/>
    <mergeCell ref="PL212:PM212"/>
    <mergeCell ref="TU212:TV212"/>
    <mergeCell ref="TW212:TX212"/>
    <mergeCell ref="UN212:UO212"/>
    <mergeCell ref="UP212:UQ212"/>
    <mergeCell ref="UR212:US212"/>
    <mergeCell ref="UT212:UU212"/>
    <mergeCell ref="VK212:VL212"/>
    <mergeCell ref="VM212:VN212"/>
    <mergeCell ref="VO212:VP212"/>
    <mergeCell ref="RY212:RZ212"/>
    <mergeCell ref="SA212:SB212"/>
    <mergeCell ref="SC212:SD212"/>
    <mergeCell ref="ST212:SU212"/>
    <mergeCell ref="SV212:SW212"/>
    <mergeCell ref="SX212:SY212"/>
    <mergeCell ref="SZ212:TA212"/>
    <mergeCell ref="TQ212:TR212"/>
    <mergeCell ref="TS212:TT212"/>
    <mergeCell ref="YB212:YC212"/>
    <mergeCell ref="YD212:YE212"/>
    <mergeCell ref="YF212:YG212"/>
    <mergeCell ref="YH212:YI212"/>
    <mergeCell ref="YY212:YZ212"/>
    <mergeCell ref="ZA212:ZB212"/>
    <mergeCell ref="ZC212:ZD212"/>
    <mergeCell ref="ZE212:ZF212"/>
    <mergeCell ref="ZV212:ZW212"/>
    <mergeCell ref="VQ212:VR212"/>
    <mergeCell ref="WH212:WI212"/>
    <mergeCell ref="WJ212:WK212"/>
    <mergeCell ref="WL212:WM212"/>
    <mergeCell ref="WN212:WO212"/>
    <mergeCell ref="XE212:XF212"/>
    <mergeCell ref="XG212:XH212"/>
    <mergeCell ref="XI212:XJ212"/>
    <mergeCell ref="XK212:XL212"/>
    <mergeCell ref="ABT212:ABU212"/>
    <mergeCell ref="ABV212:ABW212"/>
    <mergeCell ref="ACM212:ACN212"/>
    <mergeCell ref="ACO212:ACP212"/>
    <mergeCell ref="ACQ212:ACR212"/>
    <mergeCell ref="ACS212:ACT212"/>
    <mergeCell ref="ADJ212:ADK212"/>
    <mergeCell ref="ADL212:ADM212"/>
    <mergeCell ref="ADN212:ADO212"/>
    <mergeCell ref="ZX212:ZY212"/>
    <mergeCell ref="ZZ212:AAA212"/>
    <mergeCell ref="AAB212:AAC212"/>
    <mergeCell ref="AAS212:AAT212"/>
    <mergeCell ref="AAU212:AAV212"/>
    <mergeCell ref="AAW212:AAX212"/>
    <mergeCell ref="AAY212:AAZ212"/>
    <mergeCell ref="ABP212:ABQ212"/>
    <mergeCell ref="ABR212:ABS212"/>
    <mergeCell ref="AGA212:AGB212"/>
    <mergeCell ref="AGC212:AGD212"/>
    <mergeCell ref="AGE212:AGF212"/>
    <mergeCell ref="AGG212:AGH212"/>
    <mergeCell ref="AGX212:AGY212"/>
    <mergeCell ref="AGZ212:AHA212"/>
    <mergeCell ref="AHB212:AHC212"/>
    <mergeCell ref="AHD212:AHE212"/>
    <mergeCell ref="AHU212:AHV212"/>
    <mergeCell ref="ADP212:ADQ212"/>
    <mergeCell ref="AEG212:AEH212"/>
    <mergeCell ref="AEI212:AEJ212"/>
    <mergeCell ref="AEK212:AEL212"/>
    <mergeCell ref="AEM212:AEN212"/>
    <mergeCell ref="AFD212:AFE212"/>
    <mergeCell ref="AFF212:AFG212"/>
    <mergeCell ref="AFH212:AFI212"/>
    <mergeCell ref="AFJ212:AFK212"/>
    <mergeCell ref="AJS212:AJT212"/>
    <mergeCell ref="AJU212:AJV212"/>
    <mergeCell ref="AKL212:AKM212"/>
    <mergeCell ref="AKN212:AKO212"/>
    <mergeCell ref="AKP212:AKQ212"/>
    <mergeCell ref="AKR212:AKS212"/>
    <mergeCell ref="ALI212:ALJ212"/>
    <mergeCell ref="ALK212:ALL212"/>
    <mergeCell ref="ALM212:ALN212"/>
    <mergeCell ref="AHW212:AHX212"/>
    <mergeCell ref="AHY212:AHZ212"/>
    <mergeCell ref="AIA212:AIB212"/>
    <mergeCell ref="AIR212:AIS212"/>
    <mergeCell ref="AIT212:AIU212"/>
    <mergeCell ref="AIV212:AIW212"/>
    <mergeCell ref="AIX212:AIY212"/>
    <mergeCell ref="AJO212:AJP212"/>
    <mergeCell ref="AJQ212:AJR212"/>
    <mergeCell ref="ANZ212:AOA212"/>
    <mergeCell ref="AOB212:AOC212"/>
    <mergeCell ref="AOD212:AOE212"/>
    <mergeCell ref="AOF212:AOG212"/>
    <mergeCell ref="AOW212:AOX212"/>
    <mergeCell ref="AOY212:AOZ212"/>
    <mergeCell ref="APA212:APB212"/>
    <mergeCell ref="APC212:APD212"/>
    <mergeCell ref="APT212:APU212"/>
    <mergeCell ref="ALO212:ALP212"/>
    <mergeCell ref="AMF212:AMG212"/>
    <mergeCell ref="AMH212:AMI212"/>
    <mergeCell ref="AMJ212:AMK212"/>
    <mergeCell ref="AML212:AMM212"/>
    <mergeCell ref="ANC212:AND212"/>
    <mergeCell ref="ANE212:ANF212"/>
    <mergeCell ref="ANG212:ANH212"/>
    <mergeCell ref="ANI212:ANJ212"/>
    <mergeCell ref="ARR212:ARS212"/>
    <mergeCell ref="ART212:ARU212"/>
    <mergeCell ref="ASK212:ASL212"/>
    <mergeCell ref="ASM212:ASN212"/>
    <mergeCell ref="ASO212:ASP212"/>
    <mergeCell ref="ASQ212:ASR212"/>
    <mergeCell ref="ATH212:ATI212"/>
    <mergeCell ref="ATJ212:ATK212"/>
    <mergeCell ref="ATL212:ATM212"/>
    <mergeCell ref="APV212:APW212"/>
    <mergeCell ref="APX212:APY212"/>
    <mergeCell ref="APZ212:AQA212"/>
    <mergeCell ref="AQQ212:AQR212"/>
    <mergeCell ref="AQS212:AQT212"/>
    <mergeCell ref="AQU212:AQV212"/>
    <mergeCell ref="AQW212:AQX212"/>
    <mergeCell ref="ARN212:ARO212"/>
    <mergeCell ref="ARP212:ARQ212"/>
    <mergeCell ref="AVY212:AVZ212"/>
    <mergeCell ref="AWA212:AWB212"/>
    <mergeCell ref="AWC212:AWD212"/>
    <mergeCell ref="AWE212:AWF212"/>
    <mergeCell ref="AWV212:AWW212"/>
    <mergeCell ref="AWX212:AWY212"/>
    <mergeCell ref="AWZ212:AXA212"/>
    <mergeCell ref="AXB212:AXC212"/>
    <mergeCell ref="AXS212:AXT212"/>
    <mergeCell ref="ATN212:ATO212"/>
    <mergeCell ref="AUE212:AUF212"/>
    <mergeCell ref="AUG212:AUH212"/>
    <mergeCell ref="AUI212:AUJ212"/>
    <mergeCell ref="AUK212:AUL212"/>
    <mergeCell ref="AVB212:AVC212"/>
    <mergeCell ref="AVD212:AVE212"/>
    <mergeCell ref="AVF212:AVG212"/>
    <mergeCell ref="AVH212:AVI212"/>
    <mergeCell ref="AZQ212:AZR212"/>
    <mergeCell ref="AZS212:AZT212"/>
    <mergeCell ref="BAJ212:BAK212"/>
    <mergeCell ref="BAL212:BAM212"/>
    <mergeCell ref="BAN212:BAO212"/>
    <mergeCell ref="BAP212:BAQ212"/>
    <mergeCell ref="BBG212:BBH212"/>
    <mergeCell ref="BBI212:BBJ212"/>
    <mergeCell ref="BBK212:BBL212"/>
    <mergeCell ref="AXU212:AXV212"/>
    <mergeCell ref="AXW212:AXX212"/>
    <mergeCell ref="AXY212:AXZ212"/>
    <mergeCell ref="AYP212:AYQ212"/>
    <mergeCell ref="AYR212:AYS212"/>
    <mergeCell ref="AYT212:AYU212"/>
    <mergeCell ref="AYV212:AYW212"/>
    <mergeCell ref="AZM212:AZN212"/>
    <mergeCell ref="AZO212:AZP212"/>
    <mergeCell ref="BDX212:BDY212"/>
    <mergeCell ref="BDZ212:BEA212"/>
    <mergeCell ref="BEB212:BEC212"/>
    <mergeCell ref="BED212:BEE212"/>
    <mergeCell ref="BEU212:BEV212"/>
    <mergeCell ref="BEW212:BEX212"/>
    <mergeCell ref="BEY212:BEZ212"/>
    <mergeCell ref="BFA212:BFB212"/>
    <mergeCell ref="BFR212:BFS212"/>
    <mergeCell ref="BBM212:BBN212"/>
    <mergeCell ref="BCD212:BCE212"/>
    <mergeCell ref="BCF212:BCG212"/>
    <mergeCell ref="BCH212:BCI212"/>
    <mergeCell ref="BCJ212:BCK212"/>
    <mergeCell ref="BDA212:BDB212"/>
    <mergeCell ref="BDC212:BDD212"/>
    <mergeCell ref="BDE212:BDF212"/>
    <mergeCell ref="BDG212:BDH212"/>
    <mergeCell ref="BHP212:BHQ212"/>
    <mergeCell ref="BHR212:BHS212"/>
    <mergeCell ref="BII212:BIJ212"/>
    <mergeCell ref="BIK212:BIL212"/>
    <mergeCell ref="BIM212:BIN212"/>
    <mergeCell ref="BIO212:BIP212"/>
    <mergeCell ref="BJF212:BJG212"/>
    <mergeCell ref="BJH212:BJI212"/>
    <mergeCell ref="BJJ212:BJK212"/>
    <mergeCell ref="BFT212:BFU212"/>
    <mergeCell ref="BFV212:BFW212"/>
    <mergeCell ref="BFX212:BFY212"/>
    <mergeCell ref="BGO212:BGP212"/>
    <mergeCell ref="BGQ212:BGR212"/>
    <mergeCell ref="BGS212:BGT212"/>
    <mergeCell ref="BGU212:BGV212"/>
    <mergeCell ref="BHL212:BHM212"/>
    <mergeCell ref="BHN212:BHO212"/>
    <mergeCell ref="BLW212:BLX212"/>
    <mergeCell ref="BLY212:BLZ212"/>
    <mergeCell ref="BMA212:BMB212"/>
    <mergeCell ref="BMC212:BMD212"/>
    <mergeCell ref="BMT212:BMU212"/>
    <mergeCell ref="BMV212:BMW212"/>
    <mergeCell ref="BMX212:BMY212"/>
    <mergeCell ref="BMZ212:BNA212"/>
    <mergeCell ref="BNQ212:BNR212"/>
    <mergeCell ref="BJL212:BJM212"/>
    <mergeCell ref="BKC212:BKD212"/>
    <mergeCell ref="BKE212:BKF212"/>
    <mergeCell ref="BKG212:BKH212"/>
    <mergeCell ref="BKI212:BKJ212"/>
    <mergeCell ref="BKZ212:BLA212"/>
    <mergeCell ref="BLB212:BLC212"/>
    <mergeCell ref="BLD212:BLE212"/>
    <mergeCell ref="BLF212:BLG212"/>
    <mergeCell ref="BPO212:BPP212"/>
    <mergeCell ref="BPQ212:BPR212"/>
    <mergeCell ref="BQH212:BQI212"/>
    <mergeCell ref="BQJ212:BQK212"/>
    <mergeCell ref="BQL212:BQM212"/>
    <mergeCell ref="BQN212:BQO212"/>
    <mergeCell ref="BRE212:BRF212"/>
    <mergeCell ref="BRG212:BRH212"/>
    <mergeCell ref="BRI212:BRJ212"/>
    <mergeCell ref="BNS212:BNT212"/>
    <mergeCell ref="BNU212:BNV212"/>
    <mergeCell ref="BNW212:BNX212"/>
    <mergeCell ref="BON212:BOO212"/>
    <mergeCell ref="BOP212:BOQ212"/>
    <mergeCell ref="BOR212:BOS212"/>
    <mergeCell ref="BOT212:BOU212"/>
    <mergeCell ref="BPK212:BPL212"/>
    <mergeCell ref="BPM212:BPN212"/>
    <mergeCell ref="BTV212:BTW212"/>
    <mergeCell ref="BTX212:BTY212"/>
    <mergeCell ref="BTZ212:BUA212"/>
    <mergeCell ref="BUB212:BUC212"/>
    <mergeCell ref="BUS212:BUT212"/>
    <mergeCell ref="BUU212:BUV212"/>
    <mergeCell ref="BUW212:BUX212"/>
    <mergeCell ref="BUY212:BUZ212"/>
    <mergeCell ref="BVP212:BVQ212"/>
    <mergeCell ref="BRK212:BRL212"/>
    <mergeCell ref="BSB212:BSC212"/>
    <mergeCell ref="BSD212:BSE212"/>
    <mergeCell ref="BSF212:BSG212"/>
    <mergeCell ref="BSH212:BSI212"/>
    <mergeCell ref="BSY212:BSZ212"/>
    <mergeCell ref="BTA212:BTB212"/>
    <mergeCell ref="BTC212:BTD212"/>
    <mergeCell ref="BTE212:BTF212"/>
    <mergeCell ref="BXN212:BXO212"/>
    <mergeCell ref="BXP212:BXQ212"/>
    <mergeCell ref="BYG212:BYH212"/>
    <mergeCell ref="BYI212:BYJ212"/>
    <mergeCell ref="BYK212:BYL212"/>
    <mergeCell ref="BYM212:BYN212"/>
    <mergeCell ref="BZD212:BZE212"/>
    <mergeCell ref="BZF212:BZG212"/>
    <mergeCell ref="BZH212:BZI212"/>
    <mergeCell ref="BVR212:BVS212"/>
    <mergeCell ref="BVT212:BVU212"/>
    <mergeCell ref="BVV212:BVW212"/>
    <mergeCell ref="BWM212:BWN212"/>
    <mergeCell ref="BWO212:BWP212"/>
    <mergeCell ref="BWQ212:BWR212"/>
    <mergeCell ref="BWS212:BWT212"/>
    <mergeCell ref="BXJ212:BXK212"/>
    <mergeCell ref="BXL212:BXM212"/>
    <mergeCell ref="CBU212:CBV212"/>
    <mergeCell ref="CBW212:CBX212"/>
    <mergeCell ref="CBY212:CBZ212"/>
    <mergeCell ref="CCA212:CCB212"/>
    <mergeCell ref="CCR212:CCS212"/>
    <mergeCell ref="CCT212:CCU212"/>
    <mergeCell ref="CCV212:CCW212"/>
    <mergeCell ref="CCX212:CCY212"/>
    <mergeCell ref="CDO212:CDP212"/>
    <mergeCell ref="BZJ212:BZK212"/>
    <mergeCell ref="CAA212:CAB212"/>
    <mergeCell ref="CAC212:CAD212"/>
    <mergeCell ref="CAE212:CAF212"/>
    <mergeCell ref="CAG212:CAH212"/>
    <mergeCell ref="CAX212:CAY212"/>
    <mergeCell ref="CAZ212:CBA212"/>
    <mergeCell ref="CBB212:CBC212"/>
    <mergeCell ref="CBD212:CBE212"/>
    <mergeCell ref="CFM212:CFN212"/>
    <mergeCell ref="CFO212:CFP212"/>
    <mergeCell ref="CGF212:CGG212"/>
    <mergeCell ref="CGH212:CGI212"/>
    <mergeCell ref="CGJ212:CGK212"/>
    <mergeCell ref="CGL212:CGM212"/>
    <mergeCell ref="CHC212:CHD212"/>
    <mergeCell ref="CHE212:CHF212"/>
    <mergeCell ref="CHG212:CHH212"/>
    <mergeCell ref="CDQ212:CDR212"/>
    <mergeCell ref="CDS212:CDT212"/>
    <mergeCell ref="CDU212:CDV212"/>
    <mergeCell ref="CEL212:CEM212"/>
    <mergeCell ref="CEN212:CEO212"/>
    <mergeCell ref="CEP212:CEQ212"/>
    <mergeCell ref="CER212:CES212"/>
    <mergeCell ref="CFI212:CFJ212"/>
    <mergeCell ref="CFK212:CFL212"/>
    <mergeCell ref="CJT212:CJU212"/>
    <mergeCell ref="CJV212:CJW212"/>
    <mergeCell ref="CJX212:CJY212"/>
    <mergeCell ref="CJZ212:CKA212"/>
    <mergeCell ref="CKQ212:CKR212"/>
    <mergeCell ref="CKS212:CKT212"/>
    <mergeCell ref="CKU212:CKV212"/>
    <mergeCell ref="CKW212:CKX212"/>
    <mergeCell ref="CLN212:CLO212"/>
    <mergeCell ref="CHI212:CHJ212"/>
    <mergeCell ref="CHZ212:CIA212"/>
    <mergeCell ref="CIB212:CIC212"/>
    <mergeCell ref="CID212:CIE212"/>
    <mergeCell ref="CIF212:CIG212"/>
    <mergeCell ref="CIW212:CIX212"/>
    <mergeCell ref="CIY212:CIZ212"/>
    <mergeCell ref="CJA212:CJB212"/>
    <mergeCell ref="CJC212:CJD212"/>
    <mergeCell ref="CNL212:CNM212"/>
    <mergeCell ref="CNN212:CNO212"/>
    <mergeCell ref="COE212:COF212"/>
    <mergeCell ref="COG212:COH212"/>
    <mergeCell ref="COI212:COJ212"/>
    <mergeCell ref="COK212:COL212"/>
    <mergeCell ref="CPB212:CPC212"/>
    <mergeCell ref="CPD212:CPE212"/>
    <mergeCell ref="CPF212:CPG212"/>
    <mergeCell ref="CLP212:CLQ212"/>
    <mergeCell ref="CLR212:CLS212"/>
    <mergeCell ref="CLT212:CLU212"/>
    <mergeCell ref="CMK212:CML212"/>
    <mergeCell ref="CMM212:CMN212"/>
    <mergeCell ref="CMO212:CMP212"/>
    <mergeCell ref="CMQ212:CMR212"/>
    <mergeCell ref="CNH212:CNI212"/>
    <mergeCell ref="CNJ212:CNK212"/>
    <mergeCell ref="CRS212:CRT212"/>
    <mergeCell ref="CRU212:CRV212"/>
    <mergeCell ref="CRW212:CRX212"/>
    <mergeCell ref="CRY212:CRZ212"/>
    <mergeCell ref="CSP212:CSQ212"/>
    <mergeCell ref="CSR212:CSS212"/>
    <mergeCell ref="CST212:CSU212"/>
    <mergeCell ref="CSV212:CSW212"/>
    <mergeCell ref="CTM212:CTN212"/>
    <mergeCell ref="CPH212:CPI212"/>
    <mergeCell ref="CPY212:CPZ212"/>
    <mergeCell ref="CQA212:CQB212"/>
    <mergeCell ref="CQC212:CQD212"/>
    <mergeCell ref="CQE212:CQF212"/>
    <mergeCell ref="CQV212:CQW212"/>
    <mergeCell ref="CQX212:CQY212"/>
    <mergeCell ref="CQZ212:CRA212"/>
    <mergeCell ref="CRB212:CRC212"/>
    <mergeCell ref="CVK212:CVL212"/>
    <mergeCell ref="CVM212:CVN212"/>
    <mergeCell ref="CWD212:CWE212"/>
    <mergeCell ref="CWF212:CWG212"/>
    <mergeCell ref="CWH212:CWI212"/>
    <mergeCell ref="CWJ212:CWK212"/>
    <mergeCell ref="CXA212:CXB212"/>
    <mergeCell ref="CXC212:CXD212"/>
    <mergeCell ref="CXE212:CXF212"/>
    <mergeCell ref="CTO212:CTP212"/>
    <mergeCell ref="CTQ212:CTR212"/>
    <mergeCell ref="CTS212:CTT212"/>
    <mergeCell ref="CUJ212:CUK212"/>
    <mergeCell ref="CUL212:CUM212"/>
    <mergeCell ref="CUN212:CUO212"/>
    <mergeCell ref="CUP212:CUQ212"/>
    <mergeCell ref="CVG212:CVH212"/>
    <mergeCell ref="CVI212:CVJ212"/>
    <mergeCell ref="CZR212:CZS212"/>
    <mergeCell ref="CZT212:CZU212"/>
    <mergeCell ref="CZV212:CZW212"/>
    <mergeCell ref="CZX212:CZY212"/>
    <mergeCell ref="DAO212:DAP212"/>
    <mergeCell ref="DAQ212:DAR212"/>
    <mergeCell ref="DAS212:DAT212"/>
    <mergeCell ref="DAU212:DAV212"/>
    <mergeCell ref="DBL212:DBM212"/>
    <mergeCell ref="CXG212:CXH212"/>
    <mergeCell ref="CXX212:CXY212"/>
    <mergeCell ref="CXZ212:CYA212"/>
    <mergeCell ref="CYB212:CYC212"/>
    <mergeCell ref="CYD212:CYE212"/>
    <mergeCell ref="CYU212:CYV212"/>
    <mergeCell ref="CYW212:CYX212"/>
    <mergeCell ref="CYY212:CYZ212"/>
    <mergeCell ref="CZA212:CZB212"/>
    <mergeCell ref="DDJ212:DDK212"/>
    <mergeCell ref="DDL212:DDM212"/>
    <mergeCell ref="DEC212:DED212"/>
    <mergeCell ref="DEE212:DEF212"/>
    <mergeCell ref="DEG212:DEH212"/>
    <mergeCell ref="DEI212:DEJ212"/>
    <mergeCell ref="DEZ212:DFA212"/>
    <mergeCell ref="DFB212:DFC212"/>
    <mergeCell ref="DFD212:DFE212"/>
    <mergeCell ref="DBN212:DBO212"/>
    <mergeCell ref="DBP212:DBQ212"/>
    <mergeCell ref="DBR212:DBS212"/>
    <mergeCell ref="DCI212:DCJ212"/>
    <mergeCell ref="DCK212:DCL212"/>
    <mergeCell ref="DCM212:DCN212"/>
    <mergeCell ref="DCO212:DCP212"/>
    <mergeCell ref="DDF212:DDG212"/>
    <mergeCell ref="DDH212:DDI212"/>
    <mergeCell ref="DHQ212:DHR212"/>
    <mergeCell ref="DHS212:DHT212"/>
    <mergeCell ref="DHU212:DHV212"/>
    <mergeCell ref="DHW212:DHX212"/>
    <mergeCell ref="DIN212:DIO212"/>
    <mergeCell ref="DIP212:DIQ212"/>
    <mergeCell ref="DIR212:DIS212"/>
    <mergeCell ref="DIT212:DIU212"/>
    <mergeCell ref="DJK212:DJL212"/>
    <mergeCell ref="DFF212:DFG212"/>
    <mergeCell ref="DFW212:DFX212"/>
    <mergeCell ref="DFY212:DFZ212"/>
    <mergeCell ref="DGA212:DGB212"/>
    <mergeCell ref="DGC212:DGD212"/>
    <mergeCell ref="DGT212:DGU212"/>
    <mergeCell ref="DGV212:DGW212"/>
    <mergeCell ref="DGX212:DGY212"/>
    <mergeCell ref="DGZ212:DHA212"/>
    <mergeCell ref="DLI212:DLJ212"/>
    <mergeCell ref="DLK212:DLL212"/>
    <mergeCell ref="DMB212:DMC212"/>
    <mergeCell ref="DMD212:DME212"/>
    <mergeCell ref="DMF212:DMG212"/>
    <mergeCell ref="DMH212:DMI212"/>
    <mergeCell ref="DMY212:DMZ212"/>
    <mergeCell ref="DNA212:DNB212"/>
    <mergeCell ref="DNC212:DND212"/>
    <mergeCell ref="DJM212:DJN212"/>
    <mergeCell ref="DJO212:DJP212"/>
    <mergeCell ref="DJQ212:DJR212"/>
    <mergeCell ref="DKH212:DKI212"/>
    <mergeCell ref="DKJ212:DKK212"/>
    <mergeCell ref="DKL212:DKM212"/>
    <mergeCell ref="DKN212:DKO212"/>
    <mergeCell ref="DLE212:DLF212"/>
    <mergeCell ref="DLG212:DLH212"/>
    <mergeCell ref="DPP212:DPQ212"/>
    <mergeCell ref="DPR212:DPS212"/>
    <mergeCell ref="DPT212:DPU212"/>
    <mergeCell ref="DPV212:DPW212"/>
    <mergeCell ref="DQM212:DQN212"/>
    <mergeCell ref="DQO212:DQP212"/>
    <mergeCell ref="DQQ212:DQR212"/>
    <mergeCell ref="DQS212:DQT212"/>
    <mergeCell ref="DRJ212:DRK212"/>
    <mergeCell ref="DNE212:DNF212"/>
    <mergeCell ref="DNV212:DNW212"/>
    <mergeCell ref="DNX212:DNY212"/>
    <mergeCell ref="DNZ212:DOA212"/>
    <mergeCell ref="DOB212:DOC212"/>
    <mergeCell ref="DOS212:DOT212"/>
    <mergeCell ref="DOU212:DOV212"/>
    <mergeCell ref="DOW212:DOX212"/>
    <mergeCell ref="DOY212:DOZ212"/>
    <mergeCell ref="DTH212:DTI212"/>
    <mergeCell ref="DTJ212:DTK212"/>
    <mergeCell ref="DUA212:DUB212"/>
    <mergeCell ref="DUC212:DUD212"/>
    <mergeCell ref="DUE212:DUF212"/>
    <mergeCell ref="DUG212:DUH212"/>
    <mergeCell ref="DUX212:DUY212"/>
    <mergeCell ref="DUZ212:DVA212"/>
    <mergeCell ref="DVB212:DVC212"/>
    <mergeCell ref="DRL212:DRM212"/>
    <mergeCell ref="DRN212:DRO212"/>
    <mergeCell ref="DRP212:DRQ212"/>
    <mergeCell ref="DSG212:DSH212"/>
    <mergeCell ref="DSI212:DSJ212"/>
    <mergeCell ref="DSK212:DSL212"/>
    <mergeCell ref="DSM212:DSN212"/>
    <mergeCell ref="DTD212:DTE212"/>
    <mergeCell ref="DTF212:DTG212"/>
    <mergeCell ref="DXO212:DXP212"/>
    <mergeCell ref="DXQ212:DXR212"/>
    <mergeCell ref="DXS212:DXT212"/>
    <mergeCell ref="DXU212:DXV212"/>
    <mergeCell ref="DYL212:DYM212"/>
    <mergeCell ref="DYN212:DYO212"/>
    <mergeCell ref="DYP212:DYQ212"/>
    <mergeCell ref="DYR212:DYS212"/>
    <mergeCell ref="DZI212:DZJ212"/>
    <mergeCell ref="DVD212:DVE212"/>
    <mergeCell ref="DVU212:DVV212"/>
    <mergeCell ref="DVW212:DVX212"/>
    <mergeCell ref="DVY212:DVZ212"/>
    <mergeCell ref="DWA212:DWB212"/>
    <mergeCell ref="DWR212:DWS212"/>
    <mergeCell ref="DWT212:DWU212"/>
    <mergeCell ref="DWV212:DWW212"/>
    <mergeCell ref="DWX212:DWY212"/>
    <mergeCell ref="EBG212:EBH212"/>
    <mergeCell ref="EBI212:EBJ212"/>
    <mergeCell ref="EBZ212:ECA212"/>
    <mergeCell ref="ECB212:ECC212"/>
    <mergeCell ref="ECD212:ECE212"/>
    <mergeCell ref="ECF212:ECG212"/>
    <mergeCell ref="ECW212:ECX212"/>
    <mergeCell ref="ECY212:ECZ212"/>
    <mergeCell ref="EDA212:EDB212"/>
    <mergeCell ref="DZK212:DZL212"/>
    <mergeCell ref="DZM212:DZN212"/>
    <mergeCell ref="DZO212:DZP212"/>
    <mergeCell ref="EAF212:EAG212"/>
    <mergeCell ref="EAH212:EAI212"/>
    <mergeCell ref="EAJ212:EAK212"/>
    <mergeCell ref="EAL212:EAM212"/>
    <mergeCell ref="EBC212:EBD212"/>
    <mergeCell ref="EBE212:EBF212"/>
    <mergeCell ref="EFN212:EFO212"/>
    <mergeCell ref="EFP212:EFQ212"/>
    <mergeCell ref="EFR212:EFS212"/>
    <mergeCell ref="EFT212:EFU212"/>
    <mergeCell ref="EGK212:EGL212"/>
    <mergeCell ref="EGM212:EGN212"/>
    <mergeCell ref="EGO212:EGP212"/>
    <mergeCell ref="EGQ212:EGR212"/>
    <mergeCell ref="EHH212:EHI212"/>
    <mergeCell ref="EDC212:EDD212"/>
    <mergeCell ref="EDT212:EDU212"/>
    <mergeCell ref="EDV212:EDW212"/>
    <mergeCell ref="EDX212:EDY212"/>
    <mergeCell ref="EDZ212:EEA212"/>
    <mergeCell ref="EEQ212:EER212"/>
    <mergeCell ref="EES212:EET212"/>
    <mergeCell ref="EEU212:EEV212"/>
    <mergeCell ref="EEW212:EEX212"/>
    <mergeCell ref="EJF212:EJG212"/>
    <mergeCell ref="EJH212:EJI212"/>
    <mergeCell ref="EJY212:EJZ212"/>
    <mergeCell ref="EKA212:EKB212"/>
    <mergeCell ref="EKC212:EKD212"/>
    <mergeCell ref="EKE212:EKF212"/>
    <mergeCell ref="EKV212:EKW212"/>
    <mergeCell ref="EKX212:EKY212"/>
    <mergeCell ref="EKZ212:ELA212"/>
    <mergeCell ref="EHJ212:EHK212"/>
    <mergeCell ref="EHL212:EHM212"/>
    <mergeCell ref="EHN212:EHO212"/>
    <mergeCell ref="EIE212:EIF212"/>
    <mergeCell ref="EIG212:EIH212"/>
    <mergeCell ref="EII212:EIJ212"/>
    <mergeCell ref="EIK212:EIL212"/>
    <mergeCell ref="EJB212:EJC212"/>
    <mergeCell ref="EJD212:EJE212"/>
    <mergeCell ref="ENM212:ENN212"/>
    <mergeCell ref="ENO212:ENP212"/>
    <mergeCell ref="ENQ212:ENR212"/>
    <mergeCell ref="ENS212:ENT212"/>
    <mergeCell ref="EOJ212:EOK212"/>
    <mergeCell ref="EOL212:EOM212"/>
    <mergeCell ref="EON212:EOO212"/>
    <mergeCell ref="EOP212:EOQ212"/>
    <mergeCell ref="EPG212:EPH212"/>
    <mergeCell ref="ELB212:ELC212"/>
    <mergeCell ref="ELS212:ELT212"/>
    <mergeCell ref="ELU212:ELV212"/>
    <mergeCell ref="ELW212:ELX212"/>
    <mergeCell ref="ELY212:ELZ212"/>
    <mergeCell ref="EMP212:EMQ212"/>
    <mergeCell ref="EMR212:EMS212"/>
    <mergeCell ref="EMT212:EMU212"/>
    <mergeCell ref="EMV212:EMW212"/>
    <mergeCell ref="ERE212:ERF212"/>
    <mergeCell ref="ERG212:ERH212"/>
    <mergeCell ref="ERX212:ERY212"/>
    <mergeCell ref="ERZ212:ESA212"/>
    <mergeCell ref="ESB212:ESC212"/>
    <mergeCell ref="ESD212:ESE212"/>
    <mergeCell ref="ESU212:ESV212"/>
    <mergeCell ref="ESW212:ESX212"/>
    <mergeCell ref="ESY212:ESZ212"/>
    <mergeCell ref="EPI212:EPJ212"/>
    <mergeCell ref="EPK212:EPL212"/>
    <mergeCell ref="EPM212:EPN212"/>
    <mergeCell ref="EQD212:EQE212"/>
    <mergeCell ref="EQF212:EQG212"/>
    <mergeCell ref="EQH212:EQI212"/>
    <mergeCell ref="EQJ212:EQK212"/>
    <mergeCell ref="ERA212:ERB212"/>
    <mergeCell ref="ERC212:ERD212"/>
    <mergeCell ref="EVL212:EVM212"/>
    <mergeCell ref="EVN212:EVO212"/>
    <mergeCell ref="EVP212:EVQ212"/>
    <mergeCell ref="EVR212:EVS212"/>
    <mergeCell ref="EWI212:EWJ212"/>
    <mergeCell ref="EWK212:EWL212"/>
    <mergeCell ref="EWM212:EWN212"/>
    <mergeCell ref="EWO212:EWP212"/>
    <mergeCell ref="EXF212:EXG212"/>
    <mergeCell ref="ETA212:ETB212"/>
    <mergeCell ref="ETR212:ETS212"/>
    <mergeCell ref="ETT212:ETU212"/>
    <mergeCell ref="ETV212:ETW212"/>
    <mergeCell ref="ETX212:ETY212"/>
    <mergeCell ref="EUO212:EUP212"/>
    <mergeCell ref="EUQ212:EUR212"/>
    <mergeCell ref="EUS212:EUT212"/>
    <mergeCell ref="EUU212:EUV212"/>
    <mergeCell ref="EZD212:EZE212"/>
    <mergeCell ref="EZF212:EZG212"/>
    <mergeCell ref="EZW212:EZX212"/>
    <mergeCell ref="EZY212:EZZ212"/>
    <mergeCell ref="FAA212:FAB212"/>
    <mergeCell ref="FAC212:FAD212"/>
    <mergeCell ref="FAT212:FAU212"/>
    <mergeCell ref="FAV212:FAW212"/>
    <mergeCell ref="FAX212:FAY212"/>
    <mergeCell ref="EXH212:EXI212"/>
    <mergeCell ref="EXJ212:EXK212"/>
    <mergeCell ref="EXL212:EXM212"/>
    <mergeCell ref="EYC212:EYD212"/>
    <mergeCell ref="EYE212:EYF212"/>
    <mergeCell ref="EYG212:EYH212"/>
    <mergeCell ref="EYI212:EYJ212"/>
    <mergeCell ref="EYZ212:EZA212"/>
    <mergeCell ref="EZB212:EZC212"/>
    <mergeCell ref="FDK212:FDL212"/>
    <mergeCell ref="FDM212:FDN212"/>
    <mergeCell ref="FDO212:FDP212"/>
    <mergeCell ref="FDQ212:FDR212"/>
    <mergeCell ref="FEH212:FEI212"/>
    <mergeCell ref="FEJ212:FEK212"/>
    <mergeCell ref="FEL212:FEM212"/>
    <mergeCell ref="FEN212:FEO212"/>
    <mergeCell ref="FFE212:FFF212"/>
    <mergeCell ref="FAZ212:FBA212"/>
    <mergeCell ref="FBQ212:FBR212"/>
    <mergeCell ref="FBS212:FBT212"/>
    <mergeCell ref="FBU212:FBV212"/>
    <mergeCell ref="FBW212:FBX212"/>
    <mergeCell ref="FCN212:FCO212"/>
    <mergeCell ref="FCP212:FCQ212"/>
    <mergeCell ref="FCR212:FCS212"/>
    <mergeCell ref="FCT212:FCU212"/>
    <mergeCell ref="FHC212:FHD212"/>
    <mergeCell ref="FHE212:FHF212"/>
    <mergeCell ref="FHV212:FHW212"/>
    <mergeCell ref="FHX212:FHY212"/>
    <mergeCell ref="FHZ212:FIA212"/>
    <mergeCell ref="FIB212:FIC212"/>
    <mergeCell ref="FIS212:FIT212"/>
    <mergeCell ref="FIU212:FIV212"/>
    <mergeCell ref="FIW212:FIX212"/>
    <mergeCell ref="FFG212:FFH212"/>
    <mergeCell ref="FFI212:FFJ212"/>
    <mergeCell ref="FFK212:FFL212"/>
    <mergeCell ref="FGB212:FGC212"/>
    <mergeCell ref="FGD212:FGE212"/>
    <mergeCell ref="FGF212:FGG212"/>
    <mergeCell ref="FGH212:FGI212"/>
    <mergeCell ref="FGY212:FGZ212"/>
    <mergeCell ref="FHA212:FHB212"/>
    <mergeCell ref="FLJ212:FLK212"/>
    <mergeCell ref="FLL212:FLM212"/>
    <mergeCell ref="FLN212:FLO212"/>
    <mergeCell ref="FLP212:FLQ212"/>
    <mergeCell ref="FMG212:FMH212"/>
    <mergeCell ref="FMI212:FMJ212"/>
    <mergeCell ref="FMK212:FML212"/>
    <mergeCell ref="FMM212:FMN212"/>
    <mergeCell ref="FND212:FNE212"/>
    <mergeCell ref="FIY212:FIZ212"/>
    <mergeCell ref="FJP212:FJQ212"/>
    <mergeCell ref="FJR212:FJS212"/>
    <mergeCell ref="FJT212:FJU212"/>
    <mergeCell ref="FJV212:FJW212"/>
    <mergeCell ref="FKM212:FKN212"/>
    <mergeCell ref="FKO212:FKP212"/>
    <mergeCell ref="FKQ212:FKR212"/>
    <mergeCell ref="FKS212:FKT212"/>
    <mergeCell ref="FPB212:FPC212"/>
    <mergeCell ref="FPD212:FPE212"/>
    <mergeCell ref="FPU212:FPV212"/>
    <mergeCell ref="FPW212:FPX212"/>
    <mergeCell ref="FPY212:FPZ212"/>
    <mergeCell ref="FQA212:FQB212"/>
    <mergeCell ref="FQR212:FQS212"/>
    <mergeCell ref="FQT212:FQU212"/>
    <mergeCell ref="FQV212:FQW212"/>
    <mergeCell ref="FNF212:FNG212"/>
    <mergeCell ref="FNH212:FNI212"/>
    <mergeCell ref="FNJ212:FNK212"/>
    <mergeCell ref="FOA212:FOB212"/>
    <mergeCell ref="FOC212:FOD212"/>
    <mergeCell ref="FOE212:FOF212"/>
    <mergeCell ref="FOG212:FOH212"/>
    <mergeCell ref="FOX212:FOY212"/>
    <mergeCell ref="FOZ212:FPA212"/>
    <mergeCell ref="FTI212:FTJ212"/>
    <mergeCell ref="FTK212:FTL212"/>
    <mergeCell ref="FTM212:FTN212"/>
    <mergeCell ref="FTO212:FTP212"/>
    <mergeCell ref="FUF212:FUG212"/>
    <mergeCell ref="FUH212:FUI212"/>
    <mergeCell ref="FUJ212:FUK212"/>
    <mergeCell ref="FUL212:FUM212"/>
    <mergeCell ref="FVC212:FVD212"/>
    <mergeCell ref="FQX212:FQY212"/>
    <mergeCell ref="FRO212:FRP212"/>
    <mergeCell ref="FRQ212:FRR212"/>
    <mergeCell ref="FRS212:FRT212"/>
    <mergeCell ref="FRU212:FRV212"/>
    <mergeCell ref="FSL212:FSM212"/>
    <mergeCell ref="FSN212:FSO212"/>
    <mergeCell ref="FSP212:FSQ212"/>
    <mergeCell ref="FSR212:FSS212"/>
    <mergeCell ref="FXA212:FXB212"/>
    <mergeCell ref="FXC212:FXD212"/>
    <mergeCell ref="FXT212:FXU212"/>
    <mergeCell ref="FXV212:FXW212"/>
    <mergeCell ref="FXX212:FXY212"/>
    <mergeCell ref="FXZ212:FYA212"/>
    <mergeCell ref="FYQ212:FYR212"/>
    <mergeCell ref="FYS212:FYT212"/>
    <mergeCell ref="FYU212:FYV212"/>
    <mergeCell ref="FVE212:FVF212"/>
    <mergeCell ref="FVG212:FVH212"/>
    <mergeCell ref="FVI212:FVJ212"/>
    <mergeCell ref="FVZ212:FWA212"/>
    <mergeCell ref="FWB212:FWC212"/>
    <mergeCell ref="FWD212:FWE212"/>
    <mergeCell ref="FWF212:FWG212"/>
    <mergeCell ref="FWW212:FWX212"/>
    <mergeCell ref="FWY212:FWZ212"/>
    <mergeCell ref="GBH212:GBI212"/>
    <mergeCell ref="GBJ212:GBK212"/>
    <mergeCell ref="GBL212:GBM212"/>
    <mergeCell ref="GBN212:GBO212"/>
    <mergeCell ref="GCE212:GCF212"/>
    <mergeCell ref="GCG212:GCH212"/>
    <mergeCell ref="GCI212:GCJ212"/>
    <mergeCell ref="GCK212:GCL212"/>
    <mergeCell ref="GDB212:GDC212"/>
    <mergeCell ref="FYW212:FYX212"/>
    <mergeCell ref="FZN212:FZO212"/>
    <mergeCell ref="FZP212:FZQ212"/>
    <mergeCell ref="FZR212:FZS212"/>
    <mergeCell ref="FZT212:FZU212"/>
    <mergeCell ref="GAK212:GAL212"/>
    <mergeCell ref="GAM212:GAN212"/>
    <mergeCell ref="GAO212:GAP212"/>
    <mergeCell ref="GAQ212:GAR212"/>
    <mergeCell ref="GEZ212:GFA212"/>
    <mergeCell ref="GFB212:GFC212"/>
    <mergeCell ref="GFS212:GFT212"/>
    <mergeCell ref="GFU212:GFV212"/>
    <mergeCell ref="GFW212:GFX212"/>
    <mergeCell ref="GFY212:GFZ212"/>
    <mergeCell ref="GGP212:GGQ212"/>
    <mergeCell ref="GGR212:GGS212"/>
    <mergeCell ref="GGT212:GGU212"/>
    <mergeCell ref="GDD212:GDE212"/>
    <mergeCell ref="GDF212:GDG212"/>
    <mergeCell ref="GDH212:GDI212"/>
    <mergeCell ref="GDY212:GDZ212"/>
    <mergeCell ref="GEA212:GEB212"/>
    <mergeCell ref="GEC212:GED212"/>
    <mergeCell ref="GEE212:GEF212"/>
    <mergeCell ref="GEV212:GEW212"/>
    <mergeCell ref="GEX212:GEY212"/>
    <mergeCell ref="GJG212:GJH212"/>
    <mergeCell ref="GJI212:GJJ212"/>
    <mergeCell ref="GJK212:GJL212"/>
    <mergeCell ref="GJM212:GJN212"/>
    <mergeCell ref="GKD212:GKE212"/>
    <mergeCell ref="GKF212:GKG212"/>
    <mergeCell ref="GKH212:GKI212"/>
    <mergeCell ref="GKJ212:GKK212"/>
    <mergeCell ref="GLA212:GLB212"/>
    <mergeCell ref="GGV212:GGW212"/>
    <mergeCell ref="GHM212:GHN212"/>
    <mergeCell ref="GHO212:GHP212"/>
    <mergeCell ref="GHQ212:GHR212"/>
    <mergeCell ref="GHS212:GHT212"/>
    <mergeCell ref="GIJ212:GIK212"/>
    <mergeCell ref="GIL212:GIM212"/>
    <mergeCell ref="GIN212:GIO212"/>
    <mergeCell ref="GIP212:GIQ212"/>
    <mergeCell ref="GMY212:GMZ212"/>
    <mergeCell ref="GNA212:GNB212"/>
    <mergeCell ref="GNR212:GNS212"/>
    <mergeCell ref="GNT212:GNU212"/>
    <mergeCell ref="GNV212:GNW212"/>
    <mergeCell ref="GNX212:GNY212"/>
    <mergeCell ref="GOO212:GOP212"/>
    <mergeCell ref="GOQ212:GOR212"/>
    <mergeCell ref="GOS212:GOT212"/>
    <mergeCell ref="GLC212:GLD212"/>
    <mergeCell ref="GLE212:GLF212"/>
    <mergeCell ref="GLG212:GLH212"/>
    <mergeCell ref="GLX212:GLY212"/>
    <mergeCell ref="GLZ212:GMA212"/>
    <mergeCell ref="GMB212:GMC212"/>
    <mergeCell ref="GMD212:GME212"/>
    <mergeCell ref="GMU212:GMV212"/>
    <mergeCell ref="GMW212:GMX212"/>
    <mergeCell ref="GRF212:GRG212"/>
    <mergeCell ref="GRH212:GRI212"/>
    <mergeCell ref="GRJ212:GRK212"/>
    <mergeCell ref="GRL212:GRM212"/>
    <mergeCell ref="GSC212:GSD212"/>
    <mergeCell ref="GSE212:GSF212"/>
    <mergeCell ref="GSG212:GSH212"/>
    <mergeCell ref="GSI212:GSJ212"/>
    <mergeCell ref="GSZ212:GTA212"/>
    <mergeCell ref="GOU212:GOV212"/>
    <mergeCell ref="GPL212:GPM212"/>
    <mergeCell ref="GPN212:GPO212"/>
    <mergeCell ref="GPP212:GPQ212"/>
    <mergeCell ref="GPR212:GPS212"/>
    <mergeCell ref="GQI212:GQJ212"/>
    <mergeCell ref="GQK212:GQL212"/>
    <mergeCell ref="GQM212:GQN212"/>
    <mergeCell ref="GQO212:GQP212"/>
    <mergeCell ref="GUX212:GUY212"/>
    <mergeCell ref="GUZ212:GVA212"/>
    <mergeCell ref="GVQ212:GVR212"/>
    <mergeCell ref="GVS212:GVT212"/>
    <mergeCell ref="GVU212:GVV212"/>
    <mergeCell ref="GVW212:GVX212"/>
    <mergeCell ref="GWN212:GWO212"/>
    <mergeCell ref="GWP212:GWQ212"/>
    <mergeCell ref="GWR212:GWS212"/>
    <mergeCell ref="GTB212:GTC212"/>
    <mergeCell ref="GTD212:GTE212"/>
    <mergeCell ref="GTF212:GTG212"/>
    <mergeCell ref="GTW212:GTX212"/>
    <mergeCell ref="GTY212:GTZ212"/>
    <mergeCell ref="GUA212:GUB212"/>
    <mergeCell ref="GUC212:GUD212"/>
    <mergeCell ref="GUT212:GUU212"/>
    <mergeCell ref="GUV212:GUW212"/>
    <mergeCell ref="GZE212:GZF212"/>
    <mergeCell ref="GZG212:GZH212"/>
    <mergeCell ref="GZI212:GZJ212"/>
    <mergeCell ref="GZK212:GZL212"/>
    <mergeCell ref="HAB212:HAC212"/>
    <mergeCell ref="HAD212:HAE212"/>
    <mergeCell ref="HAF212:HAG212"/>
    <mergeCell ref="HAH212:HAI212"/>
    <mergeCell ref="HAY212:HAZ212"/>
    <mergeCell ref="GWT212:GWU212"/>
    <mergeCell ref="GXK212:GXL212"/>
    <mergeCell ref="GXM212:GXN212"/>
    <mergeCell ref="GXO212:GXP212"/>
    <mergeCell ref="GXQ212:GXR212"/>
    <mergeCell ref="GYH212:GYI212"/>
    <mergeCell ref="GYJ212:GYK212"/>
    <mergeCell ref="GYL212:GYM212"/>
    <mergeCell ref="GYN212:GYO212"/>
    <mergeCell ref="HCW212:HCX212"/>
    <mergeCell ref="HCY212:HCZ212"/>
    <mergeCell ref="HDP212:HDQ212"/>
    <mergeCell ref="HDR212:HDS212"/>
    <mergeCell ref="HDT212:HDU212"/>
    <mergeCell ref="HDV212:HDW212"/>
    <mergeCell ref="HEM212:HEN212"/>
    <mergeCell ref="HEO212:HEP212"/>
    <mergeCell ref="HEQ212:HER212"/>
    <mergeCell ref="HBA212:HBB212"/>
    <mergeCell ref="HBC212:HBD212"/>
    <mergeCell ref="HBE212:HBF212"/>
    <mergeCell ref="HBV212:HBW212"/>
    <mergeCell ref="HBX212:HBY212"/>
    <mergeCell ref="HBZ212:HCA212"/>
    <mergeCell ref="HCB212:HCC212"/>
    <mergeCell ref="HCS212:HCT212"/>
    <mergeCell ref="HCU212:HCV212"/>
    <mergeCell ref="HHD212:HHE212"/>
    <mergeCell ref="HHF212:HHG212"/>
    <mergeCell ref="HHH212:HHI212"/>
    <mergeCell ref="HHJ212:HHK212"/>
    <mergeCell ref="HIA212:HIB212"/>
    <mergeCell ref="HIC212:HID212"/>
    <mergeCell ref="HIE212:HIF212"/>
    <mergeCell ref="HIG212:HIH212"/>
    <mergeCell ref="HIX212:HIY212"/>
    <mergeCell ref="HES212:HET212"/>
    <mergeCell ref="HFJ212:HFK212"/>
    <mergeCell ref="HFL212:HFM212"/>
    <mergeCell ref="HFN212:HFO212"/>
    <mergeCell ref="HFP212:HFQ212"/>
    <mergeCell ref="HGG212:HGH212"/>
    <mergeCell ref="HGI212:HGJ212"/>
    <mergeCell ref="HGK212:HGL212"/>
    <mergeCell ref="HGM212:HGN212"/>
    <mergeCell ref="HKV212:HKW212"/>
    <mergeCell ref="HKX212:HKY212"/>
    <mergeCell ref="HLO212:HLP212"/>
    <mergeCell ref="HLQ212:HLR212"/>
    <mergeCell ref="HLS212:HLT212"/>
    <mergeCell ref="HLU212:HLV212"/>
    <mergeCell ref="HML212:HMM212"/>
    <mergeCell ref="HMN212:HMO212"/>
    <mergeCell ref="HMP212:HMQ212"/>
    <mergeCell ref="HIZ212:HJA212"/>
    <mergeCell ref="HJB212:HJC212"/>
    <mergeCell ref="HJD212:HJE212"/>
    <mergeCell ref="HJU212:HJV212"/>
    <mergeCell ref="HJW212:HJX212"/>
    <mergeCell ref="HJY212:HJZ212"/>
    <mergeCell ref="HKA212:HKB212"/>
    <mergeCell ref="HKR212:HKS212"/>
    <mergeCell ref="HKT212:HKU212"/>
    <mergeCell ref="HPC212:HPD212"/>
    <mergeCell ref="HPE212:HPF212"/>
    <mergeCell ref="HPG212:HPH212"/>
    <mergeCell ref="HPI212:HPJ212"/>
    <mergeCell ref="HPZ212:HQA212"/>
    <mergeCell ref="HQB212:HQC212"/>
    <mergeCell ref="HQD212:HQE212"/>
    <mergeCell ref="HQF212:HQG212"/>
    <mergeCell ref="HQW212:HQX212"/>
    <mergeCell ref="HMR212:HMS212"/>
    <mergeCell ref="HNI212:HNJ212"/>
    <mergeCell ref="HNK212:HNL212"/>
    <mergeCell ref="HNM212:HNN212"/>
    <mergeCell ref="HNO212:HNP212"/>
    <mergeCell ref="HOF212:HOG212"/>
    <mergeCell ref="HOH212:HOI212"/>
    <mergeCell ref="HOJ212:HOK212"/>
    <mergeCell ref="HOL212:HOM212"/>
    <mergeCell ref="HSU212:HSV212"/>
    <mergeCell ref="HSW212:HSX212"/>
    <mergeCell ref="HTN212:HTO212"/>
    <mergeCell ref="HTP212:HTQ212"/>
    <mergeCell ref="HTR212:HTS212"/>
    <mergeCell ref="HTT212:HTU212"/>
    <mergeCell ref="HUK212:HUL212"/>
    <mergeCell ref="HUM212:HUN212"/>
    <mergeCell ref="HUO212:HUP212"/>
    <mergeCell ref="HQY212:HQZ212"/>
    <mergeCell ref="HRA212:HRB212"/>
    <mergeCell ref="HRC212:HRD212"/>
    <mergeCell ref="HRT212:HRU212"/>
    <mergeCell ref="HRV212:HRW212"/>
    <mergeCell ref="HRX212:HRY212"/>
    <mergeCell ref="HRZ212:HSA212"/>
    <mergeCell ref="HSQ212:HSR212"/>
    <mergeCell ref="HSS212:HST212"/>
    <mergeCell ref="HXB212:HXC212"/>
    <mergeCell ref="HXD212:HXE212"/>
    <mergeCell ref="HXF212:HXG212"/>
    <mergeCell ref="HXH212:HXI212"/>
    <mergeCell ref="HXY212:HXZ212"/>
    <mergeCell ref="HYA212:HYB212"/>
    <mergeCell ref="HYC212:HYD212"/>
    <mergeCell ref="HYE212:HYF212"/>
    <mergeCell ref="HYV212:HYW212"/>
    <mergeCell ref="HUQ212:HUR212"/>
    <mergeCell ref="HVH212:HVI212"/>
    <mergeCell ref="HVJ212:HVK212"/>
    <mergeCell ref="HVL212:HVM212"/>
    <mergeCell ref="HVN212:HVO212"/>
    <mergeCell ref="HWE212:HWF212"/>
    <mergeCell ref="HWG212:HWH212"/>
    <mergeCell ref="HWI212:HWJ212"/>
    <mergeCell ref="HWK212:HWL212"/>
    <mergeCell ref="IAT212:IAU212"/>
    <mergeCell ref="IAV212:IAW212"/>
    <mergeCell ref="IBM212:IBN212"/>
    <mergeCell ref="IBO212:IBP212"/>
    <mergeCell ref="IBQ212:IBR212"/>
    <mergeCell ref="IBS212:IBT212"/>
    <mergeCell ref="ICJ212:ICK212"/>
    <mergeCell ref="ICL212:ICM212"/>
    <mergeCell ref="ICN212:ICO212"/>
    <mergeCell ref="HYX212:HYY212"/>
    <mergeCell ref="HYZ212:HZA212"/>
    <mergeCell ref="HZB212:HZC212"/>
    <mergeCell ref="HZS212:HZT212"/>
    <mergeCell ref="HZU212:HZV212"/>
    <mergeCell ref="HZW212:HZX212"/>
    <mergeCell ref="HZY212:HZZ212"/>
    <mergeCell ref="IAP212:IAQ212"/>
    <mergeCell ref="IAR212:IAS212"/>
    <mergeCell ref="IFA212:IFB212"/>
    <mergeCell ref="IFC212:IFD212"/>
    <mergeCell ref="IFE212:IFF212"/>
    <mergeCell ref="IFG212:IFH212"/>
    <mergeCell ref="IFX212:IFY212"/>
    <mergeCell ref="IFZ212:IGA212"/>
    <mergeCell ref="IGB212:IGC212"/>
    <mergeCell ref="IGD212:IGE212"/>
    <mergeCell ref="IGU212:IGV212"/>
    <mergeCell ref="ICP212:ICQ212"/>
    <mergeCell ref="IDG212:IDH212"/>
    <mergeCell ref="IDI212:IDJ212"/>
    <mergeCell ref="IDK212:IDL212"/>
    <mergeCell ref="IDM212:IDN212"/>
    <mergeCell ref="IED212:IEE212"/>
    <mergeCell ref="IEF212:IEG212"/>
    <mergeCell ref="IEH212:IEI212"/>
    <mergeCell ref="IEJ212:IEK212"/>
    <mergeCell ref="IIS212:IIT212"/>
    <mergeCell ref="IIU212:IIV212"/>
    <mergeCell ref="IJL212:IJM212"/>
    <mergeCell ref="IJN212:IJO212"/>
    <mergeCell ref="IJP212:IJQ212"/>
    <mergeCell ref="IJR212:IJS212"/>
    <mergeCell ref="IKI212:IKJ212"/>
    <mergeCell ref="IKK212:IKL212"/>
    <mergeCell ref="IKM212:IKN212"/>
    <mergeCell ref="IGW212:IGX212"/>
    <mergeCell ref="IGY212:IGZ212"/>
    <mergeCell ref="IHA212:IHB212"/>
    <mergeCell ref="IHR212:IHS212"/>
    <mergeCell ref="IHT212:IHU212"/>
    <mergeCell ref="IHV212:IHW212"/>
    <mergeCell ref="IHX212:IHY212"/>
    <mergeCell ref="IIO212:IIP212"/>
    <mergeCell ref="IIQ212:IIR212"/>
    <mergeCell ref="IMZ212:INA212"/>
    <mergeCell ref="INB212:INC212"/>
    <mergeCell ref="IND212:INE212"/>
    <mergeCell ref="INF212:ING212"/>
    <mergeCell ref="INW212:INX212"/>
    <mergeCell ref="INY212:INZ212"/>
    <mergeCell ref="IOA212:IOB212"/>
    <mergeCell ref="IOC212:IOD212"/>
    <mergeCell ref="IOT212:IOU212"/>
    <mergeCell ref="IKO212:IKP212"/>
    <mergeCell ref="ILF212:ILG212"/>
    <mergeCell ref="ILH212:ILI212"/>
    <mergeCell ref="ILJ212:ILK212"/>
    <mergeCell ref="ILL212:ILM212"/>
    <mergeCell ref="IMC212:IMD212"/>
    <mergeCell ref="IME212:IMF212"/>
    <mergeCell ref="IMG212:IMH212"/>
    <mergeCell ref="IMI212:IMJ212"/>
    <mergeCell ref="IQR212:IQS212"/>
    <mergeCell ref="IQT212:IQU212"/>
    <mergeCell ref="IRK212:IRL212"/>
    <mergeCell ref="IRM212:IRN212"/>
    <mergeCell ref="IRO212:IRP212"/>
    <mergeCell ref="IRQ212:IRR212"/>
    <mergeCell ref="ISH212:ISI212"/>
    <mergeCell ref="ISJ212:ISK212"/>
    <mergeCell ref="ISL212:ISM212"/>
    <mergeCell ref="IOV212:IOW212"/>
    <mergeCell ref="IOX212:IOY212"/>
    <mergeCell ref="IOZ212:IPA212"/>
    <mergeCell ref="IPQ212:IPR212"/>
    <mergeCell ref="IPS212:IPT212"/>
    <mergeCell ref="IPU212:IPV212"/>
    <mergeCell ref="IPW212:IPX212"/>
    <mergeCell ref="IQN212:IQO212"/>
    <mergeCell ref="IQP212:IQQ212"/>
    <mergeCell ref="IUY212:IUZ212"/>
    <mergeCell ref="IVA212:IVB212"/>
    <mergeCell ref="IVC212:IVD212"/>
    <mergeCell ref="IVE212:IVF212"/>
    <mergeCell ref="IVV212:IVW212"/>
    <mergeCell ref="IVX212:IVY212"/>
    <mergeCell ref="IVZ212:IWA212"/>
    <mergeCell ref="IWB212:IWC212"/>
    <mergeCell ref="IWS212:IWT212"/>
    <mergeCell ref="ISN212:ISO212"/>
    <mergeCell ref="ITE212:ITF212"/>
    <mergeCell ref="ITG212:ITH212"/>
    <mergeCell ref="ITI212:ITJ212"/>
    <mergeCell ref="ITK212:ITL212"/>
    <mergeCell ref="IUB212:IUC212"/>
    <mergeCell ref="IUD212:IUE212"/>
    <mergeCell ref="IUF212:IUG212"/>
    <mergeCell ref="IUH212:IUI212"/>
    <mergeCell ref="IYQ212:IYR212"/>
    <mergeCell ref="IYS212:IYT212"/>
    <mergeCell ref="IZJ212:IZK212"/>
    <mergeCell ref="IZL212:IZM212"/>
    <mergeCell ref="IZN212:IZO212"/>
    <mergeCell ref="IZP212:IZQ212"/>
    <mergeCell ref="JAG212:JAH212"/>
    <mergeCell ref="JAI212:JAJ212"/>
    <mergeCell ref="JAK212:JAL212"/>
    <mergeCell ref="IWU212:IWV212"/>
    <mergeCell ref="IWW212:IWX212"/>
    <mergeCell ref="IWY212:IWZ212"/>
    <mergeCell ref="IXP212:IXQ212"/>
    <mergeCell ref="IXR212:IXS212"/>
    <mergeCell ref="IXT212:IXU212"/>
    <mergeCell ref="IXV212:IXW212"/>
    <mergeCell ref="IYM212:IYN212"/>
    <mergeCell ref="IYO212:IYP212"/>
    <mergeCell ref="JCX212:JCY212"/>
    <mergeCell ref="JCZ212:JDA212"/>
    <mergeCell ref="JDB212:JDC212"/>
    <mergeCell ref="JDD212:JDE212"/>
    <mergeCell ref="JDU212:JDV212"/>
    <mergeCell ref="JDW212:JDX212"/>
    <mergeCell ref="JDY212:JDZ212"/>
    <mergeCell ref="JEA212:JEB212"/>
    <mergeCell ref="JER212:JES212"/>
    <mergeCell ref="JAM212:JAN212"/>
    <mergeCell ref="JBD212:JBE212"/>
    <mergeCell ref="JBF212:JBG212"/>
    <mergeCell ref="JBH212:JBI212"/>
    <mergeCell ref="JBJ212:JBK212"/>
    <mergeCell ref="JCA212:JCB212"/>
    <mergeCell ref="JCC212:JCD212"/>
    <mergeCell ref="JCE212:JCF212"/>
    <mergeCell ref="JCG212:JCH212"/>
    <mergeCell ref="JGP212:JGQ212"/>
    <mergeCell ref="JGR212:JGS212"/>
    <mergeCell ref="JHI212:JHJ212"/>
    <mergeCell ref="JHK212:JHL212"/>
    <mergeCell ref="JHM212:JHN212"/>
    <mergeCell ref="JHO212:JHP212"/>
    <mergeCell ref="JIF212:JIG212"/>
    <mergeCell ref="JIH212:JII212"/>
    <mergeCell ref="JIJ212:JIK212"/>
    <mergeCell ref="JET212:JEU212"/>
    <mergeCell ref="JEV212:JEW212"/>
    <mergeCell ref="JEX212:JEY212"/>
    <mergeCell ref="JFO212:JFP212"/>
    <mergeCell ref="JFQ212:JFR212"/>
    <mergeCell ref="JFS212:JFT212"/>
    <mergeCell ref="JFU212:JFV212"/>
    <mergeCell ref="JGL212:JGM212"/>
    <mergeCell ref="JGN212:JGO212"/>
    <mergeCell ref="JKW212:JKX212"/>
    <mergeCell ref="JKY212:JKZ212"/>
    <mergeCell ref="JLA212:JLB212"/>
    <mergeCell ref="JLC212:JLD212"/>
    <mergeCell ref="JLT212:JLU212"/>
    <mergeCell ref="JLV212:JLW212"/>
    <mergeCell ref="JLX212:JLY212"/>
    <mergeCell ref="JLZ212:JMA212"/>
    <mergeCell ref="JMQ212:JMR212"/>
    <mergeCell ref="JIL212:JIM212"/>
    <mergeCell ref="JJC212:JJD212"/>
    <mergeCell ref="JJE212:JJF212"/>
    <mergeCell ref="JJG212:JJH212"/>
    <mergeCell ref="JJI212:JJJ212"/>
    <mergeCell ref="JJZ212:JKA212"/>
    <mergeCell ref="JKB212:JKC212"/>
    <mergeCell ref="JKD212:JKE212"/>
    <mergeCell ref="JKF212:JKG212"/>
    <mergeCell ref="JOO212:JOP212"/>
    <mergeCell ref="JOQ212:JOR212"/>
    <mergeCell ref="JPH212:JPI212"/>
    <mergeCell ref="JPJ212:JPK212"/>
    <mergeCell ref="JPL212:JPM212"/>
    <mergeCell ref="JPN212:JPO212"/>
    <mergeCell ref="JQE212:JQF212"/>
    <mergeCell ref="JQG212:JQH212"/>
    <mergeCell ref="JQI212:JQJ212"/>
    <mergeCell ref="JMS212:JMT212"/>
    <mergeCell ref="JMU212:JMV212"/>
    <mergeCell ref="JMW212:JMX212"/>
    <mergeCell ref="JNN212:JNO212"/>
    <mergeCell ref="JNP212:JNQ212"/>
    <mergeCell ref="JNR212:JNS212"/>
    <mergeCell ref="JNT212:JNU212"/>
    <mergeCell ref="JOK212:JOL212"/>
    <mergeCell ref="JOM212:JON212"/>
    <mergeCell ref="JSV212:JSW212"/>
    <mergeCell ref="JSX212:JSY212"/>
    <mergeCell ref="JSZ212:JTA212"/>
    <mergeCell ref="JTB212:JTC212"/>
    <mergeCell ref="JTS212:JTT212"/>
    <mergeCell ref="JTU212:JTV212"/>
    <mergeCell ref="JTW212:JTX212"/>
    <mergeCell ref="JTY212:JTZ212"/>
    <mergeCell ref="JUP212:JUQ212"/>
    <mergeCell ref="JQK212:JQL212"/>
    <mergeCell ref="JRB212:JRC212"/>
    <mergeCell ref="JRD212:JRE212"/>
    <mergeCell ref="JRF212:JRG212"/>
    <mergeCell ref="JRH212:JRI212"/>
    <mergeCell ref="JRY212:JRZ212"/>
    <mergeCell ref="JSA212:JSB212"/>
    <mergeCell ref="JSC212:JSD212"/>
    <mergeCell ref="JSE212:JSF212"/>
    <mergeCell ref="JWN212:JWO212"/>
    <mergeCell ref="JWP212:JWQ212"/>
    <mergeCell ref="JXG212:JXH212"/>
    <mergeCell ref="JXI212:JXJ212"/>
    <mergeCell ref="JXK212:JXL212"/>
    <mergeCell ref="JXM212:JXN212"/>
    <mergeCell ref="JYD212:JYE212"/>
    <mergeCell ref="JYF212:JYG212"/>
    <mergeCell ref="JYH212:JYI212"/>
    <mergeCell ref="JUR212:JUS212"/>
    <mergeCell ref="JUT212:JUU212"/>
    <mergeCell ref="JUV212:JUW212"/>
    <mergeCell ref="JVM212:JVN212"/>
    <mergeCell ref="JVO212:JVP212"/>
    <mergeCell ref="JVQ212:JVR212"/>
    <mergeCell ref="JVS212:JVT212"/>
    <mergeCell ref="JWJ212:JWK212"/>
    <mergeCell ref="JWL212:JWM212"/>
    <mergeCell ref="KAU212:KAV212"/>
    <mergeCell ref="KAW212:KAX212"/>
    <mergeCell ref="KAY212:KAZ212"/>
    <mergeCell ref="KBA212:KBB212"/>
    <mergeCell ref="KBR212:KBS212"/>
    <mergeCell ref="KBT212:KBU212"/>
    <mergeCell ref="KBV212:KBW212"/>
    <mergeCell ref="KBX212:KBY212"/>
    <mergeCell ref="KCO212:KCP212"/>
    <mergeCell ref="JYJ212:JYK212"/>
    <mergeCell ref="JZA212:JZB212"/>
    <mergeCell ref="JZC212:JZD212"/>
    <mergeCell ref="JZE212:JZF212"/>
    <mergeCell ref="JZG212:JZH212"/>
    <mergeCell ref="JZX212:JZY212"/>
    <mergeCell ref="JZZ212:KAA212"/>
    <mergeCell ref="KAB212:KAC212"/>
    <mergeCell ref="KAD212:KAE212"/>
    <mergeCell ref="KEM212:KEN212"/>
    <mergeCell ref="KEO212:KEP212"/>
    <mergeCell ref="KFF212:KFG212"/>
    <mergeCell ref="KFH212:KFI212"/>
    <mergeCell ref="KFJ212:KFK212"/>
    <mergeCell ref="KFL212:KFM212"/>
    <mergeCell ref="KGC212:KGD212"/>
    <mergeCell ref="KGE212:KGF212"/>
    <mergeCell ref="KGG212:KGH212"/>
    <mergeCell ref="KCQ212:KCR212"/>
    <mergeCell ref="KCS212:KCT212"/>
    <mergeCell ref="KCU212:KCV212"/>
    <mergeCell ref="KDL212:KDM212"/>
    <mergeCell ref="KDN212:KDO212"/>
    <mergeCell ref="KDP212:KDQ212"/>
    <mergeCell ref="KDR212:KDS212"/>
    <mergeCell ref="KEI212:KEJ212"/>
    <mergeCell ref="KEK212:KEL212"/>
    <mergeCell ref="KIT212:KIU212"/>
    <mergeCell ref="KIV212:KIW212"/>
    <mergeCell ref="KIX212:KIY212"/>
    <mergeCell ref="KIZ212:KJA212"/>
    <mergeCell ref="KJQ212:KJR212"/>
    <mergeCell ref="KJS212:KJT212"/>
    <mergeCell ref="KJU212:KJV212"/>
    <mergeCell ref="KJW212:KJX212"/>
    <mergeCell ref="KKN212:KKO212"/>
    <mergeCell ref="KGI212:KGJ212"/>
    <mergeCell ref="KGZ212:KHA212"/>
    <mergeCell ref="KHB212:KHC212"/>
    <mergeCell ref="KHD212:KHE212"/>
    <mergeCell ref="KHF212:KHG212"/>
    <mergeCell ref="KHW212:KHX212"/>
    <mergeCell ref="KHY212:KHZ212"/>
    <mergeCell ref="KIA212:KIB212"/>
    <mergeCell ref="KIC212:KID212"/>
    <mergeCell ref="KML212:KMM212"/>
    <mergeCell ref="KMN212:KMO212"/>
    <mergeCell ref="KNE212:KNF212"/>
    <mergeCell ref="KNG212:KNH212"/>
    <mergeCell ref="KNI212:KNJ212"/>
    <mergeCell ref="KNK212:KNL212"/>
    <mergeCell ref="KOB212:KOC212"/>
    <mergeCell ref="KOD212:KOE212"/>
    <mergeCell ref="KOF212:KOG212"/>
    <mergeCell ref="KKP212:KKQ212"/>
    <mergeCell ref="KKR212:KKS212"/>
    <mergeCell ref="KKT212:KKU212"/>
    <mergeCell ref="KLK212:KLL212"/>
    <mergeCell ref="KLM212:KLN212"/>
    <mergeCell ref="KLO212:KLP212"/>
    <mergeCell ref="KLQ212:KLR212"/>
    <mergeCell ref="KMH212:KMI212"/>
    <mergeCell ref="KMJ212:KMK212"/>
    <mergeCell ref="KQS212:KQT212"/>
    <mergeCell ref="KQU212:KQV212"/>
    <mergeCell ref="KQW212:KQX212"/>
    <mergeCell ref="KQY212:KQZ212"/>
    <mergeCell ref="KRP212:KRQ212"/>
    <mergeCell ref="KRR212:KRS212"/>
    <mergeCell ref="KRT212:KRU212"/>
    <mergeCell ref="KRV212:KRW212"/>
    <mergeCell ref="KSM212:KSN212"/>
    <mergeCell ref="KOH212:KOI212"/>
    <mergeCell ref="KOY212:KOZ212"/>
    <mergeCell ref="KPA212:KPB212"/>
    <mergeCell ref="KPC212:KPD212"/>
    <mergeCell ref="KPE212:KPF212"/>
    <mergeCell ref="KPV212:KPW212"/>
    <mergeCell ref="KPX212:KPY212"/>
    <mergeCell ref="KPZ212:KQA212"/>
    <mergeCell ref="KQB212:KQC212"/>
    <mergeCell ref="KUK212:KUL212"/>
    <mergeCell ref="KUM212:KUN212"/>
    <mergeCell ref="KVD212:KVE212"/>
    <mergeCell ref="KVF212:KVG212"/>
    <mergeCell ref="KVH212:KVI212"/>
    <mergeCell ref="KVJ212:KVK212"/>
    <mergeCell ref="KWA212:KWB212"/>
    <mergeCell ref="KWC212:KWD212"/>
    <mergeCell ref="KWE212:KWF212"/>
    <mergeCell ref="KSO212:KSP212"/>
    <mergeCell ref="KSQ212:KSR212"/>
    <mergeCell ref="KSS212:KST212"/>
    <mergeCell ref="KTJ212:KTK212"/>
    <mergeCell ref="KTL212:KTM212"/>
    <mergeCell ref="KTN212:KTO212"/>
    <mergeCell ref="KTP212:KTQ212"/>
    <mergeCell ref="KUG212:KUH212"/>
    <mergeCell ref="KUI212:KUJ212"/>
    <mergeCell ref="KYR212:KYS212"/>
    <mergeCell ref="KYT212:KYU212"/>
    <mergeCell ref="KYV212:KYW212"/>
    <mergeCell ref="KYX212:KYY212"/>
    <mergeCell ref="KZO212:KZP212"/>
    <mergeCell ref="KZQ212:KZR212"/>
    <mergeCell ref="KZS212:KZT212"/>
    <mergeCell ref="KZU212:KZV212"/>
    <mergeCell ref="LAL212:LAM212"/>
    <mergeCell ref="KWG212:KWH212"/>
    <mergeCell ref="KWX212:KWY212"/>
    <mergeCell ref="KWZ212:KXA212"/>
    <mergeCell ref="KXB212:KXC212"/>
    <mergeCell ref="KXD212:KXE212"/>
    <mergeCell ref="KXU212:KXV212"/>
    <mergeCell ref="KXW212:KXX212"/>
    <mergeCell ref="KXY212:KXZ212"/>
    <mergeCell ref="KYA212:KYB212"/>
    <mergeCell ref="LCJ212:LCK212"/>
    <mergeCell ref="LCL212:LCM212"/>
    <mergeCell ref="LDC212:LDD212"/>
    <mergeCell ref="LDE212:LDF212"/>
    <mergeCell ref="LDG212:LDH212"/>
    <mergeCell ref="LDI212:LDJ212"/>
    <mergeCell ref="LDZ212:LEA212"/>
    <mergeCell ref="LEB212:LEC212"/>
    <mergeCell ref="LED212:LEE212"/>
    <mergeCell ref="LAN212:LAO212"/>
    <mergeCell ref="LAP212:LAQ212"/>
    <mergeCell ref="LAR212:LAS212"/>
    <mergeCell ref="LBI212:LBJ212"/>
    <mergeCell ref="LBK212:LBL212"/>
    <mergeCell ref="LBM212:LBN212"/>
    <mergeCell ref="LBO212:LBP212"/>
    <mergeCell ref="LCF212:LCG212"/>
    <mergeCell ref="LCH212:LCI212"/>
    <mergeCell ref="LGQ212:LGR212"/>
    <mergeCell ref="LGS212:LGT212"/>
    <mergeCell ref="LGU212:LGV212"/>
    <mergeCell ref="LGW212:LGX212"/>
    <mergeCell ref="LHN212:LHO212"/>
    <mergeCell ref="LHP212:LHQ212"/>
    <mergeCell ref="LHR212:LHS212"/>
    <mergeCell ref="LHT212:LHU212"/>
    <mergeCell ref="LIK212:LIL212"/>
    <mergeCell ref="LEF212:LEG212"/>
    <mergeCell ref="LEW212:LEX212"/>
    <mergeCell ref="LEY212:LEZ212"/>
    <mergeCell ref="LFA212:LFB212"/>
    <mergeCell ref="LFC212:LFD212"/>
    <mergeCell ref="LFT212:LFU212"/>
    <mergeCell ref="LFV212:LFW212"/>
    <mergeCell ref="LFX212:LFY212"/>
    <mergeCell ref="LFZ212:LGA212"/>
    <mergeCell ref="LKI212:LKJ212"/>
    <mergeCell ref="LKK212:LKL212"/>
    <mergeCell ref="LLB212:LLC212"/>
    <mergeCell ref="LLD212:LLE212"/>
    <mergeCell ref="LLF212:LLG212"/>
    <mergeCell ref="LLH212:LLI212"/>
    <mergeCell ref="LLY212:LLZ212"/>
    <mergeCell ref="LMA212:LMB212"/>
    <mergeCell ref="LMC212:LMD212"/>
    <mergeCell ref="LIM212:LIN212"/>
    <mergeCell ref="LIO212:LIP212"/>
    <mergeCell ref="LIQ212:LIR212"/>
    <mergeCell ref="LJH212:LJI212"/>
    <mergeCell ref="LJJ212:LJK212"/>
    <mergeCell ref="LJL212:LJM212"/>
    <mergeCell ref="LJN212:LJO212"/>
    <mergeCell ref="LKE212:LKF212"/>
    <mergeCell ref="LKG212:LKH212"/>
    <mergeCell ref="LOP212:LOQ212"/>
    <mergeCell ref="LOR212:LOS212"/>
    <mergeCell ref="LOT212:LOU212"/>
    <mergeCell ref="LOV212:LOW212"/>
    <mergeCell ref="LPM212:LPN212"/>
    <mergeCell ref="LPO212:LPP212"/>
    <mergeCell ref="LPQ212:LPR212"/>
    <mergeCell ref="LPS212:LPT212"/>
    <mergeCell ref="LQJ212:LQK212"/>
    <mergeCell ref="LME212:LMF212"/>
    <mergeCell ref="LMV212:LMW212"/>
    <mergeCell ref="LMX212:LMY212"/>
    <mergeCell ref="LMZ212:LNA212"/>
    <mergeCell ref="LNB212:LNC212"/>
    <mergeCell ref="LNS212:LNT212"/>
    <mergeCell ref="LNU212:LNV212"/>
    <mergeCell ref="LNW212:LNX212"/>
    <mergeCell ref="LNY212:LNZ212"/>
    <mergeCell ref="LSH212:LSI212"/>
    <mergeCell ref="LSJ212:LSK212"/>
    <mergeCell ref="LTA212:LTB212"/>
    <mergeCell ref="LTC212:LTD212"/>
    <mergeCell ref="LTE212:LTF212"/>
    <mergeCell ref="LTG212:LTH212"/>
    <mergeCell ref="LTX212:LTY212"/>
    <mergeCell ref="LTZ212:LUA212"/>
    <mergeCell ref="LUB212:LUC212"/>
    <mergeCell ref="LQL212:LQM212"/>
    <mergeCell ref="LQN212:LQO212"/>
    <mergeCell ref="LQP212:LQQ212"/>
    <mergeCell ref="LRG212:LRH212"/>
    <mergeCell ref="LRI212:LRJ212"/>
    <mergeCell ref="LRK212:LRL212"/>
    <mergeCell ref="LRM212:LRN212"/>
    <mergeCell ref="LSD212:LSE212"/>
    <mergeCell ref="LSF212:LSG212"/>
    <mergeCell ref="LWO212:LWP212"/>
    <mergeCell ref="LWQ212:LWR212"/>
    <mergeCell ref="LWS212:LWT212"/>
    <mergeCell ref="LWU212:LWV212"/>
    <mergeCell ref="LXL212:LXM212"/>
    <mergeCell ref="LXN212:LXO212"/>
    <mergeCell ref="LXP212:LXQ212"/>
    <mergeCell ref="LXR212:LXS212"/>
    <mergeCell ref="LYI212:LYJ212"/>
    <mergeCell ref="LUD212:LUE212"/>
    <mergeCell ref="LUU212:LUV212"/>
    <mergeCell ref="LUW212:LUX212"/>
    <mergeCell ref="LUY212:LUZ212"/>
    <mergeCell ref="LVA212:LVB212"/>
    <mergeCell ref="LVR212:LVS212"/>
    <mergeCell ref="LVT212:LVU212"/>
    <mergeCell ref="LVV212:LVW212"/>
    <mergeCell ref="LVX212:LVY212"/>
    <mergeCell ref="MAG212:MAH212"/>
    <mergeCell ref="MAI212:MAJ212"/>
    <mergeCell ref="MAZ212:MBA212"/>
    <mergeCell ref="MBB212:MBC212"/>
    <mergeCell ref="MBD212:MBE212"/>
    <mergeCell ref="MBF212:MBG212"/>
    <mergeCell ref="MBW212:MBX212"/>
    <mergeCell ref="MBY212:MBZ212"/>
    <mergeCell ref="MCA212:MCB212"/>
    <mergeCell ref="LYK212:LYL212"/>
    <mergeCell ref="LYM212:LYN212"/>
    <mergeCell ref="LYO212:LYP212"/>
    <mergeCell ref="LZF212:LZG212"/>
    <mergeCell ref="LZH212:LZI212"/>
    <mergeCell ref="LZJ212:LZK212"/>
    <mergeCell ref="LZL212:LZM212"/>
    <mergeCell ref="MAC212:MAD212"/>
    <mergeCell ref="MAE212:MAF212"/>
    <mergeCell ref="MEN212:MEO212"/>
    <mergeCell ref="MEP212:MEQ212"/>
    <mergeCell ref="MER212:MES212"/>
    <mergeCell ref="MET212:MEU212"/>
    <mergeCell ref="MFK212:MFL212"/>
    <mergeCell ref="MFM212:MFN212"/>
    <mergeCell ref="MFO212:MFP212"/>
    <mergeCell ref="MFQ212:MFR212"/>
    <mergeCell ref="MGH212:MGI212"/>
    <mergeCell ref="MCC212:MCD212"/>
    <mergeCell ref="MCT212:MCU212"/>
    <mergeCell ref="MCV212:MCW212"/>
    <mergeCell ref="MCX212:MCY212"/>
    <mergeCell ref="MCZ212:MDA212"/>
    <mergeCell ref="MDQ212:MDR212"/>
    <mergeCell ref="MDS212:MDT212"/>
    <mergeCell ref="MDU212:MDV212"/>
    <mergeCell ref="MDW212:MDX212"/>
    <mergeCell ref="MIF212:MIG212"/>
    <mergeCell ref="MIH212:MII212"/>
    <mergeCell ref="MIY212:MIZ212"/>
    <mergeCell ref="MJA212:MJB212"/>
    <mergeCell ref="MJC212:MJD212"/>
    <mergeCell ref="MJE212:MJF212"/>
    <mergeCell ref="MJV212:MJW212"/>
    <mergeCell ref="MJX212:MJY212"/>
    <mergeCell ref="MJZ212:MKA212"/>
    <mergeCell ref="MGJ212:MGK212"/>
    <mergeCell ref="MGL212:MGM212"/>
    <mergeCell ref="MGN212:MGO212"/>
    <mergeCell ref="MHE212:MHF212"/>
    <mergeCell ref="MHG212:MHH212"/>
    <mergeCell ref="MHI212:MHJ212"/>
    <mergeCell ref="MHK212:MHL212"/>
    <mergeCell ref="MIB212:MIC212"/>
    <mergeCell ref="MID212:MIE212"/>
    <mergeCell ref="MMM212:MMN212"/>
    <mergeCell ref="MMO212:MMP212"/>
    <mergeCell ref="MMQ212:MMR212"/>
    <mergeCell ref="MMS212:MMT212"/>
    <mergeCell ref="MNJ212:MNK212"/>
    <mergeCell ref="MNL212:MNM212"/>
    <mergeCell ref="MNN212:MNO212"/>
    <mergeCell ref="MNP212:MNQ212"/>
    <mergeCell ref="MOG212:MOH212"/>
    <mergeCell ref="MKB212:MKC212"/>
    <mergeCell ref="MKS212:MKT212"/>
    <mergeCell ref="MKU212:MKV212"/>
    <mergeCell ref="MKW212:MKX212"/>
    <mergeCell ref="MKY212:MKZ212"/>
    <mergeCell ref="MLP212:MLQ212"/>
    <mergeCell ref="MLR212:MLS212"/>
    <mergeCell ref="MLT212:MLU212"/>
    <mergeCell ref="MLV212:MLW212"/>
    <mergeCell ref="MQE212:MQF212"/>
    <mergeCell ref="MQG212:MQH212"/>
    <mergeCell ref="MQX212:MQY212"/>
    <mergeCell ref="MQZ212:MRA212"/>
    <mergeCell ref="MRB212:MRC212"/>
    <mergeCell ref="MRD212:MRE212"/>
    <mergeCell ref="MRU212:MRV212"/>
    <mergeCell ref="MRW212:MRX212"/>
    <mergeCell ref="MRY212:MRZ212"/>
    <mergeCell ref="MOI212:MOJ212"/>
    <mergeCell ref="MOK212:MOL212"/>
    <mergeCell ref="MOM212:MON212"/>
    <mergeCell ref="MPD212:MPE212"/>
    <mergeCell ref="MPF212:MPG212"/>
    <mergeCell ref="MPH212:MPI212"/>
    <mergeCell ref="MPJ212:MPK212"/>
    <mergeCell ref="MQA212:MQB212"/>
    <mergeCell ref="MQC212:MQD212"/>
    <mergeCell ref="MUL212:MUM212"/>
    <mergeCell ref="MUN212:MUO212"/>
    <mergeCell ref="MUP212:MUQ212"/>
    <mergeCell ref="MUR212:MUS212"/>
    <mergeCell ref="MVI212:MVJ212"/>
    <mergeCell ref="MVK212:MVL212"/>
    <mergeCell ref="MVM212:MVN212"/>
    <mergeCell ref="MVO212:MVP212"/>
    <mergeCell ref="MWF212:MWG212"/>
    <mergeCell ref="MSA212:MSB212"/>
    <mergeCell ref="MSR212:MSS212"/>
    <mergeCell ref="MST212:MSU212"/>
    <mergeCell ref="MSV212:MSW212"/>
    <mergeCell ref="MSX212:MSY212"/>
    <mergeCell ref="MTO212:MTP212"/>
    <mergeCell ref="MTQ212:MTR212"/>
    <mergeCell ref="MTS212:MTT212"/>
    <mergeCell ref="MTU212:MTV212"/>
    <mergeCell ref="MYD212:MYE212"/>
    <mergeCell ref="MYF212:MYG212"/>
    <mergeCell ref="MYW212:MYX212"/>
    <mergeCell ref="MYY212:MYZ212"/>
    <mergeCell ref="MZA212:MZB212"/>
    <mergeCell ref="MZC212:MZD212"/>
    <mergeCell ref="MZT212:MZU212"/>
    <mergeCell ref="MZV212:MZW212"/>
    <mergeCell ref="MZX212:MZY212"/>
    <mergeCell ref="MWH212:MWI212"/>
    <mergeCell ref="MWJ212:MWK212"/>
    <mergeCell ref="MWL212:MWM212"/>
    <mergeCell ref="MXC212:MXD212"/>
    <mergeCell ref="MXE212:MXF212"/>
    <mergeCell ref="MXG212:MXH212"/>
    <mergeCell ref="MXI212:MXJ212"/>
    <mergeCell ref="MXZ212:MYA212"/>
    <mergeCell ref="MYB212:MYC212"/>
    <mergeCell ref="NCK212:NCL212"/>
    <mergeCell ref="NCM212:NCN212"/>
    <mergeCell ref="NCO212:NCP212"/>
    <mergeCell ref="NCQ212:NCR212"/>
    <mergeCell ref="NDH212:NDI212"/>
    <mergeCell ref="NDJ212:NDK212"/>
    <mergeCell ref="NDL212:NDM212"/>
    <mergeCell ref="NDN212:NDO212"/>
    <mergeCell ref="NEE212:NEF212"/>
    <mergeCell ref="MZZ212:NAA212"/>
    <mergeCell ref="NAQ212:NAR212"/>
    <mergeCell ref="NAS212:NAT212"/>
    <mergeCell ref="NAU212:NAV212"/>
    <mergeCell ref="NAW212:NAX212"/>
    <mergeCell ref="NBN212:NBO212"/>
    <mergeCell ref="NBP212:NBQ212"/>
    <mergeCell ref="NBR212:NBS212"/>
    <mergeCell ref="NBT212:NBU212"/>
    <mergeCell ref="NGC212:NGD212"/>
    <mergeCell ref="NGE212:NGF212"/>
    <mergeCell ref="NGV212:NGW212"/>
    <mergeCell ref="NGX212:NGY212"/>
    <mergeCell ref="NGZ212:NHA212"/>
    <mergeCell ref="NHB212:NHC212"/>
    <mergeCell ref="NHS212:NHT212"/>
    <mergeCell ref="NHU212:NHV212"/>
    <mergeCell ref="NHW212:NHX212"/>
    <mergeCell ref="NEG212:NEH212"/>
    <mergeCell ref="NEI212:NEJ212"/>
    <mergeCell ref="NEK212:NEL212"/>
    <mergeCell ref="NFB212:NFC212"/>
    <mergeCell ref="NFD212:NFE212"/>
    <mergeCell ref="NFF212:NFG212"/>
    <mergeCell ref="NFH212:NFI212"/>
    <mergeCell ref="NFY212:NFZ212"/>
    <mergeCell ref="NGA212:NGB212"/>
    <mergeCell ref="NKJ212:NKK212"/>
    <mergeCell ref="NKL212:NKM212"/>
    <mergeCell ref="NKN212:NKO212"/>
    <mergeCell ref="NKP212:NKQ212"/>
    <mergeCell ref="NLG212:NLH212"/>
    <mergeCell ref="NLI212:NLJ212"/>
    <mergeCell ref="NLK212:NLL212"/>
    <mergeCell ref="NLM212:NLN212"/>
    <mergeCell ref="NMD212:NME212"/>
    <mergeCell ref="NHY212:NHZ212"/>
    <mergeCell ref="NIP212:NIQ212"/>
    <mergeCell ref="NIR212:NIS212"/>
    <mergeCell ref="NIT212:NIU212"/>
    <mergeCell ref="NIV212:NIW212"/>
    <mergeCell ref="NJM212:NJN212"/>
    <mergeCell ref="NJO212:NJP212"/>
    <mergeCell ref="NJQ212:NJR212"/>
    <mergeCell ref="NJS212:NJT212"/>
    <mergeCell ref="NOB212:NOC212"/>
    <mergeCell ref="NOD212:NOE212"/>
    <mergeCell ref="NOU212:NOV212"/>
    <mergeCell ref="NOW212:NOX212"/>
    <mergeCell ref="NOY212:NOZ212"/>
    <mergeCell ref="NPA212:NPB212"/>
    <mergeCell ref="NPR212:NPS212"/>
    <mergeCell ref="NPT212:NPU212"/>
    <mergeCell ref="NPV212:NPW212"/>
    <mergeCell ref="NMF212:NMG212"/>
    <mergeCell ref="NMH212:NMI212"/>
    <mergeCell ref="NMJ212:NMK212"/>
    <mergeCell ref="NNA212:NNB212"/>
    <mergeCell ref="NNC212:NND212"/>
    <mergeCell ref="NNE212:NNF212"/>
    <mergeCell ref="NNG212:NNH212"/>
    <mergeCell ref="NNX212:NNY212"/>
    <mergeCell ref="NNZ212:NOA212"/>
    <mergeCell ref="NSI212:NSJ212"/>
    <mergeCell ref="NSK212:NSL212"/>
    <mergeCell ref="NSM212:NSN212"/>
    <mergeCell ref="NSO212:NSP212"/>
    <mergeCell ref="NTF212:NTG212"/>
    <mergeCell ref="NTH212:NTI212"/>
    <mergeCell ref="NTJ212:NTK212"/>
    <mergeCell ref="NTL212:NTM212"/>
    <mergeCell ref="NUC212:NUD212"/>
    <mergeCell ref="NPX212:NPY212"/>
    <mergeCell ref="NQO212:NQP212"/>
    <mergeCell ref="NQQ212:NQR212"/>
    <mergeCell ref="NQS212:NQT212"/>
    <mergeCell ref="NQU212:NQV212"/>
    <mergeCell ref="NRL212:NRM212"/>
    <mergeCell ref="NRN212:NRO212"/>
    <mergeCell ref="NRP212:NRQ212"/>
    <mergeCell ref="NRR212:NRS212"/>
    <mergeCell ref="NWA212:NWB212"/>
    <mergeCell ref="NWC212:NWD212"/>
    <mergeCell ref="NWT212:NWU212"/>
    <mergeCell ref="NWV212:NWW212"/>
    <mergeCell ref="NWX212:NWY212"/>
    <mergeCell ref="NWZ212:NXA212"/>
    <mergeCell ref="NXQ212:NXR212"/>
    <mergeCell ref="NXS212:NXT212"/>
    <mergeCell ref="NXU212:NXV212"/>
    <mergeCell ref="NUE212:NUF212"/>
    <mergeCell ref="NUG212:NUH212"/>
    <mergeCell ref="NUI212:NUJ212"/>
    <mergeCell ref="NUZ212:NVA212"/>
    <mergeCell ref="NVB212:NVC212"/>
    <mergeCell ref="NVD212:NVE212"/>
    <mergeCell ref="NVF212:NVG212"/>
    <mergeCell ref="NVW212:NVX212"/>
    <mergeCell ref="NVY212:NVZ212"/>
    <mergeCell ref="OAH212:OAI212"/>
    <mergeCell ref="OAJ212:OAK212"/>
    <mergeCell ref="OAL212:OAM212"/>
    <mergeCell ref="OAN212:OAO212"/>
    <mergeCell ref="OBE212:OBF212"/>
    <mergeCell ref="OBG212:OBH212"/>
    <mergeCell ref="OBI212:OBJ212"/>
    <mergeCell ref="OBK212:OBL212"/>
    <mergeCell ref="OCB212:OCC212"/>
    <mergeCell ref="NXW212:NXX212"/>
    <mergeCell ref="NYN212:NYO212"/>
    <mergeCell ref="NYP212:NYQ212"/>
    <mergeCell ref="NYR212:NYS212"/>
    <mergeCell ref="NYT212:NYU212"/>
    <mergeCell ref="NZK212:NZL212"/>
    <mergeCell ref="NZM212:NZN212"/>
    <mergeCell ref="NZO212:NZP212"/>
    <mergeCell ref="NZQ212:NZR212"/>
    <mergeCell ref="ODZ212:OEA212"/>
    <mergeCell ref="OEB212:OEC212"/>
    <mergeCell ref="OES212:OET212"/>
    <mergeCell ref="OEU212:OEV212"/>
    <mergeCell ref="OEW212:OEX212"/>
    <mergeCell ref="OEY212:OEZ212"/>
    <mergeCell ref="OFP212:OFQ212"/>
    <mergeCell ref="OFR212:OFS212"/>
    <mergeCell ref="OFT212:OFU212"/>
    <mergeCell ref="OCD212:OCE212"/>
    <mergeCell ref="OCF212:OCG212"/>
    <mergeCell ref="OCH212:OCI212"/>
    <mergeCell ref="OCY212:OCZ212"/>
    <mergeCell ref="ODA212:ODB212"/>
    <mergeCell ref="ODC212:ODD212"/>
    <mergeCell ref="ODE212:ODF212"/>
    <mergeCell ref="ODV212:ODW212"/>
    <mergeCell ref="ODX212:ODY212"/>
    <mergeCell ref="OIG212:OIH212"/>
    <mergeCell ref="OII212:OIJ212"/>
    <mergeCell ref="OIK212:OIL212"/>
    <mergeCell ref="OIM212:OIN212"/>
    <mergeCell ref="OJD212:OJE212"/>
    <mergeCell ref="OJF212:OJG212"/>
    <mergeCell ref="OJH212:OJI212"/>
    <mergeCell ref="OJJ212:OJK212"/>
    <mergeCell ref="OKA212:OKB212"/>
    <mergeCell ref="OFV212:OFW212"/>
    <mergeCell ref="OGM212:OGN212"/>
    <mergeCell ref="OGO212:OGP212"/>
    <mergeCell ref="OGQ212:OGR212"/>
    <mergeCell ref="OGS212:OGT212"/>
    <mergeCell ref="OHJ212:OHK212"/>
    <mergeCell ref="OHL212:OHM212"/>
    <mergeCell ref="OHN212:OHO212"/>
    <mergeCell ref="OHP212:OHQ212"/>
    <mergeCell ref="OLY212:OLZ212"/>
    <mergeCell ref="OMA212:OMB212"/>
    <mergeCell ref="OMR212:OMS212"/>
    <mergeCell ref="OMT212:OMU212"/>
    <mergeCell ref="OMV212:OMW212"/>
    <mergeCell ref="OMX212:OMY212"/>
    <mergeCell ref="ONO212:ONP212"/>
    <mergeCell ref="ONQ212:ONR212"/>
    <mergeCell ref="ONS212:ONT212"/>
    <mergeCell ref="OKC212:OKD212"/>
    <mergeCell ref="OKE212:OKF212"/>
    <mergeCell ref="OKG212:OKH212"/>
    <mergeCell ref="OKX212:OKY212"/>
    <mergeCell ref="OKZ212:OLA212"/>
    <mergeCell ref="OLB212:OLC212"/>
    <mergeCell ref="OLD212:OLE212"/>
    <mergeCell ref="OLU212:OLV212"/>
    <mergeCell ref="OLW212:OLX212"/>
    <mergeCell ref="OQF212:OQG212"/>
    <mergeCell ref="OQH212:OQI212"/>
    <mergeCell ref="OQJ212:OQK212"/>
    <mergeCell ref="OQL212:OQM212"/>
    <mergeCell ref="ORC212:ORD212"/>
    <mergeCell ref="ORE212:ORF212"/>
    <mergeCell ref="ORG212:ORH212"/>
    <mergeCell ref="ORI212:ORJ212"/>
    <mergeCell ref="ORZ212:OSA212"/>
    <mergeCell ref="ONU212:ONV212"/>
    <mergeCell ref="OOL212:OOM212"/>
    <mergeCell ref="OON212:OOO212"/>
    <mergeCell ref="OOP212:OOQ212"/>
    <mergeCell ref="OOR212:OOS212"/>
    <mergeCell ref="OPI212:OPJ212"/>
    <mergeCell ref="OPK212:OPL212"/>
    <mergeCell ref="OPM212:OPN212"/>
    <mergeCell ref="OPO212:OPP212"/>
    <mergeCell ref="OTX212:OTY212"/>
    <mergeCell ref="OTZ212:OUA212"/>
    <mergeCell ref="OUQ212:OUR212"/>
    <mergeCell ref="OUS212:OUT212"/>
    <mergeCell ref="OUU212:OUV212"/>
    <mergeCell ref="OUW212:OUX212"/>
    <mergeCell ref="OVN212:OVO212"/>
    <mergeCell ref="OVP212:OVQ212"/>
    <mergeCell ref="OVR212:OVS212"/>
    <mergeCell ref="OSB212:OSC212"/>
    <mergeCell ref="OSD212:OSE212"/>
    <mergeCell ref="OSF212:OSG212"/>
    <mergeCell ref="OSW212:OSX212"/>
    <mergeCell ref="OSY212:OSZ212"/>
    <mergeCell ref="OTA212:OTB212"/>
    <mergeCell ref="OTC212:OTD212"/>
    <mergeCell ref="OTT212:OTU212"/>
    <mergeCell ref="OTV212:OTW212"/>
    <mergeCell ref="OYE212:OYF212"/>
    <mergeCell ref="OYG212:OYH212"/>
    <mergeCell ref="OYI212:OYJ212"/>
    <mergeCell ref="OYK212:OYL212"/>
    <mergeCell ref="OZB212:OZC212"/>
    <mergeCell ref="OZD212:OZE212"/>
    <mergeCell ref="OZF212:OZG212"/>
    <mergeCell ref="OZH212:OZI212"/>
    <mergeCell ref="OZY212:OZZ212"/>
    <mergeCell ref="OVT212:OVU212"/>
    <mergeCell ref="OWK212:OWL212"/>
    <mergeCell ref="OWM212:OWN212"/>
    <mergeCell ref="OWO212:OWP212"/>
    <mergeCell ref="OWQ212:OWR212"/>
    <mergeCell ref="OXH212:OXI212"/>
    <mergeCell ref="OXJ212:OXK212"/>
    <mergeCell ref="OXL212:OXM212"/>
    <mergeCell ref="OXN212:OXO212"/>
    <mergeCell ref="PBW212:PBX212"/>
    <mergeCell ref="PBY212:PBZ212"/>
    <mergeCell ref="PCP212:PCQ212"/>
    <mergeCell ref="PCR212:PCS212"/>
    <mergeCell ref="PCT212:PCU212"/>
    <mergeCell ref="PCV212:PCW212"/>
    <mergeCell ref="PDM212:PDN212"/>
    <mergeCell ref="PDO212:PDP212"/>
    <mergeCell ref="PDQ212:PDR212"/>
    <mergeCell ref="PAA212:PAB212"/>
    <mergeCell ref="PAC212:PAD212"/>
    <mergeCell ref="PAE212:PAF212"/>
    <mergeCell ref="PAV212:PAW212"/>
    <mergeCell ref="PAX212:PAY212"/>
    <mergeCell ref="PAZ212:PBA212"/>
    <mergeCell ref="PBB212:PBC212"/>
    <mergeCell ref="PBS212:PBT212"/>
    <mergeCell ref="PBU212:PBV212"/>
    <mergeCell ref="PGD212:PGE212"/>
    <mergeCell ref="PGF212:PGG212"/>
    <mergeCell ref="PGH212:PGI212"/>
    <mergeCell ref="PGJ212:PGK212"/>
    <mergeCell ref="PHA212:PHB212"/>
    <mergeCell ref="PHC212:PHD212"/>
    <mergeCell ref="PHE212:PHF212"/>
    <mergeCell ref="PHG212:PHH212"/>
    <mergeCell ref="PHX212:PHY212"/>
    <mergeCell ref="PDS212:PDT212"/>
    <mergeCell ref="PEJ212:PEK212"/>
    <mergeCell ref="PEL212:PEM212"/>
    <mergeCell ref="PEN212:PEO212"/>
    <mergeCell ref="PEP212:PEQ212"/>
    <mergeCell ref="PFG212:PFH212"/>
    <mergeCell ref="PFI212:PFJ212"/>
    <mergeCell ref="PFK212:PFL212"/>
    <mergeCell ref="PFM212:PFN212"/>
    <mergeCell ref="PJV212:PJW212"/>
    <mergeCell ref="PJX212:PJY212"/>
    <mergeCell ref="PKO212:PKP212"/>
    <mergeCell ref="PKQ212:PKR212"/>
    <mergeCell ref="PKS212:PKT212"/>
    <mergeCell ref="PKU212:PKV212"/>
    <mergeCell ref="PLL212:PLM212"/>
    <mergeCell ref="PLN212:PLO212"/>
    <mergeCell ref="PLP212:PLQ212"/>
    <mergeCell ref="PHZ212:PIA212"/>
    <mergeCell ref="PIB212:PIC212"/>
    <mergeCell ref="PID212:PIE212"/>
    <mergeCell ref="PIU212:PIV212"/>
    <mergeCell ref="PIW212:PIX212"/>
    <mergeCell ref="PIY212:PIZ212"/>
    <mergeCell ref="PJA212:PJB212"/>
    <mergeCell ref="PJR212:PJS212"/>
    <mergeCell ref="PJT212:PJU212"/>
    <mergeCell ref="POC212:POD212"/>
    <mergeCell ref="POE212:POF212"/>
    <mergeCell ref="POG212:POH212"/>
    <mergeCell ref="POI212:POJ212"/>
    <mergeCell ref="POZ212:PPA212"/>
    <mergeCell ref="PPB212:PPC212"/>
    <mergeCell ref="PPD212:PPE212"/>
    <mergeCell ref="PPF212:PPG212"/>
    <mergeCell ref="PPW212:PPX212"/>
    <mergeCell ref="PLR212:PLS212"/>
    <mergeCell ref="PMI212:PMJ212"/>
    <mergeCell ref="PMK212:PML212"/>
    <mergeCell ref="PMM212:PMN212"/>
    <mergeCell ref="PMO212:PMP212"/>
    <mergeCell ref="PNF212:PNG212"/>
    <mergeCell ref="PNH212:PNI212"/>
    <mergeCell ref="PNJ212:PNK212"/>
    <mergeCell ref="PNL212:PNM212"/>
    <mergeCell ref="PRU212:PRV212"/>
    <mergeCell ref="PRW212:PRX212"/>
    <mergeCell ref="PSN212:PSO212"/>
    <mergeCell ref="PSP212:PSQ212"/>
    <mergeCell ref="PSR212:PSS212"/>
    <mergeCell ref="PST212:PSU212"/>
    <mergeCell ref="PTK212:PTL212"/>
    <mergeCell ref="PTM212:PTN212"/>
    <mergeCell ref="PTO212:PTP212"/>
    <mergeCell ref="PPY212:PPZ212"/>
    <mergeCell ref="PQA212:PQB212"/>
    <mergeCell ref="PQC212:PQD212"/>
    <mergeCell ref="PQT212:PQU212"/>
    <mergeCell ref="PQV212:PQW212"/>
    <mergeCell ref="PQX212:PQY212"/>
    <mergeCell ref="PQZ212:PRA212"/>
    <mergeCell ref="PRQ212:PRR212"/>
    <mergeCell ref="PRS212:PRT212"/>
    <mergeCell ref="PWB212:PWC212"/>
    <mergeCell ref="PWD212:PWE212"/>
    <mergeCell ref="PWF212:PWG212"/>
    <mergeCell ref="PWH212:PWI212"/>
    <mergeCell ref="PWY212:PWZ212"/>
    <mergeCell ref="PXA212:PXB212"/>
    <mergeCell ref="PXC212:PXD212"/>
    <mergeCell ref="PXE212:PXF212"/>
    <mergeCell ref="PXV212:PXW212"/>
    <mergeCell ref="PTQ212:PTR212"/>
    <mergeCell ref="PUH212:PUI212"/>
    <mergeCell ref="PUJ212:PUK212"/>
    <mergeCell ref="PUL212:PUM212"/>
    <mergeCell ref="PUN212:PUO212"/>
    <mergeCell ref="PVE212:PVF212"/>
    <mergeCell ref="PVG212:PVH212"/>
    <mergeCell ref="PVI212:PVJ212"/>
    <mergeCell ref="PVK212:PVL212"/>
    <mergeCell ref="PZT212:PZU212"/>
    <mergeCell ref="PZV212:PZW212"/>
    <mergeCell ref="QAM212:QAN212"/>
    <mergeCell ref="QAO212:QAP212"/>
    <mergeCell ref="QAQ212:QAR212"/>
    <mergeCell ref="QAS212:QAT212"/>
    <mergeCell ref="QBJ212:QBK212"/>
    <mergeCell ref="QBL212:QBM212"/>
    <mergeCell ref="QBN212:QBO212"/>
    <mergeCell ref="PXX212:PXY212"/>
    <mergeCell ref="PXZ212:PYA212"/>
    <mergeCell ref="PYB212:PYC212"/>
    <mergeCell ref="PYS212:PYT212"/>
    <mergeCell ref="PYU212:PYV212"/>
    <mergeCell ref="PYW212:PYX212"/>
    <mergeCell ref="PYY212:PYZ212"/>
    <mergeCell ref="PZP212:PZQ212"/>
    <mergeCell ref="PZR212:PZS212"/>
    <mergeCell ref="QEA212:QEB212"/>
    <mergeCell ref="QEC212:QED212"/>
    <mergeCell ref="QEE212:QEF212"/>
    <mergeCell ref="QEG212:QEH212"/>
    <mergeCell ref="QEX212:QEY212"/>
    <mergeCell ref="QEZ212:QFA212"/>
    <mergeCell ref="QFB212:QFC212"/>
    <mergeCell ref="QFD212:QFE212"/>
    <mergeCell ref="QFU212:QFV212"/>
    <mergeCell ref="QBP212:QBQ212"/>
    <mergeCell ref="QCG212:QCH212"/>
    <mergeCell ref="QCI212:QCJ212"/>
    <mergeCell ref="QCK212:QCL212"/>
    <mergeCell ref="QCM212:QCN212"/>
    <mergeCell ref="QDD212:QDE212"/>
    <mergeCell ref="QDF212:QDG212"/>
    <mergeCell ref="QDH212:QDI212"/>
    <mergeCell ref="QDJ212:QDK212"/>
    <mergeCell ref="QHS212:QHT212"/>
    <mergeCell ref="QHU212:QHV212"/>
    <mergeCell ref="QIL212:QIM212"/>
    <mergeCell ref="QIN212:QIO212"/>
    <mergeCell ref="QIP212:QIQ212"/>
    <mergeCell ref="QIR212:QIS212"/>
    <mergeCell ref="QJI212:QJJ212"/>
    <mergeCell ref="QJK212:QJL212"/>
    <mergeCell ref="QJM212:QJN212"/>
    <mergeCell ref="QFW212:QFX212"/>
    <mergeCell ref="QFY212:QFZ212"/>
    <mergeCell ref="QGA212:QGB212"/>
    <mergeCell ref="QGR212:QGS212"/>
    <mergeCell ref="QGT212:QGU212"/>
    <mergeCell ref="QGV212:QGW212"/>
    <mergeCell ref="QGX212:QGY212"/>
    <mergeCell ref="QHO212:QHP212"/>
    <mergeCell ref="QHQ212:QHR212"/>
    <mergeCell ref="QLZ212:QMA212"/>
    <mergeCell ref="QMB212:QMC212"/>
    <mergeCell ref="QMD212:QME212"/>
    <mergeCell ref="QMF212:QMG212"/>
    <mergeCell ref="QMW212:QMX212"/>
    <mergeCell ref="QMY212:QMZ212"/>
    <mergeCell ref="QNA212:QNB212"/>
    <mergeCell ref="QNC212:QND212"/>
    <mergeCell ref="QNT212:QNU212"/>
    <mergeCell ref="QJO212:QJP212"/>
    <mergeCell ref="QKF212:QKG212"/>
    <mergeCell ref="QKH212:QKI212"/>
    <mergeCell ref="QKJ212:QKK212"/>
    <mergeCell ref="QKL212:QKM212"/>
    <mergeCell ref="QLC212:QLD212"/>
    <mergeCell ref="QLE212:QLF212"/>
    <mergeCell ref="QLG212:QLH212"/>
    <mergeCell ref="QLI212:QLJ212"/>
    <mergeCell ref="QPR212:QPS212"/>
    <mergeCell ref="QPT212:QPU212"/>
    <mergeCell ref="QQK212:QQL212"/>
    <mergeCell ref="QQM212:QQN212"/>
    <mergeCell ref="QQO212:QQP212"/>
    <mergeCell ref="QQQ212:QQR212"/>
    <mergeCell ref="QRH212:QRI212"/>
    <mergeCell ref="QRJ212:QRK212"/>
    <mergeCell ref="QRL212:QRM212"/>
    <mergeCell ref="QNV212:QNW212"/>
    <mergeCell ref="QNX212:QNY212"/>
    <mergeCell ref="QNZ212:QOA212"/>
    <mergeCell ref="QOQ212:QOR212"/>
    <mergeCell ref="QOS212:QOT212"/>
    <mergeCell ref="QOU212:QOV212"/>
    <mergeCell ref="QOW212:QOX212"/>
    <mergeCell ref="QPN212:QPO212"/>
    <mergeCell ref="QPP212:QPQ212"/>
    <mergeCell ref="QTY212:QTZ212"/>
    <mergeCell ref="QUA212:QUB212"/>
    <mergeCell ref="QUC212:QUD212"/>
    <mergeCell ref="QUE212:QUF212"/>
    <mergeCell ref="QUV212:QUW212"/>
    <mergeCell ref="QUX212:QUY212"/>
    <mergeCell ref="QUZ212:QVA212"/>
    <mergeCell ref="QVB212:QVC212"/>
    <mergeCell ref="QVS212:QVT212"/>
    <mergeCell ref="QRN212:QRO212"/>
    <mergeCell ref="QSE212:QSF212"/>
    <mergeCell ref="QSG212:QSH212"/>
    <mergeCell ref="QSI212:QSJ212"/>
    <mergeCell ref="QSK212:QSL212"/>
    <mergeCell ref="QTB212:QTC212"/>
    <mergeCell ref="QTD212:QTE212"/>
    <mergeCell ref="QTF212:QTG212"/>
    <mergeCell ref="QTH212:QTI212"/>
    <mergeCell ref="QXQ212:QXR212"/>
    <mergeCell ref="QXS212:QXT212"/>
    <mergeCell ref="QYJ212:QYK212"/>
    <mergeCell ref="QYL212:QYM212"/>
    <mergeCell ref="QYN212:QYO212"/>
    <mergeCell ref="QYP212:QYQ212"/>
    <mergeCell ref="QZG212:QZH212"/>
    <mergeCell ref="QZI212:QZJ212"/>
    <mergeCell ref="QZK212:QZL212"/>
    <mergeCell ref="QVU212:QVV212"/>
    <mergeCell ref="QVW212:QVX212"/>
    <mergeCell ref="QVY212:QVZ212"/>
    <mergeCell ref="QWP212:QWQ212"/>
    <mergeCell ref="QWR212:QWS212"/>
    <mergeCell ref="QWT212:QWU212"/>
    <mergeCell ref="QWV212:QWW212"/>
    <mergeCell ref="QXM212:QXN212"/>
    <mergeCell ref="QXO212:QXP212"/>
    <mergeCell ref="RBX212:RBY212"/>
    <mergeCell ref="RBZ212:RCA212"/>
    <mergeCell ref="RCB212:RCC212"/>
    <mergeCell ref="RCD212:RCE212"/>
    <mergeCell ref="RCU212:RCV212"/>
    <mergeCell ref="RCW212:RCX212"/>
    <mergeCell ref="RCY212:RCZ212"/>
    <mergeCell ref="RDA212:RDB212"/>
    <mergeCell ref="RDR212:RDS212"/>
    <mergeCell ref="QZM212:QZN212"/>
    <mergeCell ref="RAD212:RAE212"/>
    <mergeCell ref="RAF212:RAG212"/>
    <mergeCell ref="RAH212:RAI212"/>
    <mergeCell ref="RAJ212:RAK212"/>
    <mergeCell ref="RBA212:RBB212"/>
    <mergeCell ref="RBC212:RBD212"/>
    <mergeCell ref="RBE212:RBF212"/>
    <mergeCell ref="RBG212:RBH212"/>
    <mergeCell ref="RFP212:RFQ212"/>
    <mergeCell ref="RFR212:RFS212"/>
    <mergeCell ref="RGI212:RGJ212"/>
    <mergeCell ref="RGK212:RGL212"/>
    <mergeCell ref="RGM212:RGN212"/>
    <mergeCell ref="RGO212:RGP212"/>
    <mergeCell ref="RHF212:RHG212"/>
    <mergeCell ref="RHH212:RHI212"/>
    <mergeCell ref="RHJ212:RHK212"/>
    <mergeCell ref="RDT212:RDU212"/>
    <mergeCell ref="RDV212:RDW212"/>
    <mergeCell ref="RDX212:RDY212"/>
    <mergeCell ref="REO212:REP212"/>
    <mergeCell ref="REQ212:RER212"/>
    <mergeCell ref="RES212:RET212"/>
    <mergeCell ref="REU212:REV212"/>
    <mergeCell ref="RFL212:RFM212"/>
    <mergeCell ref="RFN212:RFO212"/>
    <mergeCell ref="RJW212:RJX212"/>
    <mergeCell ref="RJY212:RJZ212"/>
    <mergeCell ref="RKA212:RKB212"/>
    <mergeCell ref="RKC212:RKD212"/>
    <mergeCell ref="RKT212:RKU212"/>
    <mergeCell ref="RKV212:RKW212"/>
    <mergeCell ref="RKX212:RKY212"/>
    <mergeCell ref="RKZ212:RLA212"/>
    <mergeCell ref="RLQ212:RLR212"/>
    <mergeCell ref="RHL212:RHM212"/>
    <mergeCell ref="RIC212:RID212"/>
    <mergeCell ref="RIE212:RIF212"/>
    <mergeCell ref="RIG212:RIH212"/>
    <mergeCell ref="RII212:RIJ212"/>
    <mergeCell ref="RIZ212:RJA212"/>
    <mergeCell ref="RJB212:RJC212"/>
    <mergeCell ref="RJD212:RJE212"/>
    <mergeCell ref="RJF212:RJG212"/>
    <mergeCell ref="RNO212:RNP212"/>
    <mergeCell ref="RNQ212:RNR212"/>
    <mergeCell ref="ROH212:ROI212"/>
    <mergeCell ref="ROJ212:ROK212"/>
    <mergeCell ref="ROL212:ROM212"/>
    <mergeCell ref="RON212:ROO212"/>
    <mergeCell ref="RPE212:RPF212"/>
    <mergeCell ref="RPG212:RPH212"/>
    <mergeCell ref="RPI212:RPJ212"/>
    <mergeCell ref="RLS212:RLT212"/>
    <mergeCell ref="RLU212:RLV212"/>
    <mergeCell ref="RLW212:RLX212"/>
    <mergeCell ref="RMN212:RMO212"/>
    <mergeCell ref="RMP212:RMQ212"/>
    <mergeCell ref="RMR212:RMS212"/>
    <mergeCell ref="RMT212:RMU212"/>
    <mergeCell ref="RNK212:RNL212"/>
    <mergeCell ref="RNM212:RNN212"/>
    <mergeCell ref="RRV212:RRW212"/>
    <mergeCell ref="RRX212:RRY212"/>
    <mergeCell ref="RRZ212:RSA212"/>
    <mergeCell ref="RSB212:RSC212"/>
    <mergeCell ref="RSS212:RST212"/>
    <mergeCell ref="RSU212:RSV212"/>
    <mergeCell ref="RSW212:RSX212"/>
    <mergeCell ref="RSY212:RSZ212"/>
    <mergeCell ref="RTP212:RTQ212"/>
    <mergeCell ref="RPK212:RPL212"/>
    <mergeCell ref="RQB212:RQC212"/>
    <mergeCell ref="RQD212:RQE212"/>
    <mergeCell ref="RQF212:RQG212"/>
    <mergeCell ref="RQH212:RQI212"/>
    <mergeCell ref="RQY212:RQZ212"/>
    <mergeCell ref="RRA212:RRB212"/>
    <mergeCell ref="RRC212:RRD212"/>
    <mergeCell ref="RRE212:RRF212"/>
    <mergeCell ref="RVN212:RVO212"/>
    <mergeCell ref="RVP212:RVQ212"/>
    <mergeCell ref="RWG212:RWH212"/>
    <mergeCell ref="RWI212:RWJ212"/>
    <mergeCell ref="RWK212:RWL212"/>
    <mergeCell ref="RWM212:RWN212"/>
    <mergeCell ref="RXD212:RXE212"/>
    <mergeCell ref="RXF212:RXG212"/>
    <mergeCell ref="RXH212:RXI212"/>
    <mergeCell ref="RTR212:RTS212"/>
    <mergeCell ref="RTT212:RTU212"/>
    <mergeCell ref="RTV212:RTW212"/>
    <mergeCell ref="RUM212:RUN212"/>
    <mergeCell ref="RUO212:RUP212"/>
    <mergeCell ref="RUQ212:RUR212"/>
    <mergeCell ref="RUS212:RUT212"/>
    <mergeCell ref="RVJ212:RVK212"/>
    <mergeCell ref="RVL212:RVM212"/>
    <mergeCell ref="RZU212:RZV212"/>
    <mergeCell ref="RZW212:RZX212"/>
    <mergeCell ref="RZY212:RZZ212"/>
    <mergeCell ref="SAA212:SAB212"/>
    <mergeCell ref="SAR212:SAS212"/>
    <mergeCell ref="SAT212:SAU212"/>
    <mergeCell ref="SAV212:SAW212"/>
    <mergeCell ref="SAX212:SAY212"/>
    <mergeCell ref="SBO212:SBP212"/>
    <mergeCell ref="RXJ212:RXK212"/>
    <mergeCell ref="RYA212:RYB212"/>
    <mergeCell ref="RYC212:RYD212"/>
    <mergeCell ref="RYE212:RYF212"/>
    <mergeCell ref="RYG212:RYH212"/>
    <mergeCell ref="RYX212:RYY212"/>
    <mergeCell ref="RYZ212:RZA212"/>
    <mergeCell ref="RZB212:RZC212"/>
    <mergeCell ref="RZD212:RZE212"/>
    <mergeCell ref="SDM212:SDN212"/>
    <mergeCell ref="SDO212:SDP212"/>
    <mergeCell ref="SEF212:SEG212"/>
    <mergeCell ref="SEH212:SEI212"/>
    <mergeCell ref="SEJ212:SEK212"/>
    <mergeCell ref="SEL212:SEM212"/>
    <mergeCell ref="SFC212:SFD212"/>
    <mergeCell ref="SFE212:SFF212"/>
    <mergeCell ref="SFG212:SFH212"/>
    <mergeCell ref="SBQ212:SBR212"/>
    <mergeCell ref="SBS212:SBT212"/>
    <mergeCell ref="SBU212:SBV212"/>
    <mergeCell ref="SCL212:SCM212"/>
    <mergeCell ref="SCN212:SCO212"/>
    <mergeCell ref="SCP212:SCQ212"/>
    <mergeCell ref="SCR212:SCS212"/>
    <mergeCell ref="SDI212:SDJ212"/>
    <mergeCell ref="SDK212:SDL212"/>
    <mergeCell ref="SHT212:SHU212"/>
    <mergeCell ref="SHV212:SHW212"/>
    <mergeCell ref="SHX212:SHY212"/>
    <mergeCell ref="SHZ212:SIA212"/>
    <mergeCell ref="SIQ212:SIR212"/>
    <mergeCell ref="SIS212:SIT212"/>
    <mergeCell ref="SIU212:SIV212"/>
    <mergeCell ref="SIW212:SIX212"/>
    <mergeCell ref="SJN212:SJO212"/>
    <mergeCell ref="SFI212:SFJ212"/>
    <mergeCell ref="SFZ212:SGA212"/>
    <mergeCell ref="SGB212:SGC212"/>
    <mergeCell ref="SGD212:SGE212"/>
    <mergeCell ref="SGF212:SGG212"/>
    <mergeCell ref="SGW212:SGX212"/>
    <mergeCell ref="SGY212:SGZ212"/>
    <mergeCell ref="SHA212:SHB212"/>
    <mergeCell ref="SHC212:SHD212"/>
    <mergeCell ref="SLL212:SLM212"/>
    <mergeCell ref="SLN212:SLO212"/>
    <mergeCell ref="SME212:SMF212"/>
    <mergeCell ref="SMG212:SMH212"/>
    <mergeCell ref="SMI212:SMJ212"/>
    <mergeCell ref="SMK212:SML212"/>
    <mergeCell ref="SNB212:SNC212"/>
    <mergeCell ref="SND212:SNE212"/>
    <mergeCell ref="SNF212:SNG212"/>
    <mergeCell ref="SJP212:SJQ212"/>
    <mergeCell ref="SJR212:SJS212"/>
    <mergeCell ref="SJT212:SJU212"/>
    <mergeCell ref="SKK212:SKL212"/>
    <mergeCell ref="SKM212:SKN212"/>
    <mergeCell ref="SKO212:SKP212"/>
    <mergeCell ref="SKQ212:SKR212"/>
    <mergeCell ref="SLH212:SLI212"/>
    <mergeCell ref="SLJ212:SLK212"/>
    <mergeCell ref="SPS212:SPT212"/>
    <mergeCell ref="SPU212:SPV212"/>
    <mergeCell ref="SPW212:SPX212"/>
    <mergeCell ref="SPY212:SPZ212"/>
    <mergeCell ref="SQP212:SQQ212"/>
    <mergeCell ref="SQR212:SQS212"/>
    <mergeCell ref="SQT212:SQU212"/>
    <mergeCell ref="SQV212:SQW212"/>
    <mergeCell ref="SRM212:SRN212"/>
    <mergeCell ref="SNH212:SNI212"/>
    <mergeCell ref="SNY212:SNZ212"/>
    <mergeCell ref="SOA212:SOB212"/>
    <mergeCell ref="SOC212:SOD212"/>
    <mergeCell ref="SOE212:SOF212"/>
    <mergeCell ref="SOV212:SOW212"/>
    <mergeCell ref="SOX212:SOY212"/>
    <mergeCell ref="SOZ212:SPA212"/>
    <mergeCell ref="SPB212:SPC212"/>
    <mergeCell ref="STK212:STL212"/>
    <mergeCell ref="STM212:STN212"/>
    <mergeCell ref="SUD212:SUE212"/>
    <mergeCell ref="SUF212:SUG212"/>
    <mergeCell ref="SUH212:SUI212"/>
    <mergeCell ref="SUJ212:SUK212"/>
    <mergeCell ref="SVA212:SVB212"/>
    <mergeCell ref="SVC212:SVD212"/>
    <mergeCell ref="SVE212:SVF212"/>
    <mergeCell ref="SRO212:SRP212"/>
    <mergeCell ref="SRQ212:SRR212"/>
    <mergeCell ref="SRS212:SRT212"/>
    <mergeCell ref="SSJ212:SSK212"/>
    <mergeCell ref="SSL212:SSM212"/>
    <mergeCell ref="SSN212:SSO212"/>
    <mergeCell ref="SSP212:SSQ212"/>
    <mergeCell ref="STG212:STH212"/>
    <mergeCell ref="STI212:STJ212"/>
    <mergeCell ref="SXR212:SXS212"/>
    <mergeCell ref="SXT212:SXU212"/>
    <mergeCell ref="SXV212:SXW212"/>
    <mergeCell ref="SXX212:SXY212"/>
    <mergeCell ref="SYO212:SYP212"/>
    <mergeCell ref="SYQ212:SYR212"/>
    <mergeCell ref="SYS212:SYT212"/>
    <mergeCell ref="SYU212:SYV212"/>
    <mergeCell ref="SZL212:SZM212"/>
    <mergeCell ref="SVG212:SVH212"/>
    <mergeCell ref="SVX212:SVY212"/>
    <mergeCell ref="SVZ212:SWA212"/>
    <mergeCell ref="SWB212:SWC212"/>
    <mergeCell ref="SWD212:SWE212"/>
    <mergeCell ref="SWU212:SWV212"/>
    <mergeCell ref="SWW212:SWX212"/>
    <mergeCell ref="SWY212:SWZ212"/>
    <mergeCell ref="SXA212:SXB212"/>
    <mergeCell ref="TBJ212:TBK212"/>
    <mergeCell ref="TBL212:TBM212"/>
    <mergeCell ref="TCC212:TCD212"/>
    <mergeCell ref="TCE212:TCF212"/>
    <mergeCell ref="TCG212:TCH212"/>
    <mergeCell ref="TCI212:TCJ212"/>
    <mergeCell ref="TCZ212:TDA212"/>
    <mergeCell ref="TDB212:TDC212"/>
    <mergeCell ref="TDD212:TDE212"/>
    <mergeCell ref="SZN212:SZO212"/>
    <mergeCell ref="SZP212:SZQ212"/>
    <mergeCell ref="SZR212:SZS212"/>
    <mergeCell ref="TAI212:TAJ212"/>
    <mergeCell ref="TAK212:TAL212"/>
    <mergeCell ref="TAM212:TAN212"/>
    <mergeCell ref="TAO212:TAP212"/>
    <mergeCell ref="TBF212:TBG212"/>
    <mergeCell ref="TBH212:TBI212"/>
    <mergeCell ref="TFQ212:TFR212"/>
    <mergeCell ref="TFS212:TFT212"/>
    <mergeCell ref="TFU212:TFV212"/>
    <mergeCell ref="TFW212:TFX212"/>
    <mergeCell ref="TGN212:TGO212"/>
    <mergeCell ref="TGP212:TGQ212"/>
    <mergeCell ref="TGR212:TGS212"/>
    <mergeCell ref="TGT212:TGU212"/>
    <mergeCell ref="THK212:THL212"/>
    <mergeCell ref="TDF212:TDG212"/>
    <mergeCell ref="TDW212:TDX212"/>
    <mergeCell ref="TDY212:TDZ212"/>
    <mergeCell ref="TEA212:TEB212"/>
    <mergeCell ref="TEC212:TED212"/>
    <mergeCell ref="TET212:TEU212"/>
    <mergeCell ref="TEV212:TEW212"/>
    <mergeCell ref="TEX212:TEY212"/>
    <mergeCell ref="TEZ212:TFA212"/>
    <mergeCell ref="TJI212:TJJ212"/>
    <mergeCell ref="TJK212:TJL212"/>
    <mergeCell ref="TKB212:TKC212"/>
    <mergeCell ref="TKD212:TKE212"/>
    <mergeCell ref="TKF212:TKG212"/>
    <mergeCell ref="TKH212:TKI212"/>
    <mergeCell ref="TKY212:TKZ212"/>
    <mergeCell ref="TLA212:TLB212"/>
    <mergeCell ref="TLC212:TLD212"/>
    <mergeCell ref="THM212:THN212"/>
    <mergeCell ref="THO212:THP212"/>
    <mergeCell ref="THQ212:THR212"/>
    <mergeCell ref="TIH212:TII212"/>
    <mergeCell ref="TIJ212:TIK212"/>
    <mergeCell ref="TIL212:TIM212"/>
    <mergeCell ref="TIN212:TIO212"/>
    <mergeCell ref="TJE212:TJF212"/>
    <mergeCell ref="TJG212:TJH212"/>
    <mergeCell ref="TNP212:TNQ212"/>
    <mergeCell ref="TNR212:TNS212"/>
    <mergeCell ref="TNT212:TNU212"/>
    <mergeCell ref="TNV212:TNW212"/>
    <mergeCell ref="TOM212:TON212"/>
    <mergeCell ref="TOO212:TOP212"/>
    <mergeCell ref="TOQ212:TOR212"/>
    <mergeCell ref="TOS212:TOT212"/>
    <mergeCell ref="TPJ212:TPK212"/>
    <mergeCell ref="TLE212:TLF212"/>
    <mergeCell ref="TLV212:TLW212"/>
    <mergeCell ref="TLX212:TLY212"/>
    <mergeCell ref="TLZ212:TMA212"/>
    <mergeCell ref="TMB212:TMC212"/>
    <mergeCell ref="TMS212:TMT212"/>
    <mergeCell ref="TMU212:TMV212"/>
    <mergeCell ref="TMW212:TMX212"/>
    <mergeCell ref="TMY212:TMZ212"/>
    <mergeCell ref="TRH212:TRI212"/>
    <mergeCell ref="TRJ212:TRK212"/>
    <mergeCell ref="TSA212:TSB212"/>
    <mergeCell ref="TSC212:TSD212"/>
    <mergeCell ref="TSE212:TSF212"/>
    <mergeCell ref="TSG212:TSH212"/>
    <mergeCell ref="TSX212:TSY212"/>
    <mergeCell ref="TSZ212:TTA212"/>
    <mergeCell ref="TTB212:TTC212"/>
    <mergeCell ref="TPL212:TPM212"/>
    <mergeCell ref="TPN212:TPO212"/>
    <mergeCell ref="TPP212:TPQ212"/>
    <mergeCell ref="TQG212:TQH212"/>
    <mergeCell ref="TQI212:TQJ212"/>
    <mergeCell ref="TQK212:TQL212"/>
    <mergeCell ref="TQM212:TQN212"/>
    <mergeCell ref="TRD212:TRE212"/>
    <mergeCell ref="TRF212:TRG212"/>
    <mergeCell ref="TVO212:TVP212"/>
    <mergeCell ref="TVQ212:TVR212"/>
    <mergeCell ref="TVS212:TVT212"/>
    <mergeCell ref="TVU212:TVV212"/>
    <mergeCell ref="TWL212:TWM212"/>
    <mergeCell ref="TWN212:TWO212"/>
    <mergeCell ref="TWP212:TWQ212"/>
    <mergeCell ref="TWR212:TWS212"/>
    <mergeCell ref="TXI212:TXJ212"/>
    <mergeCell ref="TTD212:TTE212"/>
    <mergeCell ref="TTU212:TTV212"/>
    <mergeCell ref="TTW212:TTX212"/>
    <mergeCell ref="TTY212:TTZ212"/>
    <mergeCell ref="TUA212:TUB212"/>
    <mergeCell ref="TUR212:TUS212"/>
    <mergeCell ref="TUT212:TUU212"/>
    <mergeCell ref="TUV212:TUW212"/>
    <mergeCell ref="TUX212:TUY212"/>
    <mergeCell ref="TZG212:TZH212"/>
    <mergeCell ref="TZI212:TZJ212"/>
    <mergeCell ref="TZZ212:UAA212"/>
    <mergeCell ref="UAB212:UAC212"/>
    <mergeCell ref="UAD212:UAE212"/>
    <mergeCell ref="UAF212:UAG212"/>
    <mergeCell ref="UAW212:UAX212"/>
    <mergeCell ref="UAY212:UAZ212"/>
    <mergeCell ref="UBA212:UBB212"/>
    <mergeCell ref="TXK212:TXL212"/>
    <mergeCell ref="TXM212:TXN212"/>
    <mergeCell ref="TXO212:TXP212"/>
    <mergeCell ref="TYF212:TYG212"/>
    <mergeCell ref="TYH212:TYI212"/>
    <mergeCell ref="TYJ212:TYK212"/>
    <mergeCell ref="TYL212:TYM212"/>
    <mergeCell ref="TZC212:TZD212"/>
    <mergeCell ref="TZE212:TZF212"/>
    <mergeCell ref="UDN212:UDO212"/>
    <mergeCell ref="UDP212:UDQ212"/>
    <mergeCell ref="UDR212:UDS212"/>
    <mergeCell ref="UDT212:UDU212"/>
    <mergeCell ref="UEK212:UEL212"/>
    <mergeCell ref="UEM212:UEN212"/>
    <mergeCell ref="UEO212:UEP212"/>
    <mergeCell ref="UEQ212:UER212"/>
    <mergeCell ref="UFH212:UFI212"/>
    <mergeCell ref="UBC212:UBD212"/>
    <mergeCell ref="UBT212:UBU212"/>
    <mergeCell ref="UBV212:UBW212"/>
    <mergeCell ref="UBX212:UBY212"/>
    <mergeCell ref="UBZ212:UCA212"/>
    <mergeCell ref="UCQ212:UCR212"/>
    <mergeCell ref="UCS212:UCT212"/>
    <mergeCell ref="UCU212:UCV212"/>
    <mergeCell ref="UCW212:UCX212"/>
    <mergeCell ref="UHF212:UHG212"/>
    <mergeCell ref="UHH212:UHI212"/>
    <mergeCell ref="UHY212:UHZ212"/>
    <mergeCell ref="UIA212:UIB212"/>
    <mergeCell ref="UIC212:UID212"/>
    <mergeCell ref="UIE212:UIF212"/>
    <mergeCell ref="UIV212:UIW212"/>
    <mergeCell ref="UIX212:UIY212"/>
    <mergeCell ref="UIZ212:UJA212"/>
    <mergeCell ref="UFJ212:UFK212"/>
    <mergeCell ref="UFL212:UFM212"/>
    <mergeCell ref="UFN212:UFO212"/>
    <mergeCell ref="UGE212:UGF212"/>
    <mergeCell ref="UGG212:UGH212"/>
    <mergeCell ref="UGI212:UGJ212"/>
    <mergeCell ref="UGK212:UGL212"/>
    <mergeCell ref="UHB212:UHC212"/>
    <mergeCell ref="UHD212:UHE212"/>
    <mergeCell ref="ULM212:ULN212"/>
    <mergeCell ref="ULO212:ULP212"/>
    <mergeCell ref="ULQ212:ULR212"/>
    <mergeCell ref="ULS212:ULT212"/>
    <mergeCell ref="UMJ212:UMK212"/>
    <mergeCell ref="UML212:UMM212"/>
    <mergeCell ref="UMN212:UMO212"/>
    <mergeCell ref="UMP212:UMQ212"/>
    <mergeCell ref="UNG212:UNH212"/>
    <mergeCell ref="UJB212:UJC212"/>
    <mergeCell ref="UJS212:UJT212"/>
    <mergeCell ref="UJU212:UJV212"/>
    <mergeCell ref="UJW212:UJX212"/>
    <mergeCell ref="UJY212:UJZ212"/>
    <mergeCell ref="UKP212:UKQ212"/>
    <mergeCell ref="UKR212:UKS212"/>
    <mergeCell ref="UKT212:UKU212"/>
    <mergeCell ref="UKV212:UKW212"/>
    <mergeCell ref="UPE212:UPF212"/>
    <mergeCell ref="UPG212:UPH212"/>
    <mergeCell ref="UPX212:UPY212"/>
    <mergeCell ref="UPZ212:UQA212"/>
    <mergeCell ref="UQB212:UQC212"/>
    <mergeCell ref="UQD212:UQE212"/>
    <mergeCell ref="UQU212:UQV212"/>
    <mergeCell ref="UQW212:UQX212"/>
    <mergeCell ref="UQY212:UQZ212"/>
    <mergeCell ref="UNI212:UNJ212"/>
    <mergeCell ref="UNK212:UNL212"/>
    <mergeCell ref="UNM212:UNN212"/>
    <mergeCell ref="UOD212:UOE212"/>
    <mergeCell ref="UOF212:UOG212"/>
    <mergeCell ref="UOH212:UOI212"/>
    <mergeCell ref="UOJ212:UOK212"/>
    <mergeCell ref="UPA212:UPB212"/>
    <mergeCell ref="UPC212:UPD212"/>
    <mergeCell ref="UTL212:UTM212"/>
    <mergeCell ref="UTN212:UTO212"/>
    <mergeCell ref="UTP212:UTQ212"/>
    <mergeCell ref="UTR212:UTS212"/>
    <mergeCell ref="UUI212:UUJ212"/>
    <mergeCell ref="UUK212:UUL212"/>
    <mergeCell ref="UUM212:UUN212"/>
    <mergeCell ref="UUO212:UUP212"/>
    <mergeCell ref="UVF212:UVG212"/>
    <mergeCell ref="URA212:URB212"/>
    <mergeCell ref="URR212:URS212"/>
    <mergeCell ref="URT212:URU212"/>
    <mergeCell ref="URV212:URW212"/>
    <mergeCell ref="URX212:URY212"/>
    <mergeCell ref="USO212:USP212"/>
    <mergeCell ref="USQ212:USR212"/>
    <mergeCell ref="USS212:UST212"/>
    <mergeCell ref="USU212:USV212"/>
    <mergeCell ref="UXD212:UXE212"/>
    <mergeCell ref="UXF212:UXG212"/>
    <mergeCell ref="UXW212:UXX212"/>
    <mergeCell ref="UXY212:UXZ212"/>
    <mergeCell ref="UYA212:UYB212"/>
    <mergeCell ref="UYC212:UYD212"/>
    <mergeCell ref="UYT212:UYU212"/>
    <mergeCell ref="UYV212:UYW212"/>
    <mergeCell ref="UYX212:UYY212"/>
    <mergeCell ref="UVH212:UVI212"/>
    <mergeCell ref="UVJ212:UVK212"/>
    <mergeCell ref="UVL212:UVM212"/>
    <mergeCell ref="UWC212:UWD212"/>
    <mergeCell ref="UWE212:UWF212"/>
    <mergeCell ref="UWG212:UWH212"/>
    <mergeCell ref="UWI212:UWJ212"/>
    <mergeCell ref="UWZ212:UXA212"/>
    <mergeCell ref="UXB212:UXC212"/>
    <mergeCell ref="VBK212:VBL212"/>
    <mergeCell ref="VBM212:VBN212"/>
    <mergeCell ref="VBO212:VBP212"/>
    <mergeCell ref="VBQ212:VBR212"/>
    <mergeCell ref="VCH212:VCI212"/>
    <mergeCell ref="VCJ212:VCK212"/>
    <mergeCell ref="VCL212:VCM212"/>
    <mergeCell ref="VCN212:VCO212"/>
    <mergeCell ref="VDE212:VDF212"/>
    <mergeCell ref="UYZ212:UZA212"/>
    <mergeCell ref="UZQ212:UZR212"/>
    <mergeCell ref="UZS212:UZT212"/>
    <mergeCell ref="UZU212:UZV212"/>
    <mergeCell ref="UZW212:UZX212"/>
    <mergeCell ref="VAN212:VAO212"/>
    <mergeCell ref="VAP212:VAQ212"/>
    <mergeCell ref="VAR212:VAS212"/>
    <mergeCell ref="VAT212:VAU212"/>
    <mergeCell ref="VFC212:VFD212"/>
    <mergeCell ref="VFE212:VFF212"/>
    <mergeCell ref="VFV212:VFW212"/>
    <mergeCell ref="VFX212:VFY212"/>
    <mergeCell ref="VFZ212:VGA212"/>
    <mergeCell ref="VGB212:VGC212"/>
    <mergeCell ref="VGS212:VGT212"/>
    <mergeCell ref="VGU212:VGV212"/>
    <mergeCell ref="VGW212:VGX212"/>
    <mergeCell ref="VDG212:VDH212"/>
    <mergeCell ref="VDI212:VDJ212"/>
    <mergeCell ref="VDK212:VDL212"/>
    <mergeCell ref="VEB212:VEC212"/>
    <mergeCell ref="VED212:VEE212"/>
    <mergeCell ref="VEF212:VEG212"/>
    <mergeCell ref="VEH212:VEI212"/>
    <mergeCell ref="VEY212:VEZ212"/>
    <mergeCell ref="VFA212:VFB212"/>
    <mergeCell ref="VJJ212:VJK212"/>
    <mergeCell ref="VJL212:VJM212"/>
    <mergeCell ref="VJN212:VJO212"/>
    <mergeCell ref="VJP212:VJQ212"/>
    <mergeCell ref="VKG212:VKH212"/>
    <mergeCell ref="VKI212:VKJ212"/>
    <mergeCell ref="VKK212:VKL212"/>
    <mergeCell ref="VKM212:VKN212"/>
    <mergeCell ref="VLD212:VLE212"/>
    <mergeCell ref="VGY212:VGZ212"/>
    <mergeCell ref="VHP212:VHQ212"/>
    <mergeCell ref="VHR212:VHS212"/>
    <mergeCell ref="VHT212:VHU212"/>
    <mergeCell ref="VHV212:VHW212"/>
    <mergeCell ref="VIM212:VIN212"/>
    <mergeCell ref="VIO212:VIP212"/>
    <mergeCell ref="VIQ212:VIR212"/>
    <mergeCell ref="VIS212:VIT212"/>
    <mergeCell ref="VNB212:VNC212"/>
    <mergeCell ref="VND212:VNE212"/>
    <mergeCell ref="VNU212:VNV212"/>
    <mergeCell ref="VNW212:VNX212"/>
    <mergeCell ref="VNY212:VNZ212"/>
    <mergeCell ref="VOA212:VOB212"/>
    <mergeCell ref="VOR212:VOS212"/>
    <mergeCell ref="VOT212:VOU212"/>
    <mergeCell ref="VOV212:VOW212"/>
    <mergeCell ref="VLF212:VLG212"/>
    <mergeCell ref="VLH212:VLI212"/>
    <mergeCell ref="VLJ212:VLK212"/>
    <mergeCell ref="VMA212:VMB212"/>
    <mergeCell ref="VMC212:VMD212"/>
    <mergeCell ref="VME212:VMF212"/>
    <mergeCell ref="VMG212:VMH212"/>
    <mergeCell ref="VMX212:VMY212"/>
    <mergeCell ref="VMZ212:VNA212"/>
    <mergeCell ref="VRI212:VRJ212"/>
    <mergeCell ref="VRK212:VRL212"/>
    <mergeCell ref="VRM212:VRN212"/>
    <mergeCell ref="VRO212:VRP212"/>
    <mergeCell ref="VSF212:VSG212"/>
    <mergeCell ref="VSH212:VSI212"/>
    <mergeCell ref="VSJ212:VSK212"/>
    <mergeCell ref="VSL212:VSM212"/>
    <mergeCell ref="VTC212:VTD212"/>
    <mergeCell ref="VOX212:VOY212"/>
    <mergeCell ref="VPO212:VPP212"/>
    <mergeCell ref="VPQ212:VPR212"/>
    <mergeCell ref="VPS212:VPT212"/>
    <mergeCell ref="VPU212:VPV212"/>
    <mergeCell ref="VQL212:VQM212"/>
    <mergeCell ref="VQN212:VQO212"/>
    <mergeCell ref="VQP212:VQQ212"/>
    <mergeCell ref="VQR212:VQS212"/>
    <mergeCell ref="VVA212:VVB212"/>
    <mergeCell ref="VVC212:VVD212"/>
    <mergeCell ref="VVT212:VVU212"/>
    <mergeCell ref="VVV212:VVW212"/>
    <mergeCell ref="VVX212:VVY212"/>
    <mergeCell ref="VVZ212:VWA212"/>
    <mergeCell ref="VWQ212:VWR212"/>
    <mergeCell ref="VWS212:VWT212"/>
    <mergeCell ref="VWU212:VWV212"/>
    <mergeCell ref="VTE212:VTF212"/>
    <mergeCell ref="VTG212:VTH212"/>
    <mergeCell ref="VTI212:VTJ212"/>
    <mergeCell ref="VTZ212:VUA212"/>
    <mergeCell ref="VUB212:VUC212"/>
    <mergeCell ref="VUD212:VUE212"/>
    <mergeCell ref="VUF212:VUG212"/>
    <mergeCell ref="VUW212:VUX212"/>
    <mergeCell ref="VUY212:VUZ212"/>
    <mergeCell ref="VZH212:VZI212"/>
    <mergeCell ref="VZJ212:VZK212"/>
    <mergeCell ref="VZL212:VZM212"/>
    <mergeCell ref="VZN212:VZO212"/>
    <mergeCell ref="WAE212:WAF212"/>
    <mergeCell ref="WAG212:WAH212"/>
    <mergeCell ref="WAI212:WAJ212"/>
    <mergeCell ref="WAK212:WAL212"/>
    <mergeCell ref="WBB212:WBC212"/>
    <mergeCell ref="VWW212:VWX212"/>
    <mergeCell ref="VXN212:VXO212"/>
    <mergeCell ref="VXP212:VXQ212"/>
    <mergeCell ref="VXR212:VXS212"/>
    <mergeCell ref="VXT212:VXU212"/>
    <mergeCell ref="VYK212:VYL212"/>
    <mergeCell ref="VYM212:VYN212"/>
    <mergeCell ref="VYO212:VYP212"/>
    <mergeCell ref="VYQ212:VYR212"/>
    <mergeCell ref="WCZ212:WDA212"/>
    <mergeCell ref="WDB212:WDC212"/>
    <mergeCell ref="WDS212:WDT212"/>
    <mergeCell ref="WDU212:WDV212"/>
    <mergeCell ref="WDW212:WDX212"/>
    <mergeCell ref="WDY212:WDZ212"/>
    <mergeCell ref="WEP212:WEQ212"/>
    <mergeCell ref="WER212:WES212"/>
    <mergeCell ref="WET212:WEU212"/>
    <mergeCell ref="WBD212:WBE212"/>
    <mergeCell ref="WBF212:WBG212"/>
    <mergeCell ref="WBH212:WBI212"/>
    <mergeCell ref="WBY212:WBZ212"/>
    <mergeCell ref="WCA212:WCB212"/>
    <mergeCell ref="WCC212:WCD212"/>
    <mergeCell ref="WCE212:WCF212"/>
    <mergeCell ref="WCV212:WCW212"/>
    <mergeCell ref="WCX212:WCY212"/>
    <mergeCell ref="WHG212:WHH212"/>
    <mergeCell ref="WHI212:WHJ212"/>
    <mergeCell ref="WHK212:WHL212"/>
    <mergeCell ref="WHM212:WHN212"/>
    <mergeCell ref="WID212:WIE212"/>
    <mergeCell ref="WIF212:WIG212"/>
    <mergeCell ref="WIH212:WII212"/>
    <mergeCell ref="WIJ212:WIK212"/>
    <mergeCell ref="WJA212:WJB212"/>
    <mergeCell ref="WEV212:WEW212"/>
    <mergeCell ref="WFM212:WFN212"/>
    <mergeCell ref="WFO212:WFP212"/>
    <mergeCell ref="WFQ212:WFR212"/>
    <mergeCell ref="WFS212:WFT212"/>
    <mergeCell ref="WGJ212:WGK212"/>
    <mergeCell ref="WGL212:WGM212"/>
    <mergeCell ref="WGN212:WGO212"/>
    <mergeCell ref="WGP212:WGQ212"/>
    <mergeCell ref="WKY212:WKZ212"/>
    <mergeCell ref="WLA212:WLB212"/>
    <mergeCell ref="WLR212:WLS212"/>
    <mergeCell ref="WLT212:WLU212"/>
    <mergeCell ref="WLV212:WLW212"/>
    <mergeCell ref="WLX212:WLY212"/>
    <mergeCell ref="WMO212:WMP212"/>
    <mergeCell ref="WMQ212:WMR212"/>
    <mergeCell ref="WMS212:WMT212"/>
    <mergeCell ref="WJC212:WJD212"/>
    <mergeCell ref="WJE212:WJF212"/>
    <mergeCell ref="WJG212:WJH212"/>
    <mergeCell ref="WJX212:WJY212"/>
    <mergeCell ref="WJZ212:WKA212"/>
    <mergeCell ref="WKB212:WKC212"/>
    <mergeCell ref="WKD212:WKE212"/>
    <mergeCell ref="WKU212:WKV212"/>
    <mergeCell ref="WKW212:WKX212"/>
    <mergeCell ref="WPF212:WPG212"/>
    <mergeCell ref="WPH212:WPI212"/>
    <mergeCell ref="WPJ212:WPK212"/>
    <mergeCell ref="WPL212:WPM212"/>
    <mergeCell ref="WQC212:WQD212"/>
    <mergeCell ref="WQE212:WQF212"/>
    <mergeCell ref="WQG212:WQH212"/>
    <mergeCell ref="WQI212:WQJ212"/>
    <mergeCell ref="WQZ212:WRA212"/>
    <mergeCell ref="WMU212:WMV212"/>
    <mergeCell ref="WNL212:WNM212"/>
    <mergeCell ref="WNN212:WNO212"/>
    <mergeCell ref="WNP212:WNQ212"/>
    <mergeCell ref="WNR212:WNS212"/>
    <mergeCell ref="WOI212:WOJ212"/>
    <mergeCell ref="WOK212:WOL212"/>
    <mergeCell ref="WOM212:WON212"/>
    <mergeCell ref="WOO212:WOP212"/>
    <mergeCell ref="WSX212:WSY212"/>
    <mergeCell ref="WSZ212:WTA212"/>
    <mergeCell ref="WTQ212:WTR212"/>
    <mergeCell ref="WTS212:WTT212"/>
    <mergeCell ref="WTU212:WTV212"/>
    <mergeCell ref="WTW212:WTX212"/>
    <mergeCell ref="WUN212:WUO212"/>
    <mergeCell ref="WUP212:WUQ212"/>
    <mergeCell ref="WUR212:WUS212"/>
    <mergeCell ref="WRB212:WRC212"/>
    <mergeCell ref="WRD212:WRE212"/>
    <mergeCell ref="WRF212:WRG212"/>
    <mergeCell ref="WRW212:WRX212"/>
    <mergeCell ref="WRY212:WRZ212"/>
    <mergeCell ref="WSA212:WSB212"/>
    <mergeCell ref="WSC212:WSD212"/>
    <mergeCell ref="WST212:WSU212"/>
    <mergeCell ref="WSV212:WSW212"/>
    <mergeCell ref="WXG212:WXH212"/>
    <mergeCell ref="WXI212:WXJ212"/>
    <mergeCell ref="WXK212:WXL212"/>
    <mergeCell ref="WYB212:WYC212"/>
    <mergeCell ref="WYD212:WYE212"/>
    <mergeCell ref="WYF212:WYG212"/>
    <mergeCell ref="WYH212:WYI212"/>
    <mergeCell ref="WYY212:WYZ212"/>
    <mergeCell ref="WUT212:WUU212"/>
    <mergeCell ref="WVK212:WVL212"/>
    <mergeCell ref="WVM212:WVN212"/>
    <mergeCell ref="WVO212:WVP212"/>
    <mergeCell ref="WVQ212:WVR212"/>
    <mergeCell ref="WWH212:WWI212"/>
    <mergeCell ref="WWJ212:WWK212"/>
    <mergeCell ref="WWL212:WWM212"/>
    <mergeCell ref="WWN212:WWO212"/>
    <mergeCell ref="H213:I213"/>
    <mergeCell ref="J213:K213"/>
    <mergeCell ref="L213:M213"/>
    <mergeCell ref="N213:O213"/>
    <mergeCell ref="XCS212:XCT212"/>
    <mergeCell ref="XDJ212:XDK212"/>
    <mergeCell ref="XDL212:XDM212"/>
    <mergeCell ref="XDN212:XDO212"/>
    <mergeCell ref="XDP212:XDQ212"/>
    <mergeCell ref="XEG212:XEH212"/>
    <mergeCell ref="XEI212:XEJ212"/>
    <mergeCell ref="XEK212:XEL212"/>
    <mergeCell ref="XEM212:XEN212"/>
    <mergeCell ref="XAW212:XAX212"/>
    <mergeCell ref="XAY212:XAZ212"/>
    <mergeCell ref="XBP212:XBQ212"/>
    <mergeCell ref="XBR212:XBS212"/>
    <mergeCell ref="XBT212:XBU212"/>
    <mergeCell ref="XBV212:XBW212"/>
    <mergeCell ref="XCM212:XCN212"/>
    <mergeCell ref="XCO212:XCP212"/>
    <mergeCell ref="XCQ212:XCR212"/>
    <mergeCell ref="WZA212:WZB212"/>
    <mergeCell ref="WZC212:WZD212"/>
    <mergeCell ref="WZE212:WZF212"/>
    <mergeCell ref="WZV212:WZW212"/>
    <mergeCell ref="WZX212:WZY212"/>
    <mergeCell ref="WZZ212:XAA212"/>
    <mergeCell ref="XAB212:XAC212"/>
    <mergeCell ref="XAS212:XAT212"/>
    <mergeCell ref="XAU212:XAV212"/>
    <mergeCell ref="WXE212:WXF21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A208"/>
  <sheetViews>
    <sheetView zoomScale="200" zoomScaleNormal="120" workbookViewId="0">
      <pane xSplit="1" ySplit="5" topLeftCell="E133" activePane="bottomRight" state="frozen"/>
      <selection pane="topRight" activeCell="B1" sqref="B1"/>
      <selection pane="bottomLeft" activeCell="A6" sqref="A6"/>
      <selection pane="bottomRight" activeCell="W208" sqref="W208"/>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37" customWidth="1"/>
    <col min="47" max="53" width="5.6640625" style="1" customWidth="1"/>
    <col min="54" max="16384" width="10.6640625" style="1"/>
  </cols>
  <sheetData>
    <row r="1" spans="1:53" s="2" customFormat="1" ht="15" customHeight="1">
      <c r="B1" s="22" t="s">
        <v>14</v>
      </c>
      <c r="AT1" s="36"/>
    </row>
    <row r="2" spans="1:53" s="2" customFormat="1" ht="15" customHeight="1">
      <c r="B2" s="22" t="s">
        <v>60</v>
      </c>
      <c r="AT2" s="36"/>
    </row>
    <row r="3" spans="1:53" s="2" customFormat="1">
      <c r="G3" s="994"/>
      <c r="H3" s="994"/>
      <c r="I3" s="994"/>
      <c r="J3" s="994"/>
      <c r="K3" s="994"/>
      <c r="L3" s="994"/>
      <c r="M3" s="994"/>
      <c r="O3" s="994"/>
      <c r="P3" s="994"/>
      <c r="Q3" s="994"/>
      <c r="AT3" s="3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2" t="s">
        <v>23</v>
      </c>
      <c r="AU5" s="351" t="s">
        <v>24</v>
      </c>
      <c r="AV5" s="351" t="s">
        <v>25</v>
      </c>
      <c r="AW5" s="353" t="s">
        <v>1211</v>
      </c>
      <c r="AX5" s="351" t="s">
        <v>23</v>
      </c>
      <c r="AY5" s="351" t="s">
        <v>24</v>
      </c>
      <c r="AZ5" s="351" t="s">
        <v>25</v>
      </c>
      <c r="BA5" s="354" t="s">
        <v>1211</v>
      </c>
    </row>
    <row r="6" spans="1:53" s="257" customFormat="1">
      <c r="A6" s="263">
        <v>1959</v>
      </c>
      <c r="B6" s="252"/>
      <c r="C6" s="995" t="s">
        <v>694</v>
      </c>
      <c r="D6" s="995"/>
      <c r="E6" s="257">
        <v>0</v>
      </c>
      <c r="G6" s="265">
        <v>17</v>
      </c>
      <c r="J6" s="272">
        <v>17</v>
      </c>
      <c r="K6" s="248">
        <f t="shared" ref="K6:M8" si="0">G6/$J6*100</f>
        <v>100</v>
      </c>
      <c r="L6" s="248">
        <f t="shared" si="0"/>
        <v>0</v>
      </c>
      <c r="M6" s="248">
        <f t="shared" si="0"/>
        <v>0</v>
      </c>
      <c r="N6" s="267">
        <f>K6+L6+M6</f>
        <v>100</v>
      </c>
      <c r="O6" s="247">
        <v>61.5</v>
      </c>
      <c r="P6" s="248"/>
      <c r="Q6" s="248"/>
      <c r="R6" s="249">
        <f>O6+P6+Q6</f>
        <v>61.5</v>
      </c>
      <c r="S6" s="257">
        <v>1</v>
      </c>
      <c r="T6" s="278"/>
      <c r="V6" s="256" t="s">
        <v>504</v>
      </c>
      <c r="W6" s="257" t="s">
        <v>74</v>
      </c>
      <c r="X6" s="257" t="s">
        <v>11</v>
      </c>
      <c r="Y6" s="258">
        <v>61.5</v>
      </c>
      <c r="AD6" s="256"/>
      <c r="AG6" s="258"/>
      <c r="AL6" s="256"/>
      <c r="AO6" s="258"/>
      <c r="AP6" s="256"/>
      <c r="AS6" s="258"/>
      <c r="AT6" s="282"/>
      <c r="AW6" s="258"/>
      <c r="BA6" s="259"/>
    </row>
    <row r="7" spans="1:53" s="257" customFormat="1">
      <c r="A7" s="263">
        <v>1959</v>
      </c>
      <c r="B7" s="252"/>
      <c r="C7" s="995" t="s">
        <v>694</v>
      </c>
      <c r="D7" s="995"/>
      <c r="E7" s="257">
        <v>365</v>
      </c>
      <c r="G7" s="265">
        <v>17</v>
      </c>
      <c r="J7" s="272">
        <v>17</v>
      </c>
      <c r="K7" s="248">
        <f t="shared" si="0"/>
        <v>100</v>
      </c>
      <c r="L7" s="248">
        <f t="shared" si="0"/>
        <v>0</v>
      </c>
      <c r="M7" s="248">
        <f t="shared" si="0"/>
        <v>0</v>
      </c>
      <c r="N7" s="267">
        <f>K7+L7+M7</f>
        <v>100</v>
      </c>
      <c r="O7" s="247">
        <v>61.5</v>
      </c>
      <c r="P7" s="248"/>
      <c r="Q7" s="248"/>
      <c r="R7" s="249">
        <f>O7+P7+Q7</f>
        <v>61.5</v>
      </c>
      <c r="S7" s="257">
        <v>1</v>
      </c>
      <c r="T7" s="278"/>
      <c r="V7" s="256" t="s">
        <v>504</v>
      </c>
      <c r="W7" s="257" t="s">
        <v>74</v>
      </c>
      <c r="X7" s="257" t="s">
        <v>11</v>
      </c>
      <c r="Y7" s="258">
        <v>61.5</v>
      </c>
      <c r="AD7" s="256"/>
      <c r="AG7" s="258"/>
      <c r="AL7" s="256"/>
      <c r="AO7" s="258"/>
      <c r="AP7" s="256"/>
      <c r="AS7" s="258"/>
      <c r="AT7" s="282"/>
      <c r="AW7" s="258"/>
      <c r="BA7" s="259"/>
    </row>
    <row r="8" spans="1:53" s="73" customFormat="1">
      <c r="A8" s="102">
        <v>1960</v>
      </c>
      <c r="B8" s="85"/>
      <c r="C8" s="988" t="s">
        <v>694</v>
      </c>
      <c r="D8" s="988"/>
      <c r="E8" s="73">
        <v>200</v>
      </c>
      <c r="G8" s="123">
        <v>17</v>
      </c>
      <c r="J8" s="134">
        <v>17</v>
      </c>
      <c r="K8" s="92">
        <f t="shared" si="0"/>
        <v>100</v>
      </c>
      <c r="L8" s="92">
        <f t="shared" si="0"/>
        <v>0</v>
      </c>
      <c r="M8" s="92">
        <f t="shared" si="0"/>
        <v>0</v>
      </c>
      <c r="N8" s="125">
        <f>K8+L8+M8</f>
        <v>100</v>
      </c>
      <c r="O8" s="91">
        <v>61.5</v>
      </c>
      <c r="P8" s="92"/>
      <c r="Q8" s="92"/>
      <c r="R8" s="93">
        <f>O8+P8+Q8</f>
        <v>61.5</v>
      </c>
      <c r="S8" s="73">
        <v>1</v>
      </c>
      <c r="T8" s="81"/>
      <c r="V8" s="82" t="s">
        <v>504</v>
      </c>
      <c r="W8" s="73" t="s">
        <v>74</v>
      </c>
      <c r="X8" s="73" t="s">
        <v>11</v>
      </c>
      <c r="Y8" s="83">
        <v>61.5</v>
      </c>
      <c r="AD8" s="82"/>
      <c r="AG8" s="83"/>
      <c r="AL8" s="82"/>
      <c r="AO8" s="83"/>
      <c r="AP8" s="82"/>
      <c r="AS8" s="83"/>
      <c r="AT8" s="164"/>
      <c r="AW8" s="83"/>
      <c r="BA8" s="84"/>
    </row>
    <row r="9" spans="1:53" s="334" customFormat="1">
      <c r="A9" s="386">
        <v>1960</v>
      </c>
      <c r="B9" s="355">
        <v>22116</v>
      </c>
      <c r="C9" s="992" t="s">
        <v>696</v>
      </c>
      <c r="D9" s="992"/>
      <c r="E9" s="334">
        <v>142</v>
      </c>
      <c r="F9" s="334">
        <v>2</v>
      </c>
      <c r="G9" s="419">
        <v>13</v>
      </c>
      <c r="J9" s="435">
        <v>13</v>
      </c>
      <c r="K9" s="384">
        <f t="shared" ref="K9:M50" si="1">G9/$J9*100</f>
        <v>100</v>
      </c>
      <c r="L9" s="384">
        <f t="shared" si="1"/>
        <v>0</v>
      </c>
      <c r="M9" s="384">
        <f t="shared" si="1"/>
        <v>0</v>
      </c>
      <c r="N9" s="421">
        <f t="shared" ref="N9:N50" si="2">K9+L9+M9</f>
        <v>100</v>
      </c>
      <c r="O9" s="383">
        <v>61.5</v>
      </c>
      <c r="P9" s="384"/>
      <c r="Q9" s="384"/>
      <c r="R9" s="385">
        <f t="shared" ref="R9:R72" si="3">O9+P9+Q9</f>
        <v>61.5</v>
      </c>
      <c r="S9" s="334">
        <v>1</v>
      </c>
      <c r="T9" s="357"/>
      <c r="U9" s="355">
        <v>22116</v>
      </c>
      <c r="V9" s="343" t="s">
        <v>504</v>
      </c>
      <c r="W9" s="334" t="s">
        <v>74</v>
      </c>
      <c r="X9" s="334" t="s">
        <v>11</v>
      </c>
      <c r="Y9" s="344">
        <v>61.5</v>
      </c>
      <c r="AD9" s="343"/>
      <c r="AG9" s="344"/>
      <c r="AL9" s="343"/>
      <c r="AO9" s="344"/>
      <c r="AP9" s="343"/>
      <c r="AS9" s="344"/>
      <c r="AT9" s="452"/>
      <c r="AW9" s="344"/>
      <c r="BA9" s="345"/>
    </row>
    <row r="10" spans="1:53" s="73" customFormat="1">
      <c r="A10" s="102">
        <v>1960</v>
      </c>
      <c r="B10" s="85">
        <v>22258</v>
      </c>
      <c r="C10" s="988" t="s">
        <v>695</v>
      </c>
      <c r="D10" s="988"/>
      <c r="E10" s="73">
        <f>366-E8-E9</f>
        <v>24</v>
      </c>
      <c r="F10" s="73">
        <v>1</v>
      </c>
      <c r="G10" s="123">
        <v>15</v>
      </c>
      <c r="J10" s="134">
        <v>15</v>
      </c>
      <c r="K10" s="92">
        <f t="shared" si="1"/>
        <v>100</v>
      </c>
      <c r="L10" s="92">
        <f t="shared" si="1"/>
        <v>0</v>
      </c>
      <c r="M10" s="92">
        <f t="shared" si="1"/>
        <v>0</v>
      </c>
      <c r="N10" s="125">
        <f t="shared" si="2"/>
        <v>100</v>
      </c>
      <c r="O10" s="91">
        <v>63.4</v>
      </c>
      <c r="P10" s="92"/>
      <c r="Q10" s="92"/>
      <c r="R10" s="93">
        <f t="shared" si="3"/>
        <v>63.4</v>
      </c>
      <c r="S10" s="73">
        <v>1</v>
      </c>
      <c r="T10" s="95">
        <v>22240</v>
      </c>
      <c r="U10" s="85">
        <v>22258</v>
      </c>
      <c r="V10" s="82" t="s">
        <v>504</v>
      </c>
      <c r="W10" s="73" t="s">
        <v>74</v>
      </c>
      <c r="X10" s="73" t="s">
        <v>11</v>
      </c>
      <c r="Y10" s="83">
        <v>63.4</v>
      </c>
      <c r="AD10" s="82"/>
      <c r="AG10" s="83"/>
      <c r="AL10" s="82"/>
      <c r="AO10" s="83"/>
      <c r="AP10" s="82"/>
      <c r="AS10" s="83"/>
      <c r="AT10" s="164"/>
      <c r="AW10" s="83"/>
      <c r="BA10" s="84"/>
    </row>
    <row r="11" spans="1:53" s="73" customFormat="1">
      <c r="A11" s="102">
        <v>1961</v>
      </c>
      <c r="B11" s="85"/>
      <c r="C11" s="988" t="s">
        <v>695</v>
      </c>
      <c r="D11" s="988"/>
      <c r="E11" s="73">
        <v>0</v>
      </c>
      <c r="G11" s="123">
        <v>15</v>
      </c>
      <c r="J11" s="134">
        <v>15</v>
      </c>
      <c r="K11" s="92">
        <f t="shared" si="1"/>
        <v>100</v>
      </c>
      <c r="L11" s="92">
        <f t="shared" si="1"/>
        <v>0</v>
      </c>
      <c r="M11" s="92">
        <f t="shared" si="1"/>
        <v>0</v>
      </c>
      <c r="N11" s="125">
        <f t="shared" si="2"/>
        <v>100</v>
      </c>
      <c r="O11" s="91">
        <v>63.4</v>
      </c>
      <c r="P11" s="92"/>
      <c r="Q11" s="92"/>
      <c r="R11" s="93">
        <f t="shared" si="3"/>
        <v>63.4</v>
      </c>
      <c r="S11" s="73">
        <v>1</v>
      </c>
      <c r="T11" s="81"/>
      <c r="V11" s="82" t="s">
        <v>504</v>
      </c>
      <c r="W11" s="73" t="s">
        <v>74</v>
      </c>
      <c r="X11" s="73" t="s">
        <v>11</v>
      </c>
      <c r="Y11" s="83">
        <v>63.4</v>
      </c>
      <c r="AD11" s="82"/>
      <c r="AG11" s="83"/>
      <c r="AL11" s="82"/>
      <c r="AO11" s="83"/>
      <c r="AP11" s="82"/>
      <c r="AS11" s="83"/>
      <c r="AT11" s="164"/>
      <c r="AW11" s="83"/>
      <c r="BA11" s="84"/>
    </row>
    <row r="12" spans="1:53" s="73" customFormat="1">
      <c r="A12" s="102">
        <v>1961</v>
      </c>
      <c r="B12" s="85"/>
      <c r="C12" s="988" t="s">
        <v>695</v>
      </c>
      <c r="D12" s="988"/>
      <c r="E12" s="73">
        <v>365</v>
      </c>
      <c r="G12" s="123">
        <v>15</v>
      </c>
      <c r="J12" s="134">
        <v>15</v>
      </c>
      <c r="K12" s="92">
        <f t="shared" si="1"/>
        <v>100</v>
      </c>
      <c r="L12" s="92">
        <f t="shared" si="1"/>
        <v>0</v>
      </c>
      <c r="M12" s="92">
        <f t="shared" si="1"/>
        <v>0</v>
      </c>
      <c r="N12" s="125">
        <f t="shared" si="2"/>
        <v>100</v>
      </c>
      <c r="O12" s="91">
        <v>63.4</v>
      </c>
      <c r="P12" s="92"/>
      <c r="Q12" s="92"/>
      <c r="R12" s="93">
        <f t="shared" si="3"/>
        <v>63.4</v>
      </c>
      <c r="S12" s="73">
        <v>1</v>
      </c>
      <c r="T12" s="81"/>
      <c r="V12" s="82" t="s">
        <v>504</v>
      </c>
      <c r="W12" s="73" t="s">
        <v>74</v>
      </c>
      <c r="X12" s="73" t="s">
        <v>11</v>
      </c>
      <c r="Y12" s="83">
        <v>63.4</v>
      </c>
      <c r="AD12" s="82"/>
      <c r="AG12" s="83"/>
      <c r="AL12" s="82"/>
      <c r="AO12" s="83"/>
      <c r="AP12" s="82"/>
      <c r="AS12" s="83"/>
      <c r="AT12" s="164"/>
      <c r="AW12" s="83"/>
      <c r="BA12" s="84"/>
    </row>
    <row r="13" spans="1:53" s="73" customFormat="1">
      <c r="A13" s="102">
        <v>1962</v>
      </c>
      <c r="B13" s="85"/>
      <c r="C13" s="988" t="s">
        <v>695</v>
      </c>
      <c r="D13" s="988"/>
      <c r="E13" s="73">
        <v>0</v>
      </c>
      <c r="G13" s="123">
        <v>15</v>
      </c>
      <c r="J13" s="134">
        <v>15</v>
      </c>
      <c r="K13" s="92">
        <f t="shared" si="1"/>
        <v>100</v>
      </c>
      <c r="L13" s="92">
        <f t="shared" si="1"/>
        <v>0</v>
      </c>
      <c r="M13" s="92">
        <f t="shared" si="1"/>
        <v>0</v>
      </c>
      <c r="N13" s="125">
        <f t="shared" si="2"/>
        <v>100</v>
      </c>
      <c r="O13" s="91">
        <v>63.4</v>
      </c>
      <c r="P13" s="92"/>
      <c r="Q13" s="92"/>
      <c r="R13" s="93">
        <f t="shared" si="3"/>
        <v>63.4</v>
      </c>
      <c r="S13" s="73">
        <v>1</v>
      </c>
      <c r="T13" s="81"/>
      <c r="V13" s="82" t="s">
        <v>504</v>
      </c>
      <c r="W13" s="73" t="s">
        <v>74</v>
      </c>
      <c r="X13" s="73" t="s">
        <v>11</v>
      </c>
      <c r="Y13" s="83">
        <v>63.4</v>
      </c>
      <c r="AD13" s="82"/>
      <c r="AG13" s="83"/>
      <c r="AL13" s="82"/>
      <c r="AO13" s="83"/>
      <c r="AP13" s="82"/>
      <c r="AS13" s="83"/>
      <c r="AT13" s="164"/>
      <c r="AW13" s="83"/>
      <c r="BA13" s="84"/>
    </row>
    <row r="14" spans="1:53" s="73" customFormat="1">
      <c r="A14" s="102">
        <v>1962</v>
      </c>
      <c r="B14" s="85"/>
      <c r="C14" s="988" t="s">
        <v>695</v>
      </c>
      <c r="D14" s="988"/>
      <c r="E14" s="73">
        <v>365</v>
      </c>
      <c r="G14" s="123">
        <v>15</v>
      </c>
      <c r="J14" s="134">
        <v>15</v>
      </c>
      <c r="K14" s="92">
        <f t="shared" si="1"/>
        <v>100</v>
      </c>
      <c r="L14" s="92">
        <f t="shared" si="1"/>
        <v>0</v>
      </c>
      <c r="M14" s="92">
        <f t="shared" si="1"/>
        <v>0</v>
      </c>
      <c r="N14" s="125">
        <f t="shared" si="2"/>
        <v>100</v>
      </c>
      <c r="O14" s="91">
        <v>63.4</v>
      </c>
      <c r="P14" s="92"/>
      <c r="Q14" s="92"/>
      <c r="R14" s="93">
        <f t="shared" si="3"/>
        <v>63.4</v>
      </c>
      <c r="S14" s="73">
        <v>1</v>
      </c>
      <c r="T14" s="81"/>
      <c r="V14" s="82" t="s">
        <v>504</v>
      </c>
      <c r="W14" s="73" t="s">
        <v>74</v>
      </c>
      <c r="X14" s="73" t="s">
        <v>11</v>
      </c>
      <c r="Y14" s="83">
        <v>63.4</v>
      </c>
      <c r="AD14" s="82"/>
      <c r="AG14" s="83"/>
      <c r="AL14" s="82"/>
      <c r="AO14" s="83"/>
      <c r="AP14" s="82"/>
      <c r="AS14" s="83"/>
      <c r="AT14" s="164"/>
      <c r="AW14" s="83"/>
      <c r="BA14" s="84"/>
    </row>
    <row r="15" spans="1:53" s="73" customFormat="1">
      <c r="A15" s="102">
        <v>1962.6</v>
      </c>
      <c r="B15" s="85"/>
      <c r="C15" s="988" t="s">
        <v>695</v>
      </c>
      <c r="D15" s="988"/>
      <c r="E15" s="73">
        <v>342</v>
      </c>
      <c r="G15" s="123">
        <v>15</v>
      </c>
      <c r="J15" s="134">
        <v>15</v>
      </c>
      <c r="K15" s="92">
        <f t="shared" si="1"/>
        <v>100</v>
      </c>
      <c r="L15" s="92">
        <f t="shared" si="1"/>
        <v>0</v>
      </c>
      <c r="M15" s="92">
        <f t="shared" si="1"/>
        <v>0</v>
      </c>
      <c r="N15" s="125">
        <f t="shared" si="2"/>
        <v>100</v>
      </c>
      <c r="O15" s="91">
        <v>63.4</v>
      </c>
      <c r="P15" s="92"/>
      <c r="Q15" s="92"/>
      <c r="R15" s="93">
        <f t="shared" si="3"/>
        <v>63.4</v>
      </c>
      <c r="S15" s="73">
        <v>1</v>
      </c>
      <c r="T15" s="81"/>
      <c r="V15" s="82" t="s">
        <v>504</v>
      </c>
      <c r="W15" s="73" t="s">
        <v>74</v>
      </c>
      <c r="X15" s="73" t="s">
        <v>11</v>
      </c>
      <c r="Y15" s="83">
        <v>63.4</v>
      </c>
      <c r="AD15" s="82"/>
      <c r="AG15" s="83"/>
      <c r="AL15" s="82"/>
      <c r="AO15" s="83"/>
      <c r="AP15" s="82"/>
      <c r="AS15" s="83"/>
      <c r="AT15" s="164"/>
      <c r="AW15" s="83"/>
      <c r="BA15" s="84"/>
    </row>
    <row r="16" spans="1:53" s="334" customFormat="1">
      <c r="A16" s="386">
        <v>1963.05714285714</v>
      </c>
      <c r="B16" s="355">
        <v>23354</v>
      </c>
      <c r="C16" s="992" t="s">
        <v>697</v>
      </c>
      <c r="D16" s="992"/>
      <c r="E16" s="334">
        <f>365-E15</f>
        <v>23</v>
      </c>
      <c r="F16" s="334">
        <v>1</v>
      </c>
      <c r="G16" s="419">
        <v>15</v>
      </c>
      <c r="J16" s="435">
        <v>15</v>
      </c>
      <c r="K16" s="384">
        <f t="shared" si="1"/>
        <v>100</v>
      </c>
      <c r="L16" s="384">
        <f t="shared" si="1"/>
        <v>0</v>
      </c>
      <c r="M16" s="384">
        <f t="shared" si="1"/>
        <v>0</v>
      </c>
      <c r="N16" s="421">
        <f t="shared" si="2"/>
        <v>100</v>
      </c>
      <c r="O16" s="383">
        <v>60.6</v>
      </c>
      <c r="P16" s="384"/>
      <c r="Q16" s="384"/>
      <c r="R16" s="385">
        <f t="shared" si="3"/>
        <v>60.6</v>
      </c>
      <c r="S16" s="334">
        <v>1</v>
      </c>
      <c r="T16" s="342">
        <v>23336</v>
      </c>
      <c r="U16" s="355">
        <v>23354</v>
      </c>
      <c r="V16" s="343" t="s">
        <v>504</v>
      </c>
      <c r="W16" s="334" t="s">
        <v>74</v>
      </c>
      <c r="X16" s="334" t="s">
        <v>11</v>
      </c>
      <c r="Y16" s="344">
        <v>60.6</v>
      </c>
      <c r="AD16" s="343"/>
      <c r="AG16" s="344"/>
      <c r="AL16" s="343"/>
      <c r="AO16" s="344"/>
      <c r="AP16" s="343"/>
      <c r="AS16" s="344"/>
      <c r="AT16" s="452"/>
      <c r="AW16" s="344"/>
      <c r="BA16" s="345"/>
    </row>
    <row r="17" spans="1:53" s="334" customFormat="1">
      <c r="A17" s="386">
        <v>1963.5142857142901</v>
      </c>
      <c r="B17" s="355"/>
      <c r="C17" s="992" t="s">
        <v>697</v>
      </c>
      <c r="D17" s="992"/>
      <c r="E17" s="334">
        <v>313</v>
      </c>
      <c r="G17" s="419">
        <v>15</v>
      </c>
      <c r="J17" s="435">
        <v>15</v>
      </c>
      <c r="K17" s="384">
        <f t="shared" si="1"/>
        <v>100</v>
      </c>
      <c r="L17" s="384">
        <f t="shared" si="1"/>
        <v>0</v>
      </c>
      <c r="M17" s="384">
        <f t="shared" si="1"/>
        <v>0</v>
      </c>
      <c r="N17" s="421">
        <f t="shared" si="2"/>
        <v>100</v>
      </c>
      <c r="O17" s="383">
        <v>60.6</v>
      </c>
      <c r="P17" s="384"/>
      <c r="Q17" s="384"/>
      <c r="R17" s="385">
        <f t="shared" si="3"/>
        <v>60.6</v>
      </c>
      <c r="S17" s="334">
        <v>1</v>
      </c>
      <c r="T17" s="357"/>
      <c r="V17" s="343" t="s">
        <v>504</v>
      </c>
      <c r="W17" s="334" t="s">
        <v>74</v>
      </c>
      <c r="X17" s="334" t="s">
        <v>11</v>
      </c>
      <c r="Y17" s="344">
        <v>60.6</v>
      </c>
      <c r="AD17" s="343"/>
      <c r="AG17" s="344"/>
      <c r="AL17" s="343"/>
      <c r="AO17" s="344"/>
      <c r="AP17" s="343"/>
      <c r="AS17" s="344"/>
      <c r="AT17" s="452"/>
      <c r="AW17" s="344"/>
      <c r="BA17" s="345"/>
    </row>
    <row r="18" spans="1:53" s="73" customFormat="1">
      <c r="A18" s="102">
        <v>1963.9714285714299</v>
      </c>
      <c r="B18" s="85">
        <v>23690</v>
      </c>
      <c r="C18" s="988" t="s">
        <v>1185</v>
      </c>
      <c r="D18" s="988"/>
      <c r="E18" s="73">
        <f>366-E17</f>
        <v>53</v>
      </c>
      <c r="F18" s="73">
        <v>3</v>
      </c>
      <c r="G18" s="123">
        <v>15</v>
      </c>
      <c r="J18" s="134">
        <v>15</v>
      </c>
      <c r="K18" s="92">
        <f t="shared" si="1"/>
        <v>100</v>
      </c>
      <c r="L18" s="92">
        <f t="shared" si="1"/>
        <v>0</v>
      </c>
      <c r="M18" s="92">
        <f t="shared" si="1"/>
        <v>0</v>
      </c>
      <c r="N18" s="125">
        <f t="shared" si="2"/>
        <v>100</v>
      </c>
      <c r="O18" s="91">
        <v>60.6</v>
      </c>
      <c r="P18" s="92"/>
      <c r="Q18" s="92"/>
      <c r="R18" s="93">
        <f t="shared" si="3"/>
        <v>60.6</v>
      </c>
      <c r="S18" s="73">
        <v>1</v>
      </c>
      <c r="T18" s="81"/>
      <c r="U18" s="85">
        <v>23690</v>
      </c>
      <c r="V18" s="82" t="s">
        <v>504</v>
      </c>
      <c r="W18" s="73" t="s">
        <v>74</v>
      </c>
      <c r="X18" s="73" t="s">
        <v>11</v>
      </c>
      <c r="Y18" s="83">
        <v>60.6</v>
      </c>
      <c r="AD18" s="82"/>
      <c r="AG18" s="83"/>
      <c r="AL18" s="82"/>
      <c r="AO18" s="83"/>
      <c r="AP18" s="82"/>
      <c r="AS18" s="83"/>
      <c r="AT18" s="164"/>
      <c r="AW18" s="83"/>
      <c r="BA18" s="84"/>
    </row>
    <row r="19" spans="1:53" s="73" customFormat="1">
      <c r="A19" s="102">
        <v>1965</v>
      </c>
      <c r="B19" s="85"/>
      <c r="C19" s="988" t="s">
        <v>1185</v>
      </c>
      <c r="D19" s="988"/>
      <c r="E19" s="73">
        <v>0</v>
      </c>
      <c r="G19" s="123">
        <v>15</v>
      </c>
      <c r="J19" s="134">
        <v>15</v>
      </c>
      <c r="K19" s="92">
        <f t="shared" si="1"/>
        <v>100</v>
      </c>
      <c r="L19" s="92">
        <f t="shared" si="1"/>
        <v>0</v>
      </c>
      <c r="M19" s="92">
        <f t="shared" si="1"/>
        <v>0</v>
      </c>
      <c r="N19" s="125">
        <f t="shared" si="2"/>
        <v>100</v>
      </c>
      <c r="O19" s="91">
        <v>60.6</v>
      </c>
      <c r="P19" s="92"/>
      <c r="Q19" s="92"/>
      <c r="R19" s="93">
        <f t="shared" si="3"/>
        <v>60.6</v>
      </c>
      <c r="S19" s="73">
        <v>1</v>
      </c>
      <c r="T19" s="81"/>
      <c r="V19" s="82" t="s">
        <v>504</v>
      </c>
      <c r="W19" s="73" t="s">
        <v>74</v>
      </c>
      <c r="X19" s="73" t="s">
        <v>11</v>
      </c>
      <c r="Y19" s="83">
        <v>60.6</v>
      </c>
      <c r="AD19" s="82"/>
      <c r="AG19" s="83"/>
      <c r="AL19" s="82"/>
      <c r="AO19" s="83"/>
      <c r="AP19" s="82"/>
      <c r="AS19" s="83"/>
      <c r="AT19" s="164"/>
      <c r="AW19" s="83"/>
      <c r="BA19" s="84"/>
    </row>
    <row r="20" spans="1:53" s="73" customFormat="1">
      <c r="A20" s="102">
        <v>1964.88571428572</v>
      </c>
      <c r="B20" s="85"/>
      <c r="C20" s="988" t="s">
        <v>1185</v>
      </c>
      <c r="D20" s="988"/>
      <c r="E20" s="73">
        <v>365</v>
      </c>
      <c r="G20" s="123">
        <v>15</v>
      </c>
      <c r="J20" s="134">
        <v>15</v>
      </c>
      <c r="K20" s="92">
        <f t="shared" si="1"/>
        <v>100</v>
      </c>
      <c r="L20" s="92">
        <f t="shared" si="1"/>
        <v>0</v>
      </c>
      <c r="M20" s="92">
        <f t="shared" si="1"/>
        <v>0</v>
      </c>
      <c r="N20" s="125">
        <f t="shared" si="2"/>
        <v>100</v>
      </c>
      <c r="O20" s="91">
        <v>60.6</v>
      </c>
      <c r="P20" s="92"/>
      <c r="Q20" s="92"/>
      <c r="R20" s="93">
        <f t="shared" si="3"/>
        <v>60.6</v>
      </c>
      <c r="S20" s="73">
        <v>1</v>
      </c>
      <c r="T20" s="81"/>
      <c r="V20" s="82" t="s">
        <v>504</v>
      </c>
      <c r="W20" s="73" t="s">
        <v>74</v>
      </c>
      <c r="X20" s="73" t="s">
        <v>11</v>
      </c>
      <c r="Y20" s="83">
        <v>60.6</v>
      </c>
      <c r="AD20" s="82"/>
      <c r="AG20" s="83"/>
      <c r="AL20" s="82"/>
      <c r="AO20" s="83"/>
      <c r="AP20" s="82"/>
      <c r="AS20" s="83"/>
      <c r="AT20" s="164"/>
      <c r="AW20" s="83"/>
      <c r="BA20" s="84"/>
    </row>
    <row r="21" spans="1:53" s="73" customFormat="1">
      <c r="A21" s="102">
        <v>1966</v>
      </c>
      <c r="B21" s="85"/>
      <c r="C21" s="988" t="s">
        <v>1185</v>
      </c>
      <c r="D21" s="988"/>
      <c r="E21" s="73">
        <v>0</v>
      </c>
      <c r="G21" s="123">
        <v>15</v>
      </c>
      <c r="J21" s="134">
        <v>15</v>
      </c>
      <c r="K21" s="92">
        <f t="shared" si="1"/>
        <v>100</v>
      </c>
      <c r="L21" s="92">
        <f t="shared" si="1"/>
        <v>0</v>
      </c>
      <c r="M21" s="92">
        <f t="shared" si="1"/>
        <v>0</v>
      </c>
      <c r="N21" s="125">
        <f t="shared" si="2"/>
        <v>100</v>
      </c>
      <c r="O21" s="91">
        <v>60.6</v>
      </c>
      <c r="P21" s="92"/>
      <c r="Q21" s="92"/>
      <c r="R21" s="93">
        <f t="shared" si="3"/>
        <v>60.6</v>
      </c>
      <c r="S21" s="73">
        <v>1</v>
      </c>
      <c r="T21" s="81"/>
      <c r="V21" s="82" t="s">
        <v>504</v>
      </c>
      <c r="W21" s="73" t="s">
        <v>74</v>
      </c>
      <c r="X21" s="73" t="s">
        <v>11</v>
      </c>
      <c r="Y21" s="83">
        <v>60.6</v>
      </c>
      <c r="AD21" s="82"/>
      <c r="AG21" s="83"/>
      <c r="AL21" s="82"/>
      <c r="AO21" s="83"/>
      <c r="AP21" s="82"/>
      <c r="AS21" s="83"/>
      <c r="AT21" s="164"/>
      <c r="AW21" s="83"/>
      <c r="BA21" s="84"/>
    </row>
    <row r="22" spans="1:53" s="73" customFormat="1">
      <c r="A22" s="102">
        <v>1965.8</v>
      </c>
      <c r="B22" s="85"/>
      <c r="C22" s="988" t="s">
        <v>1185</v>
      </c>
      <c r="D22" s="988"/>
      <c r="E22" s="73">
        <v>365</v>
      </c>
      <c r="G22" s="123">
        <v>15</v>
      </c>
      <c r="J22" s="134">
        <v>15</v>
      </c>
      <c r="K22" s="92">
        <f t="shared" si="1"/>
        <v>100</v>
      </c>
      <c r="L22" s="92">
        <f t="shared" si="1"/>
        <v>0</v>
      </c>
      <c r="M22" s="92">
        <f t="shared" si="1"/>
        <v>0</v>
      </c>
      <c r="N22" s="125">
        <f t="shared" si="2"/>
        <v>100</v>
      </c>
      <c r="O22" s="91">
        <v>60.6</v>
      </c>
      <c r="P22" s="92"/>
      <c r="Q22" s="92"/>
      <c r="R22" s="93">
        <f t="shared" si="3"/>
        <v>60.6</v>
      </c>
      <c r="S22" s="73">
        <v>1</v>
      </c>
      <c r="T22" s="81"/>
      <c r="V22" s="82" t="s">
        <v>504</v>
      </c>
      <c r="W22" s="73" t="s">
        <v>74</v>
      </c>
      <c r="X22" s="73" t="s">
        <v>11</v>
      </c>
      <c r="Y22" s="83">
        <v>60.6</v>
      </c>
      <c r="AD22" s="82"/>
      <c r="AG22" s="83"/>
      <c r="AL22" s="82"/>
      <c r="AO22" s="83"/>
      <c r="AP22" s="82"/>
      <c r="AS22" s="83"/>
      <c r="AT22" s="164"/>
      <c r="AW22" s="83"/>
      <c r="BA22" s="84"/>
    </row>
    <row r="23" spans="1:53" s="73" customFormat="1">
      <c r="A23" s="102">
        <v>1967</v>
      </c>
      <c r="B23" s="85"/>
      <c r="C23" s="988" t="s">
        <v>1185</v>
      </c>
      <c r="D23" s="988"/>
      <c r="E23" s="73">
        <v>47</v>
      </c>
      <c r="G23" s="123">
        <v>15</v>
      </c>
      <c r="J23" s="134">
        <v>15</v>
      </c>
      <c r="K23" s="92">
        <f t="shared" si="1"/>
        <v>100</v>
      </c>
      <c r="L23" s="92">
        <f t="shared" si="1"/>
        <v>0</v>
      </c>
      <c r="M23" s="92">
        <f t="shared" si="1"/>
        <v>0</v>
      </c>
      <c r="N23" s="125">
        <f t="shared" si="2"/>
        <v>100</v>
      </c>
      <c r="O23" s="91">
        <v>60.6</v>
      </c>
      <c r="P23" s="92"/>
      <c r="Q23" s="92"/>
      <c r="R23" s="93">
        <f t="shared" si="3"/>
        <v>60.6</v>
      </c>
      <c r="S23" s="73">
        <v>1</v>
      </c>
      <c r="T23" s="81"/>
      <c r="V23" s="82" t="s">
        <v>504</v>
      </c>
      <c r="W23" s="73" t="s">
        <v>74</v>
      </c>
      <c r="X23" s="73" t="s">
        <v>11</v>
      </c>
      <c r="Y23" s="83">
        <v>60.6</v>
      </c>
      <c r="AD23" s="82"/>
      <c r="AG23" s="83"/>
      <c r="AL23" s="82"/>
      <c r="AO23" s="83"/>
      <c r="AP23" s="82"/>
      <c r="AS23" s="83"/>
      <c r="AT23" s="164"/>
      <c r="AW23" s="83"/>
      <c r="BA23" s="84"/>
    </row>
    <row r="24" spans="1:53" s="334" customFormat="1">
      <c r="A24" s="386">
        <v>1966.7142857142901</v>
      </c>
      <c r="B24" s="355">
        <v>24520</v>
      </c>
      <c r="C24" s="992" t="s">
        <v>1186</v>
      </c>
      <c r="D24" s="992"/>
      <c r="E24" s="334">
        <f>365-E23</f>
        <v>318</v>
      </c>
      <c r="F24" s="334">
        <v>1</v>
      </c>
      <c r="G24" s="419">
        <v>15</v>
      </c>
      <c r="J24" s="435">
        <v>15</v>
      </c>
      <c r="K24" s="384">
        <f t="shared" si="1"/>
        <v>100</v>
      </c>
      <c r="L24" s="384">
        <f t="shared" si="1"/>
        <v>0</v>
      </c>
      <c r="M24" s="384">
        <f t="shared" si="1"/>
        <v>0</v>
      </c>
      <c r="N24" s="421">
        <f t="shared" si="2"/>
        <v>100</v>
      </c>
      <c r="O24" s="383">
        <v>57</v>
      </c>
      <c r="P24" s="384"/>
      <c r="Q24" s="384"/>
      <c r="R24" s="385">
        <f t="shared" si="3"/>
        <v>57</v>
      </c>
      <c r="S24" s="334">
        <v>1</v>
      </c>
      <c r="T24" s="342">
        <v>24501</v>
      </c>
      <c r="U24" s="355">
        <v>24520</v>
      </c>
      <c r="V24" s="343" t="s">
        <v>504</v>
      </c>
      <c r="W24" s="334" t="s">
        <v>74</v>
      </c>
      <c r="X24" s="334" t="s">
        <v>11</v>
      </c>
      <c r="Y24" s="344">
        <v>57</v>
      </c>
      <c r="AD24" s="343"/>
      <c r="AG24" s="344"/>
      <c r="AL24" s="343"/>
      <c r="AO24" s="344"/>
      <c r="AP24" s="343"/>
      <c r="AS24" s="344"/>
      <c r="AT24" s="452"/>
      <c r="AW24" s="344"/>
      <c r="BA24" s="345"/>
    </row>
    <row r="25" spans="1:53" s="334" customFormat="1">
      <c r="A25" s="386">
        <v>1968</v>
      </c>
      <c r="B25" s="355"/>
      <c r="C25" s="992" t="s">
        <v>1186</v>
      </c>
      <c r="D25" s="992"/>
      <c r="E25" s="334">
        <v>0</v>
      </c>
      <c r="G25" s="419">
        <v>15</v>
      </c>
      <c r="J25" s="435">
        <v>15</v>
      </c>
      <c r="K25" s="384">
        <f t="shared" si="1"/>
        <v>100</v>
      </c>
      <c r="L25" s="384">
        <f t="shared" si="1"/>
        <v>0</v>
      </c>
      <c r="M25" s="384">
        <f t="shared" si="1"/>
        <v>0</v>
      </c>
      <c r="N25" s="421">
        <f t="shared" si="2"/>
        <v>100</v>
      </c>
      <c r="O25" s="383">
        <v>57</v>
      </c>
      <c r="P25" s="384"/>
      <c r="Q25" s="384"/>
      <c r="R25" s="385">
        <f t="shared" si="3"/>
        <v>57</v>
      </c>
      <c r="S25" s="334">
        <v>1</v>
      </c>
      <c r="T25" s="357"/>
      <c r="V25" s="343" t="s">
        <v>504</v>
      </c>
      <c r="W25" s="334" t="s">
        <v>74</v>
      </c>
      <c r="X25" s="334" t="s">
        <v>11</v>
      </c>
      <c r="Y25" s="344">
        <v>57</v>
      </c>
      <c r="AD25" s="343"/>
      <c r="AG25" s="344"/>
      <c r="AL25" s="343"/>
      <c r="AO25" s="344"/>
      <c r="AP25" s="343"/>
      <c r="AS25" s="344"/>
      <c r="AT25" s="452"/>
      <c r="AW25" s="344"/>
      <c r="BA25" s="345"/>
    </row>
    <row r="26" spans="1:53" s="334" customFormat="1">
      <c r="A26" s="386">
        <v>1967.62857142857</v>
      </c>
      <c r="B26" s="355"/>
      <c r="C26" s="992" t="s">
        <v>1186</v>
      </c>
      <c r="D26" s="992"/>
      <c r="E26" s="334">
        <v>366</v>
      </c>
      <c r="G26" s="419">
        <v>15</v>
      </c>
      <c r="J26" s="435">
        <v>15</v>
      </c>
      <c r="K26" s="384">
        <f t="shared" si="1"/>
        <v>100</v>
      </c>
      <c r="L26" s="384">
        <f t="shared" si="1"/>
        <v>0</v>
      </c>
      <c r="M26" s="384">
        <f t="shared" si="1"/>
        <v>0</v>
      </c>
      <c r="N26" s="421">
        <f t="shared" si="2"/>
        <v>100</v>
      </c>
      <c r="O26" s="383">
        <v>57</v>
      </c>
      <c r="P26" s="384"/>
      <c r="Q26" s="384"/>
      <c r="R26" s="385">
        <f t="shared" si="3"/>
        <v>57</v>
      </c>
      <c r="S26" s="334">
        <v>1</v>
      </c>
      <c r="T26" s="357"/>
      <c r="V26" s="343" t="s">
        <v>504</v>
      </c>
      <c r="W26" s="334" t="s">
        <v>74</v>
      </c>
      <c r="X26" s="334" t="s">
        <v>11</v>
      </c>
      <c r="Y26" s="344">
        <v>57</v>
      </c>
      <c r="AD26" s="343"/>
      <c r="AG26" s="344"/>
      <c r="AL26" s="343"/>
      <c r="AO26" s="344"/>
      <c r="AP26" s="343"/>
      <c r="AS26" s="344"/>
      <c r="AT26" s="452"/>
      <c r="AW26" s="344"/>
      <c r="BA26" s="345"/>
    </row>
    <row r="27" spans="1:53" s="334" customFormat="1">
      <c r="A27" s="386">
        <v>1969</v>
      </c>
      <c r="B27" s="355"/>
      <c r="C27" s="992" t="s">
        <v>1186</v>
      </c>
      <c r="D27" s="992"/>
      <c r="E27" s="334">
        <v>0</v>
      </c>
      <c r="G27" s="419">
        <v>15</v>
      </c>
      <c r="J27" s="435">
        <v>15</v>
      </c>
      <c r="K27" s="384">
        <f t="shared" si="1"/>
        <v>100</v>
      </c>
      <c r="L27" s="384">
        <f t="shared" si="1"/>
        <v>0</v>
      </c>
      <c r="M27" s="384">
        <f t="shared" si="1"/>
        <v>0</v>
      </c>
      <c r="N27" s="421">
        <f t="shared" si="2"/>
        <v>100</v>
      </c>
      <c r="O27" s="383">
        <v>57</v>
      </c>
      <c r="P27" s="384"/>
      <c r="Q27" s="384"/>
      <c r="R27" s="385">
        <f t="shared" si="3"/>
        <v>57</v>
      </c>
      <c r="S27" s="334">
        <v>1</v>
      </c>
      <c r="T27" s="357"/>
      <c r="V27" s="343" t="s">
        <v>504</v>
      </c>
      <c r="W27" s="334" t="s">
        <v>74</v>
      </c>
      <c r="X27" s="334" t="s">
        <v>11</v>
      </c>
      <c r="Y27" s="344">
        <v>57</v>
      </c>
      <c r="AD27" s="343"/>
      <c r="AG27" s="344"/>
      <c r="AL27" s="343"/>
      <c r="AO27" s="344"/>
      <c r="AP27" s="343"/>
      <c r="AS27" s="344"/>
      <c r="AT27" s="452"/>
      <c r="AW27" s="344"/>
      <c r="BA27" s="345"/>
    </row>
    <row r="28" spans="1:53" s="334" customFormat="1">
      <c r="A28" s="386">
        <v>1968.5428571428599</v>
      </c>
      <c r="B28" s="355"/>
      <c r="C28" s="992" t="s">
        <v>1186</v>
      </c>
      <c r="D28" s="992"/>
      <c r="E28" s="334">
        <v>365</v>
      </c>
      <c r="G28" s="419">
        <v>15</v>
      </c>
      <c r="J28" s="435">
        <v>15</v>
      </c>
      <c r="K28" s="384">
        <f t="shared" si="1"/>
        <v>100</v>
      </c>
      <c r="L28" s="384">
        <f t="shared" si="1"/>
        <v>0</v>
      </c>
      <c r="M28" s="384">
        <f t="shared" si="1"/>
        <v>0</v>
      </c>
      <c r="N28" s="421">
        <f t="shared" si="2"/>
        <v>100</v>
      </c>
      <c r="O28" s="383">
        <v>57</v>
      </c>
      <c r="P28" s="384"/>
      <c r="Q28" s="384"/>
      <c r="R28" s="385">
        <f t="shared" si="3"/>
        <v>57</v>
      </c>
      <c r="S28" s="334">
        <v>1</v>
      </c>
      <c r="T28" s="342">
        <v>25564</v>
      </c>
      <c r="V28" s="343" t="s">
        <v>504</v>
      </c>
      <c r="W28" s="334" t="s">
        <v>74</v>
      </c>
      <c r="X28" s="334" t="s">
        <v>11</v>
      </c>
      <c r="Y28" s="344">
        <v>57</v>
      </c>
      <c r="AD28" s="343"/>
      <c r="AG28" s="344"/>
      <c r="AL28" s="343"/>
      <c r="AO28" s="344"/>
      <c r="AP28" s="343"/>
      <c r="AS28" s="344"/>
      <c r="AT28" s="452"/>
      <c r="AW28" s="344"/>
      <c r="BA28" s="345"/>
    </row>
    <row r="29" spans="1:53" s="334" customFormat="1">
      <c r="A29" s="386">
        <v>1970</v>
      </c>
      <c r="B29" s="355"/>
      <c r="C29" s="992" t="s">
        <v>1186</v>
      </c>
      <c r="D29" s="992"/>
      <c r="E29" s="334">
        <v>13</v>
      </c>
      <c r="G29" s="419">
        <v>15</v>
      </c>
      <c r="J29" s="435">
        <v>15</v>
      </c>
      <c r="K29" s="384">
        <f t="shared" si="1"/>
        <v>100</v>
      </c>
      <c r="L29" s="384">
        <f t="shared" si="1"/>
        <v>0</v>
      </c>
      <c r="M29" s="384">
        <f t="shared" si="1"/>
        <v>0</v>
      </c>
      <c r="N29" s="421">
        <f t="shared" si="2"/>
        <v>100</v>
      </c>
      <c r="O29" s="383">
        <v>57</v>
      </c>
      <c r="P29" s="384"/>
      <c r="Q29" s="384"/>
      <c r="R29" s="385">
        <f t="shared" si="3"/>
        <v>57</v>
      </c>
      <c r="S29" s="334">
        <v>1</v>
      </c>
      <c r="T29" s="357"/>
      <c r="V29" s="343" t="s">
        <v>504</v>
      </c>
      <c r="W29" s="334" t="s">
        <v>74</v>
      </c>
      <c r="X29" s="334" t="s">
        <v>11</v>
      </c>
      <c r="Y29" s="344">
        <v>57</v>
      </c>
      <c r="AD29" s="343"/>
      <c r="AG29" s="344"/>
      <c r="AL29" s="343"/>
      <c r="AO29" s="344"/>
      <c r="AP29" s="343"/>
      <c r="AS29" s="344"/>
      <c r="AT29" s="452"/>
      <c r="AW29" s="344"/>
      <c r="BA29" s="345"/>
    </row>
    <row r="30" spans="1:53" s="73" customFormat="1">
      <c r="A30" s="102">
        <v>1970</v>
      </c>
      <c r="B30" s="85">
        <v>25582</v>
      </c>
      <c r="C30" s="988" t="s">
        <v>1187</v>
      </c>
      <c r="D30" s="988"/>
      <c r="E30" s="73">
        <f>365-E29</f>
        <v>352</v>
      </c>
      <c r="F30" s="73">
        <v>1</v>
      </c>
      <c r="G30" s="123">
        <v>15</v>
      </c>
      <c r="J30" s="134">
        <v>15</v>
      </c>
      <c r="K30" s="92">
        <f t="shared" si="1"/>
        <v>100</v>
      </c>
      <c r="L30" s="92">
        <f t="shared" si="1"/>
        <v>0</v>
      </c>
      <c r="M30" s="92">
        <f t="shared" si="1"/>
        <v>0</v>
      </c>
      <c r="N30" s="125">
        <f t="shared" si="2"/>
        <v>100</v>
      </c>
      <c r="O30" s="91">
        <v>59.3</v>
      </c>
      <c r="P30" s="92"/>
      <c r="Q30" s="92"/>
      <c r="R30" s="93">
        <f t="shared" si="3"/>
        <v>59.3</v>
      </c>
      <c r="S30" s="73">
        <v>1</v>
      </c>
      <c r="T30" s="81"/>
      <c r="U30" s="85">
        <v>25582</v>
      </c>
      <c r="V30" s="82" t="s">
        <v>504</v>
      </c>
      <c r="W30" s="73" t="s">
        <v>74</v>
      </c>
      <c r="X30" s="73" t="s">
        <v>11</v>
      </c>
      <c r="Y30" s="83">
        <v>59.3</v>
      </c>
      <c r="AD30" s="82"/>
      <c r="AG30" s="83"/>
      <c r="AL30" s="82"/>
      <c r="AO30" s="83"/>
      <c r="AP30" s="82"/>
      <c r="AS30" s="83"/>
      <c r="AT30" s="164"/>
      <c r="AW30" s="83"/>
      <c r="BA30" s="84"/>
    </row>
    <row r="31" spans="1:53" s="73" customFormat="1">
      <c r="A31" s="102">
        <v>1971</v>
      </c>
      <c r="B31" s="85"/>
      <c r="C31" s="988" t="s">
        <v>1187</v>
      </c>
      <c r="D31" s="988"/>
      <c r="E31" s="73">
        <v>0</v>
      </c>
      <c r="G31" s="123">
        <v>15</v>
      </c>
      <c r="J31" s="134">
        <v>15</v>
      </c>
      <c r="K31" s="92">
        <f t="shared" si="1"/>
        <v>100</v>
      </c>
      <c r="L31" s="92">
        <f t="shared" si="1"/>
        <v>0</v>
      </c>
      <c r="M31" s="92">
        <f t="shared" si="1"/>
        <v>0</v>
      </c>
      <c r="N31" s="125">
        <f t="shared" si="2"/>
        <v>100</v>
      </c>
      <c r="O31" s="91">
        <v>59.3</v>
      </c>
      <c r="P31" s="92"/>
      <c r="Q31" s="92"/>
      <c r="R31" s="93">
        <f t="shared" si="3"/>
        <v>59.3</v>
      </c>
      <c r="S31" s="73">
        <v>1</v>
      </c>
      <c r="T31" s="81"/>
      <c r="V31" s="82" t="s">
        <v>504</v>
      </c>
      <c r="W31" s="73" t="s">
        <v>74</v>
      </c>
      <c r="X31" s="73" t="s">
        <v>11</v>
      </c>
      <c r="Y31" s="83">
        <v>59.3</v>
      </c>
      <c r="AD31" s="82"/>
      <c r="AG31" s="83"/>
      <c r="AL31" s="82"/>
      <c r="AO31" s="83"/>
      <c r="AP31" s="82"/>
      <c r="AS31" s="83"/>
      <c r="AT31" s="164"/>
      <c r="AW31" s="83"/>
      <c r="BA31" s="84"/>
    </row>
    <row r="32" spans="1:53" s="73" customFormat="1">
      <c r="A32" s="102">
        <v>1971</v>
      </c>
      <c r="B32" s="85"/>
      <c r="C32" s="988" t="s">
        <v>1187</v>
      </c>
      <c r="D32" s="988"/>
      <c r="E32" s="73">
        <v>365</v>
      </c>
      <c r="G32" s="123">
        <v>15</v>
      </c>
      <c r="J32" s="134">
        <v>15</v>
      </c>
      <c r="K32" s="92">
        <f t="shared" si="1"/>
        <v>100</v>
      </c>
      <c r="L32" s="92">
        <f t="shared" si="1"/>
        <v>0</v>
      </c>
      <c r="M32" s="92">
        <f t="shared" si="1"/>
        <v>0</v>
      </c>
      <c r="N32" s="125">
        <f t="shared" si="2"/>
        <v>100</v>
      </c>
      <c r="O32" s="91">
        <v>59.3</v>
      </c>
      <c r="P32" s="92"/>
      <c r="Q32" s="92"/>
      <c r="R32" s="93">
        <f t="shared" si="3"/>
        <v>59.3</v>
      </c>
      <c r="S32" s="73">
        <v>1</v>
      </c>
      <c r="T32" s="81"/>
      <c r="V32" s="82" t="s">
        <v>504</v>
      </c>
      <c r="W32" s="73" t="s">
        <v>74</v>
      </c>
      <c r="X32" s="73" t="s">
        <v>11</v>
      </c>
      <c r="Y32" s="83">
        <v>59.3</v>
      </c>
      <c r="AD32" s="82"/>
      <c r="AG32" s="83"/>
      <c r="AL32" s="82"/>
      <c r="AO32" s="83"/>
      <c r="AP32" s="82"/>
      <c r="AS32" s="83"/>
      <c r="AT32" s="164"/>
      <c r="AW32" s="83"/>
      <c r="BA32" s="84"/>
    </row>
    <row r="33" spans="1:53" s="73" customFormat="1">
      <c r="A33" s="102">
        <v>1972</v>
      </c>
      <c r="B33" s="85"/>
      <c r="C33" s="988" t="s">
        <v>1187</v>
      </c>
      <c r="D33" s="988"/>
      <c r="E33" s="73">
        <v>188</v>
      </c>
      <c r="G33" s="123">
        <v>15</v>
      </c>
      <c r="J33" s="134">
        <v>15</v>
      </c>
      <c r="K33" s="92">
        <f t="shared" si="1"/>
        <v>100</v>
      </c>
      <c r="L33" s="92">
        <f t="shared" si="1"/>
        <v>0</v>
      </c>
      <c r="M33" s="92">
        <f t="shared" si="1"/>
        <v>0</v>
      </c>
      <c r="N33" s="125">
        <f t="shared" si="2"/>
        <v>100</v>
      </c>
      <c r="O33" s="91">
        <v>59.3</v>
      </c>
      <c r="P33" s="92"/>
      <c r="Q33" s="92"/>
      <c r="R33" s="93">
        <f t="shared" si="3"/>
        <v>59.3</v>
      </c>
      <c r="S33" s="73">
        <v>1</v>
      </c>
      <c r="T33" s="81"/>
      <c r="V33" s="82" t="s">
        <v>504</v>
      </c>
      <c r="W33" s="73" t="s">
        <v>74</v>
      </c>
      <c r="X33" s="73" t="s">
        <v>11</v>
      </c>
      <c r="Y33" s="83">
        <v>59.3</v>
      </c>
      <c r="AD33" s="82"/>
      <c r="AG33" s="83"/>
      <c r="AL33" s="82"/>
      <c r="AO33" s="83"/>
      <c r="AP33" s="82"/>
      <c r="AS33" s="83"/>
      <c r="AT33" s="164"/>
      <c r="AW33" s="83"/>
      <c r="BA33" s="84"/>
    </row>
    <row r="34" spans="1:53" s="334" customFormat="1">
      <c r="A34" s="386">
        <v>1972</v>
      </c>
      <c r="B34" s="355">
        <v>26487</v>
      </c>
      <c r="C34" s="992" t="s">
        <v>698</v>
      </c>
      <c r="D34" s="992"/>
      <c r="E34" s="334">
        <v>168</v>
      </c>
      <c r="F34" s="334">
        <v>2</v>
      </c>
      <c r="G34" s="419">
        <v>15</v>
      </c>
      <c r="J34" s="435">
        <v>15</v>
      </c>
      <c r="K34" s="384">
        <f t="shared" si="1"/>
        <v>100</v>
      </c>
      <c r="L34" s="384">
        <f t="shared" si="1"/>
        <v>0</v>
      </c>
      <c r="M34" s="384">
        <f t="shared" si="1"/>
        <v>0</v>
      </c>
      <c r="N34" s="421">
        <f t="shared" si="2"/>
        <v>100</v>
      </c>
      <c r="O34" s="383">
        <v>59.3</v>
      </c>
      <c r="P34" s="384"/>
      <c r="Q34" s="384"/>
      <c r="R34" s="385">
        <f t="shared" si="3"/>
        <v>59.3</v>
      </c>
      <c r="S34" s="334">
        <v>1</v>
      </c>
      <c r="T34" s="357"/>
      <c r="U34" s="355">
        <v>26487</v>
      </c>
      <c r="V34" s="343" t="s">
        <v>504</v>
      </c>
      <c r="W34" s="334" t="s">
        <v>74</v>
      </c>
      <c r="X34" s="334" t="s">
        <v>11</v>
      </c>
      <c r="Y34" s="344">
        <v>59.3</v>
      </c>
      <c r="AD34" s="343"/>
      <c r="AG34" s="344"/>
      <c r="AL34" s="343"/>
      <c r="AO34" s="344"/>
      <c r="AP34" s="343"/>
      <c r="AS34" s="344"/>
      <c r="AT34" s="452"/>
      <c r="AW34" s="344"/>
      <c r="BA34" s="345"/>
    </row>
    <row r="35" spans="1:53" s="73" customFormat="1">
      <c r="A35" s="102">
        <v>1972</v>
      </c>
      <c r="B35" s="85">
        <v>26655</v>
      </c>
      <c r="C35" s="988" t="s">
        <v>699</v>
      </c>
      <c r="D35" s="988"/>
      <c r="E35" s="73">
        <f>366-E33-E34</f>
        <v>10</v>
      </c>
      <c r="F35" s="73">
        <v>1</v>
      </c>
      <c r="G35" s="123">
        <v>15</v>
      </c>
      <c r="J35" s="134">
        <v>15</v>
      </c>
      <c r="K35" s="92">
        <f t="shared" si="1"/>
        <v>100</v>
      </c>
      <c r="L35" s="92">
        <f t="shared" si="1"/>
        <v>0</v>
      </c>
      <c r="M35" s="92">
        <f t="shared" si="1"/>
        <v>0</v>
      </c>
      <c r="N35" s="125">
        <f t="shared" si="2"/>
        <v>100</v>
      </c>
      <c r="O35" s="91">
        <v>55.2</v>
      </c>
      <c r="P35" s="92"/>
      <c r="Q35" s="92"/>
      <c r="R35" s="93">
        <f t="shared" si="3"/>
        <v>55.2</v>
      </c>
      <c r="S35" s="73">
        <v>1</v>
      </c>
      <c r="T35" s="95">
        <v>26643</v>
      </c>
      <c r="U35" s="85">
        <v>26655</v>
      </c>
      <c r="V35" s="82" t="s">
        <v>504</v>
      </c>
      <c r="W35" s="73" t="s">
        <v>74</v>
      </c>
      <c r="X35" s="73" t="s">
        <v>11</v>
      </c>
      <c r="Y35" s="83">
        <v>55.2</v>
      </c>
      <c r="AD35" s="82"/>
      <c r="AG35" s="83"/>
      <c r="AL35" s="82"/>
      <c r="AO35" s="83"/>
      <c r="AP35" s="82"/>
      <c r="AS35" s="83"/>
      <c r="AT35" s="164"/>
      <c r="AW35" s="83"/>
      <c r="BA35" s="84"/>
    </row>
    <row r="36" spans="1:53" s="73" customFormat="1">
      <c r="A36" s="102">
        <v>1973</v>
      </c>
      <c r="B36" s="85"/>
      <c r="C36" s="988" t="s">
        <v>699</v>
      </c>
      <c r="D36" s="988"/>
      <c r="E36" s="73">
        <v>0</v>
      </c>
      <c r="G36" s="123">
        <v>15</v>
      </c>
      <c r="J36" s="134">
        <v>15</v>
      </c>
      <c r="K36" s="92">
        <f t="shared" si="1"/>
        <v>100</v>
      </c>
      <c r="L36" s="92">
        <f t="shared" si="1"/>
        <v>0</v>
      </c>
      <c r="M36" s="92">
        <f t="shared" si="1"/>
        <v>0</v>
      </c>
      <c r="N36" s="125">
        <f t="shared" si="2"/>
        <v>100</v>
      </c>
      <c r="O36" s="91">
        <v>55.2</v>
      </c>
      <c r="P36" s="92"/>
      <c r="Q36" s="92"/>
      <c r="R36" s="93">
        <f t="shared" si="3"/>
        <v>55.2</v>
      </c>
      <c r="S36" s="73">
        <v>1</v>
      </c>
      <c r="T36" s="81"/>
      <c r="V36" s="82" t="s">
        <v>504</v>
      </c>
      <c r="W36" s="73" t="s">
        <v>74</v>
      </c>
      <c r="X36" s="73" t="s">
        <v>11</v>
      </c>
      <c r="Y36" s="83">
        <v>55.2</v>
      </c>
      <c r="AD36" s="82"/>
      <c r="AG36" s="83"/>
      <c r="AL36" s="82"/>
      <c r="AO36" s="83"/>
      <c r="AP36" s="82"/>
      <c r="AS36" s="83"/>
      <c r="AT36" s="164"/>
      <c r="AW36" s="83"/>
      <c r="BA36" s="84"/>
    </row>
    <row r="37" spans="1:53" s="73" customFormat="1">
      <c r="A37" s="102">
        <v>1973</v>
      </c>
      <c r="B37" s="85"/>
      <c r="C37" s="988" t="s">
        <v>699</v>
      </c>
      <c r="D37" s="988"/>
      <c r="E37" s="73">
        <v>365</v>
      </c>
      <c r="G37" s="123">
        <v>15</v>
      </c>
      <c r="J37" s="134">
        <v>15</v>
      </c>
      <c r="K37" s="92">
        <f t="shared" si="1"/>
        <v>100</v>
      </c>
      <c r="L37" s="92">
        <f t="shared" si="1"/>
        <v>0</v>
      </c>
      <c r="M37" s="92">
        <f t="shared" si="1"/>
        <v>0</v>
      </c>
      <c r="N37" s="125">
        <f t="shared" si="2"/>
        <v>100</v>
      </c>
      <c r="O37" s="91">
        <v>55.2</v>
      </c>
      <c r="P37" s="92"/>
      <c r="Q37" s="92"/>
      <c r="R37" s="93">
        <f t="shared" si="3"/>
        <v>55.2</v>
      </c>
      <c r="S37" s="73">
        <v>1</v>
      </c>
      <c r="T37" s="81"/>
      <c r="V37" s="82" t="s">
        <v>504</v>
      </c>
      <c r="W37" s="73" t="s">
        <v>74</v>
      </c>
      <c r="X37" s="73" t="s">
        <v>11</v>
      </c>
      <c r="Y37" s="83">
        <v>55.2</v>
      </c>
      <c r="AD37" s="82"/>
      <c r="AG37" s="83"/>
      <c r="AL37" s="82"/>
      <c r="AO37" s="83"/>
      <c r="AP37" s="82"/>
      <c r="AS37" s="83"/>
      <c r="AT37" s="164"/>
      <c r="AW37" s="83"/>
      <c r="BA37" s="84"/>
    </row>
    <row r="38" spans="1:53" s="73" customFormat="1">
      <c r="A38" s="102">
        <v>1974</v>
      </c>
      <c r="B38" s="85"/>
      <c r="C38" s="988" t="s">
        <v>699</v>
      </c>
      <c r="D38" s="988"/>
      <c r="E38" s="73">
        <v>342</v>
      </c>
      <c r="G38" s="123">
        <v>15</v>
      </c>
      <c r="J38" s="134">
        <v>15</v>
      </c>
      <c r="K38" s="92">
        <f t="shared" si="1"/>
        <v>100</v>
      </c>
      <c r="L38" s="92">
        <f t="shared" si="1"/>
        <v>0</v>
      </c>
      <c r="M38" s="92">
        <f t="shared" si="1"/>
        <v>0</v>
      </c>
      <c r="N38" s="125">
        <f t="shared" si="2"/>
        <v>100</v>
      </c>
      <c r="O38" s="91">
        <v>55.2</v>
      </c>
      <c r="P38" s="92"/>
      <c r="Q38" s="92"/>
      <c r="R38" s="93">
        <f t="shared" si="3"/>
        <v>55.2</v>
      </c>
      <c r="S38" s="73">
        <v>1</v>
      </c>
      <c r="T38" s="81"/>
      <c r="V38" s="82" t="s">
        <v>504</v>
      </c>
      <c r="W38" s="73" t="s">
        <v>74</v>
      </c>
      <c r="X38" s="73" t="s">
        <v>11</v>
      </c>
      <c r="Y38" s="83">
        <v>55.2</v>
      </c>
      <c r="AD38" s="82"/>
      <c r="AG38" s="83"/>
      <c r="AL38" s="82"/>
      <c r="AO38" s="83"/>
      <c r="AP38" s="82"/>
      <c r="AS38" s="83"/>
      <c r="AT38" s="164"/>
      <c r="AW38" s="83"/>
      <c r="BA38" s="84"/>
    </row>
    <row r="39" spans="1:53" s="334" customFormat="1">
      <c r="A39" s="386">
        <v>1974</v>
      </c>
      <c r="B39" s="355">
        <v>27372</v>
      </c>
      <c r="C39" s="992" t="s">
        <v>700</v>
      </c>
      <c r="D39" s="992"/>
      <c r="E39" s="334">
        <f>365-E38</f>
        <v>23</v>
      </c>
      <c r="F39" s="334">
        <v>2</v>
      </c>
      <c r="G39" s="419">
        <v>15</v>
      </c>
      <c r="J39" s="435">
        <v>15</v>
      </c>
      <c r="K39" s="384">
        <f t="shared" si="1"/>
        <v>100</v>
      </c>
      <c r="L39" s="384">
        <f t="shared" si="1"/>
        <v>0</v>
      </c>
      <c r="M39" s="384">
        <f t="shared" si="1"/>
        <v>0</v>
      </c>
      <c r="N39" s="421">
        <f t="shared" si="2"/>
        <v>100</v>
      </c>
      <c r="O39" s="383">
        <v>55.2</v>
      </c>
      <c r="P39" s="384"/>
      <c r="Q39" s="384"/>
      <c r="R39" s="385">
        <f t="shared" si="3"/>
        <v>55.2</v>
      </c>
      <c r="S39" s="334">
        <v>1</v>
      </c>
      <c r="T39" s="357"/>
      <c r="U39" s="355">
        <v>27372</v>
      </c>
      <c r="V39" s="343" t="s">
        <v>504</v>
      </c>
      <c r="W39" s="334" t="s">
        <v>74</v>
      </c>
      <c r="X39" s="334" t="s">
        <v>11</v>
      </c>
      <c r="Y39" s="344">
        <v>55.2</v>
      </c>
      <c r="AD39" s="343"/>
      <c r="AG39" s="344"/>
      <c r="AL39" s="343"/>
      <c r="AO39" s="344"/>
      <c r="AP39" s="343"/>
      <c r="AS39" s="344"/>
      <c r="AT39" s="452"/>
      <c r="AW39" s="344"/>
      <c r="BA39" s="345"/>
    </row>
    <row r="40" spans="1:53" s="334" customFormat="1">
      <c r="A40" s="386">
        <v>1975</v>
      </c>
      <c r="B40" s="355"/>
      <c r="C40" s="992" t="s">
        <v>700</v>
      </c>
      <c r="D40" s="992"/>
      <c r="E40" s="334">
        <v>0</v>
      </c>
      <c r="G40" s="419">
        <v>15</v>
      </c>
      <c r="J40" s="435">
        <v>15</v>
      </c>
      <c r="K40" s="384">
        <f t="shared" si="1"/>
        <v>100</v>
      </c>
      <c r="L40" s="384">
        <f t="shared" si="1"/>
        <v>0</v>
      </c>
      <c r="M40" s="384">
        <f t="shared" si="1"/>
        <v>0</v>
      </c>
      <c r="N40" s="421">
        <f t="shared" si="2"/>
        <v>100</v>
      </c>
      <c r="O40" s="383">
        <v>55.2</v>
      </c>
      <c r="P40" s="384"/>
      <c r="Q40" s="384"/>
      <c r="R40" s="385">
        <f t="shared" si="3"/>
        <v>55.2</v>
      </c>
      <c r="S40" s="334">
        <v>1</v>
      </c>
      <c r="T40" s="357"/>
      <c r="V40" s="343" t="s">
        <v>504</v>
      </c>
      <c r="W40" s="334" t="s">
        <v>74</v>
      </c>
      <c r="X40" s="334" t="s">
        <v>11</v>
      </c>
      <c r="Y40" s="344">
        <v>55.2</v>
      </c>
      <c r="AD40" s="343"/>
      <c r="AG40" s="344"/>
      <c r="AL40" s="343"/>
      <c r="AO40" s="344"/>
      <c r="AP40" s="343"/>
      <c r="AS40" s="344"/>
      <c r="AT40" s="452"/>
      <c r="AW40" s="344"/>
      <c r="BA40" s="345"/>
    </row>
    <row r="41" spans="1:53" s="334" customFormat="1">
      <c r="A41" s="386">
        <v>1975</v>
      </c>
      <c r="B41" s="355"/>
      <c r="C41" s="992" t="s">
        <v>700</v>
      </c>
      <c r="D41" s="992"/>
      <c r="E41" s="334">
        <v>365</v>
      </c>
      <c r="G41" s="419">
        <v>15</v>
      </c>
      <c r="J41" s="435">
        <v>15</v>
      </c>
      <c r="K41" s="384">
        <f t="shared" si="1"/>
        <v>100</v>
      </c>
      <c r="L41" s="384">
        <f t="shared" si="1"/>
        <v>0</v>
      </c>
      <c r="M41" s="384">
        <f t="shared" si="1"/>
        <v>0</v>
      </c>
      <c r="N41" s="421">
        <f t="shared" si="2"/>
        <v>100</v>
      </c>
      <c r="O41" s="383">
        <v>55.2</v>
      </c>
      <c r="P41" s="384"/>
      <c r="Q41" s="384"/>
      <c r="R41" s="385">
        <f t="shared" si="3"/>
        <v>55.2</v>
      </c>
      <c r="S41" s="334">
        <v>1</v>
      </c>
      <c r="T41" s="357"/>
      <c r="V41" s="343" t="s">
        <v>504</v>
      </c>
      <c r="W41" s="334" t="s">
        <v>74</v>
      </c>
      <c r="X41" s="334" t="s">
        <v>11</v>
      </c>
      <c r="Y41" s="344">
        <v>55.2</v>
      </c>
      <c r="AD41" s="343"/>
      <c r="AG41" s="344"/>
      <c r="AL41" s="343"/>
      <c r="AO41" s="344"/>
      <c r="AP41" s="343"/>
      <c r="AS41" s="344"/>
      <c r="AT41" s="452"/>
      <c r="AW41" s="344"/>
      <c r="BA41" s="345"/>
    </row>
    <row r="42" spans="1:53" s="334" customFormat="1">
      <c r="A42" s="386">
        <v>1976</v>
      </c>
      <c r="B42" s="355"/>
      <c r="C42" s="992" t="s">
        <v>700</v>
      </c>
      <c r="D42" s="992"/>
      <c r="E42" s="334">
        <v>358</v>
      </c>
      <c r="G42" s="419">
        <v>15</v>
      </c>
      <c r="J42" s="435">
        <v>15</v>
      </c>
      <c r="K42" s="384">
        <f t="shared" si="1"/>
        <v>100</v>
      </c>
      <c r="L42" s="384">
        <f t="shared" si="1"/>
        <v>0</v>
      </c>
      <c r="M42" s="384">
        <f t="shared" si="1"/>
        <v>0</v>
      </c>
      <c r="N42" s="421">
        <f t="shared" si="2"/>
        <v>100</v>
      </c>
      <c r="O42" s="383">
        <v>55.2</v>
      </c>
      <c r="P42" s="384"/>
      <c r="Q42" s="384"/>
      <c r="R42" s="385">
        <f t="shared" si="3"/>
        <v>55.2</v>
      </c>
      <c r="S42" s="334">
        <v>1</v>
      </c>
      <c r="T42" s="357"/>
      <c r="V42" s="343" t="s">
        <v>504</v>
      </c>
      <c r="W42" s="334" t="s">
        <v>74</v>
      </c>
      <c r="X42" s="334" t="s">
        <v>11</v>
      </c>
      <c r="Y42" s="344">
        <v>55.2</v>
      </c>
      <c r="AD42" s="343"/>
      <c r="AG42" s="344"/>
      <c r="AL42" s="343"/>
      <c r="AO42" s="344"/>
      <c r="AP42" s="343"/>
      <c r="AS42" s="344"/>
      <c r="AT42" s="452"/>
      <c r="AW42" s="344"/>
      <c r="BA42" s="345"/>
    </row>
    <row r="43" spans="1:53" s="73" customFormat="1">
      <c r="A43" s="102">
        <v>1976</v>
      </c>
      <c r="B43" s="85">
        <v>28118</v>
      </c>
      <c r="C43" s="988" t="s">
        <v>701</v>
      </c>
      <c r="D43" s="988"/>
      <c r="E43" s="73">
        <f>366-E42</f>
        <v>8</v>
      </c>
      <c r="F43" s="73">
        <v>2</v>
      </c>
      <c r="G43" s="123">
        <v>15</v>
      </c>
      <c r="J43" s="134">
        <v>15</v>
      </c>
      <c r="K43" s="92">
        <f t="shared" si="1"/>
        <v>100</v>
      </c>
      <c r="L43" s="92">
        <f t="shared" si="1"/>
        <v>0</v>
      </c>
      <c r="M43" s="92">
        <f t="shared" si="1"/>
        <v>0</v>
      </c>
      <c r="N43" s="125">
        <f t="shared" si="2"/>
        <v>100</v>
      </c>
      <c r="O43" s="91">
        <v>48.7</v>
      </c>
      <c r="P43" s="92"/>
      <c r="Q43" s="92"/>
      <c r="R43" s="93">
        <f t="shared" si="3"/>
        <v>48.7</v>
      </c>
      <c r="S43" s="73">
        <v>4</v>
      </c>
      <c r="T43" s="95">
        <v>28099</v>
      </c>
      <c r="U43" s="85">
        <v>28118</v>
      </c>
      <c r="V43" s="82" t="s">
        <v>504</v>
      </c>
      <c r="W43" s="73" t="s">
        <v>74</v>
      </c>
      <c r="X43" s="73" t="s">
        <v>11</v>
      </c>
      <c r="Y43" s="83">
        <v>48.7</v>
      </c>
      <c r="AD43" s="82"/>
      <c r="AG43" s="83"/>
      <c r="AL43" s="82"/>
      <c r="AO43" s="83"/>
      <c r="AP43" s="82"/>
      <c r="AS43" s="83"/>
      <c r="AT43" s="164"/>
      <c r="AW43" s="83"/>
      <c r="BA43" s="84"/>
    </row>
    <row r="44" spans="1:53" s="73" customFormat="1">
      <c r="A44" s="102">
        <v>1977</v>
      </c>
      <c r="B44" s="85"/>
      <c r="C44" s="988" t="s">
        <v>701</v>
      </c>
      <c r="D44" s="988"/>
      <c r="E44" s="73">
        <v>0</v>
      </c>
      <c r="G44" s="123">
        <v>15</v>
      </c>
      <c r="J44" s="134">
        <v>15</v>
      </c>
      <c r="K44" s="92">
        <f t="shared" si="1"/>
        <v>100</v>
      </c>
      <c r="L44" s="92">
        <f t="shared" si="1"/>
        <v>0</v>
      </c>
      <c r="M44" s="92">
        <f t="shared" si="1"/>
        <v>0</v>
      </c>
      <c r="N44" s="125">
        <f t="shared" si="2"/>
        <v>100</v>
      </c>
      <c r="O44" s="91">
        <v>48.7</v>
      </c>
      <c r="P44" s="92"/>
      <c r="Q44" s="92"/>
      <c r="R44" s="93">
        <f t="shared" si="3"/>
        <v>48.7</v>
      </c>
      <c r="S44" s="73">
        <v>4</v>
      </c>
      <c r="T44" s="81"/>
      <c r="V44" s="82" t="s">
        <v>504</v>
      </c>
      <c r="W44" s="73" t="s">
        <v>74</v>
      </c>
      <c r="X44" s="73" t="s">
        <v>11</v>
      </c>
      <c r="Y44" s="83">
        <v>48.7</v>
      </c>
      <c r="AD44" s="82"/>
      <c r="AG44" s="83"/>
      <c r="AL44" s="82"/>
      <c r="AO44" s="83"/>
      <c r="AP44" s="82"/>
      <c r="AS44" s="83"/>
      <c r="AT44" s="164"/>
      <c r="AW44" s="83"/>
      <c r="BA44" s="84"/>
    </row>
    <row r="45" spans="1:53" s="73" customFormat="1">
      <c r="A45" s="102">
        <v>1977</v>
      </c>
      <c r="B45" s="85"/>
      <c r="C45" s="988" t="s">
        <v>701</v>
      </c>
      <c r="D45" s="988"/>
      <c r="E45" s="73">
        <v>365</v>
      </c>
      <c r="G45" s="123">
        <v>15</v>
      </c>
      <c r="J45" s="134">
        <v>15</v>
      </c>
      <c r="K45" s="92">
        <f t="shared" si="1"/>
        <v>100</v>
      </c>
      <c r="L45" s="92">
        <f t="shared" si="1"/>
        <v>0</v>
      </c>
      <c r="M45" s="92">
        <f t="shared" si="1"/>
        <v>0</v>
      </c>
      <c r="N45" s="125">
        <f t="shared" si="2"/>
        <v>100</v>
      </c>
      <c r="O45" s="91">
        <v>48.7</v>
      </c>
      <c r="P45" s="92"/>
      <c r="Q45" s="92"/>
      <c r="R45" s="93">
        <f t="shared" si="3"/>
        <v>48.7</v>
      </c>
      <c r="S45" s="73">
        <v>4</v>
      </c>
      <c r="T45" s="81"/>
      <c r="V45" s="82" t="s">
        <v>504</v>
      </c>
      <c r="W45" s="73" t="s">
        <v>74</v>
      </c>
      <c r="X45" s="73" t="s">
        <v>11</v>
      </c>
      <c r="Y45" s="83">
        <v>48.7</v>
      </c>
      <c r="AD45" s="82"/>
      <c r="AG45" s="83"/>
      <c r="AL45" s="82"/>
      <c r="AO45" s="83"/>
      <c r="AP45" s="82"/>
      <c r="AS45" s="83"/>
      <c r="AT45" s="164"/>
      <c r="AW45" s="83"/>
      <c r="BA45" s="84"/>
    </row>
    <row r="46" spans="1:53" s="73" customFormat="1">
      <c r="A46" s="102">
        <v>1978</v>
      </c>
      <c r="B46" s="85"/>
      <c r="C46" s="988" t="s">
        <v>701</v>
      </c>
      <c r="D46" s="988"/>
      <c r="E46" s="73">
        <v>341</v>
      </c>
      <c r="G46" s="123">
        <v>15</v>
      </c>
      <c r="J46" s="134">
        <v>15</v>
      </c>
      <c r="K46" s="92">
        <f t="shared" si="1"/>
        <v>100</v>
      </c>
      <c r="L46" s="92">
        <f t="shared" si="1"/>
        <v>0</v>
      </c>
      <c r="M46" s="92">
        <f t="shared" si="1"/>
        <v>0</v>
      </c>
      <c r="N46" s="125">
        <f t="shared" si="2"/>
        <v>100</v>
      </c>
      <c r="O46" s="91">
        <v>48.7</v>
      </c>
      <c r="P46" s="92"/>
      <c r="Q46" s="92"/>
      <c r="R46" s="93">
        <f t="shared" si="3"/>
        <v>48.7</v>
      </c>
      <c r="S46" s="73">
        <v>4</v>
      </c>
      <c r="T46" s="81"/>
      <c r="V46" s="82" t="s">
        <v>504</v>
      </c>
      <c r="W46" s="73" t="s">
        <v>74</v>
      </c>
      <c r="X46" s="73" t="s">
        <v>11</v>
      </c>
      <c r="Y46" s="83">
        <v>48.7</v>
      </c>
      <c r="AD46" s="82"/>
      <c r="AG46" s="83"/>
      <c r="AL46" s="82"/>
      <c r="AO46" s="83"/>
      <c r="AP46" s="82"/>
      <c r="AS46" s="83"/>
      <c r="AT46" s="164"/>
      <c r="AW46" s="83"/>
      <c r="BA46" s="84"/>
    </row>
    <row r="47" spans="1:53" s="334" customFormat="1">
      <c r="A47" s="386">
        <v>1978</v>
      </c>
      <c r="B47" s="355">
        <v>28832</v>
      </c>
      <c r="C47" s="992" t="s">
        <v>1188</v>
      </c>
      <c r="D47" s="992"/>
      <c r="E47" s="334">
        <f>365-E46</f>
        <v>24</v>
      </c>
      <c r="F47" s="334">
        <v>2</v>
      </c>
      <c r="G47" s="419">
        <v>15</v>
      </c>
      <c r="J47" s="435">
        <v>15</v>
      </c>
      <c r="K47" s="384">
        <f t="shared" si="1"/>
        <v>100</v>
      </c>
      <c r="L47" s="384">
        <f t="shared" si="1"/>
        <v>0</v>
      </c>
      <c r="M47" s="384">
        <f t="shared" si="1"/>
        <v>0</v>
      </c>
      <c r="N47" s="421">
        <f t="shared" si="2"/>
        <v>100</v>
      </c>
      <c r="O47" s="383">
        <v>48.7</v>
      </c>
      <c r="P47" s="384"/>
      <c r="Q47" s="384"/>
      <c r="R47" s="385">
        <f t="shared" si="3"/>
        <v>48.7</v>
      </c>
      <c r="S47" s="334">
        <v>4</v>
      </c>
      <c r="T47" s="357"/>
      <c r="U47" s="355">
        <v>28832</v>
      </c>
      <c r="V47" s="343" t="s">
        <v>504</v>
      </c>
      <c r="W47" s="334" t="s">
        <v>74</v>
      </c>
      <c r="X47" s="334" t="s">
        <v>11</v>
      </c>
      <c r="Y47" s="344">
        <v>48.7</v>
      </c>
      <c r="AD47" s="343"/>
      <c r="AG47" s="344"/>
      <c r="AL47" s="343"/>
      <c r="AO47" s="344"/>
      <c r="AP47" s="343"/>
      <c r="AS47" s="344"/>
      <c r="AT47" s="452"/>
      <c r="AW47" s="344"/>
      <c r="BA47" s="345"/>
    </row>
    <row r="48" spans="1:53" s="334" customFormat="1">
      <c r="A48" s="386">
        <v>1979</v>
      </c>
      <c r="B48" s="355"/>
      <c r="C48" s="992" t="s">
        <v>1188</v>
      </c>
      <c r="D48" s="992"/>
      <c r="E48" s="334">
        <v>311</v>
      </c>
      <c r="G48" s="419">
        <v>15</v>
      </c>
      <c r="J48" s="435">
        <v>15</v>
      </c>
      <c r="K48" s="384">
        <f t="shared" si="1"/>
        <v>100</v>
      </c>
      <c r="L48" s="384">
        <f t="shared" si="1"/>
        <v>0</v>
      </c>
      <c r="M48" s="384">
        <f t="shared" si="1"/>
        <v>0</v>
      </c>
      <c r="N48" s="421">
        <f t="shared" si="2"/>
        <v>100</v>
      </c>
      <c r="O48" s="383">
        <v>48.7</v>
      </c>
      <c r="P48" s="384"/>
      <c r="Q48" s="384"/>
      <c r="R48" s="385">
        <f t="shared" si="3"/>
        <v>48.7</v>
      </c>
      <c r="S48" s="334">
        <v>4</v>
      </c>
      <c r="T48" s="357"/>
      <c r="U48" s="355"/>
      <c r="V48" s="343" t="s">
        <v>504</v>
      </c>
      <c r="W48" s="334" t="s">
        <v>74</v>
      </c>
      <c r="X48" s="334" t="s">
        <v>11</v>
      </c>
      <c r="Y48" s="344">
        <v>48.7</v>
      </c>
      <c r="AD48" s="343"/>
      <c r="AG48" s="344"/>
      <c r="AL48" s="343"/>
      <c r="AO48" s="344"/>
      <c r="AP48" s="343"/>
      <c r="AS48" s="344"/>
      <c r="AT48" s="452"/>
      <c r="AW48" s="344"/>
      <c r="BA48" s="345"/>
    </row>
    <row r="49" spans="1:53" s="73" customFormat="1">
      <c r="A49" s="102">
        <v>1979</v>
      </c>
      <c r="B49" s="85">
        <v>29167</v>
      </c>
      <c r="C49" s="988" t="s">
        <v>1189</v>
      </c>
      <c r="D49" s="988"/>
      <c r="E49" s="73">
        <f>365-E48</f>
        <v>54</v>
      </c>
      <c r="F49" s="73">
        <v>1</v>
      </c>
      <c r="G49" s="123">
        <v>14</v>
      </c>
      <c r="J49" s="134">
        <v>14</v>
      </c>
      <c r="K49" s="92">
        <f t="shared" si="1"/>
        <v>100</v>
      </c>
      <c r="L49" s="92">
        <f t="shared" si="1"/>
        <v>0</v>
      </c>
      <c r="M49" s="92">
        <f t="shared" si="1"/>
        <v>0</v>
      </c>
      <c r="N49" s="125">
        <f t="shared" si="2"/>
        <v>100</v>
      </c>
      <c r="O49" s="91">
        <v>48.5</v>
      </c>
      <c r="P49" s="92"/>
      <c r="Q49" s="92"/>
      <c r="R49" s="93">
        <f t="shared" si="3"/>
        <v>48.5</v>
      </c>
      <c r="S49" s="73">
        <v>4</v>
      </c>
      <c r="T49" s="95">
        <v>29135</v>
      </c>
      <c r="U49" s="85">
        <v>29167</v>
      </c>
      <c r="V49" s="82" t="s">
        <v>504</v>
      </c>
      <c r="W49" s="73" t="s">
        <v>74</v>
      </c>
      <c r="X49" s="73" t="s">
        <v>11</v>
      </c>
      <c r="Y49" s="83">
        <v>48.5</v>
      </c>
      <c r="AD49" s="82"/>
      <c r="AG49" s="83"/>
      <c r="AL49" s="82"/>
      <c r="AO49" s="83"/>
      <c r="AP49" s="82"/>
      <c r="AS49" s="83"/>
      <c r="AT49" s="164"/>
      <c r="AW49" s="83"/>
      <c r="BA49" s="84"/>
    </row>
    <row r="50" spans="1:53" s="73" customFormat="1">
      <c r="A50" s="102">
        <v>1980</v>
      </c>
      <c r="B50" s="85"/>
      <c r="C50" s="988" t="s">
        <v>1189</v>
      </c>
      <c r="D50" s="988"/>
      <c r="E50" s="73">
        <v>198</v>
      </c>
      <c r="G50" s="123">
        <v>14</v>
      </c>
      <c r="J50" s="134">
        <v>14</v>
      </c>
      <c r="K50" s="92">
        <f t="shared" si="1"/>
        <v>100</v>
      </c>
      <c r="L50" s="92">
        <f t="shared" si="1"/>
        <v>0</v>
      </c>
      <c r="M50" s="92">
        <f t="shared" si="1"/>
        <v>0</v>
      </c>
      <c r="N50" s="125">
        <f t="shared" si="2"/>
        <v>100</v>
      </c>
      <c r="O50" s="91">
        <v>48.5</v>
      </c>
      <c r="P50" s="92"/>
      <c r="Q50" s="92"/>
      <c r="R50" s="93">
        <f t="shared" si="3"/>
        <v>48.5</v>
      </c>
      <c r="S50" s="73">
        <v>4</v>
      </c>
      <c r="T50" s="81"/>
      <c r="U50" s="85"/>
      <c r="V50" s="82" t="s">
        <v>504</v>
      </c>
      <c r="W50" s="73" t="s">
        <v>74</v>
      </c>
      <c r="X50" s="73" t="s">
        <v>11</v>
      </c>
      <c r="Y50" s="83">
        <v>48.5</v>
      </c>
      <c r="AD50" s="82"/>
      <c r="AG50" s="83"/>
      <c r="AL50" s="82"/>
      <c r="AO50" s="83"/>
      <c r="AP50" s="82"/>
      <c r="AS50" s="83"/>
      <c r="AT50" s="164"/>
      <c r="AW50" s="83"/>
      <c r="BA50" s="84"/>
    </row>
    <row r="51" spans="1:53" s="334" customFormat="1">
      <c r="A51" s="386">
        <v>1980</v>
      </c>
      <c r="B51" s="355">
        <v>29419</v>
      </c>
      <c r="C51" s="992" t="s">
        <v>702</v>
      </c>
      <c r="D51" s="992"/>
      <c r="E51" s="334">
        <f>366-E50</f>
        <v>168</v>
      </c>
      <c r="F51" s="334">
        <v>5</v>
      </c>
      <c r="G51" s="419">
        <v>15</v>
      </c>
      <c r="J51" s="435">
        <v>15</v>
      </c>
      <c r="K51" s="384">
        <f>G51/$J51*100</f>
        <v>100</v>
      </c>
      <c r="L51" s="384">
        <f t="shared" ref="L51:M93" si="4">H51/$J51*100</f>
        <v>0</v>
      </c>
      <c r="M51" s="384">
        <f t="shared" si="4"/>
        <v>0</v>
      </c>
      <c r="N51" s="421">
        <f>K51+L51+M51</f>
        <v>100</v>
      </c>
      <c r="O51" s="383">
        <v>55.6</v>
      </c>
      <c r="P51" s="384"/>
      <c r="Q51" s="384"/>
      <c r="R51" s="385">
        <f t="shared" si="3"/>
        <v>55.6</v>
      </c>
      <c r="S51" s="334">
        <v>1</v>
      </c>
      <c r="T51" s="342">
        <v>29394</v>
      </c>
      <c r="U51" s="355">
        <v>29419</v>
      </c>
      <c r="V51" s="343" t="s">
        <v>504</v>
      </c>
      <c r="W51" s="334" t="s">
        <v>74</v>
      </c>
      <c r="X51" s="334" t="s">
        <v>11</v>
      </c>
      <c r="Y51" s="344">
        <v>55.6</v>
      </c>
      <c r="AD51" s="343"/>
      <c r="AG51" s="344"/>
      <c r="AL51" s="343"/>
      <c r="AO51" s="344"/>
      <c r="AP51" s="343"/>
      <c r="AS51" s="344"/>
      <c r="AT51" s="452"/>
      <c r="AW51" s="344"/>
      <c r="BA51" s="345"/>
    </row>
    <row r="52" spans="1:53" s="334" customFormat="1">
      <c r="A52" s="386">
        <v>1981</v>
      </c>
      <c r="B52" s="355"/>
      <c r="C52" s="992" t="s">
        <v>702</v>
      </c>
      <c r="D52" s="992"/>
      <c r="E52" s="334">
        <v>0</v>
      </c>
      <c r="G52" s="419">
        <v>15</v>
      </c>
      <c r="J52" s="435">
        <v>15</v>
      </c>
      <c r="K52" s="384">
        <f t="shared" ref="K52:K79" si="5">G52/$J52*100</f>
        <v>100</v>
      </c>
      <c r="L52" s="384">
        <f t="shared" si="4"/>
        <v>0</v>
      </c>
      <c r="M52" s="384">
        <f t="shared" si="4"/>
        <v>0</v>
      </c>
      <c r="N52" s="421">
        <f t="shared" ref="N52:N79" si="6">K52+L52+M52</f>
        <v>100</v>
      </c>
      <c r="O52" s="383">
        <v>55.6</v>
      </c>
      <c r="P52" s="384"/>
      <c r="Q52" s="384"/>
      <c r="R52" s="385">
        <f t="shared" si="3"/>
        <v>55.6</v>
      </c>
      <c r="S52" s="334">
        <v>1</v>
      </c>
      <c r="T52" s="357"/>
      <c r="U52" s="355"/>
      <c r="V52" s="343" t="s">
        <v>504</v>
      </c>
      <c r="W52" s="334" t="s">
        <v>74</v>
      </c>
      <c r="X52" s="334" t="s">
        <v>11</v>
      </c>
      <c r="Y52" s="344">
        <v>55.6</v>
      </c>
      <c r="AD52" s="343"/>
      <c r="AG52" s="344"/>
      <c r="AL52" s="343"/>
      <c r="AO52" s="344"/>
      <c r="AP52" s="343"/>
      <c r="AS52" s="344"/>
      <c r="AT52" s="452"/>
      <c r="AW52" s="344"/>
      <c r="BA52" s="345"/>
    </row>
    <row r="53" spans="1:53" s="334" customFormat="1">
      <c r="A53" s="386">
        <v>1981</v>
      </c>
      <c r="B53" s="355"/>
      <c r="C53" s="992" t="s">
        <v>702</v>
      </c>
      <c r="D53" s="992"/>
      <c r="E53" s="334">
        <v>365</v>
      </c>
      <c r="G53" s="419">
        <v>15</v>
      </c>
      <c r="J53" s="435">
        <v>15</v>
      </c>
      <c r="K53" s="384">
        <f t="shared" si="5"/>
        <v>100</v>
      </c>
      <c r="L53" s="384">
        <f t="shared" si="4"/>
        <v>0</v>
      </c>
      <c r="M53" s="384">
        <f t="shared" si="4"/>
        <v>0</v>
      </c>
      <c r="N53" s="421">
        <f t="shared" si="6"/>
        <v>100</v>
      </c>
      <c r="O53" s="383">
        <v>55.6</v>
      </c>
      <c r="P53" s="384"/>
      <c r="Q53" s="384"/>
      <c r="R53" s="385">
        <f t="shared" si="3"/>
        <v>55.6</v>
      </c>
      <c r="S53" s="334">
        <v>1</v>
      </c>
      <c r="T53" s="357"/>
      <c r="U53" s="355"/>
      <c r="V53" s="343" t="s">
        <v>504</v>
      </c>
      <c r="W53" s="334" t="s">
        <v>74</v>
      </c>
      <c r="X53" s="334" t="s">
        <v>11</v>
      </c>
      <c r="Y53" s="344">
        <v>55.6</v>
      </c>
      <c r="AD53" s="343"/>
      <c r="AG53" s="344"/>
      <c r="AL53" s="343"/>
      <c r="AO53" s="344"/>
      <c r="AP53" s="343"/>
      <c r="AS53" s="344"/>
      <c r="AT53" s="452"/>
      <c r="AW53" s="344"/>
      <c r="BA53" s="345"/>
    </row>
    <row r="54" spans="1:53" s="334" customFormat="1">
      <c r="A54" s="386">
        <v>1982</v>
      </c>
      <c r="B54" s="355"/>
      <c r="C54" s="992" t="s">
        <v>702</v>
      </c>
      <c r="D54" s="992"/>
      <c r="E54" s="334">
        <v>329</v>
      </c>
      <c r="G54" s="419">
        <v>15</v>
      </c>
      <c r="J54" s="435">
        <v>15</v>
      </c>
      <c r="K54" s="384">
        <f t="shared" si="5"/>
        <v>100</v>
      </c>
      <c r="L54" s="384">
        <f t="shared" si="4"/>
        <v>0</v>
      </c>
      <c r="M54" s="384">
        <f t="shared" si="4"/>
        <v>0</v>
      </c>
      <c r="N54" s="421">
        <f t="shared" si="6"/>
        <v>100</v>
      </c>
      <c r="O54" s="383">
        <v>55.6</v>
      </c>
      <c r="P54" s="384"/>
      <c r="Q54" s="384"/>
      <c r="R54" s="385">
        <f t="shared" si="3"/>
        <v>55.6</v>
      </c>
      <c r="S54" s="334">
        <v>1</v>
      </c>
      <c r="T54" s="357"/>
      <c r="U54" s="355"/>
      <c r="V54" s="343" t="s">
        <v>504</v>
      </c>
      <c r="W54" s="334" t="s">
        <v>74</v>
      </c>
      <c r="X54" s="334" t="s">
        <v>11</v>
      </c>
      <c r="Y54" s="344">
        <v>55.6</v>
      </c>
      <c r="AD54" s="343"/>
      <c r="AG54" s="344"/>
      <c r="AL54" s="343"/>
      <c r="AO54" s="344"/>
      <c r="AP54" s="343"/>
      <c r="AS54" s="344"/>
      <c r="AT54" s="452"/>
      <c r="AW54" s="344"/>
      <c r="BA54" s="345"/>
    </row>
    <row r="55" spans="1:53" s="73" customFormat="1">
      <c r="A55" s="102">
        <v>1982</v>
      </c>
      <c r="B55" s="85">
        <v>30281</v>
      </c>
      <c r="C55" s="988" t="s">
        <v>703</v>
      </c>
      <c r="D55" s="988"/>
      <c r="E55" s="73">
        <f>365-E54</f>
        <v>36</v>
      </c>
      <c r="F55" s="73">
        <v>2</v>
      </c>
      <c r="G55" s="123">
        <v>15</v>
      </c>
      <c r="J55" s="134">
        <v>15</v>
      </c>
      <c r="K55" s="92">
        <f t="shared" si="5"/>
        <v>100</v>
      </c>
      <c r="L55" s="92">
        <f t="shared" si="4"/>
        <v>0</v>
      </c>
      <c r="M55" s="92">
        <f t="shared" si="4"/>
        <v>0</v>
      </c>
      <c r="N55" s="125">
        <f t="shared" si="6"/>
        <v>100</v>
      </c>
      <c r="O55" s="91">
        <v>55.6</v>
      </c>
      <c r="P55" s="92"/>
      <c r="Q55" s="92"/>
      <c r="R55" s="93">
        <f t="shared" si="3"/>
        <v>55.6</v>
      </c>
      <c r="S55" s="73">
        <v>1</v>
      </c>
      <c r="T55" s="81"/>
      <c r="U55" s="85">
        <v>30281</v>
      </c>
      <c r="V55" s="82" t="s">
        <v>504</v>
      </c>
      <c r="W55" s="73" t="s">
        <v>74</v>
      </c>
      <c r="X55" s="73" t="s">
        <v>11</v>
      </c>
      <c r="Y55" s="83">
        <v>55.6</v>
      </c>
      <c r="AD55" s="82"/>
      <c r="AG55" s="83"/>
      <c r="AL55" s="82"/>
      <c r="AO55" s="83"/>
      <c r="AP55" s="82"/>
      <c r="AS55" s="83"/>
      <c r="AT55" s="164"/>
      <c r="AW55" s="83"/>
      <c r="BA55" s="84"/>
    </row>
    <row r="56" spans="1:53" s="73" customFormat="1">
      <c r="A56" s="102">
        <v>1983</v>
      </c>
      <c r="B56" s="85"/>
      <c r="C56" s="988" t="s">
        <v>703</v>
      </c>
      <c r="D56" s="988"/>
      <c r="E56" s="73">
        <v>359</v>
      </c>
      <c r="G56" s="123">
        <v>15</v>
      </c>
      <c r="J56" s="134">
        <v>15</v>
      </c>
      <c r="K56" s="92">
        <f t="shared" si="5"/>
        <v>100</v>
      </c>
      <c r="L56" s="92">
        <f t="shared" si="4"/>
        <v>0</v>
      </c>
      <c r="M56" s="92">
        <f t="shared" si="4"/>
        <v>0</v>
      </c>
      <c r="N56" s="125">
        <f t="shared" si="6"/>
        <v>100</v>
      </c>
      <c r="O56" s="91">
        <v>55.6</v>
      </c>
      <c r="P56" s="92"/>
      <c r="Q56" s="92"/>
      <c r="R56" s="93">
        <f t="shared" si="3"/>
        <v>55.6</v>
      </c>
      <c r="S56" s="73">
        <v>1</v>
      </c>
      <c r="T56" s="81"/>
      <c r="U56" s="85"/>
      <c r="V56" s="82" t="s">
        <v>504</v>
      </c>
      <c r="W56" s="73" t="s">
        <v>74</v>
      </c>
      <c r="X56" s="73" t="s">
        <v>11</v>
      </c>
      <c r="Y56" s="83">
        <v>55.6</v>
      </c>
      <c r="AD56" s="82"/>
      <c r="AG56" s="83"/>
      <c r="AL56" s="82"/>
      <c r="AO56" s="83"/>
      <c r="AP56" s="82"/>
      <c r="AS56" s="83"/>
      <c r="AT56" s="164"/>
      <c r="AW56" s="83"/>
      <c r="BA56" s="84"/>
    </row>
    <row r="57" spans="1:53" s="334" customFormat="1">
      <c r="A57" s="386">
        <v>1983</v>
      </c>
      <c r="B57" s="355">
        <v>30676</v>
      </c>
      <c r="C57" s="992" t="s">
        <v>704</v>
      </c>
      <c r="D57" s="992"/>
      <c r="E57" s="334">
        <f>365-E56</f>
        <v>6</v>
      </c>
      <c r="F57" s="334">
        <v>1</v>
      </c>
      <c r="G57" s="419">
        <v>15</v>
      </c>
      <c r="J57" s="435">
        <v>15</v>
      </c>
      <c r="K57" s="384">
        <f t="shared" si="5"/>
        <v>100</v>
      </c>
      <c r="L57" s="384">
        <f t="shared" si="4"/>
        <v>0</v>
      </c>
      <c r="M57" s="384">
        <f t="shared" si="4"/>
        <v>0</v>
      </c>
      <c r="N57" s="421">
        <f t="shared" si="6"/>
        <v>100</v>
      </c>
      <c r="O57" s="383">
        <f t="shared" ref="O57:O62" si="7">Y57+AC57</f>
        <v>50.5</v>
      </c>
      <c r="P57" s="384"/>
      <c r="Q57" s="384"/>
      <c r="R57" s="385">
        <f t="shared" si="3"/>
        <v>50.5</v>
      </c>
      <c r="S57" s="334">
        <v>2</v>
      </c>
      <c r="T57" s="342">
        <v>30668</v>
      </c>
      <c r="U57" s="355">
        <v>30676</v>
      </c>
      <c r="V57" s="343" t="s">
        <v>504</v>
      </c>
      <c r="W57" s="334" t="s">
        <v>74</v>
      </c>
      <c r="X57" s="334" t="s">
        <v>11</v>
      </c>
      <c r="Y57" s="344">
        <v>48.9</v>
      </c>
      <c r="Z57" s="334" t="s">
        <v>505</v>
      </c>
      <c r="AA57" s="334" t="s">
        <v>22</v>
      </c>
      <c r="AB57" s="334" t="s">
        <v>11</v>
      </c>
      <c r="AC57" s="334">
        <v>1.6</v>
      </c>
      <c r="AD57" s="343"/>
      <c r="AG57" s="344"/>
      <c r="AL57" s="343"/>
      <c r="AO57" s="344"/>
      <c r="AP57" s="343"/>
      <c r="AS57" s="344"/>
      <c r="AT57" s="452"/>
      <c r="AW57" s="344"/>
      <c r="BA57" s="345"/>
    </row>
    <row r="58" spans="1:53" s="334" customFormat="1">
      <c r="A58" s="386">
        <v>1984</v>
      </c>
      <c r="B58" s="355"/>
      <c r="C58" s="992" t="s">
        <v>704</v>
      </c>
      <c r="D58" s="992"/>
      <c r="E58" s="334">
        <v>305</v>
      </c>
      <c r="G58" s="419">
        <v>15</v>
      </c>
      <c r="J58" s="435">
        <v>15</v>
      </c>
      <c r="K58" s="384">
        <f t="shared" si="5"/>
        <v>100</v>
      </c>
      <c r="L58" s="384">
        <f t="shared" si="4"/>
        <v>0</v>
      </c>
      <c r="M58" s="384">
        <f t="shared" si="4"/>
        <v>0</v>
      </c>
      <c r="N58" s="421">
        <f t="shared" si="6"/>
        <v>100</v>
      </c>
      <c r="O58" s="383">
        <f t="shared" si="7"/>
        <v>50.5</v>
      </c>
      <c r="P58" s="384"/>
      <c r="Q58" s="384"/>
      <c r="R58" s="385">
        <f t="shared" si="3"/>
        <v>50.5</v>
      </c>
      <c r="S58" s="334">
        <v>2</v>
      </c>
      <c r="T58" s="357"/>
      <c r="U58" s="355"/>
      <c r="V58" s="343" t="s">
        <v>504</v>
      </c>
      <c r="W58" s="334" t="s">
        <v>74</v>
      </c>
      <c r="X58" s="334" t="s">
        <v>11</v>
      </c>
      <c r="Y58" s="344">
        <v>48.9</v>
      </c>
      <c r="Z58" s="334" t="s">
        <v>505</v>
      </c>
      <c r="AA58" s="334" t="s">
        <v>22</v>
      </c>
      <c r="AB58" s="334" t="s">
        <v>11</v>
      </c>
      <c r="AC58" s="334">
        <v>1.6</v>
      </c>
      <c r="AD58" s="343"/>
      <c r="AG58" s="344"/>
      <c r="AL58" s="343"/>
      <c r="AO58" s="344"/>
      <c r="AP58" s="343"/>
      <c r="AS58" s="344"/>
      <c r="AT58" s="452"/>
      <c r="AW58" s="344"/>
      <c r="BA58" s="345"/>
    </row>
    <row r="59" spans="1:53" s="73" customFormat="1">
      <c r="A59" s="102">
        <v>1984</v>
      </c>
      <c r="B59" s="85">
        <v>30987</v>
      </c>
      <c r="C59" s="988" t="s">
        <v>705</v>
      </c>
      <c r="D59" s="988"/>
      <c r="E59" s="73">
        <f>366-E58</f>
        <v>61</v>
      </c>
      <c r="F59" s="73" t="s">
        <v>319</v>
      </c>
      <c r="G59" s="123">
        <v>15</v>
      </c>
      <c r="J59" s="134">
        <v>15</v>
      </c>
      <c r="K59" s="92">
        <f t="shared" si="5"/>
        <v>100</v>
      </c>
      <c r="L59" s="92">
        <f t="shared" si="4"/>
        <v>0</v>
      </c>
      <c r="M59" s="92">
        <f t="shared" si="4"/>
        <v>0</v>
      </c>
      <c r="N59" s="125">
        <f t="shared" si="6"/>
        <v>100</v>
      </c>
      <c r="O59" s="91">
        <f t="shared" si="7"/>
        <v>50.5</v>
      </c>
      <c r="P59" s="92"/>
      <c r="Q59" s="92"/>
      <c r="R59" s="93">
        <f t="shared" si="3"/>
        <v>50.5</v>
      </c>
      <c r="S59" s="73">
        <v>2</v>
      </c>
      <c r="T59" s="81"/>
      <c r="U59" s="85">
        <v>30987</v>
      </c>
      <c r="V59" s="82" t="s">
        <v>504</v>
      </c>
      <c r="W59" s="73" t="s">
        <v>74</v>
      </c>
      <c r="X59" s="73" t="s">
        <v>11</v>
      </c>
      <c r="Y59" s="83">
        <v>48.9</v>
      </c>
      <c r="Z59" s="73" t="s">
        <v>505</v>
      </c>
      <c r="AA59" s="73" t="s">
        <v>22</v>
      </c>
      <c r="AB59" s="73" t="s">
        <v>11</v>
      </c>
      <c r="AC59" s="73">
        <v>1.6</v>
      </c>
      <c r="AD59" s="82"/>
      <c r="AG59" s="83"/>
      <c r="AL59" s="82"/>
      <c r="AO59" s="83"/>
      <c r="AP59" s="82"/>
      <c r="AS59" s="83"/>
      <c r="AT59" s="164"/>
      <c r="AW59" s="83"/>
      <c r="BA59" s="84"/>
    </row>
    <row r="60" spans="1:53" s="73" customFormat="1">
      <c r="A60" s="102">
        <v>1985</v>
      </c>
      <c r="B60" s="85"/>
      <c r="C60" s="988" t="s">
        <v>705</v>
      </c>
      <c r="D60" s="988"/>
      <c r="E60" s="73">
        <v>0</v>
      </c>
      <c r="G60" s="123">
        <v>15</v>
      </c>
      <c r="J60" s="134">
        <v>15</v>
      </c>
      <c r="K60" s="92">
        <f t="shared" si="5"/>
        <v>100</v>
      </c>
      <c r="L60" s="92">
        <f t="shared" si="4"/>
        <v>0</v>
      </c>
      <c r="M60" s="92">
        <f t="shared" si="4"/>
        <v>0</v>
      </c>
      <c r="N60" s="125">
        <f t="shared" si="6"/>
        <v>100</v>
      </c>
      <c r="O60" s="91">
        <f t="shared" si="7"/>
        <v>50.5</v>
      </c>
      <c r="P60" s="92"/>
      <c r="Q60" s="92"/>
      <c r="R60" s="93">
        <f t="shared" si="3"/>
        <v>50.5</v>
      </c>
      <c r="S60" s="73">
        <v>2</v>
      </c>
      <c r="T60" s="81"/>
      <c r="U60" s="85"/>
      <c r="V60" s="82" t="s">
        <v>504</v>
      </c>
      <c r="W60" s="73" t="s">
        <v>74</v>
      </c>
      <c r="X60" s="73" t="s">
        <v>11</v>
      </c>
      <c r="Y60" s="83">
        <v>48.9</v>
      </c>
      <c r="Z60" s="73" t="s">
        <v>505</v>
      </c>
      <c r="AA60" s="73" t="s">
        <v>22</v>
      </c>
      <c r="AB60" s="73" t="s">
        <v>11</v>
      </c>
      <c r="AC60" s="73">
        <v>1.6</v>
      </c>
      <c r="AD60" s="82"/>
      <c r="AG60" s="83"/>
      <c r="AL60" s="82"/>
      <c r="AO60" s="83"/>
      <c r="AP60" s="82"/>
      <c r="AS60" s="83"/>
      <c r="AT60" s="164"/>
      <c r="AW60" s="83"/>
      <c r="BA60" s="84"/>
    </row>
    <row r="61" spans="1:53" s="73" customFormat="1">
      <c r="A61" s="102">
        <v>1985</v>
      </c>
      <c r="B61" s="85"/>
      <c r="C61" s="988" t="s">
        <v>705</v>
      </c>
      <c r="D61" s="988"/>
      <c r="E61" s="73">
        <v>365</v>
      </c>
      <c r="G61" s="123">
        <v>15</v>
      </c>
      <c r="J61" s="134">
        <v>15</v>
      </c>
      <c r="K61" s="92">
        <f t="shared" si="5"/>
        <v>100</v>
      </c>
      <c r="L61" s="92">
        <f t="shared" si="4"/>
        <v>0</v>
      </c>
      <c r="M61" s="92">
        <f t="shared" si="4"/>
        <v>0</v>
      </c>
      <c r="N61" s="125">
        <f t="shared" si="6"/>
        <v>100</v>
      </c>
      <c r="O61" s="91">
        <f t="shared" si="7"/>
        <v>50.5</v>
      </c>
      <c r="P61" s="92"/>
      <c r="Q61" s="92"/>
      <c r="R61" s="93">
        <f t="shared" si="3"/>
        <v>50.5</v>
      </c>
      <c r="S61" s="73">
        <v>2</v>
      </c>
      <c r="T61" s="81"/>
      <c r="U61" s="85"/>
      <c r="V61" s="82" t="s">
        <v>504</v>
      </c>
      <c r="W61" s="73" t="s">
        <v>74</v>
      </c>
      <c r="X61" s="73" t="s">
        <v>11</v>
      </c>
      <c r="Y61" s="83">
        <v>48.9</v>
      </c>
      <c r="Z61" s="73" t="s">
        <v>505</v>
      </c>
      <c r="AA61" s="73" t="s">
        <v>22</v>
      </c>
      <c r="AB61" s="73" t="s">
        <v>11</v>
      </c>
      <c r="AC61" s="73">
        <v>1.6</v>
      </c>
      <c r="AD61" s="82"/>
      <c r="AG61" s="83"/>
      <c r="AL61" s="82"/>
      <c r="AO61" s="83"/>
      <c r="AP61" s="82"/>
      <c r="AS61" s="83"/>
      <c r="AT61" s="164"/>
      <c r="AW61" s="83"/>
      <c r="BA61" s="84"/>
    </row>
    <row r="62" spans="1:53" s="73" customFormat="1">
      <c r="A62" s="102">
        <v>1986</v>
      </c>
      <c r="B62" s="85"/>
      <c r="C62" s="988" t="s">
        <v>705</v>
      </c>
      <c r="D62" s="988"/>
      <c r="E62" s="73">
        <v>202</v>
      </c>
      <c r="G62" s="123">
        <v>15</v>
      </c>
      <c r="J62" s="134">
        <v>15</v>
      </c>
      <c r="K62" s="92">
        <f t="shared" si="5"/>
        <v>100</v>
      </c>
      <c r="L62" s="92">
        <f t="shared" si="4"/>
        <v>0</v>
      </c>
      <c r="M62" s="92">
        <f t="shared" si="4"/>
        <v>0</v>
      </c>
      <c r="N62" s="125">
        <f t="shared" si="6"/>
        <v>100</v>
      </c>
      <c r="O62" s="91">
        <f t="shared" si="7"/>
        <v>50.5</v>
      </c>
      <c r="P62" s="92"/>
      <c r="Q62" s="92"/>
      <c r="R62" s="93">
        <f t="shared" si="3"/>
        <v>50.5</v>
      </c>
      <c r="S62" s="73">
        <v>2</v>
      </c>
      <c r="T62" s="81"/>
      <c r="U62" s="85"/>
      <c r="V62" s="82" t="s">
        <v>504</v>
      </c>
      <c r="W62" s="73" t="s">
        <v>74</v>
      </c>
      <c r="X62" s="73" t="s">
        <v>11</v>
      </c>
      <c r="Y62" s="83">
        <v>48.9</v>
      </c>
      <c r="Z62" s="73" t="s">
        <v>505</v>
      </c>
      <c r="AA62" s="73" t="s">
        <v>22</v>
      </c>
      <c r="AB62" s="73" t="s">
        <v>11</v>
      </c>
      <c r="AC62" s="73">
        <v>1.6</v>
      </c>
      <c r="AD62" s="82"/>
      <c r="AG62" s="83"/>
      <c r="AL62" s="82"/>
      <c r="AO62" s="83"/>
      <c r="AP62" s="82"/>
      <c r="AS62" s="83"/>
      <c r="AT62" s="164"/>
      <c r="AW62" s="83"/>
      <c r="BA62" s="84"/>
    </row>
    <row r="63" spans="1:53" s="334" customFormat="1">
      <c r="A63" s="386">
        <v>1986</v>
      </c>
      <c r="B63" s="355">
        <v>31615</v>
      </c>
      <c r="C63" s="992" t="s">
        <v>706</v>
      </c>
      <c r="D63" s="992"/>
      <c r="E63" s="334">
        <f>365-E62</f>
        <v>163</v>
      </c>
      <c r="F63" s="334">
        <v>1</v>
      </c>
      <c r="G63" s="419">
        <v>16</v>
      </c>
      <c r="J63" s="435">
        <v>16</v>
      </c>
      <c r="K63" s="384">
        <f t="shared" si="5"/>
        <v>100</v>
      </c>
      <c r="L63" s="384">
        <f t="shared" si="4"/>
        <v>0</v>
      </c>
      <c r="M63" s="384">
        <f t="shared" si="4"/>
        <v>0</v>
      </c>
      <c r="N63" s="421">
        <f t="shared" si="6"/>
        <v>100</v>
      </c>
      <c r="O63" s="383">
        <v>58.6</v>
      </c>
      <c r="P63" s="384"/>
      <c r="Q63" s="384"/>
      <c r="R63" s="385">
        <f t="shared" si="3"/>
        <v>58.6</v>
      </c>
      <c r="S63" s="334">
        <v>1</v>
      </c>
      <c r="T63" s="342">
        <v>31599</v>
      </c>
      <c r="U63" s="355">
        <v>31615</v>
      </c>
      <c r="V63" s="343" t="s">
        <v>504</v>
      </c>
      <c r="W63" s="334" t="s">
        <v>74</v>
      </c>
      <c r="X63" s="334" t="s">
        <v>11</v>
      </c>
      <c r="Y63" s="344">
        <v>58.6</v>
      </c>
      <c r="AD63" s="343"/>
      <c r="AG63" s="344"/>
      <c r="AL63" s="343"/>
      <c r="AO63" s="344"/>
      <c r="AP63" s="343"/>
      <c r="AS63" s="344"/>
      <c r="AT63" s="452"/>
      <c r="AW63" s="344"/>
      <c r="BA63" s="345"/>
    </row>
    <row r="64" spans="1:53" s="334" customFormat="1">
      <c r="A64" s="386">
        <v>1987</v>
      </c>
      <c r="B64" s="355"/>
      <c r="C64" s="992" t="s">
        <v>706</v>
      </c>
      <c r="D64" s="992"/>
      <c r="E64" s="334">
        <v>309</v>
      </c>
      <c r="G64" s="419">
        <v>16</v>
      </c>
      <c r="J64" s="435">
        <v>16</v>
      </c>
      <c r="K64" s="384">
        <f t="shared" si="5"/>
        <v>100</v>
      </c>
      <c r="L64" s="384">
        <f t="shared" si="4"/>
        <v>0</v>
      </c>
      <c r="M64" s="384">
        <f t="shared" si="4"/>
        <v>0</v>
      </c>
      <c r="N64" s="421">
        <f t="shared" si="6"/>
        <v>100</v>
      </c>
      <c r="O64" s="383">
        <v>58.6</v>
      </c>
      <c r="P64" s="384"/>
      <c r="Q64" s="384"/>
      <c r="R64" s="385">
        <f t="shared" si="3"/>
        <v>58.6</v>
      </c>
      <c r="S64" s="334">
        <v>1</v>
      </c>
      <c r="T64" s="357"/>
      <c r="U64" s="355"/>
      <c r="V64" s="343" t="s">
        <v>504</v>
      </c>
      <c r="W64" s="334" t="s">
        <v>74</v>
      </c>
      <c r="X64" s="334" t="s">
        <v>11</v>
      </c>
      <c r="Y64" s="344">
        <v>58.6</v>
      </c>
      <c r="AD64" s="343"/>
      <c r="AG64" s="344"/>
      <c r="AL64" s="343"/>
      <c r="AO64" s="344"/>
      <c r="AP64" s="343"/>
      <c r="AS64" s="344"/>
      <c r="AT64" s="452"/>
      <c r="AW64" s="344"/>
      <c r="BA64" s="345"/>
    </row>
    <row r="65" spans="1:53" s="73" customFormat="1">
      <c r="A65" s="102">
        <v>1987</v>
      </c>
      <c r="B65" s="85">
        <v>32087</v>
      </c>
      <c r="C65" s="988" t="s">
        <v>707</v>
      </c>
      <c r="D65" s="988"/>
      <c r="E65" s="73">
        <f>365-E64</f>
        <v>56</v>
      </c>
      <c r="F65" s="73">
        <v>2</v>
      </c>
      <c r="G65" s="123">
        <v>15</v>
      </c>
      <c r="J65" s="134">
        <v>15</v>
      </c>
      <c r="K65" s="92">
        <f t="shared" si="5"/>
        <v>100</v>
      </c>
      <c r="L65" s="92">
        <f t="shared" si="4"/>
        <v>0</v>
      </c>
      <c r="M65" s="92">
        <f t="shared" si="4"/>
        <v>0</v>
      </c>
      <c r="N65" s="125">
        <f t="shared" si="6"/>
        <v>100</v>
      </c>
      <c r="O65" s="91">
        <v>58.6</v>
      </c>
      <c r="P65" s="92"/>
      <c r="Q65" s="92"/>
      <c r="R65" s="93">
        <f t="shared" si="3"/>
        <v>58.6</v>
      </c>
      <c r="S65" s="73">
        <v>1</v>
      </c>
      <c r="T65" s="81"/>
      <c r="U65" s="85">
        <v>32087</v>
      </c>
      <c r="V65" s="82" t="s">
        <v>504</v>
      </c>
      <c r="W65" s="73" t="s">
        <v>74</v>
      </c>
      <c r="X65" s="73" t="s">
        <v>11</v>
      </c>
      <c r="Y65" s="83">
        <v>58.6</v>
      </c>
      <c r="AD65" s="82"/>
      <c r="AG65" s="83"/>
      <c r="AL65" s="82"/>
      <c r="AO65" s="83"/>
      <c r="AP65" s="82"/>
      <c r="AS65" s="83"/>
      <c r="AT65" s="164"/>
      <c r="AW65" s="83"/>
      <c r="BA65" s="84"/>
    </row>
    <row r="66" spans="1:53" s="73" customFormat="1">
      <c r="A66" s="102">
        <v>1988</v>
      </c>
      <c r="B66" s="85"/>
      <c r="C66" s="988" t="s">
        <v>707</v>
      </c>
      <c r="D66" s="988"/>
      <c r="E66" s="73">
        <v>0</v>
      </c>
      <c r="G66" s="123">
        <v>15</v>
      </c>
      <c r="J66" s="134">
        <v>15</v>
      </c>
      <c r="K66" s="92">
        <f t="shared" si="5"/>
        <v>100</v>
      </c>
      <c r="L66" s="92">
        <f t="shared" si="4"/>
        <v>0</v>
      </c>
      <c r="M66" s="92">
        <f t="shared" si="4"/>
        <v>0</v>
      </c>
      <c r="N66" s="125">
        <f t="shared" si="6"/>
        <v>100</v>
      </c>
      <c r="O66" s="91">
        <v>58.6</v>
      </c>
      <c r="P66" s="92"/>
      <c r="Q66" s="92"/>
      <c r="R66" s="93">
        <f t="shared" si="3"/>
        <v>58.6</v>
      </c>
      <c r="S66" s="73">
        <v>1</v>
      </c>
      <c r="T66" s="81"/>
      <c r="V66" s="82" t="s">
        <v>504</v>
      </c>
      <c r="W66" s="73" t="s">
        <v>74</v>
      </c>
      <c r="X66" s="73" t="s">
        <v>11</v>
      </c>
      <c r="Y66" s="83">
        <v>58.6</v>
      </c>
      <c r="AD66" s="82"/>
      <c r="AG66" s="83"/>
      <c r="AL66" s="82"/>
      <c r="AO66" s="83"/>
      <c r="AP66" s="82"/>
      <c r="AS66" s="83"/>
      <c r="AT66" s="164"/>
      <c r="AW66" s="83"/>
      <c r="BA66" s="84"/>
    </row>
    <row r="67" spans="1:53" s="73" customFormat="1">
      <c r="A67" s="102">
        <v>1988</v>
      </c>
      <c r="B67" s="85"/>
      <c r="C67" s="988" t="s">
        <v>707</v>
      </c>
      <c r="D67" s="988"/>
      <c r="E67" s="73">
        <v>366</v>
      </c>
      <c r="G67" s="123">
        <v>15</v>
      </c>
      <c r="J67" s="134">
        <v>15</v>
      </c>
      <c r="K67" s="92">
        <f t="shared" si="5"/>
        <v>100</v>
      </c>
      <c r="L67" s="92">
        <f t="shared" si="4"/>
        <v>0</v>
      </c>
      <c r="M67" s="92">
        <f t="shared" si="4"/>
        <v>0</v>
      </c>
      <c r="N67" s="125">
        <f t="shared" si="6"/>
        <v>100</v>
      </c>
      <c r="O67" s="91">
        <v>58.6</v>
      </c>
      <c r="P67" s="92"/>
      <c r="Q67" s="92"/>
      <c r="R67" s="93">
        <f t="shared" si="3"/>
        <v>58.6</v>
      </c>
      <c r="S67" s="73">
        <v>1</v>
      </c>
      <c r="T67" s="81"/>
      <c r="V67" s="82" t="s">
        <v>504</v>
      </c>
      <c r="W67" s="73" t="s">
        <v>74</v>
      </c>
      <c r="X67" s="73" t="s">
        <v>11</v>
      </c>
      <c r="Y67" s="83">
        <v>58.6</v>
      </c>
      <c r="AD67" s="82"/>
      <c r="AG67" s="83"/>
      <c r="AL67" s="82"/>
      <c r="AO67" s="83"/>
      <c r="AP67" s="82"/>
      <c r="AS67" s="83"/>
      <c r="AT67" s="164"/>
      <c r="AW67" s="83"/>
      <c r="BA67" s="84"/>
    </row>
    <row r="68" spans="1:53" s="73" customFormat="1">
      <c r="A68" s="102">
        <v>1989</v>
      </c>
      <c r="B68" s="85"/>
      <c r="C68" s="988" t="s">
        <v>707</v>
      </c>
      <c r="D68" s="988"/>
      <c r="E68" s="73">
        <v>153</v>
      </c>
      <c r="G68" s="123">
        <v>15</v>
      </c>
      <c r="J68" s="134">
        <v>15</v>
      </c>
      <c r="K68" s="92">
        <f t="shared" si="5"/>
        <v>100</v>
      </c>
      <c r="L68" s="92">
        <f t="shared" si="4"/>
        <v>0</v>
      </c>
      <c r="M68" s="92">
        <f t="shared" si="4"/>
        <v>0</v>
      </c>
      <c r="N68" s="125">
        <f t="shared" si="6"/>
        <v>100</v>
      </c>
      <c r="O68" s="91">
        <v>58.6</v>
      </c>
      <c r="P68" s="92"/>
      <c r="Q68" s="92"/>
      <c r="R68" s="93">
        <f t="shared" si="3"/>
        <v>58.6</v>
      </c>
      <c r="S68" s="73">
        <v>1</v>
      </c>
      <c r="T68" s="81"/>
      <c r="V68" s="82" t="s">
        <v>504</v>
      </c>
      <c r="W68" s="73" t="s">
        <v>74</v>
      </c>
      <c r="X68" s="73" t="s">
        <v>11</v>
      </c>
      <c r="Y68" s="83">
        <v>58.6</v>
      </c>
      <c r="AD68" s="82"/>
      <c r="AG68" s="83"/>
      <c r="AL68" s="82"/>
      <c r="AO68" s="83"/>
      <c r="AP68" s="82"/>
      <c r="AS68" s="83"/>
      <c r="AT68" s="164"/>
      <c r="AW68" s="83"/>
      <c r="BA68" s="84"/>
    </row>
    <row r="69" spans="1:53" s="334" customFormat="1">
      <c r="A69" s="386">
        <v>1989</v>
      </c>
      <c r="B69" s="355">
        <v>32662</v>
      </c>
      <c r="C69" s="992" t="s">
        <v>708</v>
      </c>
      <c r="D69" s="992"/>
      <c r="E69" s="334">
        <v>67</v>
      </c>
      <c r="F69" s="334">
        <v>2</v>
      </c>
      <c r="G69" s="419">
        <v>15</v>
      </c>
      <c r="J69" s="435">
        <v>15</v>
      </c>
      <c r="K69" s="384">
        <f t="shared" si="5"/>
        <v>100</v>
      </c>
      <c r="L69" s="384">
        <f t="shared" si="4"/>
        <v>0</v>
      </c>
      <c r="M69" s="384">
        <f t="shared" si="4"/>
        <v>0</v>
      </c>
      <c r="N69" s="421">
        <f t="shared" si="6"/>
        <v>100</v>
      </c>
      <c r="O69" s="383">
        <v>58.6</v>
      </c>
      <c r="P69" s="384"/>
      <c r="Q69" s="384"/>
      <c r="R69" s="385">
        <f t="shared" si="3"/>
        <v>58.6</v>
      </c>
      <c r="S69" s="334">
        <v>1</v>
      </c>
      <c r="T69" s="357"/>
      <c r="U69" s="355">
        <v>32662</v>
      </c>
      <c r="V69" s="343" t="s">
        <v>504</v>
      </c>
      <c r="W69" s="334" t="s">
        <v>74</v>
      </c>
      <c r="X69" s="334" t="s">
        <v>11</v>
      </c>
      <c r="Y69" s="344">
        <v>58.6</v>
      </c>
      <c r="AD69" s="343"/>
      <c r="AG69" s="344"/>
      <c r="AL69" s="343"/>
      <c r="AO69" s="344"/>
      <c r="AP69" s="343"/>
      <c r="AS69" s="344"/>
      <c r="AT69" s="452"/>
      <c r="AW69" s="344"/>
      <c r="BA69" s="345"/>
    </row>
    <row r="70" spans="1:53" s="136" customFormat="1">
      <c r="A70" s="162">
        <v>1989</v>
      </c>
      <c r="B70" s="137">
        <v>32729</v>
      </c>
      <c r="C70" s="1027" t="s">
        <v>709</v>
      </c>
      <c r="D70" s="1027"/>
      <c r="E70" s="136">
        <f>365-E68-E69</f>
        <v>145</v>
      </c>
      <c r="F70" s="136">
        <v>2</v>
      </c>
      <c r="G70" s="123">
        <v>15</v>
      </c>
      <c r="H70" s="73"/>
      <c r="I70" s="73"/>
      <c r="J70" s="134">
        <v>15</v>
      </c>
      <c r="K70" s="92">
        <f t="shared" si="5"/>
        <v>100</v>
      </c>
      <c r="L70" s="92">
        <f t="shared" si="4"/>
        <v>0</v>
      </c>
      <c r="M70" s="92">
        <f t="shared" si="4"/>
        <v>0</v>
      </c>
      <c r="N70" s="125">
        <f t="shared" si="6"/>
        <v>100</v>
      </c>
      <c r="O70" s="91">
        <v>58.6</v>
      </c>
      <c r="P70" s="92"/>
      <c r="Q70" s="92"/>
      <c r="R70" s="93">
        <f t="shared" si="3"/>
        <v>58.6</v>
      </c>
      <c r="S70" s="73">
        <v>1</v>
      </c>
      <c r="T70" s="81"/>
      <c r="U70" s="85">
        <v>32729</v>
      </c>
      <c r="V70" s="82" t="s">
        <v>504</v>
      </c>
      <c r="W70" s="73" t="s">
        <v>74</v>
      </c>
      <c r="X70" s="73" t="s">
        <v>11</v>
      </c>
      <c r="Y70" s="83">
        <v>58.6</v>
      </c>
      <c r="AD70" s="146"/>
      <c r="AG70" s="147"/>
      <c r="AL70" s="146"/>
      <c r="AO70" s="147"/>
      <c r="AP70" s="146"/>
      <c r="AS70" s="147"/>
      <c r="AT70" s="187"/>
      <c r="AW70" s="147"/>
      <c r="BA70" s="148"/>
    </row>
    <row r="71" spans="1:53" s="73" customFormat="1">
      <c r="A71" s="73">
        <v>1990</v>
      </c>
      <c r="C71" s="1032" t="s">
        <v>709</v>
      </c>
      <c r="D71" s="1032"/>
      <c r="E71" s="73">
        <v>58</v>
      </c>
      <c r="G71" s="165">
        <v>15</v>
      </c>
      <c r="H71" s="151"/>
      <c r="I71" s="151"/>
      <c r="J71" s="166">
        <v>15</v>
      </c>
      <c r="K71" s="167">
        <f t="shared" si="5"/>
        <v>100</v>
      </c>
      <c r="L71" s="167">
        <f t="shared" si="4"/>
        <v>0</v>
      </c>
      <c r="M71" s="167">
        <f t="shared" si="4"/>
        <v>0</v>
      </c>
      <c r="N71" s="168">
        <f t="shared" si="6"/>
        <v>100</v>
      </c>
      <c r="O71" s="169">
        <v>58.6</v>
      </c>
      <c r="P71" s="167"/>
      <c r="Q71" s="167"/>
      <c r="R71" s="170">
        <f t="shared" si="3"/>
        <v>58.6</v>
      </c>
      <c r="S71" s="151">
        <v>1</v>
      </c>
      <c r="T71" s="171"/>
      <c r="U71" s="151"/>
      <c r="V71" s="172" t="s">
        <v>504</v>
      </c>
      <c r="W71" s="151" t="s">
        <v>74</v>
      </c>
      <c r="X71" s="151" t="s">
        <v>11</v>
      </c>
      <c r="Y71" s="173">
        <v>58.6</v>
      </c>
      <c r="AD71" s="82"/>
      <c r="AG71" s="83"/>
      <c r="AL71" s="82"/>
      <c r="AO71" s="83"/>
      <c r="AP71" s="82"/>
      <c r="AS71" s="83"/>
      <c r="AT71" s="164"/>
      <c r="AW71" s="83"/>
      <c r="BA71" s="84"/>
    </row>
    <row r="72" spans="1:53" s="334" customFormat="1">
      <c r="A72" s="334">
        <v>1990</v>
      </c>
      <c r="B72" s="355">
        <v>32932</v>
      </c>
      <c r="C72" s="992" t="s">
        <v>320</v>
      </c>
      <c r="D72" s="992"/>
      <c r="E72" s="334">
        <f>365-E71</f>
        <v>307</v>
      </c>
      <c r="F72" s="334">
        <v>1</v>
      </c>
      <c r="G72" s="419">
        <v>22</v>
      </c>
      <c r="J72" s="435">
        <v>22</v>
      </c>
      <c r="K72" s="384">
        <f t="shared" si="5"/>
        <v>100</v>
      </c>
      <c r="L72" s="384">
        <f t="shared" si="4"/>
        <v>0</v>
      </c>
      <c r="M72" s="384">
        <f t="shared" si="4"/>
        <v>0</v>
      </c>
      <c r="N72" s="421">
        <f t="shared" si="6"/>
        <v>100</v>
      </c>
      <c r="O72" s="383">
        <v>53.7</v>
      </c>
      <c r="P72" s="384"/>
      <c r="Q72" s="384"/>
      <c r="R72" s="385">
        <f t="shared" si="3"/>
        <v>53.7</v>
      </c>
      <c r="S72" s="334">
        <v>1</v>
      </c>
      <c r="T72" s="342">
        <v>32922</v>
      </c>
      <c r="U72" s="355">
        <v>32932</v>
      </c>
      <c r="V72" s="343" t="s">
        <v>504</v>
      </c>
      <c r="W72" s="334" t="s">
        <v>74</v>
      </c>
      <c r="X72" s="334" t="s">
        <v>11</v>
      </c>
      <c r="Y72" s="344">
        <v>53.7</v>
      </c>
      <c r="AD72" s="343"/>
      <c r="AG72" s="344"/>
      <c r="AL72" s="343"/>
      <c r="AO72" s="344"/>
      <c r="AP72" s="343"/>
      <c r="AS72" s="344"/>
      <c r="AT72" s="452"/>
      <c r="AW72" s="344"/>
      <c r="BA72" s="345"/>
    </row>
    <row r="73" spans="1:53" s="334" customFormat="1">
      <c r="A73" s="334">
        <v>1991</v>
      </c>
      <c r="C73" s="992" t="s">
        <v>320</v>
      </c>
      <c r="D73" s="992"/>
      <c r="E73" s="334">
        <v>308</v>
      </c>
      <c r="G73" s="419">
        <v>22</v>
      </c>
      <c r="J73" s="435">
        <v>22</v>
      </c>
      <c r="K73" s="384">
        <f t="shared" si="5"/>
        <v>100</v>
      </c>
      <c r="L73" s="384">
        <f t="shared" si="4"/>
        <v>0</v>
      </c>
      <c r="M73" s="384">
        <f t="shared" si="4"/>
        <v>0</v>
      </c>
      <c r="N73" s="421">
        <f t="shared" si="6"/>
        <v>100</v>
      </c>
      <c r="O73" s="383">
        <v>53.7</v>
      </c>
      <c r="P73" s="384"/>
      <c r="Q73" s="384"/>
      <c r="R73" s="385">
        <f t="shared" ref="R73:R131" si="8">O73+P73+Q73</f>
        <v>53.7</v>
      </c>
      <c r="S73" s="334">
        <v>1</v>
      </c>
      <c r="T73" s="357"/>
      <c r="V73" s="343" t="s">
        <v>504</v>
      </c>
      <c r="W73" s="334" t="s">
        <v>74</v>
      </c>
      <c r="X73" s="334" t="s">
        <v>11</v>
      </c>
      <c r="Y73" s="344">
        <v>53.7</v>
      </c>
      <c r="AD73" s="343"/>
      <c r="AG73" s="344"/>
      <c r="AL73" s="343"/>
      <c r="AO73" s="344"/>
      <c r="AP73" s="343"/>
      <c r="AS73" s="344"/>
      <c r="AT73" s="452"/>
      <c r="AW73" s="344"/>
      <c r="BA73" s="345"/>
    </row>
    <row r="74" spans="1:53" s="73" customFormat="1">
      <c r="A74" s="73">
        <v>1991</v>
      </c>
      <c r="B74" s="85">
        <v>33547</v>
      </c>
      <c r="C74" s="988" t="s">
        <v>321</v>
      </c>
      <c r="D74" s="988"/>
      <c r="E74" s="73">
        <f>365-E73</f>
        <v>57</v>
      </c>
      <c r="F74" s="73">
        <v>3</v>
      </c>
      <c r="G74" s="123">
        <v>21</v>
      </c>
      <c r="J74" s="134">
        <v>21</v>
      </c>
      <c r="K74" s="92">
        <f t="shared" si="5"/>
        <v>100</v>
      </c>
      <c r="L74" s="92">
        <f t="shared" si="4"/>
        <v>0</v>
      </c>
      <c r="M74" s="92">
        <f t="shared" si="4"/>
        <v>0</v>
      </c>
      <c r="N74" s="125">
        <f t="shared" si="6"/>
        <v>100</v>
      </c>
      <c r="O74" s="91">
        <v>53.7</v>
      </c>
      <c r="P74" s="92"/>
      <c r="Q74" s="92"/>
      <c r="R74" s="93">
        <f t="shared" si="8"/>
        <v>53.7</v>
      </c>
      <c r="S74" s="73">
        <v>1</v>
      </c>
      <c r="T74" s="81"/>
      <c r="U74" s="85">
        <v>33547</v>
      </c>
      <c r="V74" s="82" t="s">
        <v>504</v>
      </c>
      <c r="W74" s="73" t="s">
        <v>74</v>
      </c>
      <c r="X74" s="73" t="s">
        <v>11</v>
      </c>
      <c r="Y74" s="83">
        <v>53.7</v>
      </c>
      <c r="AD74" s="82"/>
      <c r="AG74" s="83"/>
      <c r="AL74" s="82"/>
      <c r="AO74" s="83"/>
      <c r="AP74" s="82"/>
      <c r="AS74" s="83"/>
      <c r="AT74" s="164"/>
      <c r="AW74" s="83"/>
      <c r="BA74" s="84"/>
    </row>
    <row r="75" spans="1:53" s="73" customFormat="1">
      <c r="A75" s="73">
        <v>1992</v>
      </c>
      <c r="C75" s="988" t="s">
        <v>321</v>
      </c>
      <c r="D75" s="988"/>
      <c r="E75" s="73">
        <v>346</v>
      </c>
      <c r="G75" s="123">
        <v>21</v>
      </c>
      <c r="J75" s="134">
        <v>21</v>
      </c>
      <c r="K75" s="92">
        <f t="shared" si="5"/>
        <v>100</v>
      </c>
      <c r="L75" s="92">
        <f t="shared" si="4"/>
        <v>0</v>
      </c>
      <c r="M75" s="92">
        <f t="shared" si="4"/>
        <v>0</v>
      </c>
      <c r="N75" s="125">
        <f t="shared" si="6"/>
        <v>100</v>
      </c>
      <c r="O75" s="91">
        <v>53.7</v>
      </c>
      <c r="P75" s="92"/>
      <c r="Q75" s="92"/>
      <c r="R75" s="93">
        <f t="shared" si="8"/>
        <v>53.7</v>
      </c>
      <c r="S75" s="73">
        <v>1</v>
      </c>
      <c r="T75" s="81"/>
      <c r="V75" s="82" t="s">
        <v>504</v>
      </c>
      <c r="W75" s="73" t="s">
        <v>74</v>
      </c>
      <c r="X75" s="73" t="s">
        <v>11</v>
      </c>
      <c r="Y75" s="83">
        <v>53.7</v>
      </c>
      <c r="AD75" s="82"/>
      <c r="AG75" s="83"/>
      <c r="AL75" s="82"/>
      <c r="AO75" s="83"/>
      <c r="AP75" s="82"/>
      <c r="AS75" s="83"/>
      <c r="AT75" s="164"/>
      <c r="AW75" s="83"/>
      <c r="BA75" s="84"/>
    </row>
    <row r="76" spans="1:53" s="73" customFormat="1">
      <c r="A76" s="73">
        <v>1992</v>
      </c>
      <c r="B76" s="149">
        <v>33950</v>
      </c>
      <c r="C76" s="988" t="s">
        <v>322</v>
      </c>
      <c r="D76" s="988"/>
      <c r="E76" s="73">
        <f>366-E75</f>
        <v>20</v>
      </c>
      <c r="F76" s="150">
        <v>0</v>
      </c>
      <c r="G76" s="123">
        <v>21</v>
      </c>
      <c r="J76" s="134">
        <v>21</v>
      </c>
      <c r="K76" s="92">
        <f t="shared" si="5"/>
        <v>100</v>
      </c>
      <c r="L76" s="92">
        <f t="shared" si="4"/>
        <v>0</v>
      </c>
      <c r="M76" s="92">
        <f t="shared" si="4"/>
        <v>0</v>
      </c>
      <c r="N76" s="125">
        <f t="shared" si="6"/>
        <v>100</v>
      </c>
      <c r="O76" s="91">
        <v>53.7</v>
      </c>
      <c r="P76" s="92"/>
      <c r="Q76" s="92"/>
      <c r="R76" s="93">
        <f t="shared" si="8"/>
        <v>53.7</v>
      </c>
      <c r="S76" s="73">
        <v>1</v>
      </c>
      <c r="T76" s="81"/>
      <c r="U76" s="85"/>
      <c r="V76" s="82" t="s">
        <v>504</v>
      </c>
      <c r="W76" s="73" t="s">
        <v>74</v>
      </c>
      <c r="X76" s="73" t="s">
        <v>11</v>
      </c>
      <c r="Y76" s="83">
        <v>53.7</v>
      </c>
      <c r="AD76" s="82"/>
      <c r="AG76" s="83"/>
      <c r="AL76" s="82"/>
      <c r="AO76" s="83"/>
      <c r="AP76" s="82"/>
      <c r="AS76" s="83"/>
      <c r="AT76" s="164"/>
      <c r="AW76" s="83"/>
      <c r="BA76" s="84"/>
    </row>
    <row r="77" spans="1:53" s="73" customFormat="1">
      <c r="A77" s="73">
        <v>1993</v>
      </c>
      <c r="C77" s="988" t="s">
        <v>322</v>
      </c>
      <c r="D77" s="988"/>
      <c r="E77" s="73">
        <v>220</v>
      </c>
      <c r="G77" s="123">
        <v>21</v>
      </c>
      <c r="J77" s="134">
        <v>21</v>
      </c>
      <c r="K77" s="92">
        <f t="shared" si="5"/>
        <v>100</v>
      </c>
      <c r="L77" s="92">
        <f t="shared" si="4"/>
        <v>0</v>
      </c>
      <c r="M77" s="92">
        <f t="shared" si="4"/>
        <v>0</v>
      </c>
      <c r="N77" s="125">
        <f t="shared" si="6"/>
        <v>100</v>
      </c>
      <c r="O77" s="91">
        <v>53.7</v>
      </c>
      <c r="P77" s="92"/>
      <c r="Q77" s="92"/>
      <c r="R77" s="93">
        <f t="shared" si="8"/>
        <v>53.7</v>
      </c>
      <c r="S77" s="73">
        <v>1</v>
      </c>
      <c r="T77" s="81"/>
      <c r="V77" s="82" t="s">
        <v>504</v>
      </c>
      <c r="W77" s="73" t="s">
        <v>74</v>
      </c>
      <c r="X77" s="73" t="s">
        <v>11</v>
      </c>
      <c r="Y77" s="83">
        <v>53.7</v>
      </c>
      <c r="AD77" s="82"/>
      <c r="AG77" s="83"/>
      <c r="AL77" s="82"/>
      <c r="AO77" s="83"/>
      <c r="AP77" s="82"/>
      <c r="AS77" s="83"/>
      <c r="AT77" s="164"/>
      <c r="AW77" s="83"/>
      <c r="BA77" s="84"/>
    </row>
    <row r="78" spans="1:53" s="334" customFormat="1">
      <c r="A78" s="334">
        <v>1993</v>
      </c>
      <c r="B78" s="355">
        <v>34190</v>
      </c>
      <c r="C78" s="992" t="s">
        <v>323</v>
      </c>
      <c r="D78" s="992"/>
      <c r="E78" s="334">
        <f>365-E77</f>
        <v>145</v>
      </c>
      <c r="F78" s="334">
        <v>5</v>
      </c>
      <c r="G78" s="419">
        <v>7</v>
      </c>
      <c r="H78" s="334">
        <v>4</v>
      </c>
      <c r="I78" s="334">
        <v>8</v>
      </c>
      <c r="J78" s="435">
        <v>21</v>
      </c>
      <c r="K78" s="384">
        <f t="shared" si="5"/>
        <v>33.333333333333329</v>
      </c>
      <c r="L78" s="384">
        <f t="shared" si="4"/>
        <v>19.047619047619047</v>
      </c>
      <c r="M78" s="384">
        <f t="shared" si="4"/>
        <v>38.095238095238095</v>
      </c>
      <c r="N78" s="421">
        <f t="shared" si="6"/>
        <v>90.476190476190482</v>
      </c>
      <c r="O78" s="383">
        <v>20.100000000000001</v>
      </c>
      <c r="P78" s="384">
        <v>10</v>
      </c>
      <c r="Q78" s="384">
        <f>16.6+0.8</f>
        <v>17.400000000000002</v>
      </c>
      <c r="R78" s="385">
        <f t="shared" si="8"/>
        <v>47.5</v>
      </c>
      <c r="S78" s="334">
        <v>5</v>
      </c>
      <c r="T78" s="342">
        <v>34168</v>
      </c>
      <c r="U78" s="355">
        <v>34190</v>
      </c>
      <c r="V78" s="343" t="s">
        <v>112</v>
      </c>
      <c r="W78" s="334" t="s">
        <v>20</v>
      </c>
      <c r="X78" s="334" t="s">
        <v>12</v>
      </c>
      <c r="Y78" s="344">
        <v>13.7</v>
      </c>
      <c r="Z78" s="334" t="s">
        <v>506</v>
      </c>
      <c r="AA78" s="334" t="s">
        <v>76</v>
      </c>
      <c r="AB78" s="334" t="s">
        <v>11</v>
      </c>
      <c r="AC78" s="334">
        <v>10.8</v>
      </c>
      <c r="AD78" s="343" t="s">
        <v>507</v>
      </c>
      <c r="AE78" s="334" t="s">
        <v>17</v>
      </c>
      <c r="AF78" s="334" t="s">
        <v>18</v>
      </c>
      <c r="AG78" s="344">
        <v>10</v>
      </c>
      <c r="AH78" s="334" t="s">
        <v>508</v>
      </c>
      <c r="AI78" s="334" t="s">
        <v>77</v>
      </c>
      <c r="AJ78" s="334" t="s">
        <v>11</v>
      </c>
      <c r="AK78" s="334">
        <v>6.8</v>
      </c>
      <c r="AL78" s="343" t="s">
        <v>509</v>
      </c>
      <c r="AM78" s="334" t="s">
        <v>98</v>
      </c>
      <c r="AN78" s="334" t="s">
        <v>12</v>
      </c>
      <c r="AO78" s="344">
        <v>2.9</v>
      </c>
      <c r="AP78" s="343" t="s">
        <v>576</v>
      </c>
      <c r="AQ78" s="334" t="s">
        <v>80</v>
      </c>
      <c r="AR78" s="334" t="s">
        <v>11</v>
      </c>
      <c r="AS78" s="344">
        <v>2.5</v>
      </c>
      <c r="AT78" s="452" t="s">
        <v>510</v>
      </c>
      <c r="AU78" s="334" t="s">
        <v>337</v>
      </c>
      <c r="AV78" s="334" t="s">
        <v>12</v>
      </c>
      <c r="AW78" s="344">
        <v>0.8</v>
      </c>
      <c r="BA78" s="345"/>
    </row>
    <row r="79" spans="1:53" s="334" customFormat="1">
      <c r="A79" s="334">
        <v>1994</v>
      </c>
      <c r="C79" s="992" t="s">
        <v>323</v>
      </c>
      <c r="D79" s="992"/>
      <c r="E79" s="334">
        <v>117</v>
      </c>
      <c r="G79" s="419">
        <v>7</v>
      </c>
      <c r="H79" s="334">
        <v>4</v>
      </c>
      <c r="I79" s="334">
        <v>8</v>
      </c>
      <c r="J79" s="435">
        <v>21</v>
      </c>
      <c r="K79" s="384">
        <f t="shared" si="5"/>
        <v>33.333333333333329</v>
      </c>
      <c r="L79" s="384">
        <f t="shared" si="4"/>
        <v>19.047619047619047</v>
      </c>
      <c r="M79" s="384">
        <f t="shared" si="4"/>
        <v>38.095238095238095</v>
      </c>
      <c r="N79" s="421">
        <f t="shared" si="6"/>
        <v>90.476190476190482</v>
      </c>
      <c r="O79" s="383">
        <v>20.100000000000001</v>
      </c>
      <c r="P79" s="384">
        <v>10</v>
      </c>
      <c r="Q79" s="384">
        <f>16.6+0.8</f>
        <v>17.400000000000002</v>
      </c>
      <c r="R79" s="385">
        <f t="shared" si="8"/>
        <v>47.5</v>
      </c>
      <c r="S79" s="334">
        <v>5</v>
      </c>
      <c r="T79" s="357"/>
      <c r="V79" s="343" t="s">
        <v>112</v>
      </c>
      <c r="W79" s="334" t="s">
        <v>20</v>
      </c>
      <c r="X79" s="334" t="s">
        <v>12</v>
      </c>
      <c r="Y79" s="344">
        <v>13.7</v>
      </c>
      <c r="Z79" s="334" t="s">
        <v>506</v>
      </c>
      <c r="AA79" s="334" t="s">
        <v>76</v>
      </c>
      <c r="AB79" s="334" t="s">
        <v>11</v>
      </c>
      <c r="AC79" s="334">
        <v>10.8</v>
      </c>
      <c r="AD79" s="343" t="s">
        <v>507</v>
      </c>
      <c r="AE79" s="334" t="s">
        <v>17</v>
      </c>
      <c r="AF79" s="334" t="s">
        <v>18</v>
      </c>
      <c r="AG79" s="344">
        <v>10</v>
      </c>
      <c r="AH79" s="334" t="s">
        <v>508</v>
      </c>
      <c r="AI79" s="334" t="s">
        <v>77</v>
      </c>
      <c r="AJ79" s="334" t="s">
        <v>11</v>
      </c>
      <c r="AK79" s="334">
        <v>6.8</v>
      </c>
      <c r="AL79" s="343" t="s">
        <v>509</v>
      </c>
      <c r="AM79" s="334" t="s">
        <v>98</v>
      </c>
      <c r="AN79" s="334" t="s">
        <v>12</v>
      </c>
      <c r="AO79" s="344">
        <v>2.9</v>
      </c>
      <c r="AP79" s="343" t="s">
        <v>576</v>
      </c>
      <c r="AQ79" s="334" t="s">
        <v>80</v>
      </c>
      <c r="AR79" s="334" t="s">
        <v>11</v>
      </c>
      <c r="AS79" s="344">
        <v>2.5</v>
      </c>
      <c r="AT79" s="452" t="s">
        <v>510</v>
      </c>
      <c r="AU79" s="334" t="s">
        <v>337</v>
      </c>
      <c r="AV79" s="334" t="s">
        <v>12</v>
      </c>
      <c r="AW79" s="344">
        <v>0.8</v>
      </c>
      <c r="BA79" s="345"/>
    </row>
    <row r="80" spans="1:53" s="73" customFormat="1">
      <c r="A80" s="73">
        <v>1994</v>
      </c>
      <c r="B80" s="85">
        <v>34452</v>
      </c>
      <c r="C80" s="988" t="s">
        <v>324</v>
      </c>
      <c r="D80" s="988"/>
      <c r="E80" s="73">
        <v>63</v>
      </c>
      <c r="F80" s="73">
        <v>2</v>
      </c>
      <c r="G80" s="123">
        <v>10</v>
      </c>
      <c r="H80" s="73">
        <v>6</v>
      </c>
      <c r="I80" s="73">
        <v>2</v>
      </c>
      <c r="J80" s="134">
        <v>21</v>
      </c>
      <c r="K80" s="92">
        <f>G80/$J80*100</f>
        <v>47.619047619047613</v>
      </c>
      <c r="L80" s="92">
        <f t="shared" si="4"/>
        <v>28.571428571428569</v>
      </c>
      <c r="M80" s="92">
        <f t="shared" si="4"/>
        <v>9.5238095238095237</v>
      </c>
      <c r="N80" s="125">
        <f>K80+L80+M80</f>
        <v>85.714285714285694</v>
      </c>
      <c r="O80" s="91">
        <v>17.600000000000001</v>
      </c>
      <c r="P80" s="92">
        <v>10</v>
      </c>
      <c r="Q80" s="92">
        <v>2.9</v>
      </c>
      <c r="R80" s="93">
        <f t="shared" si="8"/>
        <v>30.5</v>
      </c>
      <c r="S80" s="73">
        <v>5</v>
      </c>
      <c r="T80" s="81"/>
      <c r="U80" s="85">
        <v>34452</v>
      </c>
      <c r="V80" s="73" t="s">
        <v>506</v>
      </c>
      <c r="W80" s="73" t="s">
        <v>76</v>
      </c>
      <c r="X80" s="73" t="s">
        <v>11</v>
      </c>
      <c r="Y80" s="83">
        <v>10.8</v>
      </c>
      <c r="Z80" s="73" t="s">
        <v>507</v>
      </c>
      <c r="AA80" s="73" t="s">
        <v>17</v>
      </c>
      <c r="AB80" s="73" t="s">
        <v>18</v>
      </c>
      <c r="AC80" s="73">
        <v>10</v>
      </c>
      <c r="AD80" s="82" t="s">
        <v>508</v>
      </c>
      <c r="AE80" s="73" t="s">
        <v>77</v>
      </c>
      <c r="AF80" s="73" t="s">
        <v>11</v>
      </c>
      <c r="AG80" s="83">
        <v>6.8</v>
      </c>
      <c r="AH80" s="82" t="s">
        <v>509</v>
      </c>
      <c r="AI80" s="73" t="s">
        <v>98</v>
      </c>
      <c r="AJ80" s="73" t="s">
        <v>12</v>
      </c>
      <c r="AK80" s="73">
        <v>2.9</v>
      </c>
      <c r="AL80" s="82"/>
      <c r="AO80" s="83"/>
      <c r="AP80" s="82"/>
      <c r="AS80" s="83"/>
      <c r="AT80" s="164"/>
      <c r="AW80" s="83"/>
      <c r="BA80" s="84"/>
    </row>
    <row r="81" spans="1:53" s="334" customFormat="1">
      <c r="A81" s="334">
        <v>1994</v>
      </c>
      <c r="B81" s="355">
        <v>34515</v>
      </c>
      <c r="C81" s="992" t="s">
        <v>325</v>
      </c>
      <c r="D81" s="992"/>
      <c r="E81" s="334">
        <f>365-E80-E79</f>
        <v>185</v>
      </c>
      <c r="F81" s="334">
        <v>2</v>
      </c>
      <c r="G81" s="419">
        <v>15</v>
      </c>
      <c r="I81" s="334">
        <v>6</v>
      </c>
      <c r="J81" s="435">
        <v>21</v>
      </c>
      <c r="K81" s="384">
        <f t="shared" ref="K81:M110" si="9">G81/$J81*100</f>
        <v>71.428571428571431</v>
      </c>
      <c r="L81" s="384">
        <f t="shared" si="4"/>
        <v>0</v>
      </c>
      <c r="M81" s="384">
        <f t="shared" si="4"/>
        <v>28.571428571428569</v>
      </c>
      <c r="N81" s="421">
        <f t="shared" ref="N81:N110" si="10">K81+L81+M81</f>
        <v>100</v>
      </c>
      <c r="O81" s="383">
        <v>43.6</v>
      </c>
      <c r="P81" s="384">
        <v>2.5</v>
      </c>
      <c r="Q81" s="384">
        <v>13.7</v>
      </c>
      <c r="R81" s="385">
        <f t="shared" si="8"/>
        <v>59.8</v>
      </c>
      <c r="S81" s="334">
        <v>3</v>
      </c>
      <c r="T81" s="357"/>
      <c r="U81" s="355">
        <v>34515</v>
      </c>
      <c r="V81" s="343" t="s">
        <v>504</v>
      </c>
      <c r="W81" s="334" t="s">
        <v>74</v>
      </c>
      <c r="X81" s="334" t="s">
        <v>11</v>
      </c>
      <c r="Y81" s="344">
        <v>43.6</v>
      </c>
      <c r="Z81" s="334" t="s">
        <v>112</v>
      </c>
      <c r="AA81" s="334" t="s">
        <v>20</v>
      </c>
      <c r="AB81" s="334" t="s">
        <v>12</v>
      </c>
      <c r="AC81" s="334">
        <v>13.7</v>
      </c>
      <c r="AD81" s="343" t="s">
        <v>577</v>
      </c>
      <c r="AE81" s="334" t="s">
        <v>80</v>
      </c>
      <c r="AF81" s="334" t="s">
        <v>18</v>
      </c>
      <c r="AG81" s="344">
        <v>2.5</v>
      </c>
      <c r="AL81" s="343"/>
      <c r="AO81" s="344"/>
      <c r="AP81" s="343"/>
      <c r="AS81" s="344"/>
      <c r="AT81" s="452"/>
      <c r="AW81" s="344"/>
      <c r="BA81" s="345"/>
    </row>
    <row r="82" spans="1:53" s="334" customFormat="1">
      <c r="A82" s="334">
        <v>1995</v>
      </c>
      <c r="C82" s="992" t="s">
        <v>325</v>
      </c>
      <c r="D82" s="992"/>
      <c r="E82" s="334">
        <v>219</v>
      </c>
      <c r="G82" s="419">
        <v>15</v>
      </c>
      <c r="I82" s="334">
        <v>6</v>
      </c>
      <c r="J82" s="435">
        <v>21</v>
      </c>
      <c r="K82" s="384">
        <f t="shared" si="9"/>
        <v>71.428571428571431</v>
      </c>
      <c r="L82" s="384">
        <f t="shared" si="4"/>
        <v>0</v>
      </c>
      <c r="M82" s="384">
        <f t="shared" si="4"/>
        <v>28.571428571428569</v>
      </c>
      <c r="N82" s="421">
        <f t="shared" si="10"/>
        <v>100</v>
      </c>
      <c r="O82" s="383">
        <v>43.6</v>
      </c>
      <c r="P82" s="384">
        <v>2.5</v>
      </c>
      <c r="Q82" s="384">
        <v>13.7</v>
      </c>
      <c r="R82" s="385">
        <f t="shared" si="8"/>
        <v>59.8</v>
      </c>
      <c r="S82" s="334">
        <v>3</v>
      </c>
      <c r="T82" s="357"/>
      <c r="V82" s="343" t="s">
        <v>504</v>
      </c>
      <c r="W82" s="334" t="s">
        <v>74</v>
      </c>
      <c r="X82" s="334" t="s">
        <v>11</v>
      </c>
      <c r="Y82" s="344">
        <v>43.6</v>
      </c>
      <c r="Z82" s="334" t="s">
        <v>112</v>
      </c>
      <c r="AA82" s="334" t="s">
        <v>20</v>
      </c>
      <c r="AB82" s="334" t="s">
        <v>12</v>
      </c>
      <c r="AC82" s="334">
        <v>13.7</v>
      </c>
      <c r="AD82" s="343" t="s">
        <v>577</v>
      </c>
      <c r="AE82" s="334" t="s">
        <v>80</v>
      </c>
      <c r="AF82" s="334" t="s">
        <v>18</v>
      </c>
      <c r="AG82" s="344">
        <v>2.5</v>
      </c>
      <c r="AL82" s="343"/>
      <c r="AO82" s="344"/>
      <c r="AP82" s="343"/>
      <c r="AS82" s="344"/>
      <c r="AT82" s="452"/>
      <c r="AW82" s="344"/>
      <c r="BA82" s="345"/>
    </row>
    <row r="83" spans="1:53" s="334" customFormat="1">
      <c r="A83" s="334">
        <v>1995</v>
      </c>
      <c r="B83" s="445">
        <v>34919</v>
      </c>
      <c r="C83" s="992" t="s">
        <v>326</v>
      </c>
      <c r="D83" s="992"/>
      <c r="E83" s="334">
        <f>365-E82</f>
        <v>146</v>
      </c>
      <c r="F83" s="441">
        <v>0</v>
      </c>
      <c r="G83" s="419">
        <v>14</v>
      </c>
      <c r="I83" s="334">
        <v>6</v>
      </c>
      <c r="J83" s="435">
        <v>21</v>
      </c>
      <c r="K83" s="384">
        <f t="shared" si="9"/>
        <v>66.666666666666657</v>
      </c>
      <c r="L83" s="384">
        <f t="shared" si="4"/>
        <v>0</v>
      </c>
      <c r="M83" s="384">
        <f t="shared" si="4"/>
        <v>28.571428571428569</v>
      </c>
      <c r="N83" s="421">
        <f t="shared" si="10"/>
        <v>95.238095238095227</v>
      </c>
      <c r="O83" s="383">
        <v>43.6</v>
      </c>
      <c r="P83" s="384">
        <v>2.5</v>
      </c>
      <c r="Q83" s="384">
        <v>13.7</v>
      </c>
      <c r="R83" s="385">
        <f t="shared" si="8"/>
        <v>59.8</v>
      </c>
      <c r="S83" s="334">
        <v>3</v>
      </c>
      <c r="T83" s="357"/>
      <c r="U83" s="355">
        <v>34919</v>
      </c>
      <c r="V83" s="343" t="s">
        <v>504</v>
      </c>
      <c r="W83" s="334" t="s">
        <v>74</v>
      </c>
      <c r="X83" s="334" t="s">
        <v>11</v>
      </c>
      <c r="Y83" s="344">
        <v>43.6</v>
      </c>
      <c r="Z83" s="334" t="s">
        <v>112</v>
      </c>
      <c r="AA83" s="334" t="s">
        <v>20</v>
      </c>
      <c r="AB83" s="334" t="s">
        <v>12</v>
      </c>
      <c r="AC83" s="334">
        <v>13.7</v>
      </c>
      <c r="AD83" s="343" t="s">
        <v>577</v>
      </c>
      <c r="AE83" s="334" t="s">
        <v>80</v>
      </c>
      <c r="AF83" s="334" t="s">
        <v>18</v>
      </c>
      <c r="AG83" s="344">
        <v>2.5</v>
      </c>
      <c r="AL83" s="343"/>
      <c r="AO83" s="344"/>
      <c r="AP83" s="343"/>
      <c r="AS83" s="344"/>
      <c r="AT83" s="452"/>
      <c r="AW83" s="344"/>
      <c r="BA83" s="345"/>
    </row>
    <row r="84" spans="1:53" s="334" customFormat="1">
      <c r="A84" s="334">
        <v>1996</v>
      </c>
      <c r="C84" s="992" t="s">
        <v>326</v>
      </c>
      <c r="D84" s="992"/>
      <c r="E84" s="334">
        <v>10</v>
      </c>
      <c r="G84" s="419">
        <v>14</v>
      </c>
      <c r="I84" s="334">
        <v>6</v>
      </c>
      <c r="J84" s="435">
        <v>21</v>
      </c>
      <c r="K84" s="384">
        <f t="shared" si="9"/>
        <v>66.666666666666657</v>
      </c>
      <c r="L84" s="384">
        <f t="shared" si="4"/>
        <v>0</v>
      </c>
      <c r="M84" s="384">
        <f t="shared" si="4"/>
        <v>28.571428571428569</v>
      </c>
      <c r="N84" s="421">
        <f t="shared" si="10"/>
        <v>95.238095238095227</v>
      </c>
      <c r="O84" s="383">
        <v>43.6</v>
      </c>
      <c r="P84" s="384">
        <v>2.5</v>
      </c>
      <c r="Q84" s="384">
        <v>13.7</v>
      </c>
      <c r="R84" s="385">
        <f t="shared" si="8"/>
        <v>59.8</v>
      </c>
      <c r="S84" s="334">
        <v>3</v>
      </c>
      <c r="T84" s="357"/>
      <c r="V84" s="343" t="s">
        <v>504</v>
      </c>
      <c r="W84" s="334" t="s">
        <v>74</v>
      </c>
      <c r="X84" s="334" t="s">
        <v>11</v>
      </c>
      <c r="Y84" s="344">
        <v>43.6</v>
      </c>
      <c r="Z84" s="334" t="s">
        <v>112</v>
      </c>
      <c r="AA84" s="334" t="s">
        <v>20</v>
      </c>
      <c r="AB84" s="334" t="s">
        <v>12</v>
      </c>
      <c r="AC84" s="334">
        <v>13.7</v>
      </c>
      <c r="AD84" s="343" t="s">
        <v>577</v>
      </c>
      <c r="AE84" s="334" t="s">
        <v>80</v>
      </c>
      <c r="AF84" s="334" t="s">
        <v>18</v>
      </c>
      <c r="AG84" s="344">
        <v>2.5</v>
      </c>
      <c r="AL84" s="343"/>
      <c r="AO84" s="344"/>
      <c r="AP84" s="343"/>
      <c r="AS84" s="344"/>
      <c r="AT84" s="452"/>
      <c r="AW84" s="344"/>
      <c r="BA84" s="345"/>
    </row>
    <row r="85" spans="1:53" s="73" customFormat="1">
      <c r="A85" s="73">
        <v>1996</v>
      </c>
      <c r="B85" s="85">
        <v>35075</v>
      </c>
      <c r="C85" s="988" t="s">
        <v>327</v>
      </c>
      <c r="D85" s="988"/>
      <c r="E85" s="73">
        <v>301</v>
      </c>
      <c r="F85" s="73">
        <v>2</v>
      </c>
      <c r="G85" s="123">
        <v>13</v>
      </c>
      <c r="I85" s="73">
        <v>7</v>
      </c>
      <c r="J85" s="134">
        <v>21</v>
      </c>
      <c r="K85" s="92">
        <f t="shared" si="9"/>
        <v>61.904761904761905</v>
      </c>
      <c r="L85" s="92">
        <f t="shared" si="4"/>
        <v>0</v>
      </c>
      <c r="M85" s="92">
        <f t="shared" si="4"/>
        <v>33.333333333333329</v>
      </c>
      <c r="N85" s="125">
        <f t="shared" si="10"/>
        <v>95.238095238095241</v>
      </c>
      <c r="O85" s="91">
        <v>43.6</v>
      </c>
      <c r="P85" s="92">
        <v>2.5</v>
      </c>
      <c r="Q85" s="92">
        <v>13.7</v>
      </c>
      <c r="R85" s="93">
        <f t="shared" si="8"/>
        <v>59.8</v>
      </c>
      <c r="S85" s="73">
        <v>3</v>
      </c>
      <c r="T85" s="81"/>
      <c r="U85" s="85">
        <v>35075</v>
      </c>
      <c r="V85" s="82" t="s">
        <v>504</v>
      </c>
      <c r="W85" s="73" t="s">
        <v>74</v>
      </c>
      <c r="X85" s="73" t="s">
        <v>11</v>
      </c>
      <c r="Y85" s="83">
        <v>43.6</v>
      </c>
      <c r="Z85" s="73" t="s">
        <v>112</v>
      </c>
      <c r="AA85" s="73" t="s">
        <v>20</v>
      </c>
      <c r="AB85" s="73" t="s">
        <v>12</v>
      </c>
      <c r="AC85" s="73">
        <v>13.7</v>
      </c>
      <c r="AD85" s="82" t="s">
        <v>577</v>
      </c>
      <c r="AE85" s="73" t="s">
        <v>80</v>
      </c>
      <c r="AF85" s="73" t="s">
        <v>18</v>
      </c>
      <c r="AG85" s="83">
        <v>2.5</v>
      </c>
      <c r="AL85" s="82"/>
      <c r="AO85" s="83"/>
      <c r="AP85" s="82"/>
      <c r="AS85" s="83"/>
      <c r="AT85" s="164"/>
      <c r="AW85" s="83"/>
      <c r="BA85" s="84"/>
    </row>
    <row r="86" spans="1:53" s="334" customFormat="1">
      <c r="A86" s="334">
        <v>1996</v>
      </c>
      <c r="B86" s="355">
        <v>35376</v>
      </c>
      <c r="C86" s="992" t="s">
        <v>328</v>
      </c>
      <c r="D86" s="992"/>
      <c r="E86" s="334">
        <f>366-E85-E84</f>
        <v>55</v>
      </c>
      <c r="F86" s="334">
        <v>1</v>
      </c>
      <c r="G86" s="419">
        <v>21</v>
      </c>
      <c r="J86" s="435">
        <v>21</v>
      </c>
      <c r="K86" s="384">
        <f t="shared" si="9"/>
        <v>100</v>
      </c>
      <c r="L86" s="384">
        <f t="shared" si="4"/>
        <v>0</v>
      </c>
      <c r="M86" s="384">
        <f t="shared" si="4"/>
        <v>0</v>
      </c>
      <c r="N86" s="421">
        <f t="shared" si="10"/>
        <v>100</v>
      </c>
      <c r="O86" s="383">
        <v>47.8</v>
      </c>
      <c r="P86" s="384"/>
      <c r="Q86" s="384"/>
      <c r="R86" s="385">
        <f t="shared" si="8"/>
        <v>47.8</v>
      </c>
      <c r="S86" s="334">
        <v>4</v>
      </c>
      <c r="T86" s="342">
        <v>35358</v>
      </c>
      <c r="U86" s="355">
        <v>35376</v>
      </c>
      <c r="V86" s="343" t="s">
        <v>504</v>
      </c>
      <c r="W86" s="334" t="s">
        <v>74</v>
      </c>
      <c r="X86" s="334" t="s">
        <v>11</v>
      </c>
      <c r="Y86" s="344">
        <v>47.8</v>
      </c>
      <c r="Z86" s="441" t="s">
        <v>112</v>
      </c>
      <c r="AA86" s="441" t="s">
        <v>20</v>
      </c>
      <c r="AB86" s="441" t="s">
        <v>12</v>
      </c>
      <c r="AC86" s="441">
        <v>3</v>
      </c>
      <c r="AD86" s="456" t="s">
        <v>577</v>
      </c>
      <c r="AE86" s="441" t="s">
        <v>80</v>
      </c>
      <c r="AF86" s="441" t="s">
        <v>18</v>
      </c>
      <c r="AG86" s="455">
        <v>0.4</v>
      </c>
      <c r="AL86" s="343"/>
      <c r="AO86" s="344"/>
      <c r="AP86" s="343"/>
      <c r="AS86" s="344"/>
      <c r="AT86" s="452"/>
      <c r="AW86" s="344"/>
      <c r="BA86" s="345"/>
    </row>
    <row r="87" spans="1:53" s="334" customFormat="1">
      <c r="A87" s="334">
        <v>1997</v>
      </c>
      <c r="C87" s="992" t="s">
        <v>328</v>
      </c>
      <c r="D87" s="992"/>
      <c r="E87" s="334">
        <v>253</v>
      </c>
      <c r="G87" s="419">
        <v>21</v>
      </c>
      <c r="J87" s="435">
        <v>21</v>
      </c>
      <c r="K87" s="384">
        <f t="shared" si="9"/>
        <v>100</v>
      </c>
      <c r="L87" s="384">
        <f t="shared" si="4"/>
        <v>0</v>
      </c>
      <c r="M87" s="384">
        <f t="shared" si="4"/>
        <v>0</v>
      </c>
      <c r="N87" s="421">
        <f t="shared" si="10"/>
        <v>100</v>
      </c>
      <c r="O87" s="383">
        <v>47.8</v>
      </c>
      <c r="P87" s="384"/>
      <c r="Q87" s="384"/>
      <c r="R87" s="385">
        <f t="shared" si="8"/>
        <v>47.8</v>
      </c>
      <c r="S87" s="334">
        <v>4</v>
      </c>
      <c r="T87" s="357"/>
      <c r="V87" s="343" t="s">
        <v>504</v>
      </c>
      <c r="W87" s="334" t="s">
        <v>74</v>
      </c>
      <c r="X87" s="334" t="s">
        <v>11</v>
      </c>
      <c r="Y87" s="344">
        <v>47.8</v>
      </c>
      <c r="Z87" s="441" t="s">
        <v>112</v>
      </c>
      <c r="AA87" s="441" t="s">
        <v>20</v>
      </c>
      <c r="AB87" s="441" t="s">
        <v>12</v>
      </c>
      <c r="AC87" s="441">
        <v>3</v>
      </c>
      <c r="AD87" s="456" t="s">
        <v>577</v>
      </c>
      <c r="AE87" s="441" t="s">
        <v>80</v>
      </c>
      <c r="AF87" s="441" t="s">
        <v>18</v>
      </c>
      <c r="AG87" s="455">
        <v>0.4</v>
      </c>
      <c r="AL87" s="343"/>
      <c r="AO87" s="344"/>
      <c r="AP87" s="343"/>
      <c r="AS87" s="344"/>
      <c r="AT87" s="452"/>
      <c r="AW87" s="344"/>
      <c r="BA87" s="345"/>
    </row>
    <row r="88" spans="1:53" s="334" customFormat="1">
      <c r="A88" s="334">
        <v>1997</v>
      </c>
      <c r="B88" s="445">
        <v>35684</v>
      </c>
      <c r="C88" s="992" t="s">
        <v>328</v>
      </c>
      <c r="D88" s="992"/>
      <c r="E88" s="334">
        <f>365-E87</f>
        <v>112</v>
      </c>
      <c r="F88" s="441">
        <v>0</v>
      </c>
      <c r="G88" s="419">
        <v>21</v>
      </c>
      <c r="J88" s="435">
        <v>21</v>
      </c>
      <c r="K88" s="384">
        <f t="shared" si="9"/>
        <v>100</v>
      </c>
      <c r="L88" s="384">
        <f t="shared" si="4"/>
        <v>0</v>
      </c>
      <c r="M88" s="384">
        <f t="shared" si="4"/>
        <v>0</v>
      </c>
      <c r="N88" s="421">
        <f t="shared" si="10"/>
        <v>100</v>
      </c>
      <c r="O88" s="383">
        <v>47.8</v>
      </c>
      <c r="P88" s="384"/>
      <c r="Q88" s="384"/>
      <c r="R88" s="385">
        <f t="shared" si="8"/>
        <v>47.8</v>
      </c>
      <c r="S88" s="334">
        <v>4</v>
      </c>
      <c r="T88" s="357"/>
      <c r="V88" s="343" t="s">
        <v>504</v>
      </c>
      <c r="W88" s="334" t="s">
        <v>74</v>
      </c>
      <c r="X88" s="334" t="s">
        <v>11</v>
      </c>
      <c r="Y88" s="344">
        <v>47.8</v>
      </c>
      <c r="Z88" s="441" t="s">
        <v>112</v>
      </c>
      <c r="AA88" s="441" t="s">
        <v>20</v>
      </c>
      <c r="AB88" s="441" t="s">
        <v>12</v>
      </c>
      <c r="AC88" s="441">
        <v>3</v>
      </c>
      <c r="AD88" s="456" t="s">
        <v>577</v>
      </c>
      <c r="AE88" s="441" t="s">
        <v>80</v>
      </c>
      <c r="AF88" s="441" t="s">
        <v>18</v>
      </c>
      <c r="AG88" s="455">
        <v>0.4</v>
      </c>
      <c r="AL88" s="343"/>
      <c r="AO88" s="344"/>
      <c r="AP88" s="343"/>
      <c r="AS88" s="344"/>
      <c r="AT88" s="452"/>
      <c r="AW88" s="344"/>
      <c r="BA88" s="345"/>
    </row>
    <row r="89" spans="1:53" s="334" customFormat="1">
      <c r="A89" s="334">
        <v>1998</v>
      </c>
      <c r="C89" s="992" t="s">
        <v>328</v>
      </c>
      <c r="D89" s="992"/>
      <c r="E89" s="334">
        <v>210</v>
      </c>
      <c r="G89" s="419">
        <v>21</v>
      </c>
      <c r="J89" s="435">
        <v>21</v>
      </c>
      <c r="K89" s="384">
        <f t="shared" si="9"/>
        <v>100</v>
      </c>
      <c r="L89" s="384">
        <f t="shared" si="4"/>
        <v>0</v>
      </c>
      <c r="M89" s="384">
        <f t="shared" si="4"/>
        <v>0</v>
      </c>
      <c r="N89" s="421">
        <f t="shared" si="10"/>
        <v>100</v>
      </c>
      <c r="O89" s="383">
        <v>47.8</v>
      </c>
      <c r="P89" s="384"/>
      <c r="Q89" s="384"/>
      <c r="R89" s="385">
        <f t="shared" si="8"/>
        <v>47.8</v>
      </c>
      <c r="S89" s="334">
        <v>4</v>
      </c>
      <c r="T89" s="357"/>
      <c r="V89" s="343" t="s">
        <v>504</v>
      </c>
      <c r="W89" s="334" t="s">
        <v>74</v>
      </c>
      <c r="X89" s="334" t="s">
        <v>11</v>
      </c>
      <c r="Y89" s="344">
        <v>47.8</v>
      </c>
      <c r="Z89" s="441" t="s">
        <v>112</v>
      </c>
      <c r="AA89" s="441" t="s">
        <v>20</v>
      </c>
      <c r="AB89" s="441" t="s">
        <v>12</v>
      </c>
      <c r="AC89" s="441">
        <v>3</v>
      </c>
      <c r="AD89" s="456" t="s">
        <v>577</v>
      </c>
      <c r="AE89" s="441" t="s">
        <v>80</v>
      </c>
      <c r="AF89" s="441" t="s">
        <v>18</v>
      </c>
      <c r="AG89" s="455">
        <v>0.4</v>
      </c>
      <c r="AL89" s="343"/>
      <c r="AO89" s="344"/>
      <c r="AP89" s="343"/>
      <c r="AS89" s="344"/>
      <c r="AT89" s="452"/>
      <c r="AW89" s="344"/>
      <c r="BA89" s="345"/>
    </row>
    <row r="90" spans="1:53" s="73" customFormat="1">
      <c r="A90" s="73">
        <v>1998</v>
      </c>
      <c r="B90" s="85">
        <v>36006</v>
      </c>
      <c r="C90" s="988" t="s">
        <v>329</v>
      </c>
      <c r="D90" s="988"/>
      <c r="E90" s="73">
        <f>365-E89</f>
        <v>155</v>
      </c>
      <c r="F90" s="73">
        <v>2</v>
      </c>
      <c r="G90" s="123">
        <v>20</v>
      </c>
      <c r="J90" s="134">
        <v>21</v>
      </c>
      <c r="K90" s="92">
        <f t="shared" si="9"/>
        <v>95.238095238095227</v>
      </c>
      <c r="L90" s="92">
        <f t="shared" si="4"/>
        <v>0</v>
      </c>
      <c r="M90" s="92">
        <f t="shared" si="4"/>
        <v>0</v>
      </c>
      <c r="N90" s="125">
        <f t="shared" si="10"/>
        <v>95.238095238095227</v>
      </c>
      <c r="O90" s="91">
        <v>47.8</v>
      </c>
      <c r="P90" s="92"/>
      <c r="Q90" s="92"/>
      <c r="R90" s="93">
        <f t="shared" si="8"/>
        <v>47.8</v>
      </c>
      <c r="S90" s="73">
        <v>4</v>
      </c>
      <c r="T90" s="81"/>
      <c r="U90" s="85">
        <v>36006</v>
      </c>
      <c r="V90" s="82" t="s">
        <v>504</v>
      </c>
      <c r="W90" s="73" t="s">
        <v>74</v>
      </c>
      <c r="X90" s="73" t="s">
        <v>11</v>
      </c>
      <c r="Y90" s="83">
        <v>47.8</v>
      </c>
      <c r="AD90" s="82"/>
      <c r="AG90" s="83"/>
      <c r="AL90" s="82"/>
      <c r="AO90" s="83"/>
      <c r="AP90" s="82"/>
      <c r="AS90" s="83"/>
      <c r="AT90" s="164"/>
      <c r="AW90" s="83"/>
      <c r="BA90" s="84"/>
    </row>
    <row r="91" spans="1:53" s="73" customFormat="1">
      <c r="A91" s="73">
        <v>1999</v>
      </c>
      <c r="C91" s="988" t="s">
        <v>329</v>
      </c>
      <c r="D91" s="988"/>
      <c r="E91" s="73">
        <v>13</v>
      </c>
      <c r="G91" s="123">
        <v>20</v>
      </c>
      <c r="J91" s="134">
        <v>21</v>
      </c>
      <c r="K91" s="92">
        <f t="shared" si="9"/>
        <v>95.238095238095227</v>
      </c>
      <c r="L91" s="92">
        <f t="shared" si="4"/>
        <v>0</v>
      </c>
      <c r="M91" s="92">
        <f t="shared" si="4"/>
        <v>0</v>
      </c>
      <c r="N91" s="125">
        <f t="shared" si="10"/>
        <v>95.238095238095227</v>
      </c>
      <c r="O91" s="91">
        <v>47.8</v>
      </c>
      <c r="P91" s="92"/>
      <c r="Q91" s="92"/>
      <c r="R91" s="93">
        <f t="shared" si="8"/>
        <v>47.8</v>
      </c>
      <c r="S91" s="73">
        <v>4</v>
      </c>
      <c r="T91" s="81"/>
      <c r="V91" s="82" t="s">
        <v>504</v>
      </c>
      <c r="W91" s="73" t="s">
        <v>74</v>
      </c>
      <c r="X91" s="73" t="s">
        <v>11</v>
      </c>
      <c r="Y91" s="83">
        <v>47.8</v>
      </c>
      <c r="AD91" s="82"/>
      <c r="AG91" s="83"/>
      <c r="AL91" s="82"/>
      <c r="AO91" s="83"/>
      <c r="AP91" s="82"/>
      <c r="AS91" s="83"/>
      <c r="AT91" s="164"/>
      <c r="AW91" s="83"/>
      <c r="BA91" s="84"/>
    </row>
    <row r="92" spans="1:53" s="334" customFormat="1">
      <c r="A92" s="334">
        <v>1999</v>
      </c>
      <c r="B92" s="355">
        <v>36174</v>
      </c>
      <c r="C92" s="992" t="s">
        <v>330</v>
      </c>
      <c r="D92" s="992"/>
      <c r="E92" s="334">
        <v>264</v>
      </c>
      <c r="F92" s="334">
        <v>7</v>
      </c>
      <c r="G92" s="419">
        <v>21</v>
      </c>
      <c r="J92" s="435">
        <v>22</v>
      </c>
      <c r="K92" s="384">
        <f t="shared" si="9"/>
        <v>95.454545454545453</v>
      </c>
      <c r="L92" s="384">
        <f t="shared" si="4"/>
        <v>0</v>
      </c>
      <c r="M92" s="384">
        <f t="shared" si="4"/>
        <v>0</v>
      </c>
      <c r="N92" s="421">
        <f t="shared" si="10"/>
        <v>95.454545454545453</v>
      </c>
      <c r="O92" s="383">
        <v>55.4</v>
      </c>
      <c r="P92" s="384"/>
      <c r="Q92" s="384"/>
      <c r="R92" s="385">
        <v>55.4</v>
      </c>
      <c r="S92" s="334">
        <v>2</v>
      </c>
      <c r="T92" s="357"/>
      <c r="U92" s="355">
        <v>36174</v>
      </c>
      <c r="V92" s="343" t="s">
        <v>504</v>
      </c>
      <c r="W92" s="334" t="s">
        <v>74</v>
      </c>
      <c r="X92" s="334" t="s">
        <v>11</v>
      </c>
      <c r="Y92" s="344">
        <v>47.8</v>
      </c>
      <c r="Z92" s="334" t="s">
        <v>83</v>
      </c>
      <c r="AA92" s="334" t="s">
        <v>79</v>
      </c>
      <c r="AB92" s="334" t="s">
        <v>11</v>
      </c>
      <c r="AC92" s="334">
        <v>7.6</v>
      </c>
      <c r="AD92" s="343"/>
      <c r="AG92" s="344"/>
      <c r="AL92" s="343"/>
      <c r="AO92" s="344"/>
      <c r="AP92" s="343"/>
      <c r="AS92" s="344"/>
      <c r="AT92" s="452"/>
      <c r="AW92" s="344"/>
      <c r="BA92" s="345"/>
    </row>
    <row r="93" spans="1:53" s="73" customFormat="1">
      <c r="A93" s="73">
        <v>1999</v>
      </c>
      <c r="B93" s="85">
        <v>36438</v>
      </c>
      <c r="C93" s="988" t="s">
        <v>331</v>
      </c>
      <c r="D93" s="988"/>
      <c r="E93" s="73">
        <f>365-E92-E91</f>
        <v>88</v>
      </c>
      <c r="F93" s="73">
        <v>7</v>
      </c>
      <c r="G93" s="123">
        <v>21</v>
      </c>
      <c r="H93" s="73">
        <v>1</v>
      </c>
      <c r="J93" s="134">
        <v>23</v>
      </c>
      <c r="K93" s="92">
        <f t="shared" si="9"/>
        <v>91.304347826086953</v>
      </c>
      <c r="L93" s="92">
        <f t="shared" si="4"/>
        <v>4.3478260869565215</v>
      </c>
      <c r="M93" s="92">
        <f t="shared" si="4"/>
        <v>0</v>
      </c>
      <c r="N93" s="125">
        <f t="shared" si="10"/>
        <v>95.65217391304347</v>
      </c>
      <c r="O93" s="91">
        <v>55.6</v>
      </c>
      <c r="P93" s="92">
        <v>10.4</v>
      </c>
      <c r="Q93" s="92"/>
      <c r="R93" s="93">
        <v>66</v>
      </c>
      <c r="S93" s="73">
        <v>3</v>
      </c>
      <c r="T93" s="81"/>
      <c r="U93" s="85">
        <v>36438</v>
      </c>
      <c r="V93" s="82" t="s">
        <v>504</v>
      </c>
      <c r="W93" s="73" t="s">
        <v>74</v>
      </c>
      <c r="X93" s="73" t="s">
        <v>11</v>
      </c>
      <c r="Y93" s="83">
        <v>47.8</v>
      </c>
      <c r="Z93" s="73" t="s">
        <v>83</v>
      </c>
      <c r="AA93" s="73" t="s">
        <v>79</v>
      </c>
      <c r="AB93" s="73" t="s">
        <v>11</v>
      </c>
      <c r="AC93" s="73">
        <v>7.8</v>
      </c>
      <c r="AD93" s="82" t="s">
        <v>507</v>
      </c>
      <c r="AE93" s="73" t="s">
        <v>17</v>
      </c>
      <c r="AF93" s="73" t="s">
        <v>18</v>
      </c>
      <c r="AG93" s="83">
        <v>10.4</v>
      </c>
      <c r="AL93" s="82"/>
      <c r="AO93" s="83"/>
      <c r="AP93" s="82"/>
      <c r="AS93" s="83"/>
      <c r="AT93" s="164"/>
      <c r="AW93" s="83"/>
      <c r="BA93" s="84"/>
    </row>
    <row r="94" spans="1:53" s="73" customFormat="1">
      <c r="A94" s="73">
        <v>2000</v>
      </c>
      <c r="C94" s="988" t="s">
        <v>331</v>
      </c>
      <c r="D94" s="988"/>
      <c r="E94" s="73">
        <v>95</v>
      </c>
      <c r="G94" s="123">
        <v>21</v>
      </c>
      <c r="H94" s="73">
        <v>1</v>
      </c>
      <c r="J94" s="134">
        <v>23</v>
      </c>
      <c r="K94" s="92">
        <f t="shared" si="9"/>
        <v>91.304347826086953</v>
      </c>
      <c r="L94" s="92">
        <f t="shared" si="9"/>
        <v>4.3478260869565215</v>
      </c>
      <c r="M94" s="92">
        <f t="shared" si="9"/>
        <v>0</v>
      </c>
      <c r="N94" s="125">
        <f t="shared" si="10"/>
        <v>95.65217391304347</v>
      </c>
      <c r="O94" s="91">
        <v>55.6</v>
      </c>
      <c r="P94" s="92">
        <v>10.4</v>
      </c>
      <c r="Q94" s="92"/>
      <c r="R94" s="93">
        <v>66</v>
      </c>
      <c r="S94" s="73">
        <v>3</v>
      </c>
      <c r="T94" s="81"/>
      <c r="V94" s="82" t="s">
        <v>504</v>
      </c>
      <c r="W94" s="73" t="s">
        <v>74</v>
      </c>
      <c r="X94" s="73" t="s">
        <v>11</v>
      </c>
      <c r="Y94" s="83">
        <v>47.8</v>
      </c>
      <c r="Z94" s="73" t="s">
        <v>83</v>
      </c>
      <c r="AA94" s="73" t="s">
        <v>79</v>
      </c>
      <c r="AB94" s="73" t="s">
        <v>11</v>
      </c>
      <c r="AC94" s="73">
        <v>7.8</v>
      </c>
      <c r="AD94" s="82" t="s">
        <v>507</v>
      </c>
      <c r="AE94" s="73" t="s">
        <v>17</v>
      </c>
      <c r="AF94" s="73" t="s">
        <v>18</v>
      </c>
      <c r="AG94" s="83">
        <v>10.4</v>
      </c>
      <c r="AL94" s="82"/>
      <c r="AO94" s="83"/>
      <c r="AP94" s="82"/>
      <c r="AS94" s="83"/>
      <c r="AT94" s="164"/>
      <c r="AW94" s="83"/>
      <c r="BA94" s="84"/>
    </row>
    <row r="95" spans="1:53" s="334" customFormat="1">
      <c r="A95" s="334">
        <v>2000</v>
      </c>
      <c r="B95" s="355">
        <v>36621</v>
      </c>
      <c r="C95" s="992" t="s">
        <v>816</v>
      </c>
      <c r="D95" s="992"/>
      <c r="E95" s="334">
        <v>90</v>
      </c>
      <c r="F95" s="334">
        <v>2</v>
      </c>
      <c r="G95" s="419">
        <v>21</v>
      </c>
      <c r="H95" s="334">
        <v>1</v>
      </c>
      <c r="J95" s="435">
        <v>23</v>
      </c>
      <c r="K95" s="384">
        <f>G95/$J95*100</f>
        <v>91.304347826086953</v>
      </c>
      <c r="L95" s="384">
        <f>H95/$J95*100</f>
        <v>4.3478260869565215</v>
      </c>
      <c r="M95" s="384">
        <f>I95/$J95*100</f>
        <v>0</v>
      </c>
      <c r="N95" s="421">
        <f>K95+L95+M95</f>
        <v>95.65217391304347</v>
      </c>
      <c r="O95" s="383">
        <v>55.6</v>
      </c>
      <c r="P95" s="384">
        <v>10.4</v>
      </c>
      <c r="Q95" s="384"/>
      <c r="R95" s="385">
        <v>66</v>
      </c>
      <c r="S95" s="334">
        <v>3</v>
      </c>
      <c r="T95" s="342"/>
      <c r="U95" s="355">
        <v>36621</v>
      </c>
      <c r="V95" s="343" t="s">
        <v>504</v>
      </c>
      <c r="W95" s="334" t="s">
        <v>74</v>
      </c>
      <c r="X95" s="334" t="s">
        <v>11</v>
      </c>
      <c r="Y95" s="344">
        <v>47.8</v>
      </c>
      <c r="Z95" s="334" t="s">
        <v>83</v>
      </c>
      <c r="AA95" s="334" t="s">
        <v>79</v>
      </c>
      <c r="AB95" s="334" t="s">
        <v>11</v>
      </c>
      <c r="AC95" s="334">
        <v>7.8</v>
      </c>
      <c r="AD95" s="343" t="s">
        <v>507</v>
      </c>
      <c r="AE95" s="334" t="s">
        <v>17</v>
      </c>
      <c r="AF95" s="334" t="s">
        <v>18</v>
      </c>
      <c r="AG95" s="344">
        <v>10.4</v>
      </c>
      <c r="AL95" s="343"/>
      <c r="AO95" s="344"/>
      <c r="AP95" s="343"/>
      <c r="AS95" s="344"/>
      <c r="AT95" s="452"/>
      <c r="AW95" s="344"/>
      <c r="BA95" s="345"/>
    </row>
    <row r="96" spans="1:53" s="73" customFormat="1">
      <c r="A96" s="73">
        <v>2000</v>
      </c>
      <c r="B96" s="85">
        <v>36711</v>
      </c>
      <c r="C96" s="988" t="s">
        <v>865</v>
      </c>
      <c r="D96" s="988"/>
      <c r="E96" s="73">
        <v>181</v>
      </c>
      <c r="F96" s="73">
        <v>1</v>
      </c>
      <c r="G96" s="123">
        <v>20</v>
      </c>
      <c r="H96" s="73">
        <v>1</v>
      </c>
      <c r="J96" s="134">
        <v>23</v>
      </c>
      <c r="K96" s="92">
        <f t="shared" si="9"/>
        <v>86.956521739130437</v>
      </c>
      <c r="L96" s="92">
        <f t="shared" si="9"/>
        <v>4.3478260869565215</v>
      </c>
      <c r="M96" s="92">
        <f t="shared" si="9"/>
        <v>0</v>
      </c>
      <c r="N96" s="125">
        <f t="shared" si="10"/>
        <v>91.304347826086953</v>
      </c>
      <c r="O96" s="91">
        <v>50</v>
      </c>
      <c r="P96" s="92">
        <v>6.5</v>
      </c>
      <c r="Q96" s="92"/>
      <c r="R96" s="93">
        <f t="shared" si="8"/>
        <v>56.5</v>
      </c>
      <c r="S96" s="73">
        <v>3</v>
      </c>
      <c r="T96" s="95">
        <v>36702</v>
      </c>
      <c r="U96" s="85">
        <v>36711</v>
      </c>
      <c r="V96" s="82" t="s">
        <v>504</v>
      </c>
      <c r="W96" s="73" t="s">
        <v>74</v>
      </c>
      <c r="X96" s="73" t="s">
        <v>11</v>
      </c>
      <c r="Y96" s="83">
        <v>48.5</v>
      </c>
      <c r="Z96" s="73" t="s">
        <v>507</v>
      </c>
      <c r="AA96" s="73" t="s">
        <v>17</v>
      </c>
      <c r="AB96" s="73" t="s">
        <v>18</v>
      </c>
      <c r="AC96" s="73">
        <v>6.5</v>
      </c>
      <c r="AD96" s="82" t="s">
        <v>511</v>
      </c>
      <c r="AE96" s="73" t="s">
        <v>337</v>
      </c>
      <c r="AF96" s="73" t="s">
        <v>11</v>
      </c>
      <c r="AG96" s="83">
        <v>1.5</v>
      </c>
      <c r="AL96" s="82"/>
      <c r="AO96" s="83"/>
      <c r="AP96" s="82"/>
      <c r="AS96" s="83"/>
      <c r="AT96" s="164"/>
      <c r="AW96" s="83"/>
      <c r="BA96" s="84"/>
    </row>
    <row r="97" spans="1:53" s="73" customFormat="1">
      <c r="A97" s="73">
        <v>2001</v>
      </c>
      <c r="C97" s="988" t="s">
        <v>865</v>
      </c>
      <c r="D97" s="988"/>
      <c r="E97" s="73">
        <v>115</v>
      </c>
      <c r="G97" s="123">
        <v>20</v>
      </c>
      <c r="H97" s="73">
        <v>1</v>
      </c>
      <c r="J97" s="134">
        <v>23</v>
      </c>
      <c r="K97" s="92">
        <f t="shared" si="9"/>
        <v>86.956521739130437</v>
      </c>
      <c r="L97" s="92">
        <f t="shared" si="9"/>
        <v>4.3478260869565215</v>
      </c>
      <c r="M97" s="92">
        <f t="shared" si="9"/>
        <v>0</v>
      </c>
      <c r="N97" s="125">
        <f t="shared" si="10"/>
        <v>91.304347826086953</v>
      </c>
      <c r="O97" s="91">
        <v>50</v>
      </c>
      <c r="P97" s="92">
        <v>6.5</v>
      </c>
      <c r="Q97" s="92"/>
      <c r="R97" s="93">
        <f t="shared" si="8"/>
        <v>56.5</v>
      </c>
      <c r="S97" s="73">
        <v>3</v>
      </c>
      <c r="T97" s="81"/>
      <c r="V97" s="82" t="s">
        <v>504</v>
      </c>
      <c r="W97" s="73" t="s">
        <v>74</v>
      </c>
      <c r="X97" s="73" t="s">
        <v>11</v>
      </c>
      <c r="Y97" s="83">
        <v>48.5</v>
      </c>
      <c r="Z97" s="73" t="s">
        <v>507</v>
      </c>
      <c r="AA97" s="73" t="s">
        <v>17</v>
      </c>
      <c r="AB97" s="73" t="s">
        <v>18</v>
      </c>
      <c r="AC97" s="73">
        <v>6.5</v>
      </c>
      <c r="AD97" s="82" t="s">
        <v>511</v>
      </c>
      <c r="AE97" s="73" t="s">
        <v>337</v>
      </c>
      <c r="AF97" s="73" t="s">
        <v>11</v>
      </c>
      <c r="AG97" s="83">
        <v>1.5</v>
      </c>
      <c r="AL97" s="82"/>
      <c r="AO97" s="83"/>
      <c r="AP97" s="82"/>
      <c r="AS97" s="83"/>
      <c r="AT97" s="164"/>
      <c r="AW97" s="83"/>
      <c r="BA97" s="84"/>
    </row>
    <row r="98" spans="1:53" s="334" customFormat="1">
      <c r="A98" s="334">
        <v>2001</v>
      </c>
      <c r="B98" s="355">
        <v>37007</v>
      </c>
      <c r="C98" s="992" t="s">
        <v>710</v>
      </c>
      <c r="D98" s="992"/>
      <c r="E98" s="334">
        <f>365-E97</f>
        <v>250</v>
      </c>
      <c r="F98" s="334">
        <v>2</v>
      </c>
      <c r="G98" s="419">
        <v>14</v>
      </c>
      <c r="H98" s="334">
        <v>1</v>
      </c>
      <c r="J98" s="435">
        <v>18</v>
      </c>
      <c r="K98" s="384">
        <f t="shared" si="9"/>
        <v>77.777777777777786</v>
      </c>
      <c r="L98" s="384">
        <f t="shared" si="9"/>
        <v>5.5555555555555554</v>
      </c>
      <c r="M98" s="384">
        <f t="shared" si="9"/>
        <v>0</v>
      </c>
      <c r="N98" s="421">
        <f t="shared" si="10"/>
        <v>83.333333333333343</v>
      </c>
      <c r="O98" s="383">
        <v>50</v>
      </c>
      <c r="P98" s="384">
        <v>6.5</v>
      </c>
      <c r="Q98" s="384"/>
      <c r="R98" s="385">
        <f t="shared" si="8"/>
        <v>56.5</v>
      </c>
      <c r="S98" s="334">
        <v>3</v>
      </c>
      <c r="T98" s="357"/>
      <c r="U98" s="355">
        <v>37007</v>
      </c>
      <c r="V98" s="343" t="s">
        <v>504</v>
      </c>
      <c r="W98" s="334" t="s">
        <v>74</v>
      </c>
      <c r="X98" s="334" t="s">
        <v>11</v>
      </c>
      <c r="Y98" s="344">
        <v>48.5</v>
      </c>
      <c r="Z98" s="334" t="s">
        <v>507</v>
      </c>
      <c r="AA98" s="334" t="s">
        <v>17</v>
      </c>
      <c r="AB98" s="334" t="s">
        <v>18</v>
      </c>
      <c r="AC98" s="334">
        <v>6.5</v>
      </c>
      <c r="AD98" s="343" t="s">
        <v>511</v>
      </c>
      <c r="AE98" s="334" t="s">
        <v>337</v>
      </c>
      <c r="AF98" s="334" t="s">
        <v>11</v>
      </c>
      <c r="AG98" s="344">
        <v>1.5</v>
      </c>
      <c r="AL98" s="343"/>
      <c r="AO98" s="344"/>
      <c r="AP98" s="343"/>
      <c r="AS98" s="344"/>
      <c r="AT98" s="452"/>
      <c r="AW98" s="344"/>
      <c r="BA98" s="345"/>
    </row>
    <row r="99" spans="1:53" s="334" customFormat="1">
      <c r="A99" s="334">
        <v>2002</v>
      </c>
      <c r="C99" s="992" t="s">
        <v>710</v>
      </c>
      <c r="D99" s="992"/>
      <c r="E99" s="334">
        <v>0</v>
      </c>
      <c r="G99" s="419">
        <v>14</v>
      </c>
      <c r="H99" s="334">
        <v>1</v>
      </c>
      <c r="J99" s="435">
        <v>18</v>
      </c>
      <c r="K99" s="384">
        <f t="shared" si="9"/>
        <v>77.777777777777786</v>
      </c>
      <c r="L99" s="384">
        <f t="shared" si="9"/>
        <v>5.5555555555555554</v>
      </c>
      <c r="M99" s="384">
        <f t="shared" si="9"/>
        <v>0</v>
      </c>
      <c r="N99" s="421">
        <f t="shared" si="10"/>
        <v>83.333333333333343</v>
      </c>
      <c r="O99" s="383">
        <v>50</v>
      </c>
      <c r="P99" s="384">
        <v>6.5</v>
      </c>
      <c r="Q99" s="384"/>
      <c r="R99" s="385">
        <f t="shared" si="8"/>
        <v>56.5</v>
      </c>
      <c r="S99" s="334">
        <v>3</v>
      </c>
      <c r="T99" s="357"/>
      <c r="V99" s="343" t="s">
        <v>504</v>
      </c>
      <c r="W99" s="334" t="s">
        <v>74</v>
      </c>
      <c r="X99" s="334" t="s">
        <v>11</v>
      </c>
      <c r="Y99" s="344">
        <v>48.5</v>
      </c>
      <c r="Z99" s="334" t="s">
        <v>507</v>
      </c>
      <c r="AA99" s="334" t="s">
        <v>17</v>
      </c>
      <c r="AB99" s="334" t="s">
        <v>18</v>
      </c>
      <c r="AC99" s="334">
        <v>6.5</v>
      </c>
      <c r="AD99" s="343" t="s">
        <v>511</v>
      </c>
      <c r="AE99" s="334" t="s">
        <v>337</v>
      </c>
      <c r="AF99" s="334" t="s">
        <v>11</v>
      </c>
      <c r="AG99" s="344">
        <v>1.5</v>
      </c>
      <c r="AL99" s="343"/>
      <c r="AO99" s="344"/>
      <c r="AP99" s="343"/>
      <c r="AS99" s="344"/>
      <c r="AT99" s="452"/>
      <c r="AW99" s="344"/>
      <c r="BA99" s="345"/>
    </row>
    <row r="100" spans="1:53" s="334" customFormat="1">
      <c r="A100" s="334">
        <v>2002</v>
      </c>
      <c r="C100" s="992" t="s">
        <v>710</v>
      </c>
      <c r="D100" s="992"/>
      <c r="E100" s="334">
        <f>365-E99</f>
        <v>365</v>
      </c>
      <c r="G100" s="419">
        <v>14</v>
      </c>
      <c r="H100" s="334">
        <v>1</v>
      </c>
      <c r="J100" s="435">
        <v>18</v>
      </c>
      <c r="K100" s="384">
        <f t="shared" si="9"/>
        <v>77.777777777777786</v>
      </c>
      <c r="L100" s="384">
        <f t="shared" si="9"/>
        <v>5.5555555555555554</v>
      </c>
      <c r="M100" s="384">
        <f t="shared" si="9"/>
        <v>0</v>
      </c>
      <c r="N100" s="421">
        <f t="shared" si="10"/>
        <v>83.333333333333343</v>
      </c>
      <c r="O100" s="383">
        <v>50</v>
      </c>
      <c r="P100" s="384">
        <v>6.5</v>
      </c>
      <c r="Q100" s="384"/>
      <c r="R100" s="385">
        <f t="shared" si="8"/>
        <v>56.5</v>
      </c>
      <c r="S100" s="334">
        <v>3</v>
      </c>
      <c r="T100" s="357"/>
      <c r="V100" s="343" t="s">
        <v>504</v>
      </c>
      <c r="W100" s="334" t="s">
        <v>74</v>
      </c>
      <c r="X100" s="334" t="s">
        <v>11</v>
      </c>
      <c r="Y100" s="344">
        <v>48.5</v>
      </c>
      <c r="Z100" s="334" t="s">
        <v>507</v>
      </c>
      <c r="AA100" s="334" t="s">
        <v>17</v>
      </c>
      <c r="AB100" s="334" t="s">
        <v>18</v>
      </c>
      <c r="AC100" s="334">
        <v>6.5</v>
      </c>
      <c r="AD100" s="343" t="s">
        <v>511</v>
      </c>
      <c r="AE100" s="334" t="s">
        <v>337</v>
      </c>
      <c r="AF100" s="334" t="s">
        <v>11</v>
      </c>
      <c r="AG100" s="344">
        <v>1.5</v>
      </c>
      <c r="AL100" s="343"/>
      <c r="AO100" s="344"/>
      <c r="AP100" s="343"/>
      <c r="AS100" s="344"/>
      <c r="AT100" s="452"/>
      <c r="AW100" s="344"/>
      <c r="BA100" s="345"/>
    </row>
    <row r="101" spans="1:53" s="334" customFormat="1">
      <c r="A101" s="334">
        <v>2003</v>
      </c>
      <c r="C101" s="992" t="s">
        <v>710</v>
      </c>
      <c r="D101" s="992"/>
      <c r="E101" s="334">
        <v>264</v>
      </c>
      <c r="G101" s="419">
        <v>14</v>
      </c>
      <c r="H101" s="334">
        <v>1</v>
      </c>
      <c r="J101" s="435">
        <v>18</v>
      </c>
      <c r="K101" s="384">
        <f t="shared" si="9"/>
        <v>77.777777777777786</v>
      </c>
      <c r="L101" s="384">
        <f t="shared" si="9"/>
        <v>5.5555555555555554</v>
      </c>
      <c r="M101" s="384">
        <f t="shared" si="9"/>
        <v>0</v>
      </c>
      <c r="N101" s="421">
        <f t="shared" si="10"/>
        <v>83.333333333333343</v>
      </c>
      <c r="O101" s="383">
        <v>50</v>
      </c>
      <c r="P101" s="384">
        <v>6.5</v>
      </c>
      <c r="Q101" s="384"/>
      <c r="R101" s="385">
        <f t="shared" si="8"/>
        <v>56.5</v>
      </c>
      <c r="S101" s="334">
        <v>3</v>
      </c>
      <c r="T101" s="357"/>
      <c r="V101" s="343" t="s">
        <v>504</v>
      </c>
      <c r="W101" s="334" t="s">
        <v>74</v>
      </c>
      <c r="X101" s="334" t="s">
        <v>11</v>
      </c>
      <c r="Y101" s="344">
        <v>48.5</v>
      </c>
      <c r="Z101" s="334" t="s">
        <v>507</v>
      </c>
      <c r="AA101" s="334" t="s">
        <v>17</v>
      </c>
      <c r="AB101" s="334" t="s">
        <v>18</v>
      </c>
      <c r="AC101" s="334">
        <v>6.5</v>
      </c>
      <c r="AD101" s="343" t="s">
        <v>511</v>
      </c>
      <c r="AE101" s="334" t="s">
        <v>337</v>
      </c>
      <c r="AF101" s="334" t="s">
        <v>11</v>
      </c>
      <c r="AG101" s="344">
        <v>1.5</v>
      </c>
      <c r="AL101" s="343"/>
      <c r="AO101" s="344"/>
      <c r="AP101" s="343"/>
      <c r="AS101" s="344"/>
      <c r="AT101" s="452"/>
      <c r="AW101" s="344"/>
      <c r="BA101" s="345"/>
    </row>
    <row r="102" spans="1:53" s="334" customFormat="1">
      <c r="A102" s="334">
        <v>2003</v>
      </c>
      <c r="B102" s="445">
        <v>37886</v>
      </c>
      <c r="C102" s="992" t="s">
        <v>710</v>
      </c>
      <c r="D102" s="992"/>
      <c r="E102" s="334">
        <f>365-E101</f>
        <v>101</v>
      </c>
      <c r="F102" s="441">
        <v>0</v>
      </c>
      <c r="G102" s="419">
        <v>14</v>
      </c>
      <c r="H102" s="334">
        <v>1</v>
      </c>
      <c r="J102" s="435">
        <v>18</v>
      </c>
      <c r="K102" s="384">
        <f t="shared" si="9"/>
        <v>77.777777777777786</v>
      </c>
      <c r="L102" s="384">
        <f t="shared" si="9"/>
        <v>5.5555555555555554</v>
      </c>
      <c r="M102" s="384">
        <f t="shared" si="9"/>
        <v>0</v>
      </c>
      <c r="N102" s="421">
        <f t="shared" si="10"/>
        <v>83.333333333333343</v>
      </c>
      <c r="O102" s="383">
        <f>Y102+AG102</f>
        <v>50</v>
      </c>
      <c r="P102" s="384">
        <v>7.1</v>
      </c>
      <c r="Q102" s="384"/>
      <c r="R102" s="385">
        <f t="shared" si="8"/>
        <v>57.1</v>
      </c>
      <c r="S102" s="334">
        <v>3</v>
      </c>
      <c r="T102" s="342"/>
      <c r="U102" s="355">
        <v>37886</v>
      </c>
      <c r="V102" s="343" t="s">
        <v>504</v>
      </c>
      <c r="W102" s="334" t="s">
        <v>74</v>
      </c>
      <c r="X102" s="334" t="s">
        <v>11</v>
      </c>
      <c r="Y102" s="344">
        <v>48.5</v>
      </c>
      <c r="Z102" s="334" t="s">
        <v>507</v>
      </c>
      <c r="AA102" s="334" t="s">
        <v>17</v>
      </c>
      <c r="AB102" s="334" t="s">
        <v>18</v>
      </c>
      <c r="AC102" s="334">
        <v>6.5</v>
      </c>
      <c r="AD102" s="343" t="s">
        <v>578</v>
      </c>
      <c r="AE102" s="334" t="s">
        <v>337</v>
      </c>
      <c r="AF102" s="334" t="s">
        <v>11</v>
      </c>
      <c r="AG102" s="344">
        <v>1.5</v>
      </c>
      <c r="AL102" s="343"/>
      <c r="AO102" s="344"/>
      <c r="AP102" s="343"/>
      <c r="AS102" s="344"/>
      <c r="AT102" s="452"/>
      <c r="AW102" s="344"/>
      <c r="BA102" s="345"/>
    </row>
    <row r="103" spans="1:53" s="334" customFormat="1">
      <c r="A103" s="334">
        <v>2004</v>
      </c>
      <c r="C103" s="992" t="s">
        <v>710</v>
      </c>
      <c r="D103" s="992"/>
      <c r="E103" s="334">
        <v>270</v>
      </c>
      <c r="G103" s="419">
        <v>14</v>
      </c>
      <c r="H103" s="334">
        <v>1</v>
      </c>
      <c r="J103" s="435">
        <v>18</v>
      </c>
      <c r="K103" s="384">
        <f t="shared" si="9"/>
        <v>77.777777777777786</v>
      </c>
      <c r="L103" s="384">
        <f t="shared" si="9"/>
        <v>5.5555555555555554</v>
      </c>
      <c r="M103" s="384">
        <f t="shared" si="9"/>
        <v>0</v>
      </c>
      <c r="N103" s="421">
        <f t="shared" si="10"/>
        <v>83.333333333333343</v>
      </c>
      <c r="O103" s="383">
        <v>50.2</v>
      </c>
      <c r="P103" s="384">
        <v>7.1</v>
      </c>
      <c r="Q103" s="384"/>
      <c r="R103" s="385">
        <f t="shared" si="8"/>
        <v>57.300000000000004</v>
      </c>
      <c r="S103" s="334">
        <v>3</v>
      </c>
      <c r="T103" s="342">
        <v>37934</v>
      </c>
      <c r="V103" s="343" t="s">
        <v>504</v>
      </c>
      <c r="W103" s="334" t="s">
        <v>74</v>
      </c>
      <c r="X103" s="334" t="s">
        <v>11</v>
      </c>
      <c r="Y103" s="344">
        <v>48.5</v>
      </c>
      <c r="Z103" s="334" t="s">
        <v>507</v>
      </c>
      <c r="AA103" s="334" t="s">
        <v>17</v>
      </c>
      <c r="AB103" s="334" t="s">
        <v>18</v>
      </c>
      <c r="AC103" s="334">
        <v>6.5</v>
      </c>
      <c r="AD103" s="343" t="s">
        <v>578</v>
      </c>
      <c r="AE103" s="334" t="s">
        <v>337</v>
      </c>
      <c r="AF103" s="334" t="s">
        <v>11</v>
      </c>
      <c r="AG103" s="344">
        <v>1.5</v>
      </c>
      <c r="AL103" s="343"/>
      <c r="AO103" s="344"/>
      <c r="AP103" s="343"/>
      <c r="AS103" s="344"/>
      <c r="AT103" s="452"/>
      <c r="AW103" s="344"/>
      <c r="BA103" s="345"/>
    </row>
    <row r="104" spans="1:53" s="73" customFormat="1">
      <c r="A104" s="73">
        <v>2004</v>
      </c>
      <c r="B104" s="85">
        <v>38257</v>
      </c>
      <c r="C104" s="988" t="s">
        <v>711</v>
      </c>
      <c r="D104" s="988"/>
      <c r="E104" s="73">
        <f>366-E103</f>
        <v>96</v>
      </c>
      <c r="F104" s="73">
        <v>4</v>
      </c>
      <c r="G104" s="123">
        <v>17</v>
      </c>
      <c r="H104" s="73">
        <v>1</v>
      </c>
      <c r="J104" s="134">
        <v>18</v>
      </c>
      <c r="K104" s="92">
        <f t="shared" si="9"/>
        <v>94.444444444444443</v>
      </c>
      <c r="L104" s="92">
        <f t="shared" si="9"/>
        <v>5.5555555555555554</v>
      </c>
      <c r="M104" s="92">
        <f t="shared" si="9"/>
        <v>0</v>
      </c>
      <c r="N104" s="125">
        <f t="shared" si="10"/>
        <v>100</v>
      </c>
      <c r="O104" s="91">
        <v>49.4</v>
      </c>
      <c r="P104" s="92">
        <v>7.1</v>
      </c>
      <c r="Q104" s="92"/>
      <c r="R104" s="93">
        <f t="shared" si="8"/>
        <v>56.5</v>
      </c>
      <c r="S104" s="73">
        <v>2</v>
      </c>
      <c r="T104" s="81"/>
      <c r="U104" s="85">
        <v>38257</v>
      </c>
      <c r="V104" s="82" t="s">
        <v>504</v>
      </c>
      <c r="W104" s="73" t="s">
        <v>74</v>
      </c>
      <c r="X104" s="73" t="s">
        <v>11</v>
      </c>
      <c r="Y104" s="83">
        <v>49.4</v>
      </c>
      <c r="Z104" s="73" t="s">
        <v>507</v>
      </c>
      <c r="AA104" s="73" t="s">
        <v>17</v>
      </c>
      <c r="AB104" s="73" t="s">
        <v>18</v>
      </c>
      <c r="AC104" s="73">
        <v>7.1</v>
      </c>
      <c r="AD104" s="82"/>
      <c r="AG104" s="83"/>
      <c r="AL104" s="82"/>
      <c r="AO104" s="83"/>
      <c r="AP104" s="82"/>
      <c r="AS104" s="83"/>
      <c r="AT104" s="164"/>
      <c r="AW104" s="83"/>
      <c r="BA104" s="84"/>
    </row>
    <row r="105" spans="1:53" s="73" customFormat="1">
      <c r="A105" s="73">
        <v>2005</v>
      </c>
      <c r="C105" s="988" t="s">
        <v>711</v>
      </c>
      <c r="D105" s="988"/>
      <c r="E105" s="73">
        <v>303</v>
      </c>
      <c r="G105" s="123">
        <v>17</v>
      </c>
      <c r="H105" s="73">
        <v>1</v>
      </c>
      <c r="J105" s="134">
        <v>18</v>
      </c>
      <c r="K105" s="92">
        <f t="shared" si="9"/>
        <v>94.444444444444443</v>
      </c>
      <c r="L105" s="92">
        <f t="shared" si="9"/>
        <v>5.5555555555555554</v>
      </c>
      <c r="M105" s="92">
        <f t="shared" si="9"/>
        <v>0</v>
      </c>
      <c r="N105" s="125">
        <f t="shared" si="10"/>
        <v>100</v>
      </c>
      <c r="O105" s="91">
        <v>49.4</v>
      </c>
      <c r="P105" s="92">
        <v>7.1</v>
      </c>
      <c r="Q105" s="92"/>
      <c r="R105" s="93">
        <f t="shared" si="8"/>
        <v>56.5</v>
      </c>
      <c r="S105" s="73">
        <v>2</v>
      </c>
      <c r="T105" s="81"/>
      <c r="V105" s="82" t="s">
        <v>504</v>
      </c>
      <c r="W105" s="73" t="s">
        <v>74</v>
      </c>
      <c r="X105" s="73" t="s">
        <v>11</v>
      </c>
      <c r="Y105" s="83">
        <v>49.4</v>
      </c>
      <c r="Z105" s="73" t="s">
        <v>507</v>
      </c>
      <c r="AA105" s="73" t="s">
        <v>17</v>
      </c>
      <c r="AB105" s="73" t="s">
        <v>18</v>
      </c>
      <c r="AC105" s="73">
        <v>7.1</v>
      </c>
      <c r="AD105" s="82"/>
      <c r="AG105" s="83"/>
      <c r="AL105" s="82"/>
      <c r="AO105" s="83"/>
      <c r="AP105" s="82"/>
      <c r="AS105" s="83"/>
      <c r="AT105" s="164"/>
      <c r="AW105" s="83"/>
      <c r="BA105" s="84"/>
    </row>
    <row r="106" spans="1:53" s="334" customFormat="1">
      <c r="A106" s="334">
        <v>2005</v>
      </c>
      <c r="B106" s="355">
        <v>38656</v>
      </c>
      <c r="C106" s="992" t="s">
        <v>866</v>
      </c>
      <c r="D106" s="992"/>
      <c r="E106" s="334">
        <f>365-E105</f>
        <v>62</v>
      </c>
      <c r="F106" s="334">
        <v>1</v>
      </c>
      <c r="G106" s="419">
        <v>17</v>
      </c>
      <c r="H106" s="334">
        <v>1</v>
      </c>
      <c r="J106" s="435">
        <v>18</v>
      </c>
      <c r="K106" s="384">
        <f t="shared" si="9"/>
        <v>94.444444444444443</v>
      </c>
      <c r="L106" s="384">
        <f t="shared" si="9"/>
        <v>5.5555555555555554</v>
      </c>
      <c r="M106" s="384">
        <f t="shared" si="9"/>
        <v>0</v>
      </c>
      <c r="N106" s="421">
        <f t="shared" si="10"/>
        <v>100</v>
      </c>
      <c r="O106" s="383">
        <v>61.7</v>
      </c>
      <c r="P106" s="384">
        <v>6.5</v>
      </c>
      <c r="Q106" s="384"/>
      <c r="R106" s="385">
        <f t="shared" si="8"/>
        <v>68.2</v>
      </c>
      <c r="S106" s="334">
        <v>3</v>
      </c>
      <c r="T106" s="342">
        <v>38606</v>
      </c>
      <c r="U106" s="355">
        <v>38656</v>
      </c>
      <c r="V106" s="343" t="s">
        <v>504</v>
      </c>
      <c r="W106" s="334" t="s">
        <v>74</v>
      </c>
      <c r="X106" s="334" t="s">
        <v>11</v>
      </c>
      <c r="Y106" s="344">
        <v>61.7</v>
      </c>
      <c r="Z106" s="334" t="s">
        <v>507</v>
      </c>
      <c r="AA106" s="334" t="s">
        <v>17</v>
      </c>
      <c r="AB106" s="334" t="s">
        <v>18</v>
      </c>
      <c r="AC106" s="334">
        <v>6.5</v>
      </c>
      <c r="AD106" s="343"/>
      <c r="AG106" s="344"/>
      <c r="AL106" s="343"/>
      <c r="AO106" s="344"/>
      <c r="AP106" s="343"/>
      <c r="AS106" s="344"/>
      <c r="AT106" s="452"/>
      <c r="AW106" s="344"/>
      <c r="BA106" s="345"/>
    </row>
    <row r="107" spans="1:53" s="334" customFormat="1">
      <c r="A107" s="334">
        <v>2006</v>
      </c>
      <c r="C107" s="992" t="s">
        <v>866</v>
      </c>
      <c r="D107" s="992"/>
      <c r="E107" s="334">
        <v>268</v>
      </c>
      <c r="G107" s="419">
        <v>17</v>
      </c>
      <c r="H107" s="334">
        <v>1</v>
      </c>
      <c r="J107" s="435">
        <v>18</v>
      </c>
      <c r="K107" s="384">
        <f t="shared" si="9"/>
        <v>94.444444444444443</v>
      </c>
      <c r="L107" s="384">
        <f t="shared" si="9"/>
        <v>5.5555555555555554</v>
      </c>
      <c r="M107" s="384">
        <f t="shared" si="9"/>
        <v>0</v>
      </c>
      <c r="N107" s="421">
        <f t="shared" si="10"/>
        <v>100</v>
      </c>
      <c r="O107" s="383">
        <v>61.7</v>
      </c>
      <c r="P107" s="384">
        <v>6.5</v>
      </c>
      <c r="Q107" s="384"/>
      <c r="R107" s="385">
        <f t="shared" si="8"/>
        <v>68.2</v>
      </c>
      <c r="S107" s="334">
        <v>3</v>
      </c>
      <c r="T107" s="357"/>
      <c r="V107" s="343" t="s">
        <v>504</v>
      </c>
      <c r="W107" s="334" t="s">
        <v>74</v>
      </c>
      <c r="X107" s="334" t="s">
        <v>11</v>
      </c>
      <c r="Y107" s="344">
        <v>61.7</v>
      </c>
      <c r="Z107" s="334" t="s">
        <v>507</v>
      </c>
      <c r="AA107" s="334" t="s">
        <v>17</v>
      </c>
      <c r="AB107" s="334" t="s">
        <v>18</v>
      </c>
      <c r="AC107" s="334">
        <v>6.5</v>
      </c>
      <c r="AD107" s="343"/>
      <c r="AG107" s="344"/>
      <c r="AL107" s="343"/>
      <c r="AO107" s="344"/>
      <c r="AP107" s="343"/>
      <c r="AS107" s="344"/>
      <c r="AT107" s="452"/>
      <c r="AW107" s="344"/>
      <c r="BA107" s="345"/>
    </row>
    <row r="108" spans="1:53" s="73" customFormat="1">
      <c r="A108" s="73">
        <v>2006</v>
      </c>
      <c r="B108" s="85">
        <v>38986</v>
      </c>
      <c r="C108" s="988" t="s">
        <v>712</v>
      </c>
      <c r="D108" s="988"/>
      <c r="E108" s="73">
        <f>365-E107</f>
        <v>97</v>
      </c>
      <c r="G108" s="123">
        <v>16</v>
      </c>
      <c r="H108" s="73">
        <v>1</v>
      </c>
      <c r="J108" s="134">
        <v>18</v>
      </c>
      <c r="K108" s="92">
        <f t="shared" si="9"/>
        <v>88.888888888888886</v>
      </c>
      <c r="L108" s="92">
        <f t="shared" si="9"/>
        <v>5.5555555555555554</v>
      </c>
      <c r="M108" s="92">
        <f t="shared" si="9"/>
        <v>0</v>
      </c>
      <c r="N108" s="125">
        <f t="shared" si="10"/>
        <v>94.444444444444443</v>
      </c>
      <c r="O108" s="91">
        <v>61.7</v>
      </c>
      <c r="P108" s="92">
        <v>6.5</v>
      </c>
      <c r="Q108" s="92"/>
      <c r="R108" s="93">
        <f t="shared" si="8"/>
        <v>68.2</v>
      </c>
      <c r="S108" s="73">
        <v>3</v>
      </c>
      <c r="T108" s="81"/>
      <c r="U108" s="85">
        <v>38986</v>
      </c>
      <c r="V108" s="82" t="s">
        <v>504</v>
      </c>
      <c r="W108" s="73" t="s">
        <v>74</v>
      </c>
      <c r="X108" s="73" t="s">
        <v>11</v>
      </c>
      <c r="Y108" s="83">
        <v>61.7</v>
      </c>
      <c r="Z108" s="73" t="s">
        <v>507</v>
      </c>
      <c r="AA108" s="73" t="s">
        <v>17</v>
      </c>
      <c r="AB108" s="73" t="s">
        <v>18</v>
      </c>
      <c r="AC108" s="73">
        <v>6.5</v>
      </c>
      <c r="AD108" s="82"/>
      <c r="AG108" s="83"/>
      <c r="AL108" s="82"/>
      <c r="AO108" s="83"/>
      <c r="AP108" s="82"/>
      <c r="AS108" s="83"/>
      <c r="AT108" s="164"/>
      <c r="AW108" s="83"/>
      <c r="BA108" s="84"/>
    </row>
    <row r="109" spans="1:53" s="73" customFormat="1">
      <c r="A109" s="73">
        <v>2007</v>
      </c>
      <c r="C109" s="988" t="s">
        <v>712</v>
      </c>
      <c r="D109" s="988"/>
      <c r="E109" s="73">
        <v>238</v>
      </c>
      <c r="G109" s="123">
        <v>16</v>
      </c>
      <c r="H109" s="73">
        <v>1</v>
      </c>
      <c r="J109" s="134">
        <v>18</v>
      </c>
      <c r="K109" s="92">
        <f t="shared" si="9"/>
        <v>88.888888888888886</v>
      </c>
      <c r="L109" s="92">
        <f t="shared" si="9"/>
        <v>5.5555555555555554</v>
      </c>
      <c r="M109" s="92">
        <f t="shared" si="9"/>
        <v>0</v>
      </c>
      <c r="N109" s="125">
        <f t="shared" si="10"/>
        <v>94.444444444444443</v>
      </c>
      <c r="O109" s="91">
        <v>61.7</v>
      </c>
      <c r="P109" s="92">
        <v>6.5</v>
      </c>
      <c r="Q109" s="92"/>
      <c r="R109" s="93">
        <f t="shared" si="8"/>
        <v>68.2</v>
      </c>
      <c r="S109" s="73">
        <v>3</v>
      </c>
      <c r="T109" s="81"/>
      <c r="V109" s="82" t="s">
        <v>504</v>
      </c>
      <c r="W109" s="73" t="s">
        <v>74</v>
      </c>
      <c r="X109" s="73" t="s">
        <v>11</v>
      </c>
      <c r="Y109" s="83">
        <v>61.7</v>
      </c>
      <c r="Z109" s="73" t="s">
        <v>507</v>
      </c>
      <c r="AA109" s="73" t="s">
        <v>17</v>
      </c>
      <c r="AB109" s="73" t="s">
        <v>18</v>
      </c>
      <c r="AC109" s="73">
        <v>6.5</v>
      </c>
      <c r="AD109" s="82"/>
      <c r="AG109" s="83"/>
      <c r="AL109" s="82"/>
      <c r="AO109" s="83"/>
      <c r="AP109" s="82"/>
      <c r="AS109" s="83"/>
      <c r="AT109" s="164"/>
      <c r="AW109" s="83"/>
      <c r="BA109" s="84"/>
    </row>
    <row r="110" spans="1:53" s="73" customFormat="1">
      <c r="A110" s="73">
        <v>2007</v>
      </c>
      <c r="B110" s="149">
        <v>39321</v>
      </c>
      <c r="C110" s="988" t="s">
        <v>712</v>
      </c>
      <c r="D110" s="988"/>
      <c r="E110" s="73">
        <v>30</v>
      </c>
      <c r="F110" s="150">
        <v>0</v>
      </c>
      <c r="G110" s="123">
        <v>15</v>
      </c>
      <c r="H110" s="73">
        <v>1</v>
      </c>
      <c r="J110" s="134">
        <v>18</v>
      </c>
      <c r="K110" s="92">
        <f t="shared" si="9"/>
        <v>83.333333333333343</v>
      </c>
      <c r="L110" s="92">
        <f t="shared" si="9"/>
        <v>5.5555555555555554</v>
      </c>
      <c r="M110" s="92">
        <f t="shared" si="9"/>
        <v>0</v>
      </c>
      <c r="N110" s="125">
        <f t="shared" si="10"/>
        <v>88.8888888888889</v>
      </c>
      <c r="O110" s="91">
        <v>61.7</v>
      </c>
      <c r="P110" s="92">
        <v>6.5</v>
      </c>
      <c r="Q110" s="92"/>
      <c r="R110" s="93">
        <f t="shared" si="8"/>
        <v>68.2</v>
      </c>
      <c r="S110" s="73">
        <v>3</v>
      </c>
      <c r="T110" s="81"/>
      <c r="U110" s="85">
        <v>39321</v>
      </c>
      <c r="V110" s="82" t="s">
        <v>504</v>
      </c>
      <c r="W110" s="73" t="s">
        <v>74</v>
      </c>
      <c r="X110" s="73" t="s">
        <v>11</v>
      </c>
      <c r="Y110" s="83">
        <v>61.7</v>
      </c>
      <c r="Z110" s="73" t="s">
        <v>507</v>
      </c>
      <c r="AA110" s="73" t="s">
        <v>17</v>
      </c>
      <c r="AB110" s="73" t="s">
        <v>18</v>
      </c>
      <c r="AC110" s="73">
        <v>6.5</v>
      </c>
      <c r="AD110" s="82"/>
      <c r="AG110" s="83"/>
      <c r="AL110" s="82"/>
      <c r="AO110" s="83"/>
      <c r="AP110" s="82"/>
      <c r="AS110" s="83"/>
      <c r="AT110" s="164"/>
      <c r="AW110" s="83"/>
      <c r="BA110" s="84"/>
    </row>
    <row r="111" spans="1:53" s="334" customFormat="1">
      <c r="A111" s="334">
        <v>2007</v>
      </c>
      <c r="B111" s="355">
        <v>39351</v>
      </c>
      <c r="C111" s="992" t="s">
        <v>701</v>
      </c>
      <c r="D111" s="992"/>
      <c r="E111" s="334">
        <f>365-E110-E109</f>
        <v>97</v>
      </c>
      <c r="F111" s="334">
        <v>3</v>
      </c>
      <c r="G111" s="419">
        <v>15</v>
      </c>
      <c r="H111" s="334">
        <v>1</v>
      </c>
      <c r="J111" s="435">
        <v>18</v>
      </c>
      <c r="K111" s="384">
        <f>G111/$J111*100</f>
        <v>83.333333333333343</v>
      </c>
      <c r="L111" s="384">
        <f>H111/$J111*100</f>
        <v>5.5555555555555554</v>
      </c>
      <c r="M111" s="384">
        <f>I111/$J111*100</f>
        <v>0</v>
      </c>
      <c r="N111" s="421">
        <f>K111+L111+M111</f>
        <v>88.8888888888889</v>
      </c>
      <c r="O111" s="383">
        <v>61.7</v>
      </c>
      <c r="P111" s="384">
        <v>6.5</v>
      </c>
      <c r="Q111" s="384"/>
      <c r="R111" s="385">
        <f t="shared" si="8"/>
        <v>68.2</v>
      </c>
      <c r="S111" s="334">
        <v>3</v>
      </c>
      <c r="T111" s="357"/>
      <c r="U111" s="355">
        <v>39351</v>
      </c>
      <c r="V111" s="343" t="s">
        <v>504</v>
      </c>
      <c r="W111" s="334" t="s">
        <v>74</v>
      </c>
      <c r="X111" s="334" t="s">
        <v>11</v>
      </c>
      <c r="Y111" s="344">
        <v>61.7</v>
      </c>
      <c r="Z111" s="334" t="s">
        <v>507</v>
      </c>
      <c r="AA111" s="334" t="s">
        <v>17</v>
      </c>
      <c r="AB111" s="334" t="s">
        <v>18</v>
      </c>
      <c r="AC111" s="334">
        <v>6.5</v>
      </c>
      <c r="AD111" s="343"/>
      <c r="AG111" s="344"/>
      <c r="AL111" s="343"/>
      <c r="AO111" s="344"/>
      <c r="AP111" s="343"/>
      <c r="AS111" s="344"/>
      <c r="AT111" s="452"/>
      <c r="AW111" s="344"/>
      <c r="BA111" s="345"/>
    </row>
    <row r="112" spans="1:53" s="334" customFormat="1">
      <c r="A112" s="334">
        <v>2008</v>
      </c>
      <c r="C112" s="992" t="s">
        <v>701</v>
      </c>
      <c r="D112" s="992"/>
      <c r="E112" s="334">
        <v>214</v>
      </c>
      <c r="G112" s="419">
        <v>15</v>
      </c>
      <c r="H112" s="334">
        <v>1</v>
      </c>
      <c r="J112" s="435">
        <v>18</v>
      </c>
      <c r="K112" s="384">
        <f t="shared" ref="K112:K125" si="11">G112/$J112*100</f>
        <v>83.333333333333343</v>
      </c>
      <c r="L112" s="384">
        <f t="shared" ref="L112:L131" si="12">H112/$J112*100</f>
        <v>5.5555555555555554</v>
      </c>
      <c r="M112" s="384">
        <f t="shared" ref="M112:M131" si="13">I112/$J112*100</f>
        <v>0</v>
      </c>
      <c r="N112" s="421">
        <f t="shared" ref="N112:N125" si="14">K112+L112+M112</f>
        <v>88.8888888888889</v>
      </c>
      <c r="O112" s="383">
        <v>61.7</v>
      </c>
      <c r="P112" s="384">
        <v>6.5</v>
      </c>
      <c r="Q112" s="384"/>
      <c r="R112" s="385">
        <f t="shared" si="8"/>
        <v>68.2</v>
      </c>
      <c r="S112" s="334">
        <v>3</v>
      </c>
      <c r="T112" s="357"/>
      <c r="V112" s="343" t="s">
        <v>504</v>
      </c>
      <c r="W112" s="334" t="s">
        <v>74</v>
      </c>
      <c r="X112" s="334" t="s">
        <v>11</v>
      </c>
      <c r="Y112" s="344">
        <v>61.7</v>
      </c>
      <c r="Z112" s="334" t="s">
        <v>507</v>
      </c>
      <c r="AA112" s="334" t="s">
        <v>17</v>
      </c>
      <c r="AB112" s="334" t="s">
        <v>18</v>
      </c>
      <c r="AC112" s="334">
        <v>6.5</v>
      </c>
      <c r="AD112" s="343"/>
      <c r="AG112" s="344"/>
      <c r="AL112" s="343"/>
      <c r="AO112" s="344"/>
      <c r="AP112" s="343"/>
      <c r="AS112" s="344"/>
      <c r="AT112" s="452"/>
      <c r="AW112" s="344"/>
      <c r="BA112" s="345"/>
    </row>
    <row r="113" spans="1:53" s="334" customFormat="1">
      <c r="A113" s="334">
        <v>2008</v>
      </c>
      <c r="B113" s="445">
        <v>39662</v>
      </c>
      <c r="C113" s="992" t="s">
        <v>701</v>
      </c>
      <c r="D113" s="992"/>
      <c r="E113" s="334">
        <v>53</v>
      </c>
      <c r="F113" s="441">
        <v>0</v>
      </c>
      <c r="G113" s="419">
        <v>16</v>
      </c>
      <c r="H113" s="334">
        <v>1</v>
      </c>
      <c r="J113" s="435">
        <v>18</v>
      </c>
      <c r="K113" s="384">
        <f t="shared" si="11"/>
        <v>88.888888888888886</v>
      </c>
      <c r="L113" s="384">
        <f t="shared" si="12"/>
        <v>5.5555555555555554</v>
      </c>
      <c r="M113" s="384">
        <f t="shared" si="13"/>
        <v>0</v>
      </c>
      <c r="N113" s="421">
        <f t="shared" si="14"/>
        <v>94.444444444444443</v>
      </c>
      <c r="O113" s="383">
        <v>61.7</v>
      </c>
      <c r="P113" s="384">
        <v>6.5</v>
      </c>
      <c r="Q113" s="384"/>
      <c r="R113" s="385">
        <f t="shared" si="8"/>
        <v>68.2</v>
      </c>
      <c r="S113" s="334">
        <v>3</v>
      </c>
      <c r="T113" s="357"/>
      <c r="U113" s="355">
        <v>39662</v>
      </c>
      <c r="V113" s="343" t="s">
        <v>504</v>
      </c>
      <c r="W113" s="334" t="s">
        <v>74</v>
      </c>
      <c r="X113" s="334" t="s">
        <v>11</v>
      </c>
      <c r="Y113" s="344">
        <v>61.7</v>
      </c>
      <c r="Z113" s="334" t="s">
        <v>507</v>
      </c>
      <c r="AA113" s="334" t="s">
        <v>17</v>
      </c>
      <c r="AB113" s="334" t="s">
        <v>18</v>
      </c>
      <c r="AC113" s="334">
        <v>6.5</v>
      </c>
      <c r="AD113" s="343"/>
      <c r="AG113" s="344"/>
      <c r="AL113" s="343"/>
      <c r="AO113" s="344"/>
      <c r="AP113" s="343"/>
      <c r="AS113" s="344"/>
      <c r="AT113" s="452"/>
      <c r="AW113" s="344"/>
      <c r="BA113" s="345"/>
    </row>
    <row r="114" spans="1:53" s="73" customFormat="1">
      <c r="A114" s="73">
        <v>2008</v>
      </c>
      <c r="B114" s="85">
        <v>39715</v>
      </c>
      <c r="C114" s="988" t="s">
        <v>1190</v>
      </c>
      <c r="D114" s="988"/>
      <c r="E114" s="73">
        <f>366-E112-E113</f>
        <v>99</v>
      </c>
      <c r="G114" s="123">
        <v>17</v>
      </c>
      <c r="H114" s="73">
        <v>1</v>
      </c>
      <c r="J114" s="134">
        <v>18</v>
      </c>
      <c r="K114" s="92">
        <f t="shared" si="11"/>
        <v>94.444444444444443</v>
      </c>
      <c r="L114" s="92">
        <f t="shared" si="12"/>
        <v>5.5555555555555554</v>
      </c>
      <c r="M114" s="92">
        <f t="shared" si="13"/>
        <v>0</v>
      </c>
      <c r="N114" s="125">
        <f t="shared" si="14"/>
        <v>100</v>
      </c>
      <c r="O114" s="91">
        <v>61.7</v>
      </c>
      <c r="P114" s="92">
        <v>6.5</v>
      </c>
      <c r="Q114" s="92"/>
      <c r="R114" s="93">
        <f t="shared" si="8"/>
        <v>68.2</v>
      </c>
      <c r="S114" s="73">
        <v>3</v>
      </c>
      <c r="T114" s="81"/>
      <c r="U114" s="85">
        <v>40080</v>
      </c>
      <c r="V114" s="82" t="s">
        <v>504</v>
      </c>
      <c r="W114" s="73" t="s">
        <v>74</v>
      </c>
      <c r="X114" s="73" t="s">
        <v>11</v>
      </c>
      <c r="Y114" s="83">
        <v>61.7</v>
      </c>
      <c r="Z114" s="73" t="s">
        <v>507</v>
      </c>
      <c r="AA114" s="73" t="s">
        <v>17</v>
      </c>
      <c r="AB114" s="73" t="s">
        <v>18</v>
      </c>
      <c r="AC114" s="73">
        <v>6.5</v>
      </c>
      <c r="AD114" s="82"/>
      <c r="AG114" s="83"/>
      <c r="AL114" s="82"/>
      <c r="AO114" s="83"/>
      <c r="AP114" s="82"/>
      <c r="AS114" s="83"/>
      <c r="AT114" s="164"/>
      <c r="AW114" s="83"/>
      <c r="BA114" s="84"/>
    </row>
    <row r="115" spans="1:53" s="73" customFormat="1">
      <c r="A115" s="73">
        <v>2009</v>
      </c>
      <c r="C115" s="988" t="s">
        <v>1190</v>
      </c>
      <c r="D115" s="988"/>
      <c r="E115" s="73">
        <v>258</v>
      </c>
      <c r="G115" s="123">
        <v>17</v>
      </c>
      <c r="H115" s="73">
        <v>1</v>
      </c>
      <c r="J115" s="134">
        <v>18</v>
      </c>
      <c r="K115" s="92">
        <f t="shared" si="11"/>
        <v>94.444444444444443</v>
      </c>
      <c r="L115" s="92">
        <f t="shared" si="12"/>
        <v>5.5555555555555554</v>
      </c>
      <c r="M115" s="92">
        <f t="shared" si="13"/>
        <v>0</v>
      </c>
      <c r="N115" s="125">
        <f t="shared" si="14"/>
        <v>100</v>
      </c>
      <c r="O115" s="91">
        <v>61.7</v>
      </c>
      <c r="P115" s="92">
        <v>6.5</v>
      </c>
      <c r="Q115" s="92"/>
      <c r="R115" s="93">
        <f t="shared" si="8"/>
        <v>68.2</v>
      </c>
      <c r="S115" s="73">
        <v>3</v>
      </c>
      <c r="T115" s="81"/>
      <c r="V115" s="82" t="s">
        <v>504</v>
      </c>
      <c r="W115" s="73" t="s">
        <v>74</v>
      </c>
      <c r="X115" s="73" t="s">
        <v>11</v>
      </c>
      <c r="Y115" s="83">
        <v>61.7</v>
      </c>
      <c r="Z115" s="73" t="s">
        <v>507</v>
      </c>
      <c r="AA115" s="73" t="s">
        <v>17</v>
      </c>
      <c r="AB115" s="73" t="s">
        <v>18</v>
      </c>
      <c r="AC115" s="73">
        <v>6.5</v>
      </c>
      <c r="AD115" s="82"/>
      <c r="AG115" s="83"/>
      <c r="AL115" s="82"/>
      <c r="AO115" s="83"/>
      <c r="AP115" s="82"/>
      <c r="AS115" s="83"/>
      <c r="AT115" s="164"/>
      <c r="AW115" s="83"/>
      <c r="BA115" s="84"/>
    </row>
    <row r="116" spans="1:53" s="334" customFormat="1">
      <c r="A116" s="334">
        <v>2009</v>
      </c>
      <c r="B116" s="355">
        <v>40072</v>
      </c>
      <c r="C116" s="992" t="s">
        <v>713</v>
      </c>
      <c r="D116" s="992"/>
      <c r="E116" s="334">
        <v>107</v>
      </c>
      <c r="F116" s="334">
        <v>1</v>
      </c>
      <c r="G116" s="419">
        <v>1</v>
      </c>
      <c r="H116" s="334">
        <v>16</v>
      </c>
      <c r="I116" s="334">
        <v>1</v>
      </c>
      <c r="J116" s="435">
        <v>18</v>
      </c>
      <c r="K116" s="384">
        <f t="shared" si="11"/>
        <v>5.5555555555555554</v>
      </c>
      <c r="L116" s="384">
        <f t="shared" si="12"/>
        <v>88.888888888888886</v>
      </c>
      <c r="M116" s="384">
        <f t="shared" si="13"/>
        <v>5.5555555555555554</v>
      </c>
      <c r="N116" s="421">
        <f t="shared" si="14"/>
        <v>100</v>
      </c>
      <c r="O116" s="383">
        <v>0.6</v>
      </c>
      <c r="P116" s="384">
        <v>64.2</v>
      </c>
      <c r="Q116" s="384">
        <v>1.5</v>
      </c>
      <c r="R116" s="385">
        <f t="shared" si="8"/>
        <v>66.3</v>
      </c>
      <c r="S116" s="334">
        <v>3</v>
      </c>
      <c r="T116" s="342">
        <v>40055</v>
      </c>
      <c r="U116" s="355">
        <v>40072</v>
      </c>
      <c r="V116" s="343" t="s">
        <v>579</v>
      </c>
      <c r="W116" s="334" t="s">
        <v>97</v>
      </c>
      <c r="X116" s="334" t="s">
        <v>18</v>
      </c>
      <c r="Y116" s="344">
        <v>64.2</v>
      </c>
      <c r="Z116" s="334" t="s">
        <v>112</v>
      </c>
      <c r="AA116" s="334" t="s">
        <v>20</v>
      </c>
      <c r="AB116" s="334" t="s">
        <v>12</v>
      </c>
      <c r="AC116" s="334">
        <v>1.5</v>
      </c>
      <c r="AD116" s="343" t="s">
        <v>512</v>
      </c>
      <c r="AE116" s="334" t="s">
        <v>337</v>
      </c>
      <c r="AF116" s="334" t="s">
        <v>11</v>
      </c>
      <c r="AG116" s="344">
        <v>0.6</v>
      </c>
      <c r="AL116" s="343"/>
      <c r="AO116" s="344"/>
      <c r="AP116" s="343"/>
      <c r="AS116" s="344"/>
      <c r="AT116" s="452"/>
      <c r="AW116" s="344"/>
      <c r="BA116" s="345"/>
    </row>
    <row r="117" spans="1:53" s="334" customFormat="1">
      <c r="A117" s="334">
        <v>2010</v>
      </c>
      <c r="C117" s="992" t="s">
        <v>713</v>
      </c>
      <c r="D117" s="992"/>
      <c r="E117" s="334">
        <v>147</v>
      </c>
      <c r="G117" s="419">
        <v>1</v>
      </c>
      <c r="H117" s="334">
        <v>16</v>
      </c>
      <c r="I117" s="334">
        <v>1</v>
      </c>
      <c r="J117" s="435">
        <v>18</v>
      </c>
      <c r="K117" s="384">
        <f t="shared" si="11"/>
        <v>5.5555555555555554</v>
      </c>
      <c r="L117" s="384">
        <f t="shared" si="12"/>
        <v>88.888888888888886</v>
      </c>
      <c r="M117" s="384">
        <f t="shared" si="13"/>
        <v>5.5555555555555554</v>
      </c>
      <c r="N117" s="421">
        <f t="shared" si="14"/>
        <v>100</v>
      </c>
      <c r="O117" s="383">
        <v>0.6</v>
      </c>
      <c r="P117" s="384">
        <v>64.2</v>
      </c>
      <c r="Q117" s="384">
        <v>1.5</v>
      </c>
      <c r="R117" s="385">
        <f t="shared" si="8"/>
        <v>66.3</v>
      </c>
      <c r="S117" s="334">
        <v>3</v>
      </c>
      <c r="T117" s="357"/>
      <c r="V117" s="343" t="s">
        <v>579</v>
      </c>
      <c r="W117" s="334" t="s">
        <v>97</v>
      </c>
      <c r="X117" s="334" t="s">
        <v>18</v>
      </c>
      <c r="Y117" s="344">
        <v>64.2</v>
      </c>
      <c r="Z117" s="334" t="s">
        <v>112</v>
      </c>
      <c r="AA117" s="334" t="s">
        <v>20</v>
      </c>
      <c r="AB117" s="334" t="s">
        <v>12</v>
      </c>
      <c r="AC117" s="334">
        <v>1.5</v>
      </c>
      <c r="AD117" s="343" t="s">
        <v>512</v>
      </c>
      <c r="AE117" s="334" t="s">
        <v>337</v>
      </c>
      <c r="AF117" s="334" t="s">
        <v>11</v>
      </c>
      <c r="AG117" s="344">
        <v>0.6</v>
      </c>
      <c r="AL117" s="343"/>
      <c r="AO117" s="344"/>
      <c r="AP117" s="343"/>
      <c r="AS117" s="344"/>
      <c r="AT117" s="452"/>
      <c r="AW117" s="344"/>
      <c r="BA117" s="345"/>
    </row>
    <row r="118" spans="1:53" s="73" customFormat="1">
      <c r="A118" s="73">
        <v>2010</v>
      </c>
      <c r="B118" s="85">
        <v>40326</v>
      </c>
      <c r="C118" s="988" t="s">
        <v>714</v>
      </c>
      <c r="D118" s="988"/>
      <c r="E118" s="73">
        <v>11</v>
      </c>
      <c r="F118" s="73">
        <v>4</v>
      </c>
      <c r="G118" s="123">
        <v>1</v>
      </c>
      <c r="H118" s="73">
        <v>16</v>
      </c>
      <c r="J118" s="134">
        <v>17</v>
      </c>
      <c r="K118" s="92">
        <f t="shared" si="11"/>
        <v>5.8823529411764701</v>
      </c>
      <c r="L118" s="92">
        <f t="shared" si="12"/>
        <v>94.117647058823522</v>
      </c>
      <c r="M118" s="92">
        <f t="shared" si="13"/>
        <v>0</v>
      </c>
      <c r="N118" s="125">
        <f t="shared" si="14"/>
        <v>99.999999999999986</v>
      </c>
      <c r="O118" s="91">
        <v>0.6</v>
      </c>
      <c r="P118" s="92">
        <v>64.2</v>
      </c>
      <c r="Q118" s="92"/>
      <c r="R118" s="93">
        <f t="shared" si="8"/>
        <v>64.8</v>
      </c>
      <c r="S118" s="73">
        <v>3</v>
      </c>
      <c r="T118" s="81"/>
      <c r="U118" s="85">
        <v>40326</v>
      </c>
      <c r="V118" s="82" t="s">
        <v>579</v>
      </c>
      <c r="W118" s="73" t="s">
        <v>97</v>
      </c>
      <c r="X118" s="73" t="s">
        <v>18</v>
      </c>
      <c r="Y118" s="83">
        <v>64.2</v>
      </c>
      <c r="Z118" s="82" t="s">
        <v>512</v>
      </c>
      <c r="AA118" s="73" t="s">
        <v>337</v>
      </c>
      <c r="AB118" s="73" t="s">
        <v>11</v>
      </c>
      <c r="AC118" s="73">
        <v>0.6</v>
      </c>
      <c r="AD118" s="82"/>
      <c r="AG118" s="83"/>
      <c r="AL118" s="82"/>
      <c r="AO118" s="83"/>
      <c r="AP118" s="82"/>
      <c r="AS118" s="83"/>
      <c r="AT118" s="164"/>
      <c r="AW118" s="83"/>
      <c r="BA118" s="84"/>
    </row>
    <row r="119" spans="1:53" s="334" customFormat="1">
      <c r="A119" s="334">
        <v>2010</v>
      </c>
      <c r="B119" s="355">
        <v>40337</v>
      </c>
      <c r="C119" s="992" t="s">
        <v>815</v>
      </c>
      <c r="D119" s="992"/>
      <c r="E119" s="334">
        <v>101</v>
      </c>
      <c r="F119" s="334">
        <v>1</v>
      </c>
      <c r="G119" s="419">
        <v>1</v>
      </c>
      <c r="H119" s="334">
        <v>17</v>
      </c>
      <c r="J119" s="435">
        <v>18</v>
      </c>
      <c r="K119" s="384">
        <f t="shared" si="11"/>
        <v>5.5555555555555554</v>
      </c>
      <c r="L119" s="384">
        <f t="shared" si="12"/>
        <v>94.444444444444443</v>
      </c>
      <c r="M119" s="384">
        <f t="shared" si="13"/>
        <v>0</v>
      </c>
      <c r="N119" s="421">
        <f t="shared" si="14"/>
        <v>100</v>
      </c>
      <c r="O119" s="383">
        <v>0.6</v>
      </c>
      <c r="P119" s="384">
        <v>64.2</v>
      </c>
      <c r="Q119" s="384"/>
      <c r="R119" s="385">
        <f t="shared" si="8"/>
        <v>64.8</v>
      </c>
      <c r="S119" s="334">
        <v>3</v>
      </c>
      <c r="T119" s="357"/>
      <c r="U119" s="355">
        <v>40337</v>
      </c>
      <c r="V119" s="343" t="s">
        <v>579</v>
      </c>
      <c r="W119" s="334" t="s">
        <v>97</v>
      </c>
      <c r="X119" s="334" t="s">
        <v>18</v>
      </c>
      <c r="Y119" s="344">
        <v>64.2</v>
      </c>
      <c r="Z119" s="343" t="s">
        <v>512</v>
      </c>
      <c r="AA119" s="334" t="s">
        <v>337</v>
      </c>
      <c r="AB119" s="334" t="s">
        <v>11</v>
      </c>
      <c r="AC119" s="334">
        <v>0.6</v>
      </c>
      <c r="AD119" s="343"/>
      <c r="AG119" s="344"/>
      <c r="AL119" s="343"/>
      <c r="AO119" s="344"/>
      <c r="AP119" s="343"/>
      <c r="AS119" s="344"/>
      <c r="AT119" s="452"/>
      <c r="AW119" s="344"/>
      <c r="BA119" s="345"/>
    </row>
    <row r="120" spans="1:53" s="334" customFormat="1">
      <c r="A120" s="334">
        <v>2010</v>
      </c>
      <c r="B120" s="445">
        <v>40438</v>
      </c>
      <c r="C120" s="992" t="s">
        <v>815</v>
      </c>
      <c r="D120" s="992"/>
      <c r="E120" s="334">
        <f>365-E117-E118-E119</f>
        <v>106</v>
      </c>
      <c r="F120" s="441">
        <v>0</v>
      </c>
      <c r="G120" s="419">
        <v>1</v>
      </c>
      <c r="H120" s="334">
        <v>16</v>
      </c>
      <c r="J120" s="435">
        <v>18</v>
      </c>
      <c r="K120" s="384">
        <f t="shared" si="11"/>
        <v>5.5555555555555554</v>
      </c>
      <c r="L120" s="384">
        <f t="shared" si="12"/>
        <v>88.888888888888886</v>
      </c>
      <c r="M120" s="384">
        <f t="shared" si="13"/>
        <v>0</v>
      </c>
      <c r="N120" s="421">
        <f t="shared" si="14"/>
        <v>94.444444444444443</v>
      </c>
      <c r="O120" s="383">
        <v>0.6</v>
      </c>
      <c r="P120" s="384">
        <v>64.2</v>
      </c>
      <c r="Q120" s="384"/>
      <c r="R120" s="385">
        <f t="shared" si="8"/>
        <v>64.8</v>
      </c>
      <c r="S120" s="334">
        <v>3</v>
      </c>
      <c r="T120" s="357"/>
      <c r="V120" s="343" t="s">
        <v>579</v>
      </c>
      <c r="W120" s="334" t="s">
        <v>97</v>
      </c>
      <c r="X120" s="334" t="s">
        <v>18</v>
      </c>
      <c r="Y120" s="344">
        <v>64.2</v>
      </c>
      <c r="Z120" s="343" t="s">
        <v>512</v>
      </c>
      <c r="AA120" s="334" t="s">
        <v>337</v>
      </c>
      <c r="AB120" s="334" t="s">
        <v>11</v>
      </c>
      <c r="AC120" s="334">
        <v>0.6</v>
      </c>
      <c r="AD120" s="343"/>
      <c r="AG120" s="344"/>
      <c r="AL120" s="343"/>
      <c r="AO120" s="344"/>
      <c r="AP120" s="343"/>
      <c r="AS120" s="344"/>
      <c r="AT120" s="452"/>
      <c r="AW120" s="344"/>
      <c r="BA120" s="345"/>
    </row>
    <row r="121" spans="1:53" s="334" customFormat="1">
      <c r="A121" s="334">
        <v>2011</v>
      </c>
      <c r="C121" s="992" t="s">
        <v>815</v>
      </c>
      <c r="D121" s="992"/>
      <c r="E121" s="334">
        <v>13</v>
      </c>
      <c r="G121" s="419">
        <v>1</v>
      </c>
      <c r="H121" s="334">
        <v>16</v>
      </c>
      <c r="J121" s="435">
        <v>18</v>
      </c>
      <c r="K121" s="384">
        <f t="shared" si="11"/>
        <v>5.5555555555555554</v>
      </c>
      <c r="L121" s="384">
        <f t="shared" si="12"/>
        <v>88.888888888888886</v>
      </c>
      <c r="M121" s="384">
        <f t="shared" si="13"/>
        <v>0</v>
      </c>
      <c r="N121" s="421">
        <f t="shared" si="14"/>
        <v>94.444444444444443</v>
      </c>
      <c r="O121" s="383">
        <v>0.6</v>
      </c>
      <c r="P121" s="384">
        <v>64.2</v>
      </c>
      <c r="Q121" s="384"/>
      <c r="R121" s="385">
        <f t="shared" si="8"/>
        <v>64.8</v>
      </c>
      <c r="S121" s="334">
        <v>3</v>
      </c>
      <c r="T121" s="357"/>
      <c r="V121" s="343" t="s">
        <v>579</v>
      </c>
      <c r="W121" s="334" t="s">
        <v>97</v>
      </c>
      <c r="X121" s="334" t="s">
        <v>18</v>
      </c>
      <c r="Y121" s="344">
        <v>64.2</v>
      </c>
      <c r="Z121" s="343" t="s">
        <v>512</v>
      </c>
      <c r="AA121" s="334" t="s">
        <v>337</v>
      </c>
      <c r="AB121" s="334" t="s">
        <v>11</v>
      </c>
      <c r="AC121" s="334">
        <v>0.6</v>
      </c>
      <c r="AD121" s="343"/>
      <c r="AG121" s="344"/>
      <c r="AL121" s="343"/>
      <c r="AO121" s="344"/>
      <c r="AP121" s="343"/>
      <c r="AS121" s="344"/>
      <c r="AT121" s="452"/>
      <c r="AW121" s="344"/>
      <c r="BA121" s="345"/>
    </row>
    <row r="122" spans="1:53" s="334" customFormat="1">
      <c r="A122" s="334">
        <v>2011</v>
      </c>
      <c r="B122" s="445">
        <v>40557</v>
      </c>
      <c r="C122" s="992" t="s">
        <v>815</v>
      </c>
      <c r="D122" s="992"/>
      <c r="E122" s="334">
        <f>365-E121-E123</f>
        <v>231</v>
      </c>
      <c r="F122" s="441">
        <v>0</v>
      </c>
      <c r="G122" s="419">
        <v>1</v>
      </c>
      <c r="H122" s="334">
        <v>15</v>
      </c>
      <c r="J122" s="435">
        <v>18</v>
      </c>
      <c r="K122" s="384">
        <f t="shared" si="11"/>
        <v>5.5555555555555554</v>
      </c>
      <c r="L122" s="384">
        <f t="shared" si="12"/>
        <v>83.333333333333343</v>
      </c>
      <c r="M122" s="384">
        <f t="shared" si="13"/>
        <v>0</v>
      </c>
      <c r="N122" s="421">
        <f t="shared" si="14"/>
        <v>88.8888888888889</v>
      </c>
      <c r="O122" s="383">
        <v>0.6</v>
      </c>
      <c r="P122" s="384">
        <v>64.2</v>
      </c>
      <c r="Q122" s="384"/>
      <c r="R122" s="385">
        <f t="shared" si="8"/>
        <v>64.8</v>
      </c>
      <c r="S122" s="334">
        <v>3</v>
      </c>
      <c r="T122" s="357"/>
      <c r="V122" s="343" t="s">
        <v>579</v>
      </c>
      <c r="W122" s="334" t="s">
        <v>97</v>
      </c>
      <c r="X122" s="334" t="s">
        <v>18</v>
      </c>
      <c r="Y122" s="344">
        <v>64.2</v>
      </c>
      <c r="Z122" s="343" t="s">
        <v>512</v>
      </c>
      <c r="AA122" s="334" t="s">
        <v>337</v>
      </c>
      <c r="AB122" s="334" t="s">
        <v>11</v>
      </c>
      <c r="AC122" s="334">
        <v>0.6</v>
      </c>
      <c r="AD122" s="343"/>
      <c r="AG122" s="344"/>
      <c r="AL122" s="343"/>
      <c r="AO122" s="344"/>
      <c r="AP122" s="343"/>
      <c r="AS122" s="344"/>
      <c r="AT122" s="452"/>
      <c r="AW122" s="344"/>
      <c r="BA122" s="345"/>
    </row>
    <row r="123" spans="1:53" s="73" customFormat="1">
      <c r="A123" s="73">
        <v>2011</v>
      </c>
      <c r="B123" s="85">
        <v>40788</v>
      </c>
      <c r="C123" s="1026" t="s">
        <v>332</v>
      </c>
      <c r="D123" s="1026"/>
      <c r="E123" s="73">
        <v>121</v>
      </c>
      <c r="F123" s="73">
        <v>1</v>
      </c>
      <c r="G123" s="123">
        <v>1</v>
      </c>
      <c r="H123" s="73">
        <v>17</v>
      </c>
      <c r="J123" s="134">
        <v>18</v>
      </c>
      <c r="K123" s="92">
        <f t="shared" si="11"/>
        <v>5.5555555555555554</v>
      </c>
      <c r="L123" s="92">
        <f t="shared" si="12"/>
        <v>94.444444444444443</v>
      </c>
      <c r="M123" s="92">
        <f t="shared" si="13"/>
        <v>0</v>
      </c>
      <c r="N123" s="125">
        <f t="shared" si="14"/>
        <v>100</v>
      </c>
      <c r="O123" s="91">
        <v>0.6</v>
      </c>
      <c r="P123" s="92">
        <v>64.2</v>
      </c>
      <c r="Q123" s="92"/>
      <c r="R123" s="93">
        <f t="shared" si="8"/>
        <v>64.8</v>
      </c>
      <c r="S123" s="73">
        <v>3</v>
      </c>
      <c r="T123" s="81"/>
      <c r="U123" s="85">
        <v>40788</v>
      </c>
      <c r="V123" s="82" t="s">
        <v>579</v>
      </c>
      <c r="W123" s="73" t="s">
        <v>97</v>
      </c>
      <c r="X123" s="73" t="s">
        <v>18</v>
      </c>
      <c r="Y123" s="83">
        <v>64.2</v>
      </c>
      <c r="Z123" s="82" t="s">
        <v>512</v>
      </c>
      <c r="AA123" s="73" t="s">
        <v>337</v>
      </c>
      <c r="AB123" s="73" t="s">
        <v>11</v>
      </c>
      <c r="AC123" s="73">
        <v>0.6</v>
      </c>
      <c r="AD123" s="82"/>
      <c r="AG123" s="83"/>
      <c r="AL123" s="82"/>
      <c r="AO123" s="83"/>
      <c r="AP123" s="82"/>
      <c r="AS123" s="83"/>
      <c r="AT123" s="164"/>
      <c r="AW123" s="83"/>
      <c r="BA123" s="84"/>
    </row>
    <row r="124" spans="1:53" s="73" customFormat="1">
      <c r="A124" s="73">
        <v>2012</v>
      </c>
      <c r="B124" s="85"/>
      <c r="C124" s="1026" t="s">
        <v>332</v>
      </c>
      <c r="D124" s="1026"/>
      <c r="E124" s="73">
        <v>12</v>
      </c>
      <c r="G124" s="123">
        <v>1</v>
      </c>
      <c r="H124" s="73">
        <v>17</v>
      </c>
      <c r="J124" s="134">
        <v>18</v>
      </c>
      <c r="K124" s="92">
        <f t="shared" si="11"/>
        <v>5.5555555555555554</v>
      </c>
      <c r="L124" s="92">
        <f t="shared" si="12"/>
        <v>94.444444444444443</v>
      </c>
      <c r="M124" s="92">
        <f t="shared" si="13"/>
        <v>0</v>
      </c>
      <c r="N124" s="125">
        <f t="shared" si="14"/>
        <v>100</v>
      </c>
      <c r="O124" s="91">
        <v>0.6</v>
      </c>
      <c r="P124" s="92">
        <v>64.2</v>
      </c>
      <c r="Q124" s="92"/>
      <c r="R124" s="93">
        <f t="shared" si="8"/>
        <v>64.8</v>
      </c>
      <c r="S124" s="73">
        <v>3</v>
      </c>
      <c r="T124" s="81"/>
      <c r="V124" s="82" t="s">
        <v>579</v>
      </c>
      <c r="W124" s="73" t="s">
        <v>97</v>
      </c>
      <c r="X124" s="73" t="s">
        <v>18</v>
      </c>
      <c r="Y124" s="83">
        <v>64.2</v>
      </c>
      <c r="Z124" s="82" t="s">
        <v>512</v>
      </c>
      <c r="AA124" s="73" t="s">
        <v>337</v>
      </c>
      <c r="AB124" s="73" t="s">
        <v>11</v>
      </c>
      <c r="AC124" s="73">
        <v>0.6</v>
      </c>
      <c r="AD124" s="82"/>
      <c r="AG124" s="83"/>
      <c r="AL124" s="82"/>
      <c r="AO124" s="83"/>
      <c r="AP124" s="82"/>
      <c r="AS124" s="83"/>
      <c r="AT124" s="164"/>
      <c r="AW124" s="83"/>
      <c r="BA124" s="84"/>
    </row>
    <row r="125" spans="1:53" s="73" customFormat="1">
      <c r="A125" s="73">
        <v>2012</v>
      </c>
      <c r="B125" s="149">
        <v>40921</v>
      </c>
      <c r="C125" s="1026" t="s">
        <v>332</v>
      </c>
      <c r="D125" s="1026"/>
      <c r="E125" s="73">
        <v>143</v>
      </c>
      <c r="F125" s="150">
        <v>0</v>
      </c>
      <c r="G125" s="123">
        <v>1</v>
      </c>
      <c r="H125" s="73">
        <v>18</v>
      </c>
      <c r="J125" s="134">
        <v>19</v>
      </c>
      <c r="K125" s="92">
        <f t="shared" si="11"/>
        <v>5.2631578947368416</v>
      </c>
      <c r="L125" s="92">
        <f t="shared" si="12"/>
        <v>94.73684210526315</v>
      </c>
      <c r="M125" s="92">
        <f t="shared" si="13"/>
        <v>0</v>
      </c>
      <c r="N125" s="125">
        <f t="shared" si="14"/>
        <v>99.999999999999986</v>
      </c>
      <c r="O125" s="91">
        <v>0.6</v>
      </c>
      <c r="P125" s="92">
        <v>64.2</v>
      </c>
      <c r="Q125" s="92"/>
      <c r="R125" s="93">
        <f t="shared" si="8"/>
        <v>64.8</v>
      </c>
      <c r="S125" s="73">
        <v>3</v>
      </c>
      <c r="T125" s="81"/>
      <c r="V125" s="82" t="s">
        <v>579</v>
      </c>
      <c r="W125" s="73" t="s">
        <v>97</v>
      </c>
      <c r="X125" s="73" t="s">
        <v>18</v>
      </c>
      <c r="Y125" s="83">
        <v>64.2</v>
      </c>
      <c r="Z125" s="82" t="s">
        <v>512</v>
      </c>
      <c r="AA125" s="73" t="s">
        <v>337</v>
      </c>
      <c r="AB125" s="73" t="s">
        <v>11</v>
      </c>
      <c r="AC125" s="73">
        <v>0.6</v>
      </c>
      <c r="AD125" s="82"/>
      <c r="AG125" s="83"/>
      <c r="AL125" s="82"/>
      <c r="AO125" s="83"/>
      <c r="AP125" s="82"/>
      <c r="AS125" s="83"/>
      <c r="AT125" s="164"/>
      <c r="AW125" s="83"/>
      <c r="BA125" s="84"/>
    </row>
    <row r="126" spans="1:53" s="73" customFormat="1">
      <c r="A126" s="73">
        <v>2012</v>
      </c>
      <c r="B126" s="149">
        <v>41064</v>
      </c>
      <c r="C126" s="1026" t="s">
        <v>332</v>
      </c>
      <c r="D126" s="1026"/>
      <c r="E126" s="73">
        <v>98</v>
      </c>
      <c r="F126" s="150">
        <v>0</v>
      </c>
      <c r="G126" s="123">
        <v>1</v>
      </c>
      <c r="H126" s="73">
        <v>17</v>
      </c>
      <c r="J126" s="134">
        <v>19</v>
      </c>
      <c r="K126" s="92">
        <f t="shared" ref="K126:K131" si="15">G126/$J126*100</f>
        <v>5.2631578947368416</v>
      </c>
      <c r="L126" s="92">
        <f t="shared" si="12"/>
        <v>89.473684210526315</v>
      </c>
      <c r="M126" s="92">
        <f t="shared" si="13"/>
        <v>0</v>
      </c>
      <c r="N126" s="125">
        <f t="shared" ref="N126:N131" si="16">K126+L126+M126</f>
        <v>94.73684210526315</v>
      </c>
      <c r="O126" s="91">
        <v>0.6</v>
      </c>
      <c r="P126" s="92">
        <v>64.2</v>
      </c>
      <c r="Q126" s="92"/>
      <c r="R126" s="93">
        <f t="shared" si="8"/>
        <v>64.8</v>
      </c>
      <c r="S126" s="73">
        <v>3</v>
      </c>
      <c r="T126" s="81"/>
      <c r="V126" s="82" t="s">
        <v>579</v>
      </c>
      <c r="W126" s="73" t="s">
        <v>97</v>
      </c>
      <c r="X126" s="73" t="s">
        <v>18</v>
      </c>
      <c r="Y126" s="83">
        <v>64.2</v>
      </c>
      <c r="Z126" s="82" t="s">
        <v>512</v>
      </c>
      <c r="AA126" s="73" t="s">
        <v>337</v>
      </c>
      <c r="AB126" s="73" t="s">
        <v>11</v>
      </c>
      <c r="AC126" s="73">
        <v>0.6</v>
      </c>
      <c r="AD126" s="82"/>
      <c r="AG126" s="83"/>
      <c r="AL126" s="82"/>
      <c r="AO126" s="83"/>
      <c r="AP126" s="82"/>
      <c r="AS126" s="83"/>
      <c r="AT126" s="164"/>
      <c r="AW126" s="83"/>
      <c r="BA126" s="84"/>
    </row>
    <row r="127" spans="1:53" s="73" customFormat="1">
      <c r="A127" s="73">
        <v>2012</v>
      </c>
      <c r="B127" s="149">
        <v>41162</v>
      </c>
      <c r="C127" s="1026" t="s">
        <v>332</v>
      </c>
      <c r="D127" s="1026"/>
      <c r="E127" s="73">
        <v>21</v>
      </c>
      <c r="F127" s="150">
        <v>0</v>
      </c>
      <c r="G127" s="123"/>
      <c r="H127" s="73">
        <v>17</v>
      </c>
      <c r="J127" s="134">
        <v>18</v>
      </c>
      <c r="K127" s="92">
        <f t="shared" si="15"/>
        <v>0</v>
      </c>
      <c r="L127" s="92">
        <f t="shared" si="12"/>
        <v>94.444444444444443</v>
      </c>
      <c r="M127" s="92">
        <f t="shared" si="13"/>
        <v>0</v>
      </c>
      <c r="N127" s="125">
        <f t="shared" si="16"/>
        <v>94.444444444444443</v>
      </c>
      <c r="O127" s="91">
        <v>0.6</v>
      </c>
      <c r="P127" s="92">
        <v>64.2</v>
      </c>
      <c r="Q127" s="92"/>
      <c r="R127" s="93">
        <f t="shared" si="8"/>
        <v>64.8</v>
      </c>
      <c r="S127" s="73">
        <v>3</v>
      </c>
      <c r="T127" s="81"/>
      <c r="V127" s="82" t="s">
        <v>579</v>
      </c>
      <c r="W127" s="73" t="s">
        <v>97</v>
      </c>
      <c r="X127" s="73" t="s">
        <v>18</v>
      </c>
      <c r="Y127" s="83">
        <v>64.2</v>
      </c>
      <c r="Z127" s="82" t="s">
        <v>512</v>
      </c>
      <c r="AA127" s="73" t="s">
        <v>337</v>
      </c>
      <c r="AB127" s="73" t="s">
        <v>11</v>
      </c>
      <c r="AC127" s="73">
        <v>0.6</v>
      </c>
      <c r="AD127" s="82"/>
      <c r="AG127" s="83"/>
      <c r="AL127" s="82"/>
      <c r="AO127" s="83"/>
      <c r="AP127" s="82"/>
      <c r="AS127" s="83"/>
      <c r="AT127" s="164"/>
      <c r="AW127" s="83"/>
      <c r="BA127" s="84"/>
    </row>
    <row r="128" spans="1:53" s="73" customFormat="1">
      <c r="A128" s="73">
        <v>2012</v>
      </c>
      <c r="B128" s="149">
        <v>41183</v>
      </c>
      <c r="C128" s="1026" t="s">
        <v>332</v>
      </c>
      <c r="D128" s="1026"/>
      <c r="E128" s="73">
        <v>86</v>
      </c>
      <c r="F128" s="150">
        <v>0</v>
      </c>
      <c r="G128" s="123">
        <v>1</v>
      </c>
      <c r="H128" s="73">
        <v>17</v>
      </c>
      <c r="J128" s="134">
        <v>19</v>
      </c>
      <c r="K128" s="92">
        <f t="shared" si="15"/>
        <v>5.2631578947368416</v>
      </c>
      <c r="L128" s="92">
        <f t="shared" si="12"/>
        <v>89.473684210526315</v>
      </c>
      <c r="M128" s="92">
        <f t="shared" si="13"/>
        <v>0</v>
      </c>
      <c r="N128" s="125">
        <f t="shared" si="16"/>
        <v>94.73684210526315</v>
      </c>
      <c r="O128" s="91">
        <v>0.6</v>
      </c>
      <c r="P128" s="92">
        <v>64.2</v>
      </c>
      <c r="Q128" s="92"/>
      <c r="R128" s="93">
        <f t="shared" si="8"/>
        <v>64.8</v>
      </c>
      <c r="S128" s="73">
        <v>3</v>
      </c>
      <c r="T128" s="81"/>
      <c r="V128" s="82" t="s">
        <v>579</v>
      </c>
      <c r="W128" s="73" t="s">
        <v>97</v>
      </c>
      <c r="X128" s="73" t="s">
        <v>18</v>
      </c>
      <c r="Y128" s="83">
        <v>64.2</v>
      </c>
      <c r="Z128" s="82" t="s">
        <v>512</v>
      </c>
      <c r="AA128" s="73" t="s">
        <v>337</v>
      </c>
      <c r="AB128" s="73" t="s">
        <v>11</v>
      </c>
      <c r="AC128" s="73">
        <v>0.6</v>
      </c>
      <c r="AD128" s="82"/>
      <c r="AG128" s="83"/>
      <c r="AL128" s="82"/>
      <c r="AO128" s="83"/>
      <c r="AP128" s="82"/>
      <c r="AS128" s="83"/>
      <c r="AT128" s="164"/>
      <c r="AW128" s="83"/>
      <c r="BA128" s="84"/>
    </row>
    <row r="129" spans="1:53" s="334" customFormat="1">
      <c r="A129" s="334">
        <v>2012</v>
      </c>
      <c r="B129" s="355">
        <v>41269</v>
      </c>
      <c r="C129" s="1025" t="s">
        <v>817</v>
      </c>
      <c r="D129" s="1025"/>
      <c r="E129" s="334">
        <v>6</v>
      </c>
      <c r="F129" s="334">
        <v>1</v>
      </c>
      <c r="G129" s="419">
        <v>18</v>
      </c>
      <c r="H129" s="334">
        <v>1</v>
      </c>
      <c r="J129" s="435">
        <v>19</v>
      </c>
      <c r="K129" s="384">
        <f t="shared" si="15"/>
        <v>94.73684210526315</v>
      </c>
      <c r="L129" s="384">
        <f t="shared" si="12"/>
        <v>5.2631578947368416</v>
      </c>
      <c r="M129" s="384">
        <f t="shared" si="13"/>
        <v>0</v>
      </c>
      <c r="N129" s="421">
        <f t="shared" si="16"/>
        <v>99.999999999999986</v>
      </c>
      <c r="O129" s="383">
        <v>61.3</v>
      </c>
      <c r="P129" s="384">
        <v>6.5</v>
      </c>
      <c r="Q129" s="384"/>
      <c r="R129" s="385">
        <f t="shared" si="8"/>
        <v>67.8</v>
      </c>
      <c r="S129" s="334">
        <v>3</v>
      </c>
      <c r="T129" s="342">
        <v>41259</v>
      </c>
      <c r="U129" s="355">
        <v>41269</v>
      </c>
      <c r="V129" s="343" t="s">
        <v>504</v>
      </c>
      <c r="W129" s="334" t="s">
        <v>74</v>
      </c>
      <c r="X129" s="334" t="s">
        <v>11</v>
      </c>
      <c r="Y129" s="344">
        <v>61.3</v>
      </c>
      <c r="Z129" s="334" t="s">
        <v>507</v>
      </c>
      <c r="AA129" s="334" t="s">
        <v>17</v>
      </c>
      <c r="AB129" s="334" t="s">
        <v>18</v>
      </c>
      <c r="AC129" s="334">
        <v>6.5</v>
      </c>
      <c r="AD129" s="343"/>
      <c r="AG129" s="344"/>
      <c r="AL129" s="343"/>
      <c r="AO129" s="344"/>
      <c r="AP129" s="343"/>
      <c r="AS129" s="344"/>
      <c r="AT129" s="452"/>
      <c r="AW129" s="344"/>
      <c r="BA129" s="345"/>
    </row>
    <row r="130" spans="1:53" s="334" customFormat="1">
      <c r="A130" s="334">
        <v>2013</v>
      </c>
      <c r="B130" s="355"/>
      <c r="C130" s="1025" t="s">
        <v>817</v>
      </c>
      <c r="D130" s="1025"/>
      <c r="E130" s="334">
        <v>0</v>
      </c>
      <c r="G130" s="419">
        <v>18</v>
      </c>
      <c r="H130" s="334">
        <v>1</v>
      </c>
      <c r="J130" s="435">
        <v>19</v>
      </c>
      <c r="K130" s="384">
        <f t="shared" si="15"/>
        <v>94.73684210526315</v>
      </c>
      <c r="L130" s="384">
        <f t="shared" si="12"/>
        <v>5.2631578947368416</v>
      </c>
      <c r="M130" s="384">
        <f t="shared" si="13"/>
        <v>0</v>
      </c>
      <c r="N130" s="421">
        <f t="shared" si="16"/>
        <v>99.999999999999986</v>
      </c>
      <c r="O130" s="383">
        <v>61.3</v>
      </c>
      <c r="P130" s="384">
        <v>6.5</v>
      </c>
      <c r="Q130" s="384"/>
      <c r="R130" s="385">
        <f t="shared" si="8"/>
        <v>67.8</v>
      </c>
      <c r="S130" s="334">
        <v>3</v>
      </c>
      <c r="T130" s="342"/>
      <c r="U130" s="355"/>
      <c r="V130" s="343" t="s">
        <v>504</v>
      </c>
      <c r="W130" s="334" t="s">
        <v>74</v>
      </c>
      <c r="X130" s="334" t="s">
        <v>11</v>
      </c>
      <c r="Y130" s="344">
        <v>61.3</v>
      </c>
      <c r="Z130" s="334" t="s">
        <v>507</v>
      </c>
      <c r="AA130" s="334" t="s">
        <v>17</v>
      </c>
      <c r="AB130" s="334" t="s">
        <v>18</v>
      </c>
      <c r="AC130" s="334">
        <v>6.5</v>
      </c>
      <c r="AD130" s="343"/>
      <c r="AG130" s="344"/>
      <c r="AL130" s="343"/>
      <c r="AO130" s="344"/>
      <c r="AP130" s="343"/>
      <c r="AS130" s="344"/>
      <c r="AT130" s="452"/>
      <c r="AW130" s="344"/>
      <c r="BA130" s="345"/>
    </row>
    <row r="131" spans="1:53" s="334" customFormat="1">
      <c r="A131" s="334">
        <v>2013</v>
      </c>
      <c r="B131" s="355"/>
      <c r="C131" s="1025" t="s">
        <v>817</v>
      </c>
      <c r="D131" s="1025"/>
      <c r="E131" s="334">
        <v>365</v>
      </c>
      <c r="G131" s="419">
        <v>18</v>
      </c>
      <c r="H131" s="334">
        <v>1</v>
      </c>
      <c r="J131" s="435">
        <v>19</v>
      </c>
      <c r="K131" s="384">
        <f t="shared" si="15"/>
        <v>94.73684210526315</v>
      </c>
      <c r="L131" s="384">
        <f t="shared" si="12"/>
        <v>5.2631578947368416</v>
      </c>
      <c r="M131" s="384">
        <f t="shared" si="13"/>
        <v>0</v>
      </c>
      <c r="N131" s="421">
        <f t="shared" si="16"/>
        <v>99.999999999999986</v>
      </c>
      <c r="O131" s="383">
        <v>61.3</v>
      </c>
      <c r="P131" s="384">
        <v>6.5</v>
      </c>
      <c r="Q131" s="384"/>
      <c r="R131" s="385">
        <f t="shared" si="8"/>
        <v>67.8</v>
      </c>
      <c r="S131" s="334">
        <v>3</v>
      </c>
      <c r="T131" s="342"/>
      <c r="U131" s="355"/>
      <c r="V131" s="343" t="s">
        <v>504</v>
      </c>
      <c r="W131" s="334" t="s">
        <v>74</v>
      </c>
      <c r="X131" s="334" t="s">
        <v>11</v>
      </c>
      <c r="Y131" s="344">
        <v>61.3</v>
      </c>
      <c r="Z131" s="334" t="s">
        <v>507</v>
      </c>
      <c r="AA131" s="334" t="s">
        <v>17</v>
      </c>
      <c r="AB131" s="334" t="s">
        <v>18</v>
      </c>
      <c r="AC131" s="334">
        <v>6.5</v>
      </c>
      <c r="AD131" s="343"/>
      <c r="AG131" s="344"/>
      <c r="AL131" s="343"/>
      <c r="AO131" s="344"/>
      <c r="AP131" s="343"/>
      <c r="AS131" s="344"/>
      <c r="AT131" s="452"/>
      <c r="AW131" s="344"/>
      <c r="BA131" s="345"/>
    </row>
    <row r="132" spans="1:53" s="556" customFormat="1">
      <c r="A132" s="556">
        <v>2014</v>
      </c>
      <c r="B132" s="553"/>
      <c r="C132" s="1025" t="s">
        <v>817</v>
      </c>
      <c r="D132" s="1025"/>
      <c r="E132" s="556">
        <v>357</v>
      </c>
      <c r="G132" s="497">
        <v>18</v>
      </c>
      <c r="H132" s="556">
        <v>1</v>
      </c>
      <c r="J132" s="499">
        <v>19</v>
      </c>
      <c r="K132" s="495">
        <f t="shared" ref="K132:M133" si="17">G132/$J132*100</f>
        <v>94.73684210526315</v>
      </c>
      <c r="L132" s="495">
        <f t="shared" si="17"/>
        <v>5.2631578947368416</v>
      </c>
      <c r="M132" s="495">
        <f t="shared" si="17"/>
        <v>0</v>
      </c>
      <c r="N132" s="498">
        <f>K132+L132+M132</f>
        <v>99.999999999999986</v>
      </c>
      <c r="O132" s="494">
        <v>61.3</v>
      </c>
      <c r="P132" s="495">
        <v>6.5</v>
      </c>
      <c r="Q132" s="495"/>
      <c r="R132" s="496">
        <f>O132+P132+Q132</f>
        <v>67.8</v>
      </c>
      <c r="S132" s="556">
        <v>3</v>
      </c>
      <c r="T132" s="487"/>
      <c r="U132" s="553"/>
      <c r="V132" s="488" t="s">
        <v>504</v>
      </c>
      <c r="W132" s="556" t="s">
        <v>74</v>
      </c>
      <c r="X132" s="556" t="s">
        <v>11</v>
      </c>
      <c r="Y132" s="489">
        <v>61.3</v>
      </c>
      <c r="Z132" s="556" t="s">
        <v>507</v>
      </c>
      <c r="AA132" s="556" t="s">
        <v>17</v>
      </c>
      <c r="AB132" s="556" t="s">
        <v>18</v>
      </c>
      <c r="AC132" s="556">
        <v>6.5</v>
      </c>
      <c r="AD132" s="488"/>
      <c r="AG132" s="489"/>
      <c r="AL132" s="488"/>
      <c r="AO132" s="489"/>
      <c r="AP132" s="488"/>
      <c r="AS132" s="489"/>
      <c r="AT132" s="452"/>
      <c r="AW132" s="489"/>
      <c r="BA132" s="490"/>
    </row>
    <row r="133" spans="1:53" s="555" customFormat="1">
      <c r="A133" s="555">
        <v>2014</v>
      </c>
      <c r="B133" s="552">
        <v>41997</v>
      </c>
      <c r="C133" s="1026" t="s">
        <v>1304</v>
      </c>
      <c r="D133" s="1026"/>
      <c r="E133" s="555">
        <v>8</v>
      </c>
      <c r="F133" s="555">
        <v>1</v>
      </c>
      <c r="G133" s="480">
        <v>18</v>
      </c>
      <c r="H133" s="555">
        <v>1</v>
      </c>
      <c r="J133" s="482">
        <v>19</v>
      </c>
      <c r="K133" s="477">
        <f t="shared" si="17"/>
        <v>94.73684210526315</v>
      </c>
      <c r="L133" s="477">
        <f t="shared" si="17"/>
        <v>5.2631578947368416</v>
      </c>
      <c r="M133" s="477">
        <f t="shared" si="17"/>
        <v>0</v>
      </c>
      <c r="N133" s="481">
        <f>K133+L133+M133</f>
        <v>99.999999999999986</v>
      </c>
      <c r="O133" s="476">
        <v>61.1</v>
      </c>
      <c r="P133" s="477">
        <v>7.4</v>
      </c>
      <c r="Q133" s="477"/>
      <c r="R133" s="478">
        <f>O133+P133+Q133</f>
        <v>68.5</v>
      </c>
      <c r="S133" s="555">
        <v>3</v>
      </c>
      <c r="T133" s="479">
        <v>41987</v>
      </c>
      <c r="U133" s="552">
        <v>41997</v>
      </c>
      <c r="V133" s="472" t="s">
        <v>504</v>
      </c>
      <c r="W133" s="555" t="s">
        <v>74</v>
      </c>
      <c r="X133" s="555" t="s">
        <v>11</v>
      </c>
      <c r="Y133" s="473">
        <v>61.1</v>
      </c>
      <c r="Z133" s="472" t="s">
        <v>507</v>
      </c>
      <c r="AA133" s="555" t="s">
        <v>17</v>
      </c>
      <c r="AB133" s="555" t="s">
        <v>18</v>
      </c>
      <c r="AC133" s="555">
        <v>7.4</v>
      </c>
      <c r="AD133" s="472"/>
      <c r="AG133" s="473"/>
      <c r="AL133" s="472"/>
      <c r="AO133" s="473"/>
      <c r="AP133" s="472"/>
      <c r="AS133" s="473"/>
      <c r="AT133" s="164"/>
      <c r="AW133" s="473"/>
      <c r="BA133" s="474"/>
    </row>
    <row r="134" spans="1:53" s="734" customFormat="1">
      <c r="A134" s="734">
        <v>2015</v>
      </c>
      <c r="B134" s="731"/>
      <c r="C134" s="1026" t="s">
        <v>1304</v>
      </c>
      <c r="D134" s="1026"/>
      <c r="E134" s="734">
        <v>279</v>
      </c>
      <c r="G134" s="596">
        <v>18</v>
      </c>
      <c r="H134" s="734">
        <v>1</v>
      </c>
      <c r="J134" s="598">
        <v>19</v>
      </c>
      <c r="K134" s="593">
        <f t="shared" ref="K134:K135" si="18">G134/$J134*100</f>
        <v>94.73684210526315</v>
      </c>
      <c r="L134" s="593">
        <f t="shared" ref="L134:L135" si="19">H134/$J134*100</f>
        <v>5.2631578947368416</v>
      </c>
      <c r="M134" s="593">
        <f t="shared" ref="M134:M135" si="20">I134/$J134*100</f>
        <v>0</v>
      </c>
      <c r="N134" s="597">
        <f t="shared" ref="N134:N135" si="21">K134+L134+M134</f>
        <v>99.999999999999986</v>
      </c>
      <c r="O134" s="592">
        <v>61.1</v>
      </c>
      <c r="P134" s="593">
        <v>7.4</v>
      </c>
      <c r="Q134" s="593"/>
      <c r="R134" s="594">
        <f t="shared" ref="R134:R135" si="22">O134+P134+Q134</f>
        <v>68.5</v>
      </c>
      <c r="S134" s="734">
        <v>3</v>
      </c>
      <c r="T134" s="595"/>
      <c r="U134" s="731"/>
      <c r="V134" s="588" t="s">
        <v>504</v>
      </c>
      <c r="W134" s="734" t="s">
        <v>74</v>
      </c>
      <c r="X134" s="734" t="s">
        <v>11</v>
      </c>
      <c r="Y134" s="589">
        <v>61.1</v>
      </c>
      <c r="Z134" s="588" t="s">
        <v>507</v>
      </c>
      <c r="AA134" s="734" t="s">
        <v>17</v>
      </c>
      <c r="AB134" s="734" t="s">
        <v>18</v>
      </c>
      <c r="AC134" s="734">
        <v>7.4</v>
      </c>
      <c r="AD134" s="588"/>
      <c r="AG134" s="589"/>
      <c r="AL134" s="588"/>
      <c r="AO134" s="589"/>
      <c r="AP134" s="588"/>
      <c r="AS134" s="589"/>
      <c r="AT134" s="164"/>
      <c r="AW134" s="589"/>
      <c r="BA134" s="590"/>
    </row>
    <row r="135" spans="1:53" s="734" customFormat="1">
      <c r="A135" s="734">
        <v>2015</v>
      </c>
      <c r="B135" s="599">
        <v>42284</v>
      </c>
      <c r="C135" s="1026" t="s">
        <v>1304</v>
      </c>
      <c r="D135" s="1026"/>
      <c r="E135" s="734">
        <v>86</v>
      </c>
      <c r="F135" s="600">
        <v>0</v>
      </c>
      <c r="G135" s="596">
        <v>19</v>
      </c>
      <c r="H135" s="734">
        <v>1</v>
      </c>
      <c r="J135" s="598">
        <v>20</v>
      </c>
      <c r="K135" s="593">
        <f t="shared" si="18"/>
        <v>95</v>
      </c>
      <c r="L135" s="593">
        <f t="shared" si="19"/>
        <v>5</v>
      </c>
      <c r="M135" s="593">
        <f t="shared" si="20"/>
        <v>0</v>
      </c>
      <c r="N135" s="597">
        <f t="shared" si="21"/>
        <v>100</v>
      </c>
      <c r="O135" s="592">
        <v>61.1</v>
      </c>
      <c r="P135" s="593">
        <v>7.4</v>
      </c>
      <c r="Q135" s="593"/>
      <c r="R135" s="594">
        <f t="shared" si="22"/>
        <v>68.5</v>
      </c>
      <c r="S135" s="734">
        <v>3</v>
      </c>
      <c r="T135" s="595"/>
      <c r="U135" s="731"/>
      <c r="V135" s="588" t="s">
        <v>504</v>
      </c>
      <c r="W135" s="734" t="s">
        <v>74</v>
      </c>
      <c r="X135" s="734" t="s">
        <v>11</v>
      </c>
      <c r="Y135" s="589">
        <v>61.1</v>
      </c>
      <c r="Z135" s="588" t="s">
        <v>507</v>
      </c>
      <c r="AA135" s="734" t="s">
        <v>17</v>
      </c>
      <c r="AB135" s="734" t="s">
        <v>18</v>
      </c>
      <c r="AC135" s="734">
        <v>7.4</v>
      </c>
      <c r="AD135" s="588"/>
      <c r="AG135" s="589"/>
      <c r="AL135" s="588"/>
      <c r="AO135" s="589"/>
      <c r="AP135" s="588"/>
      <c r="AS135" s="589"/>
      <c r="AT135" s="164"/>
      <c r="AW135" s="589"/>
      <c r="BA135" s="590"/>
    </row>
    <row r="136" spans="1:53" s="830" customFormat="1">
      <c r="A136" s="830">
        <v>2016</v>
      </c>
      <c r="B136" s="599"/>
      <c r="C136" s="1026" t="s">
        <v>1304</v>
      </c>
      <c r="D136" s="1026"/>
      <c r="E136" s="830">
        <v>0</v>
      </c>
      <c r="F136" s="600"/>
      <c r="G136" s="596">
        <v>19</v>
      </c>
      <c r="H136" s="830">
        <v>1</v>
      </c>
      <c r="J136" s="598">
        <v>20</v>
      </c>
      <c r="K136" s="593">
        <f t="shared" ref="K136" si="23">G136/$J136*100</f>
        <v>95</v>
      </c>
      <c r="L136" s="593">
        <f t="shared" ref="L136" si="24">H136/$J136*100</f>
        <v>5</v>
      </c>
      <c r="M136" s="593">
        <f t="shared" ref="M136" si="25">I136/$J136*100</f>
        <v>0</v>
      </c>
      <c r="N136" s="597">
        <f t="shared" ref="N136" si="26">K136+L136+M136</f>
        <v>100</v>
      </c>
      <c r="O136" s="592">
        <v>61.1</v>
      </c>
      <c r="P136" s="593">
        <v>7.4</v>
      </c>
      <c r="Q136" s="593"/>
      <c r="R136" s="594">
        <f t="shared" ref="R136" si="27">O136+P136+Q136</f>
        <v>68.5</v>
      </c>
      <c r="S136" s="830">
        <v>3</v>
      </c>
      <c r="T136" s="595"/>
      <c r="U136" s="829"/>
      <c r="V136" s="588" t="s">
        <v>504</v>
      </c>
      <c r="W136" s="830" t="s">
        <v>74</v>
      </c>
      <c r="X136" s="830" t="s">
        <v>11</v>
      </c>
      <c r="Y136" s="589">
        <v>61.1</v>
      </c>
      <c r="Z136" s="588" t="s">
        <v>507</v>
      </c>
      <c r="AA136" s="830" t="s">
        <v>17</v>
      </c>
      <c r="AB136" s="830" t="s">
        <v>18</v>
      </c>
      <c r="AC136" s="896">
        <v>7.4</v>
      </c>
      <c r="AD136" s="588"/>
      <c r="AT136" s="164"/>
    </row>
    <row r="137" spans="1:53" s="830" customFormat="1">
      <c r="A137" s="830">
        <v>2016</v>
      </c>
      <c r="B137" s="599"/>
      <c r="C137" s="1026" t="s">
        <v>1304</v>
      </c>
      <c r="D137" s="1026"/>
      <c r="E137" s="830">
        <v>366</v>
      </c>
      <c r="F137" s="600"/>
      <c r="G137" s="596">
        <v>19</v>
      </c>
      <c r="H137" s="830">
        <v>1</v>
      </c>
      <c r="J137" s="598">
        <v>20</v>
      </c>
      <c r="K137" s="593">
        <f t="shared" ref="K137:K141" si="28">G137/$J137*100</f>
        <v>95</v>
      </c>
      <c r="L137" s="593">
        <f t="shared" ref="L137:L141" si="29">H137/$J137*100</f>
        <v>5</v>
      </c>
      <c r="M137" s="593">
        <f t="shared" ref="M137:M141" si="30">I137/$J137*100</f>
        <v>0</v>
      </c>
      <c r="N137" s="597">
        <f t="shared" ref="N137:N141" si="31">K137+L137+M137</f>
        <v>100</v>
      </c>
      <c r="O137" s="592">
        <v>61.1</v>
      </c>
      <c r="P137" s="593">
        <v>7.4</v>
      </c>
      <c r="Q137" s="593"/>
      <c r="R137" s="594">
        <f t="shared" ref="R137" si="32">O137+P137+Q137</f>
        <v>68.5</v>
      </c>
      <c r="S137" s="830">
        <v>3</v>
      </c>
      <c r="T137" s="595"/>
      <c r="U137" s="829"/>
      <c r="V137" s="588" t="s">
        <v>504</v>
      </c>
      <c r="W137" s="830" t="s">
        <v>74</v>
      </c>
      <c r="X137" s="830" t="s">
        <v>11</v>
      </c>
      <c r="Y137" s="589">
        <v>61.1</v>
      </c>
      <c r="Z137" s="588" t="s">
        <v>507</v>
      </c>
      <c r="AA137" s="830" t="s">
        <v>17</v>
      </c>
      <c r="AB137" s="830" t="s">
        <v>18</v>
      </c>
      <c r="AC137" s="896">
        <v>7.4</v>
      </c>
      <c r="AD137" s="588"/>
      <c r="AT137" s="164"/>
    </row>
    <row r="138" spans="1:53" s="896" customFormat="1">
      <c r="A138" s="896">
        <v>2017</v>
      </c>
      <c r="B138" s="599"/>
      <c r="C138" s="1026" t="s">
        <v>1304</v>
      </c>
      <c r="D138" s="1026"/>
      <c r="E138" s="896">
        <v>304</v>
      </c>
      <c r="F138" s="600"/>
      <c r="G138" s="596">
        <v>19</v>
      </c>
      <c r="H138" s="896">
        <v>1</v>
      </c>
      <c r="J138" s="598">
        <v>20</v>
      </c>
      <c r="K138" s="593">
        <f t="shared" si="28"/>
        <v>95</v>
      </c>
      <c r="L138" s="593">
        <f t="shared" si="29"/>
        <v>5</v>
      </c>
      <c r="M138" s="593">
        <f t="shared" si="30"/>
        <v>0</v>
      </c>
      <c r="N138" s="597">
        <f t="shared" si="31"/>
        <v>100</v>
      </c>
      <c r="O138" s="592">
        <v>61.1</v>
      </c>
      <c r="P138" s="593">
        <v>7.4</v>
      </c>
      <c r="Q138" s="593"/>
      <c r="R138" s="594">
        <f t="shared" ref="R138:R139" si="33">O138+P138+Q138</f>
        <v>68.5</v>
      </c>
      <c r="S138" s="896">
        <v>3</v>
      </c>
      <c r="T138" s="595"/>
      <c r="U138" s="894"/>
      <c r="V138" s="588" t="s">
        <v>504</v>
      </c>
      <c r="W138" s="896" t="s">
        <v>74</v>
      </c>
      <c r="X138" s="896" t="s">
        <v>11</v>
      </c>
      <c r="Y138" s="589">
        <v>61.1</v>
      </c>
      <c r="Z138" s="588" t="s">
        <v>507</v>
      </c>
      <c r="AA138" s="896" t="s">
        <v>17</v>
      </c>
      <c r="AB138" s="896" t="s">
        <v>18</v>
      </c>
      <c r="AC138" s="896">
        <v>7.4</v>
      </c>
      <c r="AD138" s="588"/>
      <c r="AT138" s="164"/>
    </row>
    <row r="139" spans="1:53" s="895" customFormat="1">
      <c r="A139" s="895">
        <v>2017</v>
      </c>
      <c r="B139" s="893">
        <v>43040</v>
      </c>
      <c r="C139" s="1025" t="s">
        <v>1392</v>
      </c>
      <c r="D139" s="1025"/>
      <c r="E139" s="895">
        <v>61</v>
      </c>
      <c r="F139" s="895">
        <v>1</v>
      </c>
      <c r="G139" s="642">
        <v>19</v>
      </c>
      <c r="H139" s="895">
        <v>1</v>
      </c>
      <c r="J139" s="644">
        <v>20</v>
      </c>
      <c r="K139" s="640">
        <f t="shared" si="28"/>
        <v>95</v>
      </c>
      <c r="L139" s="640">
        <f t="shared" si="29"/>
        <v>5</v>
      </c>
      <c r="M139" s="640">
        <f t="shared" si="30"/>
        <v>0</v>
      </c>
      <c r="N139" s="643">
        <f t="shared" si="31"/>
        <v>100</v>
      </c>
      <c r="O139" s="639">
        <v>60.9</v>
      </c>
      <c r="P139" s="640">
        <v>6.2</v>
      </c>
      <c r="Q139" s="640"/>
      <c r="R139" s="641">
        <f t="shared" si="33"/>
        <v>67.099999999999994</v>
      </c>
      <c r="S139" s="895">
        <v>3</v>
      </c>
      <c r="T139" s="487">
        <v>43030</v>
      </c>
      <c r="U139" s="893">
        <v>43040</v>
      </c>
      <c r="V139" s="634" t="s">
        <v>504</v>
      </c>
      <c r="W139" s="895" t="s">
        <v>74</v>
      </c>
      <c r="X139" s="895" t="s">
        <v>11</v>
      </c>
      <c r="Y139" s="635">
        <v>60.9</v>
      </c>
      <c r="Z139" s="634" t="s">
        <v>507</v>
      </c>
      <c r="AA139" s="895" t="s">
        <v>17</v>
      </c>
      <c r="AB139" s="895" t="s">
        <v>18</v>
      </c>
      <c r="AC139" s="895">
        <v>6.2</v>
      </c>
      <c r="AD139" s="634"/>
      <c r="AT139" s="452"/>
    </row>
    <row r="140" spans="1:53" s="945" customFormat="1">
      <c r="A140" s="945">
        <v>2018</v>
      </c>
      <c r="B140" s="944"/>
      <c r="C140" s="1025" t="s">
        <v>1392</v>
      </c>
      <c r="D140" s="1025"/>
      <c r="E140" s="945">
        <v>0</v>
      </c>
      <c r="G140" s="642">
        <v>19</v>
      </c>
      <c r="H140" s="945">
        <v>1</v>
      </c>
      <c r="J140" s="644">
        <v>20</v>
      </c>
      <c r="K140" s="640">
        <f t="shared" si="28"/>
        <v>95</v>
      </c>
      <c r="L140" s="640">
        <f t="shared" si="29"/>
        <v>5</v>
      </c>
      <c r="M140" s="640">
        <f t="shared" si="30"/>
        <v>0</v>
      </c>
      <c r="N140" s="643">
        <f t="shared" si="31"/>
        <v>100</v>
      </c>
      <c r="O140" s="639">
        <v>60.9</v>
      </c>
      <c r="P140" s="640">
        <v>6.2</v>
      </c>
      <c r="Q140" s="640"/>
      <c r="R140" s="641">
        <f t="shared" ref="R140:R141" si="34">O140+P140+Q140</f>
        <v>67.099999999999994</v>
      </c>
      <c r="S140" s="945">
        <v>3</v>
      </c>
      <c r="T140" s="487"/>
      <c r="U140" s="944"/>
      <c r="V140" s="634" t="s">
        <v>504</v>
      </c>
      <c r="W140" s="945" t="s">
        <v>74</v>
      </c>
      <c r="X140" s="945" t="s">
        <v>11</v>
      </c>
      <c r="Y140" s="635">
        <v>60.9</v>
      </c>
      <c r="Z140" s="634" t="s">
        <v>507</v>
      </c>
      <c r="AA140" s="945" t="s">
        <v>17</v>
      </c>
      <c r="AB140" s="945" t="s">
        <v>18</v>
      </c>
      <c r="AC140" s="945">
        <v>6.2</v>
      </c>
      <c r="AT140" s="452"/>
    </row>
    <row r="141" spans="1:53" s="945" customFormat="1">
      <c r="A141" s="945">
        <v>2018</v>
      </c>
      <c r="B141" s="944"/>
      <c r="C141" s="1025" t="s">
        <v>1392</v>
      </c>
      <c r="D141" s="1025"/>
      <c r="E141" s="945">
        <v>365</v>
      </c>
      <c r="G141" s="642">
        <v>19</v>
      </c>
      <c r="H141" s="945">
        <v>1</v>
      </c>
      <c r="J141" s="644">
        <v>20</v>
      </c>
      <c r="K141" s="640">
        <f t="shared" si="28"/>
        <v>95</v>
      </c>
      <c r="L141" s="640">
        <f t="shared" si="29"/>
        <v>5</v>
      </c>
      <c r="M141" s="640">
        <f t="shared" si="30"/>
        <v>0</v>
      </c>
      <c r="N141" s="643">
        <f t="shared" si="31"/>
        <v>100</v>
      </c>
      <c r="O141" s="639">
        <v>60.9</v>
      </c>
      <c r="P141" s="640">
        <v>6.2</v>
      </c>
      <c r="Q141" s="640"/>
      <c r="R141" s="641">
        <f t="shared" si="34"/>
        <v>67.099999999999994</v>
      </c>
      <c r="S141" s="945">
        <v>3</v>
      </c>
      <c r="T141" s="487"/>
      <c r="U141" s="944"/>
      <c r="V141" s="634" t="s">
        <v>504</v>
      </c>
      <c r="W141" s="945" t="s">
        <v>74</v>
      </c>
      <c r="X141" s="945" t="s">
        <v>11</v>
      </c>
      <c r="Y141" s="635">
        <v>60.9</v>
      </c>
      <c r="Z141" s="634" t="s">
        <v>507</v>
      </c>
      <c r="AA141" s="945" t="s">
        <v>17</v>
      </c>
      <c r="AB141" s="945" t="s">
        <v>18</v>
      </c>
      <c r="AC141" s="945">
        <v>6.2</v>
      </c>
      <c r="AT141" s="452"/>
    </row>
    <row r="142" spans="1:53" s="896" customFormat="1">
      <c r="B142" s="599"/>
      <c r="C142" s="1026"/>
      <c r="D142" s="1026"/>
      <c r="F142" s="600"/>
      <c r="G142" s="596"/>
      <c r="J142" s="598"/>
      <c r="K142" s="593"/>
      <c r="L142" s="593"/>
      <c r="M142" s="593"/>
      <c r="N142" s="597"/>
      <c r="O142" s="592"/>
      <c r="P142" s="593"/>
      <c r="Q142" s="593"/>
      <c r="R142" s="594"/>
      <c r="T142" s="595"/>
      <c r="U142" s="894"/>
      <c r="V142" s="588"/>
      <c r="Y142" s="589"/>
      <c r="Z142" s="588"/>
      <c r="AT142" s="164"/>
    </row>
    <row r="143" spans="1:53" s="2" customFormat="1">
      <c r="I143" s="16"/>
      <c r="AT143" s="36"/>
    </row>
    <row r="144" spans="1:53" s="2" customFormat="1" ht="18" customHeight="1">
      <c r="B144" s="22" t="s">
        <v>1278</v>
      </c>
      <c r="H144" s="6"/>
    </row>
    <row r="145" spans="1:46" s="2" customFormat="1" ht="9" customHeight="1">
      <c r="H145" s="6"/>
    </row>
    <row r="146" spans="1:46" s="364" customFormat="1" ht="9" customHeight="1">
      <c r="A146" s="362"/>
      <c r="B146" s="363" t="s">
        <v>1229</v>
      </c>
      <c r="C146" s="363"/>
      <c r="D146" s="363"/>
      <c r="E146" s="363"/>
      <c r="F146" s="363"/>
      <c r="G146" s="363" t="s">
        <v>1230</v>
      </c>
      <c r="H146" s="363"/>
      <c r="I146" s="363"/>
      <c r="J146" s="363"/>
      <c r="K146" s="363"/>
      <c r="L146" s="363"/>
      <c r="M146" s="363"/>
      <c r="N146" s="363"/>
      <c r="R146" s="982" t="s">
        <v>1231</v>
      </c>
      <c r="S146" s="982"/>
      <c r="T146" s="982"/>
      <c r="U146" s="982"/>
      <c r="V146" s="982"/>
      <c r="W146" s="982"/>
      <c r="X146" s="365"/>
      <c r="Y146" s="365"/>
      <c r="AA146" s="365"/>
      <c r="AB146" s="365"/>
      <c r="AC146" s="365"/>
      <c r="AD146" s="365"/>
    </row>
    <row r="147" spans="1:46" s="369" customFormat="1" ht="9" customHeight="1">
      <c r="A147" s="366"/>
      <c r="B147" s="367" t="s">
        <v>1233</v>
      </c>
      <c r="C147" s="368"/>
      <c r="D147" s="368"/>
      <c r="E147" s="368"/>
      <c r="F147" s="368"/>
      <c r="G147" s="367" t="s">
        <v>1232</v>
      </c>
      <c r="H147" s="368"/>
      <c r="I147" s="368"/>
      <c r="J147" s="368"/>
      <c r="K147" s="368"/>
      <c r="L147" s="368"/>
      <c r="M147" s="368"/>
      <c r="N147" s="368"/>
      <c r="R147" s="370" t="s">
        <v>1234</v>
      </c>
      <c r="S147" s="371"/>
      <c r="T147" s="372"/>
      <c r="U147" s="372"/>
      <c r="V147" s="372"/>
      <c r="W147" s="370" t="s">
        <v>1235</v>
      </c>
      <c r="X147" s="372"/>
      <c r="Y147" s="372"/>
      <c r="AA147" s="372"/>
      <c r="AB147" s="372"/>
      <c r="AC147" s="372"/>
      <c r="AD147" s="372"/>
    </row>
    <row r="148" spans="1:46" s="351" customFormat="1" ht="12" customHeight="1">
      <c r="A148" s="373" t="s">
        <v>3</v>
      </c>
      <c r="B148" s="374" t="s">
        <v>8</v>
      </c>
      <c r="C148" s="374" t="s">
        <v>9</v>
      </c>
      <c r="D148" s="374" t="s">
        <v>10</v>
      </c>
      <c r="E148" s="375" t="s">
        <v>1209</v>
      </c>
      <c r="F148" s="374"/>
      <c r="G148" s="351" t="s">
        <v>3</v>
      </c>
      <c r="H148" s="983" t="s">
        <v>0</v>
      </c>
      <c r="I148" s="983"/>
      <c r="J148" s="983" t="s">
        <v>1</v>
      </c>
      <c r="K148" s="983"/>
      <c r="L148" s="983" t="s">
        <v>2</v>
      </c>
      <c r="M148" s="983"/>
      <c r="N148" s="984" t="s">
        <v>1209</v>
      </c>
      <c r="O148" s="984"/>
      <c r="P148" s="376"/>
      <c r="Q148" s="376"/>
      <c r="R148" s="377" t="s">
        <v>3</v>
      </c>
      <c r="S148" s="378" t="s">
        <v>136</v>
      </c>
      <c r="T148" s="376" t="s">
        <v>134</v>
      </c>
      <c r="U148" s="374" t="s">
        <v>135</v>
      </c>
      <c r="V148" s="376"/>
      <c r="W148" s="379" t="s">
        <v>26</v>
      </c>
    </row>
    <row r="149" spans="1:46" s="273" customFormat="1">
      <c r="A149" s="273">
        <v>1959</v>
      </c>
      <c r="B149" s="260">
        <f>(K6*($E6/365)) + (K7*($E7/365))</f>
        <v>100</v>
      </c>
      <c r="C149" s="260">
        <f>(L6*($E6/365)) + (L7*($E7/365))</f>
        <v>0</v>
      </c>
      <c r="D149" s="260">
        <f>(M6*($E6/365)) + (M7*($E7/365))</f>
        <v>0</v>
      </c>
      <c r="E149" s="261">
        <f>B149+C149+D149</f>
        <v>100</v>
      </c>
      <c r="G149" s="273">
        <v>1959</v>
      </c>
      <c r="H149" s="991">
        <f>(O6/$R6*100*($E6/365))+(O7/$R7*100*($E7/365))</f>
        <v>100</v>
      </c>
      <c r="I149" s="991"/>
      <c r="J149" s="991">
        <f>(P6/$R6*100*($E6/365))+(P7/$R7*100*($E7/365))</f>
        <v>0</v>
      </c>
      <c r="K149" s="991"/>
      <c r="L149" s="991">
        <f>(Q6/$R6*100*($E6/365))+(Q7/$R7*100*($E7/365))</f>
        <v>0</v>
      </c>
      <c r="M149" s="991"/>
      <c r="N149" s="993">
        <f>H149+J149+L149</f>
        <v>100</v>
      </c>
      <c r="O149" s="993"/>
      <c r="R149" s="273">
        <v>1959</v>
      </c>
      <c r="S149" s="260">
        <f>(O6*($E6/365)) + (O7*($E7/365))</f>
        <v>61.5</v>
      </c>
      <c r="T149" s="260">
        <f>(P6*($E6/365)) + (P7*($E7/365))</f>
        <v>0</v>
      </c>
      <c r="U149" s="260">
        <f>(Q6*($E6/365)) + (Q7*($E7/365))</f>
        <v>0</v>
      </c>
      <c r="V149" s="275"/>
      <c r="W149" s="274">
        <f>S149+T149+U149</f>
        <v>61.5</v>
      </c>
      <c r="AT149" s="280"/>
    </row>
    <row r="150" spans="1:46">
      <c r="A150" s="1">
        <v>1960</v>
      </c>
      <c r="B150" s="8">
        <f>(K8*($E8/366))+(K9*($E9/366))+(K10*($E10/366))</f>
        <v>100</v>
      </c>
      <c r="C150" s="8">
        <f>(L8*($E8/366))+(L9*($E9/366))+(L10*($E10/366))</f>
        <v>0</v>
      </c>
      <c r="D150" s="8">
        <f>(M8*($E8/366))+(M9*($E9/366))+(M10*($E10/366))</f>
        <v>0</v>
      </c>
      <c r="E150" s="48">
        <f>B150+C150+D150</f>
        <v>100</v>
      </c>
      <c r="G150" s="1">
        <v>1960</v>
      </c>
      <c r="H150" s="989">
        <f>(O8/$R8*100*($E8/366))+(O9/$R9*100*($E9/366))+(O10/$R10*100*($E10/366))</f>
        <v>100</v>
      </c>
      <c r="I150" s="989"/>
      <c r="J150" s="989">
        <f>(P8/$R8*100*($E8/366))+(P9/$R9*100*($E9/366))+(P10/$R10*100*($E10/366))</f>
        <v>0</v>
      </c>
      <c r="K150" s="989"/>
      <c r="L150" s="989">
        <f>(Q8/$R8*100*($E8/366))+(Q9/$R9*100*($E9/366))+(Q10/$R10*100*($E10/366))</f>
        <v>0</v>
      </c>
      <c r="M150" s="989"/>
      <c r="N150" s="990">
        <f>H150+J150+L150</f>
        <v>100</v>
      </c>
      <c r="O150" s="990"/>
      <c r="R150" s="1">
        <v>1960</v>
      </c>
      <c r="S150" s="8">
        <f>(O8*($E8/366))+(O9*($E9/366))+(O10*($E10/366))</f>
        <v>61.624590163934428</v>
      </c>
      <c r="T150" s="8">
        <f>(P8*($E8/366))+(P9*($E9/366))+(P10*($E10/366))</f>
        <v>0</v>
      </c>
      <c r="U150" s="8">
        <f>(Q8*($E8/366))+(Q9*($E9/366))+(Q10*($E10/366))</f>
        <v>0</v>
      </c>
      <c r="V150" s="12"/>
      <c r="W150" s="7">
        <f>S150+T150+U150</f>
        <v>61.624590163934428</v>
      </c>
    </row>
    <row r="151" spans="1:46">
      <c r="A151" s="1">
        <v>1961</v>
      </c>
      <c r="B151" s="8">
        <f>(K11*($E11/365))+(K12*($E12/365))</f>
        <v>100</v>
      </c>
      <c r="C151" s="8">
        <f>(L11*($E11/365))+(L12*($E12/365))</f>
        <v>0</v>
      </c>
      <c r="D151" s="8">
        <f>(M11*($E11/365))+(M12*($E12/365))</f>
        <v>0</v>
      </c>
      <c r="E151" s="48">
        <f t="shared" ref="E151:E203" si="35">B151+C151+D151</f>
        <v>100</v>
      </c>
      <c r="G151" s="1">
        <v>1961</v>
      </c>
      <c r="H151" s="989">
        <f>(O11/$R11*100*($E11/365))+(O12/$R12*100*($E12/365))</f>
        <v>100</v>
      </c>
      <c r="I151" s="989"/>
      <c r="J151" s="989">
        <f>(P11/$R11*100*($E11/365))+(P12/$R12*100*($E12/365))</f>
        <v>0</v>
      </c>
      <c r="K151" s="989"/>
      <c r="L151" s="989">
        <f>(Q11/$R11*100*($E11/365))+(Q12/$R12*100*($E12/365))</f>
        <v>0</v>
      </c>
      <c r="M151" s="989"/>
      <c r="N151" s="959">
        <f t="shared" ref="N151:N202" si="36">H151+J151+L151</f>
        <v>100</v>
      </c>
      <c r="O151" s="959"/>
      <c r="R151" s="1">
        <v>1961</v>
      </c>
      <c r="S151" s="8">
        <f>(O11*($E11/365))+(O12*($E12/365))</f>
        <v>63.4</v>
      </c>
      <c r="T151" s="8">
        <f>(P11*($E11/365))+(P12*($E12/365))</f>
        <v>0</v>
      </c>
      <c r="U151" s="8">
        <f>(Q11*($E11/365))+(Q12*($E12/365))</f>
        <v>0</v>
      </c>
      <c r="V151" s="12"/>
      <c r="W151" s="7">
        <f t="shared" ref="W151:W203" si="37">S151+T151+U151</f>
        <v>63.4</v>
      </c>
    </row>
    <row r="152" spans="1:46">
      <c r="A152" s="1">
        <v>1962</v>
      </c>
      <c r="B152" s="8">
        <f>(K13*($E13/365))+(K14*($E14/365))</f>
        <v>100</v>
      </c>
      <c r="C152" s="8">
        <f>(L13*($E13/365))+(L14*($E14/365))</f>
        <v>0</v>
      </c>
      <c r="D152" s="8">
        <f>(M13*($E13/365))+(M14*($E14/365))</f>
        <v>0</v>
      </c>
      <c r="E152" s="48">
        <f t="shared" si="35"/>
        <v>100</v>
      </c>
      <c r="G152" s="1">
        <v>1962</v>
      </c>
      <c r="H152" s="989">
        <f>(O13/$R13*100*($E13/365))+(O14/$R14*100*($E14/365))</f>
        <v>100</v>
      </c>
      <c r="I152" s="989"/>
      <c r="J152" s="989">
        <f>(P13/$R13*100*($E13/365))+(P14/$R14*100*($E14/365))</f>
        <v>0</v>
      </c>
      <c r="K152" s="989"/>
      <c r="L152" s="989">
        <f>(Q13/$R13*100*($E13/365))+(Q14/$R14*100*($E14/365))</f>
        <v>0</v>
      </c>
      <c r="M152" s="989"/>
      <c r="N152" s="959">
        <f t="shared" si="36"/>
        <v>100</v>
      </c>
      <c r="O152" s="959"/>
      <c r="R152" s="1">
        <v>1962</v>
      </c>
      <c r="S152" s="8">
        <f>(O13*($E13/365))+(O14*($E14/365))</f>
        <v>63.4</v>
      </c>
      <c r="T152" s="8">
        <f>(P13*($E13/365))+(P14*($E14/365))</f>
        <v>0</v>
      </c>
      <c r="U152" s="8">
        <f>(Q13*($E13/365))+(Q14*($E14/365))</f>
        <v>0</v>
      </c>
      <c r="V152" s="12"/>
      <c r="W152" s="7">
        <f t="shared" si="37"/>
        <v>63.4</v>
      </c>
    </row>
    <row r="153" spans="1:46">
      <c r="A153" s="1">
        <v>1963</v>
      </c>
      <c r="B153" s="8">
        <f>(K15*($E15/365))+(K16*($E16/365))</f>
        <v>100.00000000000001</v>
      </c>
      <c r="C153" s="8">
        <f>(L15*($E15/365))+(L16*($E16/365))</f>
        <v>0</v>
      </c>
      <c r="D153" s="8">
        <f>(M15*($E15/365))+(M16*($E16/365))</f>
        <v>0</v>
      </c>
      <c r="E153" s="48">
        <f t="shared" si="35"/>
        <v>100.00000000000001</v>
      </c>
      <c r="G153" s="1">
        <v>1963</v>
      </c>
      <c r="H153" s="989">
        <f>(O15/$R15*100*($E15/365))+(O16/$R16*100*($E16/365))</f>
        <v>100.00000000000001</v>
      </c>
      <c r="I153" s="989"/>
      <c r="J153" s="989">
        <f>(P15/$R15*100*($E15/365))+(P16/$R16*100*($E16/365))</f>
        <v>0</v>
      </c>
      <c r="K153" s="989"/>
      <c r="L153" s="989">
        <f>(Q15/$R15*100*($E15/365))+(Q16/$R16*100*($E16/365))</f>
        <v>0</v>
      </c>
      <c r="M153" s="989"/>
      <c r="N153" s="959">
        <f t="shared" si="36"/>
        <v>100.00000000000001</v>
      </c>
      <c r="O153" s="959"/>
      <c r="R153" s="1">
        <v>1963</v>
      </c>
      <c r="S153" s="8">
        <f>(O15*($E15/365))+(O16*($E16/365))</f>
        <v>63.223561643835616</v>
      </c>
      <c r="T153" s="8">
        <f>(P15*($E15/365))+(P16*($E16/365))</f>
        <v>0</v>
      </c>
      <c r="U153" s="8">
        <f>(Q15*($E15/365))+(Q16*($E16/365))</f>
        <v>0</v>
      </c>
      <c r="V153" s="12"/>
      <c r="W153" s="7">
        <f t="shared" si="37"/>
        <v>63.223561643835616</v>
      </c>
    </row>
    <row r="154" spans="1:46">
      <c r="A154" s="1">
        <v>1964</v>
      </c>
      <c r="B154" s="8">
        <f>(K17*($E17/366))+(K18*($E18/366))</f>
        <v>100</v>
      </c>
      <c r="C154" s="8">
        <f>(L17*($E17/366))+(L18*($E18/366))</f>
        <v>0</v>
      </c>
      <c r="D154" s="8">
        <f>(M17*($E17/366))+(M18*($E18/366))</f>
        <v>0</v>
      </c>
      <c r="E154" s="48">
        <f t="shared" si="35"/>
        <v>100</v>
      </c>
      <c r="G154" s="1">
        <v>1964</v>
      </c>
      <c r="H154" s="989">
        <f>(O17/$R17*100*($E17/366))+(O18/$R18*100*($E18/366))</f>
        <v>100</v>
      </c>
      <c r="I154" s="989"/>
      <c r="J154" s="989">
        <f>(P17/$R17*100*($E17/366))+(P18/$R18*100*($E18/366))</f>
        <v>0</v>
      </c>
      <c r="K154" s="989"/>
      <c r="L154" s="989">
        <f>(Q17/$R17*100*($E17/366))+(Q18/$R18*100*($E18/366))</f>
        <v>0</v>
      </c>
      <c r="M154" s="989"/>
      <c r="N154" s="959">
        <f t="shared" si="36"/>
        <v>100</v>
      </c>
      <c r="O154" s="959"/>
      <c r="R154" s="1">
        <v>1964</v>
      </c>
      <c r="S154" s="8">
        <f>(O17*($E17/366))+(O18*($E18/366))</f>
        <v>60.599999999999994</v>
      </c>
      <c r="T154" s="8">
        <f>(P17*($E17/366))+(P18*($E18/366))</f>
        <v>0</v>
      </c>
      <c r="U154" s="8">
        <f>(Q17*($E17/366))+(Q18*($E18/366))</f>
        <v>0</v>
      </c>
      <c r="V154" s="12"/>
      <c r="W154" s="7">
        <f t="shared" si="37"/>
        <v>60.599999999999994</v>
      </c>
    </row>
    <row r="155" spans="1:46">
      <c r="A155" s="1">
        <v>1965</v>
      </c>
      <c r="B155" s="8">
        <f>(K19*($E19/365))+(K20*($E20/365))</f>
        <v>100</v>
      </c>
      <c r="C155" s="8">
        <f>(L19*($E19/365))+(L20*($E20/365))</f>
        <v>0</v>
      </c>
      <c r="D155" s="8">
        <f>(M19*($E19/365))+(M20*($E20/365))</f>
        <v>0</v>
      </c>
      <c r="E155" s="48">
        <f t="shared" si="35"/>
        <v>100</v>
      </c>
      <c r="G155" s="1">
        <v>1965</v>
      </c>
      <c r="H155" s="989">
        <f>(O19/$R19*100*($E19/365))+(O20/$R20*100*($E20/365))</f>
        <v>100</v>
      </c>
      <c r="I155" s="989"/>
      <c r="J155" s="989">
        <f>(P19/$R19*100*($E19/365))+(P20/$R20*100*($E20/365))</f>
        <v>0</v>
      </c>
      <c r="K155" s="989"/>
      <c r="L155" s="989">
        <f>(Q19/$R19*100*($E19/365))+(Q20/$R20*100*($E20/365))</f>
        <v>0</v>
      </c>
      <c r="M155" s="989"/>
      <c r="N155" s="959">
        <f t="shared" si="36"/>
        <v>100</v>
      </c>
      <c r="O155" s="959"/>
      <c r="R155" s="1">
        <v>1965</v>
      </c>
      <c r="S155" s="8">
        <f>(O19*($E19/365))+(O20*($E20/365))</f>
        <v>60.6</v>
      </c>
      <c r="T155" s="8">
        <f>(P19*($E19/365))+(P20*($E20/365))</f>
        <v>0</v>
      </c>
      <c r="U155" s="8">
        <f>(Q19*($E19/365))+(Q20*($E20/365))</f>
        <v>0</v>
      </c>
      <c r="V155" s="12"/>
      <c r="W155" s="7">
        <f t="shared" si="37"/>
        <v>60.6</v>
      </c>
    </row>
    <row r="156" spans="1:46">
      <c r="A156" s="1">
        <v>1966</v>
      </c>
      <c r="B156" s="8">
        <f>(K21*($E21/365))+(K22*($E22/365))</f>
        <v>100</v>
      </c>
      <c r="C156" s="8">
        <f>(L21*($E21/365))+(L22*($E22/365))</f>
        <v>0</v>
      </c>
      <c r="D156" s="8">
        <f>(M21*($E21/365))+(M22*($E22/365))</f>
        <v>0</v>
      </c>
      <c r="E156" s="48">
        <f t="shared" si="35"/>
        <v>100</v>
      </c>
      <c r="G156" s="1">
        <v>1966</v>
      </c>
      <c r="H156" s="989">
        <f>(O21/$R21*100*($E21/365))+(O22/$R22*100*($E22/365))</f>
        <v>100</v>
      </c>
      <c r="I156" s="989"/>
      <c r="J156" s="989">
        <f>(P21/$R21*100*($E21/365))+(P22/$R22*100*($E22/365))</f>
        <v>0</v>
      </c>
      <c r="K156" s="989"/>
      <c r="L156" s="989">
        <f>(Q21/$R21*100*($E21/365))+(Q22/$R22*100*($E22/365))</f>
        <v>0</v>
      </c>
      <c r="M156" s="989"/>
      <c r="N156" s="959">
        <f t="shared" si="36"/>
        <v>100</v>
      </c>
      <c r="O156" s="959"/>
      <c r="R156" s="1">
        <v>1966</v>
      </c>
      <c r="S156" s="8">
        <f>(O21*($E21/365))+(O22*($E22/365))</f>
        <v>60.6</v>
      </c>
      <c r="T156" s="8">
        <f>(P21*($E21/365))+(P22*($E22/365))</f>
        <v>0</v>
      </c>
      <c r="U156" s="8">
        <f>(Q21*($E21/365))+(Q22*($E22/365))</f>
        <v>0</v>
      </c>
      <c r="V156" s="12"/>
      <c r="W156" s="7">
        <f t="shared" si="37"/>
        <v>60.6</v>
      </c>
    </row>
    <row r="157" spans="1:46">
      <c r="A157" s="1">
        <v>1967</v>
      </c>
      <c r="B157" s="8">
        <f>(K23*($E23/365))+(K24*($E24/365))</f>
        <v>100</v>
      </c>
      <c r="C157" s="8">
        <f>(L23*($E23/365))+(L24*($E24/365))</f>
        <v>0</v>
      </c>
      <c r="D157" s="8">
        <f>(M23*($E23/365))+(M24*($E24/365))</f>
        <v>0</v>
      </c>
      <c r="E157" s="48">
        <f t="shared" si="35"/>
        <v>100</v>
      </c>
      <c r="G157" s="1">
        <v>1967</v>
      </c>
      <c r="H157" s="989">
        <f>(O23/$R23*100*($E23/365))+(O24/$R24*100*($E24/365))</f>
        <v>100</v>
      </c>
      <c r="I157" s="989"/>
      <c r="J157" s="989">
        <f>(P23/$R23*100*($E23/365))+(P24/$R24*100*($E24/365))</f>
        <v>0</v>
      </c>
      <c r="K157" s="989"/>
      <c r="L157" s="989">
        <f>(Q23/$R23*100*($E23/365))+(Q24/$R24*100*($E24/365))</f>
        <v>0</v>
      </c>
      <c r="M157" s="989"/>
      <c r="N157" s="959">
        <f t="shared" si="36"/>
        <v>100</v>
      </c>
      <c r="O157" s="959"/>
      <c r="R157" s="1">
        <v>1967</v>
      </c>
      <c r="S157" s="8">
        <f>(O23*($E23/365))+(O24*($E24/365))</f>
        <v>57.463561643835618</v>
      </c>
      <c r="T157" s="8">
        <f>(P23*($E23/365))+(P24*($E24/365))</f>
        <v>0</v>
      </c>
      <c r="U157" s="8">
        <f>(Q23*($E23/365))+(Q24*($E24/365))</f>
        <v>0</v>
      </c>
      <c r="V157" s="12"/>
      <c r="W157" s="7">
        <f t="shared" si="37"/>
        <v>57.463561643835618</v>
      </c>
    </row>
    <row r="158" spans="1:46">
      <c r="A158" s="1">
        <v>1968</v>
      </c>
      <c r="B158" s="8">
        <f>(K25*($E25/366))+(K26*($E26/366))</f>
        <v>100</v>
      </c>
      <c r="C158" s="8">
        <f>(L25*($E25/366))+(L26*($E26/366))</f>
        <v>0</v>
      </c>
      <c r="D158" s="8">
        <f>(M25*($E25/366))+(M26*($E26/366))</f>
        <v>0</v>
      </c>
      <c r="E158" s="48">
        <f t="shared" si="35"/>
        <v>100</v>
      </c>
      <c r="G158" s="1">
        <v>1968</v>
      </c>
      <c r="H158" s="989">
        <f>(O25/$R25*100*($E25/366))+(O26/$R26*100*($E26/366))</f>
        <v>100</v>
      </c>
      <c r="I158" s="989"/>
      <c r="J158" s="989">
        <f>(P25/$R25*100*($E25/366))+(P26/$R26*100*($E26/366))</f>
        <v>0</v>
      </c>
      <c r="K158" s="989"/>
      <c r="L158" s="989">
        <f>(Q25/$R25*100*($E25/366))+(Q26/$R26*100*($E26/366))</f>
        <v>0</v>
      </c>
      <c r="M158" s="989"/>
      <c r="N158" s="959">
        <f t="shared" si="36"/>
        <v>100</v>
      </c>
      <c r="O158" s="959"/>
      <c r="R158" s="1">
        <v>1968</v>
      </c>
      <c r="S158" s="8">
        <f>(O25*($E25/366))+(O26*($E26/366))</f>
        <v>57</v>
      </c>
      <c r="T158" s="8">
        <f>(P25*($E25/366))+(P26*($E26/366))</f>
        <v>0</v>
      </c>
      <c r="U158" s="8">
        <f>(Q25*($E25/366))+(Q26*($E26/366))</f>
        <v>0</v>
      </c>
      <c r="V158" s="12"/>
      <c r="W158" s="7">
        <f t="shared" si="37"/>
        <v>57</v>
      </c>
    </row>
    <row r="159" spans="1:46">
      <c r="A159" s="1">
        <v>1969</v>
      </c>
      <c r="B159" s="8">
        <f>(K27*($E27/365))+(K28*($E28/365))</f>
        <v>100</v>
      </c>
      <c r="C159" s="8">
        <f>(L27*($E27/365))+(L28*($E28/365))</f>
        <v>0</v>
      </c>
      <c r="D159" s="8">
        <f>(M27*($E27/365))+(M28*($E28/365))</f>
        <v>0</v>
      </c>
      <c r="E159" s="48">
        <f t="shared" si="35"/>
        <v>100</v>
      </c>
      <c r="G159" s="1">
        <v>1969</v>
      </c>
      <c r="H159" s="989">
        <f>(O27/$R27*100*($E27/365))+(O28/$R28*100*($E28/365))</f>
        <v>100</v>
      </c>
      <c r="I159" s="989"/>
      <c r="J159" s="989">
        <f>(P27/$R27*100*($E27/365))+(P28/$R28*100*($E28/365))</f>
        <v>0</v>
      </c>
      <c r="K159" s="989"/>
      <c r="L159" s="989">
        <f>(Q27/$R27*100*($E27/365))+(Q28/$R28*100*($E28/365))</f>
        <v>0</v>
      </c>
      <c r="M159" s="989"/>
      <c r="N159" s="959">
        <f t="shared" si="36"/>
        <v>100</v>
      </c>
      <c r="O159" s="959"/>
      <c r="R159" s="1">
        <v>1969</v>
      </c>
      <c r="S159" s="8">
        <f>(O27*($E27/365))+(O28*($E28/365))</f>
        <v>57</v>
      </c>
      <c r="T159" s="8">
        <f>(P27*($E27/365))+(P28*($E28/365))</f>
        <v>0</v>
      </c>
      <c r="U159" s="8">
        <f>(Q27*($E27/365))+(Q28*($E28/365))</f>
        <v>0</v>
      </c>
      <c r="V159" s="12"/>
      <c r="W159" s="7">
        <f t="shared" si="37"/>
        <v>57</v>
      </c>
    </row>
    <row r="160" spans="1:46">
      <c r="A160" s="1">
        <v>1970</v>
      </c>
      <c r="B160" s="8">
        <f>(K29*($E29/365))+(K30*($E30/365))</f>
        <v>100</v>
      </c>
      <c r="C160" s="8">
        <f>(L29*($E29/365))+(L30*($E30/365))</f>
        <v>0</v>
      </c>
      <c r="D160" s="8">
        <f>(M29*($E29/365))+(M30*($E30/365))</f>
        <v>0</v>
      </c>
      <c r="E160" s="48">
        <f t="shared" si="35"/>
        <v>100</v>
      </c>
      <c r="G160" s="1">
        <v>1970</v>
      </c>
      <c r="H160" s="989">
        <f>(O29/$R29*100*($E29/365))+(O30/$R30*100*($E30/365))</f>
        <v>100</v>
      </c>
      <c r="I160" s="989"/>
      <c r="J160" s="989">
        <f>(P29/$R29*100*($E29/365))+(P30/$R30*100*($E30/365))</f>
        <v>0</v>
      </c>
      <c r="K160" s="989"/>
      <c r="L160" s="989">
        <f>(Q29/$R29*100*($E29/365))+(Q30/$R30*100*($E30/365))</f>
        <v>0</v>
      </c>
      <c r="M160" s="989"/>
      <c r="N160" s="959">
        <f t="shared" si="36"/>
        <v>100</v>
      </c>
      <c r="O160" s="959"/>
      <c r="R160" s="1">
        <v>1970</v>
      </c>
      <c r="S160" s="8">
        <f>(O29*($E29/365))+(O30*($E30/365))</f>
        <v>59.218082191780823</v>
      </c>
      <c r="T160" s="8">
        <f>(P29*($E29/365))+(P30*($E30/365))</f>
        <v>0</v>
      </c>
      <c r="U160" s="8">
        <f>(Q29*($E29/365))+(Q30*($E30/365))</f>
        <v>0</v>
      </c>
      <c r="V160" s="12"/>
      <c r="W160" s="7">
        <f t="shared" si="37"/>
        <v>59.218082191780823</v>
      </c>
    </row>
    <row r="161" spans="1:23">
      <c r="A161" s="1">
        <v>1971</v>
      </c>
      <c r="B161" s="8">
        <f>(K31*($E31/365))+(K32*($E32/365))</f>
        <v>100</v>
      </c>
      <c r="C161" s="8">
        <f>(L31*($E31/365))+(L32*($E32/365))</f>
        <v>0</v>
      </c>
      <c r="D161" s="8">
        <f>(M31*($E31/365))+(M32*($E32/365))</f>
        <v>0</v>
      </c>
      <c r="E161" s="48">
        <f t="shared" si="35"/>
        <v>100</v>
      </c>
      <c r="G161" s="1">
        <v>1971</v>
      </c>
      <c r="H161" s="989">
        <f>(O31/$R31*100*($E31/365))+(O32/$R32*100*($E32/365))</f>
        <v>100</v>
      </c>
      <c r="I161" s="989"/>
      <c r="J161" s="989">
        <f>(P31/$R31*100*($E31/365))+(P32/$R32*100*($E32/365))</f>
        <v>0</v>
      </c>
      <c r="K161" s="989"/>
      <c r="L161" s="989">
        <f>(Q31/$R31*100*($E31/365))+(Q32/$R32*100*($E32/365))</f>
        <v>0</v>
      </c>
      <c r="M161" s="989"/>
      <c r="N161" s="959">
        <f t="shared" si="36"/>
        <v>100</v>
      </c>
      <c r="O161" s="959"/>
      <c r="R161" s="1">
        <v>1971</v>
      </c>
      <c r="S161" s="8">
        <f>(O31*($E31/365))+(O32*($E32/365))</f>
        <v>59.3</v>
      </c>
      <c r="T161" s="8">
        <f>(P31*($E31/365))+(P32*($E32/365))</f>
        <v>0</v>
      </c>
      <c r="U161" s="8">
        <f>(Q31*($E31/365))+(Q32*($E32/365))</f>
        <v>0</v>
      </c>
      <c r="V161" s="12"/>
      <c r="W161" s="7">
        <f t="shared" si="37"/>
        <v>59.3</v>
      </c>
    </row>
    <row r="162" spans="1:23">
      <c r="A162" s="1">
        <v>1972</v>
      </c>
      <c r="B162" s="8">
        <f>(K33*($E33/366))+(K34*($E34/366))+(K35*($E35/366))</f>
        <v>99.999999999999986</v>
      </c>
      <c r="C162" s="8">
        <f>(L33*($E33/366))+(L34*($E34/366))+(L35*($E35/366))</f>
        <v>0</v>
      </c>
      <c r="D162" s="8">
        <f>(M33*($E33/366))+(M34*($E34/366))+(M35*($E35/366))</f>
        <v>0</v>
      </c>
      <c r="E162" s="48">
        <f t="shared" si="35"/>
        <v>99.999999999999986</v>
      </c>
      <c r="G162" s="1">
        <v>1972</v>
      </c>
      <c r="H162" s="989">
        <f>(O33/$R33*100*($E33/366))+(O34/$R34*100*($E34/366))+(O35/$R35*100*($E35/366))</f>
        <v>99.999999999999986</v>
      </c>
      <c r="I162" s="989"/>
      <c r="J162" s="989">
        <f>(P33/$R33*100*($E33/366))+(P34/$R34*100*($E34/366))+(P35/$R35*100*($E35/366))</f>
        <v>0</v>
      </c>
      <c r="K162" s="989"/>
      <c r="L162" s="989">
        <f>(Q33/$R33*100*($E33/366))+(Q34/$R34*100*($E34/366))+(Q35/$R35*100*($E35/366))</f>
        <v>0</v>
      </c>
      <c r="M162" s="989"/>
      <c r="N162" s="959">
        <f t="shared" si="36"/>
        <v>99.999999999999986</v>
      </c>
      <c r="O162" s="959"/>
      <c r="R162" s="1">
        <v>1972</v>
      </c>
      <c r="S162" s="8">
        <f>(O33*($E33/366))+(O34*($E34/366))+(O35*($E35/366))</f>
        <v>59.187978142076503</v>
      </c>
      <c r="T162" s="8">
        <f>(P33*($E33/366))+(P34*($E34/366))+(P35*($E35/366))</f>
        <v>0</v>
      </c>
      <c r="U162" s="8">
        <f>(Q33*($E33/366))+(Q34*($E34/366))+(Q35*($E35/366))</f>
        <v>0</v>
      </c>
      <c r="V162" s="12"/>
      <c r="W162" s="7">
        <f t="shared" si="37"/>
        <v>59.187978142076503</v>
      </c>
    </row>
    <row r="163" spans="1:23">
      <c r="A163" s="1">
        <v>1973</v>
      </c>
      <c r="B163" s="8">
        <f>(K36*($E36/365))+(K37*($E37/365))</f>
        <v>100</v>
      </c>
      <c r="C163" s="8">
        <f>(L36*($E36/365))+(L37*($E37/365))</f>
        <v>0</v>
      </c>
      <c r="D163" s="8">
        <f>(M36*($E36/365))+(M37*($E37/365))</f>
        <v>0</v>
      </c>
      <c r="E163" s="48">
        <f t="shared" si="35"/>
        <v>100</v>
      </c>
      <c r="G163" s="1">
        <v>1973</v>
      </c>
      <c r="H163" s="989">
        <f>(O36/$R36*100*($E36/365))+(O37/$R37*100*($E37/365))</f>
        <v>100</v>
      </c>
      <c r="I163" s="989"/>
      <c r="J163" s="989">
        <f>(P36/$R36*100*($E36/365))+(P37/$R37*100*($E37/365))</f>
        <v>0</v>
      </c>
      <c r="K163" s="989"/>
      <c r="L163" s="989">
        <f>(Q36/$R36*100*($E36/365))+(Q37/$R37*100*($E37/365))</f>
        <v>0</v>
      </c>
      <c r="M163" s="989"/>
      <c r="N163" s="959">
        <f t="shared" si="36"/>
        <v>100</v>
      </c>
      <c r="O163" s="959"/>
      <c r="P163" s="2"/>
      <c r="R163" s="1">
        <v>1973</v>
      </c>
      <c r="S163" s="8">
        <f>(O36*($E36/365))+(O37*($E37/365))</f>
        <v>55.2</v>
      </c>
      <c r="T163" s="8">
        <f>(P36*($E36/365))+(P37*($E37/365))</f>
        <v>0</v>
      </c>
      <c r="U163" s="8">
        <f>(Q36*($E36/365))+(Q37*($E37/365))</f>
        <v>0</v>
      </c>
      <c r="V163" s="12"/>
      <c r="W163" s="7">
        <f t="shared" si="37"/>
        <v>55.2</v>
      </c>
    </row>
    <row r="164" spans="1:23">
      <c r="A164" s="1">
        <v>1974</v>
      </c>
      <c r="B164" s="8">
        <f>(K38*($E38/365))+(K39*($E39/365))</f>
        <v>100.00000000000001</v>
      </c>
      <c r="C164" s="8">
        <f>(L38*($E38/365))+(L39*($E39/365))</f>
        <v>0</v>
      </c>
      <c r="D164" s="8">
        <f>(M38*($E38/365))+(M39*($E39/365))</f>
        <v>0</v>
      </c>
      <c r="E164" s="48">
        <f t="shared" si="35"/>
        <v>100.00000000000001</v>
      </c>
      <c r="G164" s="1">
        <v>1974</v>
      </c>
      <c r="H164" s="989">
        <f>(O38/$R38*100*($E38/365))+(O39/$R39*100*($E39/365))</f>
        <v>100.00000000000001</v>
      </c>
      <c r="I164" s="989"/>
      <c r="J164" s="989">
        <f>(P38/$R38*100*($E38/365))+(P39/$R39*100*($E39/365))</f>
        <v>0</v>
      </c>
      <c r="K164" s="989"/>
      <c r="L164" s="989">
        <f>(Q38/$R38*100*($E38/365))+(Q39/$R39*100*($E39/365))</f>
        <v>0</v>
      </c>
      <c r="M164" s="989"/>
      <c r="N164" s="959">
        <f t="shared" si="36"/>
        <v>100.00000000000001</v>
      </c>
      <c r="O164" s="959"/>
      <c r="P164" s="2"/>
      <c r="R164" s="1">
        <v>1974</v>
      </c>
      <c r="S164" s="8">
        <f>(O38*($E38/365))+(O39*($E39/365))</f>
        <v>55.2</v>
      </c>
      <c r="T164" s="8">
        <f>(P38*($E38/365))+(P39*($E39/365))</f>
        <v>0</v>
      </c>
      <c r="U164" s="8">
        <f>(Q38*($E38/365))+(Q39*($E39/365))</f>
        <v>0</v>
      </c>
      <c r="V164" s="12"/>
      <c r="W164" s="7">
        <f t="shared" si="37"/>
        <v>55.2</v>
      </c>
    </row>
    <row r="165" spans="1:23">
      <c r="A165" s="1">
        <v>1975</v>
      </c>
      <c r="B165" s="8">
        <f>(K40*($E40/365))+(K41*($E41/365))</f>
        <v>100</v>
      </c>
      <c r="C165" s="8">
        <f>(L40*($E40/365))+(L41*($E41/365))</f>
        <v>0</v>
      </c>
      <c r="D165" s="8">
        <f>(M40*($E40/365))+(M41*($E41/365))</f>
        <v>0</v>
      </c>
      <c r="E165" s="48">
        <f t="shared" si="35"/>
        <v>100</v>
      </c>
      <c r="G165" s="1">
        <v>1975</v>
      </c>
      <c r="H165" s="989">
        <f>(O40/$R40*100*($E40/365))+(O41/$R41*100*($E41/365))</f>
        <v>100</v>
      </c>
      <c r="I165" s="989"/>
      <c r="J165" s="989">
        <f>(P40/$R40*100*($E40/365))+(P41/$R41*100*($E41/365))</f>
        <v>0</v>
      </c>
      <c r="K165" s="989"/>
      <c r="L165" s="989">
        <f>(Q40/$R40*100*($E40/365))+(Q41/$R41*100*($E41/365))</f>
        <v>0</v>
      </c>
      <c r="M165" s="989"/>
      <c r="N165" s="959">
        <f t="shared" si="36"/>
        <v>100</v>
      </c>
      <c r="O165" s="959"/>
      <c r="P165" s="2"/>
      <c r="R165" s="1">
        <v>1975</v>
      </c>
      <c r="S165" s="8">
        <f>(O40*($E40/365))+(O41*($E41/365))</f>
        <v>55.2</v>
      </c>
      <c r="T165" s="8">
        <f>(P40*($E40/365))+(P41*($E41/365))</f>
        <v>0</v>
      </c>
      <c r="U165" s="8">
        <f>(Q40*($E40/365))+(Q41*($E41/365))</f>
        <v>0</v>
      </c>
      <c r="V165" s="12"/>
      <c r="W165" s="7">
        <f t="shared" si="37"/>
        <v>55.2</v>
      </c>
    </row>
    <row r="166" spans="1:23">
      <c r="A166" s="1">
        <v>1976</v>
      </c>
      <c r="B166" s="8">
        <f>(K42*($E42/366))+(K43*($E43/366))</f>
        <v>100</v>
      </c>
      <c r="C166" s="8">
        <f>(L42*($E42/366))+(L43*($E43/366))</f>
        <v>0</v>
      </c>
      <c r="D166" s="8">
        <f>(M42*($E42/366))+(M43*($E43/366))</f>
        <v>0</v>
      </c>
      <c r="E166" s="48">
        <f t="shared" si="35"/>
        <v>100</v>
      </c>
      <c r="G166" s="1">
        <v>1976</v>
      </c>
      <c r="H166" s="989">
        <f>(O42/$R42*100*($E42/366))+(O43/$R43*100*($E43/366))</f>
        <v>100</v>
      </c>
      <c r="I166" s="989"/>
      <c r="J166" s="989">
        <f>(P42/$R42*100*($E42/366))+(P43/$R43*100*($E43/366))</f>
        <v>0</v>
      </c>
      <c r="K166" s="989"/>
      <c r="L166" s="989">
        <f>(Q42/$R42*100*($E42/366))+(Q43/$R43*100*($E43/366))</f>
        <v>0</v>
      </c>
      <c r="M166" s="989"/>
      <c r="N166" s="959">
        <f t="shared" si="36"/>
        <v>100</v>
      </c>
      <c r="O166" s="959"/>
      <c r="P166" s="2"/>
      <c r="R166" s="1">
        <v>1976</v>
      </c>
      <c r="S166" s="8">
        <f>(O42*($E42/366))+(O43*($E43/366))</f>
        <v>55.057923497267765</v>
      </c>
      <c r="T166" s="8">
        <f>(P42*($E42/366))+(P43*($E43/366))</f>
        <v>0</v>
      </c>
      <c r="U166" s="8">
        <f>(Q42*($E42/366))+(Q43*($E43/366))</f>
        <v>0</v>
      </c>
      <c r="V166" s="12"/>
      <c r="W166" s="7">
        <f t="shared" si="37"/>
        <v>55.057923497267765</v>
      </c>
    </row>
    <row r="167" spans="1:23">
      <c r="A167" s="1">
        <v>1977</v>
      </c>
      <c r="B167" s="8">
        <f>(K44*($E44/365))+(K45*($E45/365))</f>
        <v>100</v>
      </c>
      <c r="C167" s="8">
        <f>(L44*($E44/365))+(L45*($E45/365))</f>
        <v>0</v>
      </c>
      <c r="D167" s="8">
        <f>(M44*($E44/365))+(M45*($E45/365))</f>
        <v>0</v>
      </c>
      <c r="E167" s="48">
        <f t="shared" si="35"/>
        <v>100</v>
      </c>
      <c r="G167" s="1">
        <v>1977</v>
      </c>
      <c r="H167" s="989">
        <f>(O44/$R44*100*($E44/365))+(O45/$R45*100*($E45/365))</f>
        <v>100</v>
      </c>
      <c r="I167" s="989"/>
      <c r="J167" s="989">
        <f>(P44/$R44*100*($E44/365))+(P45/$R45*100*($E45/365))</f>
        <v>0</v>
      </c>
      <c r="K167" s="989"/>
      <c r="L167" s="989">
        <f>(Q44/$R44*100*($E44/365))+(Q45/$R45*100*($E45/365))</f>
        <v>0</v>
      </c>
      <c r="M167" s="989"/>
      <c r="N167" s="959">
        <f t="shared" si="36"/>
        <v>100</v>
      </c>
      <c r="O167" s="959"/>
      <c r="P167" s="2"/>
      <c r="R167" s="1">
        <v>1977</v>
      </c>
      <c r="S167" s="8">
        <f>(O44*($E44/365))+(O45*($E45/365))</f>
        <v>48.7</v>
      </c>
      <c r="T167" s="8">
        <f>(P44*($E44/365))+(P45*($E45/365))</f>
        <v>0</v>
      </c>
      <c r="U167" s="8">
        <f>(Q44*($E44/365))+(Q45*($E45/365))</f>
        <v>0</v>
      </c>
      <c r="V167" s="12"/>
      <c r="W167" s="7">
        <f t="shared" si="37"/>
        <v>48.7</v>
      </c>
    </row>
    <row r="168" spans="1:23">
      <c r="A168" s="1">
        <v>1978</v>
      </c>
      <c r="B168" s="8">
        <f>(K46*($E46/365))+(K47*($E47/365))</f>
        <v>100</v>
      </c>
      <c r="C168" s="8">
        <f>(L46*($E46/365))+(L47*($E47/365))</f>
        <v>0</v>
      </c>
      <c r="D168" s="8">
        <f>(M46*($E46/365))+(M47*($E47/365))</f>
        <v>0</v>
      </c>
      <c r="E168" s="48">
        <f t="shared" si="35"/>
        <v>100</v>
      </c>
      <c r="G168" s="1">
        <v>1978</v>
      </c>
      <c r="H168" s="989">
        <f>(O46/$R46*100*($E46/365))+(O47/$R47*100*($E47/365))</f>
        <v>100</v>
      </c>
      <c r="I168" s="989"/>
      <c r="J168" s="989">
        <f>(P46/$R46*100*($E46/365))+(P47/$R47*100*($E47/365))</f>
        <v>0</v>
      </c>
      <c r="K168" s="989"/>
      <c r="L168" s="989">
        <f>(Q46/$R46*100*($E46/365))+(Q47/$R47*100*($E47/365))</f>
        <v>0</v>
      </c>
      <c r="M168" s="989"/>
      <c r="N168" s="959">
        <f t="shared" si="36"/>
        <v>100</v>
      </c>
      <c r="O168" s="959"/>
      <c r="P168" s="2"/>
      <c r="R168" s="1">
        <v>1978</v>
      </c>
      <c r="S168" s="8">
        <f>(O46*($E46/365))+(O47*($E47/365))</f>
        <v>48.70000000000001</v>
      </c>
      <c r="T168" s="8">
        <f>(P46*($E46/365))+(P47*($E47/365))</f>
        <v>0</v>
      </c>
      <c r="U168" s="8">
        <f>(Q46*($E46/365))+(Q47*($E47/365))</f>
        <v>0</v>
      </c>
      <c r="V168" s="12"/>
      <c r="W168" s="7">
        <f t="shared" si="37"/>
        <v>48.70000000000001</v>
      </c>
    </row>
    <row r="169" spans="1:23">
      <c r="A169" s="1">
        <v>1979</v>
      </c>
      <c r="B169" s="8">
        <f>(K48*($E48/365))+(K49*($E49/365))</f>
        <v>100.00000000000001</v>
      </c>
      <c r="C169" s="8">
        <f>(L48*($E48/365))+(L49*($E49/365))</f>
        <v>0</v>
      </c>
      <c r="D169" s="8">
        <f>(M48*($E48/365))+(M49*($E49/365))</f>
        <v>0</v>
      </c>
      <c r="E169" s="48">
        <f t="shared" si="35"/>
        <v>100.00000000000001</v>
      </c>
      <c r="G169" s="1">
        <v>1979</v>
      </c>
      <c r="H169" s="989">
        <f>(O48/$R48*100*($E48/365))+(O49/$R49*100*($E49/365))</f>
        <v>100.00000000000001</v>
      </c>
      <c r="I169" s="989"/>
      <c r="J169" s="989">
        <f>(P48/$R48*100*($E48/365))+(P49/$R49*100*($E49/365))</f>
        <v>0</v>
      </c>
      <c r="K169" s="989"/>
      <c r="L169" s="989">
        <f>(Q48/$R48*100*($E48/365))+(Q49/$R49*100*($E49/365))</f>
        <v>0</v>
      </c>
      <c r="M169" s="989"/>
      <c r="N169" s="959">
        <f t="shared" si="36"/>
        <v>100.00000000000001</v>
      </c>
      <c r="O169" s="959"/>
      <c r="R169" s="1">
        <v>1979</v>
      </c>
      <c r="S169" s="8">
        <f>(O48*($E48/365))+(O49*($E49/365))</f>
        <v>48.670410958904114</v>
      </c>
      <c r="T169" s="8">
        <f>(P48*($E48/365))+(P49*($E49/365))</f>
        <v>0</v>
      </c>
      <c r="U169" s="8">
        <f>(Q48*($E48/365))+(Q49*($E49/365))</f>
        <v>0</v>
      </c>
      <c r="V169" s="12"/>
      <c r="W169" s="7">
        <f t="shared" si="37"/>
        <v>48.670410958904114</v>
      </c>
    </row>
    <row r="170" spans="1:23">
      <c r="A170" s="1">
        <v>1980</v>
      </c>
      <c r="B170" s="8">
        <f>(K50*($E50/366))+(K51*($E51/366))</f>
        <v>100</v>
      </c>
      <c r="C170" s="8">
        <f>(L50*($E50/366))+(L51*($E51/366))</f>
        <v>0</v>
      </c>
      <c r="D170" s="8">
        <f>(M50*($E50/366))+(M51*($E51/366))</f>
        <v>0</v>
      </c>
      <c r="E170" s="48">
        <f t="shared" si="35"/>
        <v>100</v>
      </c>
      <c r="G170" s="1">
        <v>1980</v>
      </c>
      <c r="H170" s="989">
        <f>(O50/$R50*100*($E50/366))+(O51/$R51*100*($E51/366))</f>
        <v>100</v>
      </c>
      <c r="I170" s="989"/>
      <c r="J170" s="989">
        <f>(P50/$R50*100*($E50/366))+(P51/$R51*100*($E51/366))</f>
        <v>0</v>
      </c>
      <c r="K170" s="989"/>
      <c r="L170" s="989">
        <f>(Q50/$R50*100*($E50/366))+(Q51/$R51*100*($E51/366))</f>
        <v>0</v>
      </c>
      <c r="M170" s="989"/>
      <c r="N170" s="959">
        <f t="shared" si="36"/>
        <v>100</v>
      </c>
      <c r="O170" s="959"/>
      <c r="R170" s="1">
        <v>1980</v>
      </c>
      <c r="S170" s="8">
        <f>(O50*($E50/366))+(O51*($E51/366))</f>
        <v>51.759016393442629</v>
      </c>
      <c r="T170" s="8">
        <f>(P50*($E50/366))+(P51*($E51/366))</f>
        <v>0</v>
      </c>
      <c r="U170" s="8">
        <f>(Q50*($E50/366))+(Q51*($E51/366))</f>
        <v>0</v>
      </c>
      <c r="V170" s="12"/>
      <c r="W170" s="7">
        <f t="shared" si="37"/>
        <v>51.759016393442629</v>
      </c>
    </row>
    <row r="171" spans="1:23">
      <c r="A171" s="1">
        <v>1981</v>
      </c>
      <c r="B171" s="8">
        <f>(K52*($E52/365))+(K53*($E53/365))</f>
        <v>100</v>
      </c>
      <c r="C171" s="8">
        <f>(L52*($E52/365))+(L53*($E53/365))</f>
        <v>0</v>
      </c>
      <c r="D171" s="8">
        <f>(M52*($E52/365))+(M53*($E53/365))</f>
        <v>0</v>
      </c>
      <c r="E171" s="48">
        <f t="shared" si="35"/>
        <v>100</v>
      </c>
      <c r="G171" s="1">
        <v>1981</v>
      </c>
      <c r="H171" s="989">
        <f>(O52/$R52*100*($E52/365))+(O53/$R53*100*($E53/365))</f>
        <v>100</v>
      </c>
      <c r="I171" s="989"/>
      <c r="J171" s="989">
        <f>(P52/$R52*100*($E52/365))+(P53/$R53*100*($E53/365))</f>
        <v>0</v>
      </c>
      <c r="K171" s="989"/>
      <c r="L171" s="989">
        <f>(Q52/$R52*100*($E52/365))+(Q53/$R53*100*($E53/365))</f>
        <v>0</v>
      </c>
      <c r="M171" s="989"/>
      <c r="N171" s="959">
        <f t="shared" si="36"/>
        <v>100</v>
      </c>
      <c r="O171" s="959"/>
      <c r="R171" s="1">
        <v>1981</v>
      </c>
      <c r="S171" s="8">
        <f>(O52*($E52/365))+(O53*($E53/365))</f>
        <v>55.6</v>
      </c>
      <c r="T171" s="8">
        <f>(P52*($E52/365))+(P53*($E53/365))</f>
        <v>0</v>
      </c>
      <c r="U171" s="8">
        <f>(Q52*($E52/365))+(Q53*($E53/365))</f>
        <v>0</v>
      </c>
      <c r="V171" s="12"/>
      <c r="W171" s="7">
        <f t="shared" si="37"/>
        <v>55.6</v>
      </c>
    </row>
    <row r="172" spans="1:23">
      <c r="A172" s="1">
        <v>1982</v>
      </c>
      <c r="B172" s="8">
        <f>(K54*($E54/365))+(K55*($E55/365))</f>
        <v>100</v>
      </c>
      <c r="C172" s="8">
        <f>(L54*($E54/365))+(L55*($E55/365))</f>
        <v>0</v>
      </c>
      <c r="D172" s="8">
        <f>(M54*($E54/365))+(M55*($E55/365))</f>
        <v>0</v>
      </c>
      <c r="E172" s="48">
        <f t="shared" si="35"/>
        <v>100</v>
      </c>
      <c r="G172" s="1">
        <v>1982</v>
      </c>
      <c r="H172" s="989">
        <f>(O54/$R54*100*($E54/365))+(O55/$R55*100*($E55/365))</f>
        <v>100</v>
      </c>
      <c r="I172" s="989"/>
      <c r="J172" s="989">
        <f>(P54/$R54*100*($E54/365))+(P55/$R55*100*($E55/365))</f>
        <v>0</v>
      </c>
      <c r="K172" s="989"/>
      <c r="L172" s="989">
        <f>(Q54/$R54*100*($E54/365))+(Q55/$R55*100*($E55/365))</f>
        <v>0</v>
      </c>
      <c r="M172" s="989"/>
      <c r="N172" s="959">
        <f t="shared" si="36"/>
        <v>100</v>
      </c>
      <c r="O172" s="959"/>
      <c r="R172" s="1">
        <v>1982</v>
      </c>
      <c r="S172" s="8">
        <f>(O54*($E54/365))+(O55*($E55/365))</f>
        <v>55.6</v>
      </c>
      <c r="T172" s="8">
        <f>(P54*($E54/365))+(P55*($E55/365))</f>
        <v>0</v>
      </c>
      <c r="U172" s="8">
        <f>(Q54*($E54/365))+(Q55*($E55/365))</f>
        <v>0</v>
      </c>
      <c r="V172" s="12"/>
      <c r="W172" s="7">
        <f t="shared" si="37"/>
        <v>55.6</v>
      </c>
    </row>
    <row r="173" spans="1:23">
      <c r="A173" s="1">
        <v>1983</v>
      </c>
      <c r="B173" s="8">
        <f>(K56*($E56/365))+(K57*($E57/365))</f>
        <v>99.999999999999986</v>
      </c>
      <c r="C173" s="8">
        <f>(L56*($E56/365))+(L57*($E57/365))</f>
        <v>0</v>
      </c>
      <c r="D173" s="8">
        <f>(M56*($E56/365))+(M57*($E57/365))</f>
        <v>0</v>
      </c>
      <c r="E173" s="48">
        <f t="shared" si="35"/>
        <v>99.999999999999986</v>
      </c>
      <c r="G173" s="1">
        <v>1983</v>
      </c>
      <c r="H173" s="989">
        <f>(O56/$R56*100*($E56/365))+(O57/$R57*100*($E57/365))</f>
        <v>99.999999999999986</v>
      </c>
      <c r="I173" s="989"/>
      <c r="J173" s="989">
        <f>(P56/$R56*100*($E56/365))+(P57/$R57*100*($E57/365))</f>
        <v>0</v>
      </c>
      <c r="K173" s="989"/>
      <c r="L173" s="989">
        <f>(Q56/$R56*100*($E56/365))+(Q57/$R57*100*($E57/365))</f>
        <v>0</v>
      </c>
      <c r="M173" s="989"/>
      <c r="N173" s="959">
        <f t="shared" si="36"/>
        <v>99.999999999999986</v>
      </c>
      <c r="O173" s="959"/>
      <c r="R173" s="1">
        <v>1983</v>
      </c>
      <c r="S173" s="8">
        <f>(O56*($E56/365))+(O57*($E57/365))</f>
        <v>55.516164383561645</v>
      </c>
      <c r="T173" s="8">
        <f>(P56*($E56/365))+(P57*($E57/365))</f>
        <v>0</v>
      </c>
      <c r="U173" s="8">
        <f>(Q56*($E56/365))+(Q57*($E57/365))</f>
        <v>0</v>
      </c>
      <c r="V173" s="12"/>
      <c r="W173" s="7">
        <f t="shared" si="37"/>
        <v>55.516164383561645</v>
      </c>
    </row>
    <row r="174" spans="1:23">
      <c r="A174" s="1">
        <v>1984</v>
      </c>
      <c r="B174" s="8">
        <f>(K58*($E58/366))+(K59*($E59/366))</f>
        <v>100</v>
      </c>
      <c r="C174" s="8">
        <f>(L58*($E58/366))+(L59*($E59/366))</f>
        <v>0</v>
      </c>
      <c r="D174" s="8">
        <f>(M58*($E58/366))+(M59*($E59/366))</f>
        <v>0</v>
      </c>
      <c r="E174" s="48">
        <f t="shared" si="35"/>
        <v>100</v>
      </c>
      <c r="G174" s="1">
        <v>1984</v>
      </c>
      <c r="H174" s="989">
        <f>(O58/$R58*100*($E58/366))+(O59/$R59*100*($E59/366))</f>
        <v>100</v>
      </c>
      <c r="I174" s="989"/>
      <c r="J174" s="989">
        <f>(P58/$R58*100*($E58/366))+(P59/$R59*100*($E59/366))</f>
        <v>0</v>
      </c>
      <c r="K174" s="989"/>
      <c r="L174" s="989">
        <f>(Q58/$R58*100*($E58/366))+(Q59/$R59*100*($E59/366))</f>
        <v>0</v>
      </c>
      <c r="M174" s="989"/>
      <c r="N174" s="959">
        <f t="shared" si="36"/>
        <v>100</v>
      </c>
      <c r="O174" s="959"/>
      <c r="R174" s="1">
        <v>1984</v>
      </c>
      <c r="S174" s="8">
        <f>(O58*($E58/366))+(O59*($E59/366))</f>
        <v>50.5</v>
      </c>
      <c r="T174" s="8">
        <f>(P58*($E58/366))+(P59*($E59/366))</f>
        <v>0</v>
      </c>
      <c r="U174" s="8">
        <f>(Q58*($E58/366))+(Q59*($E59/366))</f>
        <v>0</v>
      </c>
      <c r="V174" s="12"/>
      <c r="W174" s="7">
        <f t="shared" si="37"/>
        <v>50.5</v>
      </c>
    </row>
    <row r="175" spans="1:23">
      <c r="A175" s="1">
        <v>1985</v>
      </c>
      <c r="B175" s="8">
        <f>(K60*($E60/365))+(K61*($E61/365))</f>
        <v>100</v>
      </c>
      <c r="C175" s="8">
        <f>(L60*($E60/365))+(L61*($E61/365))</f>
        <v>0</v>
      </c>
      <c r="D175" s="8">
        <f>(M60*($E60/365))+(M61*($E61/365))</f>
        <v>0</v>
      </c>
      <c r="E175" s="48">
        <f t="shared" si="35"/>
        <v>100</v>
      </c>
      <c r="G175" s="1">
        <v>1985</v>
      </c>
      <c r="H175" s="989">
        <f>(O60/$R60*100*($E60/365))+(O61/$R61*100*($E61/365))</f>
        <v>100</v>
      </c>
      <c r="I175" s="989"/>
      <c r="J175" s="989">
        <f>(P60/$R60*100*($E60/365))+(P61/$R61*100*($E61/365))</f>
        <v>0</v>
      </c>
      <c r="K175" s="989"/>
      <c r="L175" s="989">
        <f>(Q60/$R60*100*($E60/365))+(Q61/$R61*100*($E61/365))</f>
        <v>0</v>
      </c>
      <c r="M175" s="989"/>
      <c r="N175" s="959">
        <f t="shared" si="36"/>
        <v>100</v>
      </c>
      <c r="O175" s="959"/>
      <c r="R175" s="1">
        <v>1985</v>
      </c>
      <c r="S175" s="8">
        <f>(O60*($E60/365))+(O61*($E61/365))</f>
        <v>50.5</v>
      </c>
      <c r="T175" s="8">
        <f>(P60*($E60/365))+(P61*($E61/365))</f>
        <v>0</v>
      </c>
      <c r="U175" s="8">
        <f>(Q60*($E60/365))+(Q61*($E61/365))</f>
        <v>0</v>
      </c>
      <c r="V175" s="12"/>
      <c r="W175" s="7">
        <f t="shared" si="37"/>
        <v>50.5</v>
      </c>
    </row>
    <row r="176" spans="1:23">
      <c r="A176" s="1">
        <v>1986</v>
      </c>
      <c r="B176" s="8">
        <f>(K62*($E62/365))+(K63*($E63/365))</f>
        <v>100</v>
      </c>
      <c r="C176" s="8">
        <f>(L62*($E62/365))+(L63*($E63/365))</f>
        <v>0</v>
      </c>
      <c r="D176" s="8">
        <f>(M62*($E62/365))+(M63*($E63/365))</f>
        <v>0</v>
      </c>
      <c r="E176" s="48">
        <f t="shared" si="35"/>
        <v>100</v>
      </c>
      <c r="G176" s="1">
        <v>1986</v>
      </c>
      <c r="H176" s="989">
        <f>(O62/$R62*100*($E62/365))+(O63/$R63*100*($E63/365))</f>
        <v>100</v>
      </c>
      <c r="I176" s="989"/>
      <c r="J176" s="989">
        <f>(P62/$R62*100*($E62/365))+(P63/$R63*100*($E63/365))</f>
        <v>0</v>
      </c>
      <c r="K176" s="989"/>
      <c r="L176" s="989">
        <f>(Q62/$R62*100*($E62/365))+(Q63/$R63*100*($E63/365))</f>
        <v>0</v>
      </c>
      <c r="M176" s="989"/>
      <c r="N176" s="959">
        <f t="shared" si="36"/>
        <v>100</v>
      </c>
      <c r="O176" s="959"/>
      <c r="R176" s="1">
        <v>1986</v>
      </c>
      <c r="S176" s="8">
        <f>(O62*($E62/365))+(O63*($E63/365))</f>
        <v>54.117260273972605</v>
      </c>
      <c r="T176" s="8">
        <f>(P62*($E62/365))+(P63*($E63/365))</f>
        <v>0</v>
      </c>
      <c r="U176" s="8">
        <f>(Q62*($E62/365))+(Q63*($E63/365))</f>
        <v>0</v>
      </c>
      <c r="V176" s="12"/>
      <c r="W176" s="7">
        <f t="shared" si="37"/>
        <v>54.117260273972605</v>
      </c>
    </row>
    <row r="177" spans="1:23">
      <c r="A177" s="1">
        <v>1987</v>
      </c>
      <c r="B177" s="8">
        <f>(K64*($E64/365))+(K65*($E65/365))</f>
        <v>100</v>
      </c>
      <c r="C177" s="8">
        <f>(L64*($E64/365))+(L65*($E65/365))</f>
        <v>0</v>
      </c>
      <c r="D177" s="8">
        <f>(M64*($E64/365))+(M65*($E65/365))</f>
        <v>0</v>
      </c>
      <c r="E177" s="48">
        <f t="shared" si="35"/>
        <v>100</v>
      </c>
      <c r="G177" s="1">
        <v>1987</v>
      </c>
      <c r="H177" s="989">
        <f>(O64/$R64*100*($E64/365))+(O65/$R65*100*($E65/365))</f>
        <v>100</v>
      </c>
      <c r="I177" s="989"/>
      <c r="J177" s="989">
        <f>(P64/$R64*100*($E64/365))+(P65/$R65*100*($E65/365))</f>
        <v>0</v>
      </c>
      <c r="K177" s="989"/>
      <c r="L177" s="989">
        <f>(Q64/$R64*100*($E64/365))+(Q65/$R65*100*($E65/365))</f>
        <v>0</v>
      </c>
      <c r="M177" s="989"/>
      <c r="N177" s="959">
        <f t="shared" si="36"/>
        <v>100</v>
      </c>
      <c r="O177" s="959"/>
      <c r="R177" s="1">
        <v>1987</v>
      </c>
      <c r="S177" s="8">
        <f>(O64*($E64/365))+(O65*($E65/365))</f>
        <v>58.6</v>
      </c>
      <c r="T177" s="8">
        <f>(P64*($E64/365))+(P65*($E65/365))</f>
        <v>0</v>
      </c>
      <c r="U177" s="8">
        <f>(Q64*($E64/365))+(Q65*($E65/365))</f>
        <v>0</v>
      </c>
      <c r="V177" s="12"/>
      <c r="W177" s="7">
        <f t="shared" si="37"/>
        <v>58.6</v>
      </c>
    </row>
    <row r="178" spans="1:23">
      <c r="A178" s="1">
        <v>1988</v>
      </c>
      <c r="B178" s="8">
        <f>(K66*($E66/366))+(K67*($E67/366))</f>
        <v>100</v>
      </c>
      <c r="C178" s="8">
        <f>(L66*($E66/366))+(L67*($E67/366))</f>
        <v>0</v>
      </c>
      <c r="D178" s="8">
        <f>(M66*($E66/366))+(M67*($E67/366))</f>
        <v>0</v>
      </c>
      <c r="E178" s="48">
        <f t="shared" si="35"/>
        <v>100</v>
      </c>
      <c r="G178" s="1">
        <v>1988</v>
      </c>
      <c r="H178" s="989">
        <f>(O66/$R66*100*($E66/366))+(O67/$R67*100*($E67/366))</f>
        <v>100</v>
      </c>
      <c r="I178" s="989"/>
      <c r="J178" s="989">
        <f>(P66/$R66*100*($E66/366))+(P67/$R67*100*($E67/366))</f>
        <v>0</v>
      </c>
      <c r="K178" s="989"/>
      <c r="L178" s="989">
        <f>(Q66/$R66*100*($E66/366))+(Q67/$R67*100*($E67/366))</f>
        <v>0</v>
      </c>
      <c r="M178" s="989"/>
      <c r="N178" s="959">
        <f t="shared" si="36"/>
        <v>100</v>
      </c>
      <c r="O178" s="959"/>
      <c r="R178" s="1">
        <v>1988</v>
      </c>
      <c r="S178" s="8">
        <f>(O66*($E66/366))+(O67*($E67/366))</f>
        <v>58.6</v>
      </c>
      <c r="T178" s="8">
        <f>(P66*($E66/366))+(P67*($E67/366))</f>
        <v>0</v>
      </c>
      <c r="U178" s="8">
        <f>(Q66*($E66/366))+(Q67*($E67/366))</f>
        <v>0</v>
      </c>
      <c r="V178" s="12"/>
      <c r="W178" s="7">
        <f t="shared" si="37"/>
        <v>58.6</v>
      </c>
    </row>
    <row r="179" spans="1:23">
      <c r="A179" s="1">
        <v>1989</v>
      </c>
      <c r="B179" s="8">
        <f>(K68*($E68/365))+(K69*($E69/365))+(K70*($E70/365))</f>
        <v>100</v>
      </c>
      <c r="C179" s="8">
        <f>(L68*($E68/365))+(L69*($E69/365))+(L70*($E70/365))</f>
        <v>0</v>
      </c>
      <c r="D179" s="8">
        <f>(M68*($E68/365))+(M69*($E69/365))+(M70*($E70/365))</f>
        <v>0</v>
      </c>
      <c r="E179" s="48">
        <f t="shared" si="35"/>
        <v>100</v>
      </c>
      <c r="G179" s="1">
        <v>1989</v>
      </c>
      <c r="H179" s="989">
        <f>(O68/$R68*100*($E68/365))+(O69/$R69*100*($E69/365))+(O70/$R70*100*($E70/365))</f>
        <v>100</v>
      </c>
      <c r="I179" s="989"/>
      <c r="J179" s="989">
        <f>(P68/$R68*100*($E68/365))+(P69/$R69*100*($E69/365))+(P70/$R70*100*($E70/365))</f>
        <v>0</v>
      </c>
      <c r="K179" s="989"/>
      <c r="L179" s="989">
        <f>(Q68/$R68*100*($E68/365))+(Q69/$R69*100*($E69/365))+(Q70/$R70*100*($E70/365))</f>
        <v>0</v>
      </c>
      <c r="M179" s="989"/>
      <c r="N179" s="959">
        <f t="shared" si="36"/>
        <v>100</v>
      </c>
      <c r="O179" s="959"/>
      <c r="R179" s="1">
        <v>1989</v>
      </c>
      <c r="S179" s="8">
        <f>(O68*($E68/365))+(O69*($E69/365))+(O70*($E70/365))</f>
        <v>58.6</v>
      </c>
      <c r="T179" s="8">
        <f>(P68*($E68/365))+(P69*($E69/365))+(P70*($E70/365))</f>
        <v>0</v>
      </c>
      <c r="U179" s="8">
        <f>(Q68*($E68/365))+(Q69*($E69/365))+(Q70*($E70/365))</f>
        <v>0</v>
      </c>
      <c r="V179" s="12"/>
      <c r="W179" s="7">
        <f t="shared" si="37"/>
        <v>58.6</v>
      </c>
    </row>
    <row r="180" spans="1:23">
      <c r="A180" s="1">
        <v>1990</v>
      </c>
      <c r="B180" s="8">
        <f>(K71*($E71/365))+(K72*($E72/365))</f>
        <v>100</v>
      </c>
      <c r="C180" s="8">
        <f>(L71*($E71/365))+(L72*($E72/365))</f>
        <v>0</v>
      </c>
      <c r="D180" s="8">
        <f>(M71*($E71/365))+(M72*($E72/365))</f>
        <v>0</v>
      </c>
      <c r="E180" s="48">
        <f t="shared" si="35"/>
        <v>100</v>
      </c>
      <c r="G180" s="1">
        <v>1990</v>
      </c>
      <c r="H180" s="989">
        <f>(O71/$R71*100*($E71/365))+(O72/$R72*100*($E72/365))</f>
        <v>100</v>
      </c>
      <c r="I180" s="989"/>
      <c r="J180" s="989">
        <f>(P71/$R71*100*($E71/365))+(P72/$R72*100*($E72/365))</f>
        <v>0</v>
      </c>
      <c r="K180" s="989"/>
      <c r="L180" s="989">
        <f>(Q71/$R71*100*($E71/365))+(Q72/$R72*100*($E72/365))</f>
        <v>0</v>
      </c>
      <c r="M180" s="989"/>
      <c r="N180" s="959">
        <f t="shared" si="36"/>
        <v>100</v>
      </c>
      <c r="O180" s="959"/>
      <c r="R180" s="1">
        <v>1990</v>
      </c>
      <c r="S180" s="8">
        <f>(O71*($E71/365))+(O72*($E72/365))</f>
        <v>54.478630136986304</v>
      </c>
      <c r="T180" s="8">
        <f>(P71*($E71/365))+(P72*($E72/365))</f>
        <v>0</v>
      </c>
      <c r="U180" s="8">
        <f>(Q71*($E71/365))+(Q72*($E72/365))</f>
        <v>0</v>
      </c>
      <c r="V180" s="12"/>
      <c r="W180" s="7">
        <f t="shared" si="37"/>
        <v>54.478630136986304</v>
      </c>
    </row>
    <row r="181" spans="1:23">
      <c r="A181" s="1">
        <v>1991</v>
      </c>
      <c r="B181" s="8">
        <f>(K73*($E73/365))+(K74*($E74/365))</f>
        <v>100</v>
      </c>
      <c r="C181" s="8">
        <f>(L73*($E73/365))+(L74*($E74/365))</f>
        <v>0</v>
      </c>
      <c r="D181" s="8">
        <f>(M73*($E73/365))+(M74*($E74/365))</f>
        <v>0</v>
      </c>
      <c r="E181" s="48">
        <f t="shared" si="35"/>
        <v>100</v>
      </c>
      <c r="G181" s="1">
        <v>1991</v>
      </c>
      <c r="H181" s="989">
        <f>(O73/$R73*100*($E73/365))+(O74/$R74*100*($E74/365))</f>
        <v>100</v>
      </c>
      <c r="I181" s="989"/>
      <c r="J181" s="989">
        <f>(P73/$R73*100*($E73/365))+(P74/$R74*100*($E74/365))</f>
        <v>0</v>
      </c>
      <c r="K181" s="989"/>
      <c r="L181" s="989">
        <f>(Q73/$R73*100*($E73/365))+(Q74/$R74*100*($E74/365))</f>
        <v>0</v>
      </c>
      <c r="M181" s="989"/>
      <c r="N181" s="959">
        <f t="shared" si="36"/>
        <v>100</v>
      </c>
      <c r="O181" s="959"/>
      <c r="R181" s="1">
        <v>1991</v>
      </c>
      <c r="S181" s="8">
        <f>(O73*($E73/365))+(O74*($E74/365))</f>
        <v>53.7</v>
      </c>
      <c r="T181" s="8">
        <f>(P73*($E73/365))+(P74*($E74/365))</f>
        <v>0</v>
      </c>
      <c r="U181" s="8">
        <f>(Q73*($E73/365))+(Q74*($E74/365))</f>
        <v>0</v>
      </c>
      <c r="V181" s="12"/>
      <c r="W181" s="7">
        <f t="shared" si="37"/>
        <v>53.7</v>
      </c>
    </row>
    <row r="182" spans="1:23">
      <c r="A182" s="1">
        <v>1992</v>
      </c>
      <c r="B182" s="8">
        <f>(K75*($E75/366))+(K76*($E76/366))</f>
        <v>100</v>
      </c>
      <c r="C182" s="8">
        <f>(L75*($E75/366))+(L76*($E76/366))</f>
        <v>0</v>
      </c>
      <c r="D182" s="8">
        <f>(M75*($E75/366))+(M76*($E76/366))</f>
        <v>0</v>
      </c>
      <c r="E182" s="48">
        <f t="shared" si="35"/>
        <v>100</v>
      </c>
      <c r="G182" s="1">
        <v>1992</v>
      </c>
      <c r="H182" s="989">
        <f>(O75/$R75*100*($E75/366))+(O76/$R76*100*($E76/366))</f>
        <v>100</v>
      </c>
      <c r="I182" s="989"/>
      <c r="J182" s="989">
        <f>(P75/$R75*100*($E75/366))+(P76/$R76*100*($E76/366))</f>
        <v>0</v>
      </c>
      <c r="K182" s="989"/>
      <c r="L182" s="989">
        <f>(Q75/$R75*100*($E75/366))+(Q76/$R76*100*($E76/366))</f>
        <v>0</v>
      </c>
      <c r="M182" s="989"/>
      <c r="N182" s="959">
        <f t="shared" si="36"/>
        <v>100</v>
      </c>
      <c r="O182" s="959"/>
      <c r="R182" s="1">
        <v>1992</v>
      </c>
      <c r="S182" s="8">
        <f>(O75*($E75/366))+(O76*($E76/366))</f>
        <v>53.7</v>
      </c>
      <c r="T182" s="8">
        <f>(P75*($E75/366))+(P76*($E76/366))</f>
        <v>0</v>
      </c>
      <c r="U182" s="8">
        <f>(Q75*($E75/366))+(Q76*($E76/366))</f>
        <v>0</v>
      </c>
      <c r="V182" s="12"/>
      <c r="W182" s="7">
        <f t="shared" si="37"/>
        <v>53.7</v>
      </c>
    </row>
    <row r="183" spans="1:23">
      <c r="A183" s="1">
        <v>1993</v>
      </c>
      <c r="B183" s="8">
        <f>(K77*($E77/365))+(K78*($E78/365))</f>
        <v>73.515981735159812</v>
      </c>
      <c r="C183" s="8">
        <f>(L77*($E77/365))+(L78*($E78/365))</f>
        <v>7.5668623613829089</v>
      </c>
      <c r="D183" s="8">
        <f>(M77*($E77/365))+(M78*($E78/365))</f>
        <v>15.133724722765818</v>
      </c>
      <c r="E183" s="48">
        <f t="shared" si="35"/>
        <v>96.216568819308534</v>
      </c>
      <c r="G183" s="1">
        <v>1993</v>
      </c>
      <c r="H183" s="989">
        <f>(O77/$R77*100*($E77/365))+(O78/$R78*100*($E78/365))</f>
        <v>77.084354722422489</v>
      </c>
      <c r="I183" s="989"/>
      <c r="J183" s="989">
        <f>(P77/$R77*100*($E77/365))+(P78/$R78*100*($E78/365))</f>
        <v>8.3633741888968984</v>
      </c>
      <c r="K183" s="989"/>
      <c r="L183" s="989">
        <f>(Q77/$R77*100*($E77/365))+(Q78/$R78*100*($E78/365))</f>
        <v>14.552271088680607</v>
      </c>
      <c r="M183" s="989"/>
      <c r="N183" s="959">
        <f t="shared" si="36"/>
        <v>100</v>
      </c>
      <c r="O183" s="959"/>
      <c r="R183" s="1">
        <v>1993</v>
      </c>
      <c r="S183" s="8">
        <f>(O77*($E77/365))+(O78*($E78/365))</f>
        <v>40.352054794520548</v>
      </c>
      <c r="T183" s="8">
        <f>(P77*($E77/365))+(P78*($E78/365))</f>
        <v>3.9726027397260273</v>
      </c>
      <c r="U183" s="8">
        <f>(Q77*($E77/365))+(Q78*($E78/365))</f>
        <v>6.912328767123288</v>
      </c>
      <c r="V183" s="12"/>
      <c r="W183" s="7">
        <f t="shared" si="37"/>
        <v>51.236986301369868</v>
      </c>
    </row>
    <row r="184" spans="1:23">
      <c r="A184" s="1">
        <v>1994</v>
      </c>
      <c r="B184" s="8">
        <f>(K79*($E79/365))+(K80*($E80/365))+(K81*($E81/365))</f>
        <v>55.107632093933461</v>
      </c>
      <c r="C184" s="8">
        <f>(L79*($E79/365))+(L80*($E80/365))+(L81*($E81/365))</f>
        <v>11.037181996086106</v>
      </c>
      <c r="D184" s="8">
        <f>(M79*($E79/365))+(M80*($E80/365))+(M81*($E81/365))</f>
        <v>28.336594911937379</v>
      </c>
      <c r="E184" s="48">
        <f t="shared" si="35"/>
        <v>94.481409001956948</v>
      </c>
      <c r="G184" s="1">
        <v>1994</v>
      </c>
      <c r="H184" s="989">
        <f>(O79/$R79*100*($E79/365))+(O80/$R80*100*($E80/365))+(O81/$R81*100*($E81/365))</f>
        <v>60.478497311966848</v>
      </c>
      <c r="I184" s="989"/>
      <c r="J184" s="989">
        <f>(P79/$R79*100*($E79/365))+(P80/$R80*100*($E80/365))+(P81/$R81*100*($E81/365))</f>
        <v>14.526419277989325</v>
      </c>
      <c r="K184" s="989"/>
      <c r="L184" s="989">
        <f>(Q79/$R79*100*($E79/365))+(Q80/$R80*100*($E80/365))+(Q81/$R81*100*($E81/365))</f>
        <v>24.995083410043833</v>
      </c>
      <c r="M184" s="989"/>
      <c r="N184" s="959">
        <f t="shared" si="36"/>
        <v>100</v>
      </c>
      <c r="O184" s="959"/>
      <c r="R184" s="1">
        <v>1994</v>
      </c>
      <c r="S184" s="8">
        <f>(O79*($E79/365))+(O80*($E80/365))+(O81*($E81/365))</f>
        <v>31.579452054794526</v>
      </c>
      <c r="T184" s="8">
        <f>(P79*($E79/365))+(P80*($E80/365))+(P81*($E81/365))</f>
        <v>6.1986301369863011</v>
      </c>
      <c r="U184" s="8">
        <f>(Q79*($E79/365))+(Q80*($E80/365))+(Q81*($E81/365))</f>
        <v>13.021917808219179</v>
      </c>
      <c r="V184" s="12"/>
      <c r="W184" s="7">
        <f t="shared" si="37"/>
        <v>50.800000000000004</v>
      </c>
    </row>
    <row r="185" spans="1:23">
      <c r="A185" s="1">
        <v>1995</v>
      </c>
      <c r="B185" s="8">
        <f>(K82*($E82/365))+(K83*($E83/365))</f>
        <v>69.523809523809518</v>
      </c>
      <c r="C185" s="8">
        <f>(L82*($E82/365))+(L83*($E83/365))</f>
        <v>0</v>
      </c>
      <c r="D185" s="8">
        <f>(M82*($E82/365))+(M83*($E83/365))</f>
        <v>28.571428571428569</v>
      </c>
      <c r="E185" s="48">
        <f t="shared" si="35"/>
        <v>98.095238095238088</v>
      </c>
      <c r="G185" s="1">
        <v>1995</v>
      </c>
      <c r="H185" s="989">
        <f>(O83/$R83*100*($E83/365))+(O82/$R82*100*($E82/365))</f>
        <v>72.909698996655521</v>
      </c>
      <c r="I185" s="989"/>
      <c r="J185" s="989">
        <f>(P83/$R83*100*($E83/365))+(P82/$R82*100*($E82/365))</f>
        <v>4.1806020066889635</v>
      </c>
      <c r="K185" s="989"/>
      <c r="L185" s="989">
        <f>(Q83/$R83*100*($E83/365))+(Q82/$R82*100*($E82/365))</f>
        <v>22.909698996655518</v>
      </c>
      <c r="M185" s="989"/>
      <c r="N185" s="959">
        <f t="shared" si="36"/>
        <v>100</v>
      </c>
      <c r="O185" s="959"/>
      <c r="R185" s="1">
        <v>1995</v>
      </c>
      <c r="S185" s="8">
        <f>(O82*($E82/365))+(O83*($E83/365))</f>
        <v>43.6</v>
      </c>
      <c r="T185" s="8">
        <f>(P82*($E82/365))+(P83*($E83/365))</f>
        <v>2.5</v>
      </c>
      <c r="U185" s="8">
        <f>(Q82*($E82/365))+(Q83*($E83/365))</f>
        <v>13.7</v>
      </c>
      <c r="V185" s="12"/>
      <c r="W185" s="7">
        <f t="shared" si="37"/>
        <v>59.8</v>
      </c>
    </row>
    <row r="186" spans="1:23">
      <c r="A186" s="1">
        <v>1996</v>
      </c>
      <c r="B186" s="8">
        <f>(K84*($E84/366))+(K85*($E85/366))+(K86*($E86/366))</f>
        <v>67.759562841530055</v>
      </c>
      <c r="C186" s="8">
        <f>(L84*($E84/366))+(L85*($E85/366))+(L86*($E86/366))</f>
        <v>0</v>
      </c>
      <c r="D186" s="8">
        <f>(M84*($E84/366))+(M85*($E85/366))+(M86*($E86/366))</f>
        <v>28.194119177725732</v>
      </c>
      <c r="E186" s="48">
        <f t="shared" si="35"/>
        <v>95.95368201925578</v>
      </c>
      <c r="G186" s="1">
        <v>1996</v>
      </c>
      <c r="H186" s="989">
        <f>(O84/$R84*100*($E84/366))+(O85/$R85*100*($E85/366))+(O86/$R86*100*($E86/366))</f>
        <v>76.980645868742812</v>
      </c>
      <c r="I186" s="989"/>
      <c r="J186" s="989">
        <f>(P84/$R84*100*($E84/366))+(P85/$R85*100*($E85/366))+(P86/$R86*100*($E86/366))</f>
        <v>3.5523694647001851</v>
      </c>
      <c r="K186" s="989"/>
      <c r="L186" s="989">
        <f>(Q84/$R84*100*($E84/366))+(Q85/$R85*100*($E85/366))+(Q86/$R86*100*($E86/366))</f>
        <v>19.466984666557014</v>
      </c>
      <c r="M186" s="989"/>
      <c r="N186" s="959">
        <f t="shared" si="36"/>
        <v>100.00000000000001</v>
      </c>
      <c r="O186" s="959"/>
      <c r="R186" s="1">
        <v>1996</v>
      </c>
      <c r="S186" s="8">
        <f>(O84*($E84/366))+(O85*($E85/366))+(O86*($E86/366))</f>
        <v>44.231147540983599</v>
      </c>
      <c r="T186" s="8">
        <f>(P84*($E84/366))+(P85*($E85/366))+(P86*($E86/366))</f>
        <v>2.1243169398907105</v>
      </c>
      <c r="U186" s="8">
        <f>(Q84*($E84/366))+(Q85*($E85/366))+(Q86*($E86/366))</f>
        <v>11.641256830601092</v>
      </c>
      <c r="V186" s="12"/>
      <c r="W186" s="7">
        <f t="shared" si="37"/>
        <v>57.996721311475405</v>
      </c>
    </row>
    <row r="187" spans="1:23">
      <c r="A187" s="1">
        <v>1997</v>
      </c>
      <c r="B187" s="8">
        <f>(K88*($E88/365))+(K87*($E87/365))</f>
        <v>100</v>
      </c>
      <c r="C187" s="8">
        <f>(L88*($E88/365))+(L87*($E87/365))</f>
        <v>0</v>
      </c>
      <c r="D187" s="8">
        <f>(M88*($E88/365))+(M87*($E87/365))</f>
        <v>0</v>
      </c>
      <c r="E187" s="48">
        <f t="shared" si="35"/>
        <v>100</v>
      </c>
      <c r="G187" s="1">
        <v>1997</v>
      </c>
      <c r="H187" s="989">
        <f>(O87/$R87*100*($E87/365))+(O88/$R88*100*($E88/365))</f>
        <v>100</v>
      </c>
      <c r="I187" s="989"/>
      <c r="J187" s="989">
        <f>(P87/$R87*100*($E87/365))+(P88/$R88*100*($E88/365))</f>
        <v>0</v>
      </c>
      <c r="K187" s="989"/>
      <c r="L187" s="989">
        <f>(Q87/$R87*100*($E87/365))+(Q88/$R88*100*($E88/365))</f>
        <v>0</v>
      </c>
      <c r="M187" s="989"/>
      <c r="N187" s="959">
        <f t="shared" si="36"/>
        <v>100</v>
      </c>
      <c r="O187" s="959"/>
      <c r="R187" s="1">
        <v>1997</v>
      </c>
      <c r="S187" s="8">
        <f>(O88*($E88/365))+(O87*($E87/365))</f>
        <v>47.8</v>
      </c>
      <c r="T187" s="8">
        <f>(P88*($E88/365))+(P87*($E87/365))</f>
        <v>0</v>
      </c>
      <c r="U187" s="8">
        <f>(Q88*($E88/365))+(Q87*($E87/365))</f>
        <v>0</v>
      </c>
      <c r="V187" s="12"/>
      <c r="W187" s="7">
        <f t="shared" si="37"/>
        <v>47.8</v>
      </c>
    </row>
    <row r="188" spans="1:23">
      <c r="A188" s="1">
        <v>1998</v>
      </c>
      <c r="B188" s="8">
        <f>(K90*($E90/365))+(K89*($E89/365))</f>
        <v>97.97782126549248</v>
      </c>
      <c r="C188" s="8">
        <f>(L90*($E90/365))+(L89*($E89/365))</f>
        <v>0</v>
      </c>
      <c r="D188" s="8">
        <f>(M90*($E90/365))+(M89*($E89/365))</f>
        <v>0</v>
      </c>
      <c r="E188" s="48">
        <f t="shared" si="35"/>
        <v>97.97782126549248</v>
      </c>
      <c r="G188" s="1">
        <v>1998</v>
      </c>
      <c r="H188" s="989">
        <f>(O90/$R90*100*($E90/365))+(O89/$R89*100*($E89/365))</f>
        <v>100</v>
      </c>
      <c r="I188" s="989"/>
      <c r="J188" s="989">
        <f>(P90/$R90*100*($E90/365))+(P89/$R89*100*($E89/365))</f>
        <v>0</v>
      </c>
      <c r="K188" s="989"/>
      <c r="L188" s="989">
        <f>(Q90/$R90*100*($E90/365))+(Q89/$R89*100*($E89/365))</f>
        <v>0</v>
      </c>
      <c r="M188" s="989"/>
      <c r="N188" s="959">
        <f t="shared" si="36"/>
        <v>100</v>
      </c>
      <c r="O188" s="959"/>
      <c r="R188" s="1">
        <v>1998</v>
      </c>
      <c r="S188" s="8">
        <f>(O90*($E90/365))+(O89*($E89/365))</f>
        <v>47.8</v>
      </c>
      <c r="T188" s="8">
        <f>(P90*($E90/365))+(P89*($E89/365))</f>
        <v>0</v>
      </c>
      <c r="U188" s="8">
        <f>(Q90*($E90/365))+(Q89*($E89/365))</f>
        <v>0</v>
      </c>
      <c r="V188" s="12"/>
      <c r="W188" s="7">
        <f t="shared" si="37"/>
        <v>47.8</v>
      </c>
    </row>
    <row r="189" spans="1:23">
      <c r="A189" s="1">
        <v>1999</v>
      </c>
      <c r="B189" s="8">
        <f>(K92*($E92/365))+(K91*($E91/365))+(K93*($E93/365))</f>
        <v>94.446240676139411</v>
      </c>
      <c r="C189" s="8">
        <f>(L92*($E92/365))+(L91*($E91/365))+(L93*($E93/365))</f>
        <v>1.0482430017867779</v>
      </c>
      <c r="D189" s="8">
        <f>(M92*($E92/365))+(M91*($E91/365))+(M93*($E93/365))</f>
        <v>0</v>
      </c>
      <c r="E189" s="48">
        <f t="shared" si="35"/>
        <v>95.494483677926183</v>
      </c>
      <c r="G189" s="1">
        <v>1999</v>
      </c>
      <c r="H189" s="989">
        <f>(O91/$R91*100*($E91/365))+(O92/$R92*100*($E92/365))+(O93/$R93*100*($E93/365))</f>
        <v>96.200913242009136</v>
      </c>
      <c r="I189" s="989"/>
      <c r="J189" s="989">
        <f>(P91/$R91*100*($E91/365))+(P92/$R92*100*($E92/365))+(P93/$R93*100*($E93/365))</f>
        <v>3.7990867579908683</v>
      </c>
      <c r="K189" s="989"/>
      <c r="L189" s="989">
        <f>(Q91/$R91*100*($E91/365))+(Q92/$R92*100*($E92/365))+(Q93/$R93*100*($E93/365))</f>
        <v>0</v>
      </c>
      <c r="M189" s="989"/>
      <c r="N189" s="959">
        <f t="shared" si="36"/>
        <v>100</v>
      </c>
      <c r="O189" s="959"/>
      <c r="R189" s="1">
        <v>1999</v>
      </c>
      <c r="S189" s="8">
        <f>(O92*($E92/365))+(O91*($E91/365))+(O93*($E93/365))</f>
        <v>55.177534246575341</v>
      </c>
      <c r="T189" s="8">
        <f>(P92*($E92/365))+(P91*($E91/365))+(P93*($E93/365))</f>
        <v>2.5073972602739727</v>
      </c>
      <c r="U189" s="8">
        <f>(Q92*($E92/365))+(Q91*($E91/365))+(Q93*($E93/365))</f>
        <v>0</v>
      </c>
      <c r="V189" s="12"/>
      <c r="W189" s="7">
        <f t="shared" si="37"/>
        <v>57.684931506849317</v>
      </c>
    </row>
    <row r="190" spans="1:23">
      <c r="A190" s="1">
        <v>2000</v>
      </c>
      <c r="B190" s="8">
        <f>(K96*($E96/366))+(K95*($E95/366))+(K94*($E94/366))</f>
        <v>89.154193395105722</v>
      </c>
      <c r="C190" s="8">
        <f>(L96*($E96/366))+(L95*($E95/366))+(L94*($E94/366))</f>
        <v>4.3478260869565215</v>
      </c>
      <c r="D190" s="8">
        <f>(M96*($E96/366))+(M95*($E95/366))+(M94*($E94/366))</f>
        <v>0</v>
      </c>
      <c r="E190" s="48">
        <f t="shared" si="35"/>
        <v>93.502019482062238</v>
      </c>
      <c r="G190" s="1">
        <v>2000</v>
      </c>
      <c r="H190" s="989">
        <f>(O94/$R94*100*($E94/366))+(O95/$R95*100*($E95/366))+(O96/$R96*100*($E96/366))</f>
        <v>86.345758469652267</v>
      </c>
      <c r="I190" s="989"/>
      <c r="J190" s="989">
        <f>(P94/$R94*100*($E94/366))+(P95/$R95*100*($E95/366))+(P96/$R96*100*($E96/366))</f>
        <v>13.654241530347726</v>
      </c>
      <c r="K190" s="989"/>
      <c r="L190" s="989">
        <f>(Q94/$R94*100*($E94/366))+(Q95/$R95*100*($E95/366))+(Q96/$R96*100*($E96/366))</f>
        <v>0</v>
      </c>
      <c r="M190" s="989"/>
      <c r="N190" s="959">
        <f t="shared" si="36"/>
        <v>100</v>
      </c>
      <c r="O190" s="959"/>
      <c r="R190" s="1">
        <v>2000</v>
      </c>
      <c r="S190" s="8">
        <f>(O96*($E96/366))+(O95*($E95/366))+(O94*($E94/366))</f>
        <v>52.830601092896174</v>
      </c>
      <c r="T190" s="8">
        <f>(P96*($E96/366))+(P95*($E95/366))+(P94*($E94/366))</f>
        <v>8.471311475409836</v>
      </c>
      <c r="U190" s="8">
        <f>(Q96*($E96/366))+(Q95*($E95/366))+(Q94*($E94/366))</f>
        <v>0</v>
      </c>
      <c r="V190" s="12"/>
      <c r="W190" s="7">
        <f>S190+T190+U190</f>
        <v>61.301912568306008</v>
      </c>
    </row>
    <row r="191" spans="1:23">
      <c r="A191" s="1">
        <v>2001</v>
      </c>
      <c r="B191" s="8">
        <f>(K98*($E98/365))+(K97*($E97/365))</f>
        <v>80.669710806697111</v>
      </c>
      <c r="C191" s="8">
        <f>(L98*($E98/365))+(L97*($E97/365))</f>
        <v>5.1750380517503798</v>
      </c>
      <c r="D191" s="8">
        <f>(M98*($E98/365))+(M97*($E97/365))</f>
        <v>0</v>
      </c>
      <c r="E191" s="48">
        <f t="shared" si="35"/>
        <v>85.844748858447488</v>
      </c>
      <c r="G191" s="1">
        <v>2001</v>
      </c>
      <c r="H191" s="989">
        <f>(O97/$R97*100*($E97/365))+(O98/$R98*100*($E98/365))</f>
        <v>88.495575221238937</v>
      </c>
      <c r="I191" s="989"/>
      <c r="J191" s="989">
        <f>(P97/$R97*100*($E97/365))+(P98/$R98*100*($E98/365))</f>
        <v>11.504424778761061</v>
      </c>
      <c r="K191" s="989"/>
      <c r="L191" s="989">
        <f>(Q97/$R97*100*($E97/365))+(Q98/$R98*100*($E98/365))</f>
        <v>0</v>
      </c>
      <c r="M191" s="989"/>
      <c r="N191" s="959">
        <f t="shared" si="36"/>
        <v>100</v>
      </c>
      <c r="O191" s="959"/>
      <c r="R191" s="1">
        <v>2001</v>
      </c>
      <c r="S191" s="8">
        <f>(O98*($E98/365))+(O97*($E97/365))</f>
        <v>50</v>
      </c>
      <c r="T191" s="8">
        <f>(P98*($E98/365))+(P97*($E97/365))</f>
        <v>6.5</v>
      </c>
      <c r="U191" s="8">
        <f>(Q98*($E98/365))+(Q97*($E97/365))</f>
        <v>0</v>
      </c>
      <c r="V191" s="12"/>
      <c r="W191" s="7">
        <f t="shared" si="37"/>
        <v>56.5</v>
      </c>
    </row>
    <row r="192" spans="1:23">
      <c r="A192" s="1">
        <v>2002</v>
      </c>
      <c r="B192" s="8">
        <f>(K100*($E100/365))+(K99*($E99/365))</f>
        <v>77.777777777777786</v>
      </c>
      <c r="C192" s="8">
        <f>(L100*($E100/365))+(L99*($E99/365))</f>
        <v>5.5555555555555554</v>
      </c>
      <c r="D192" s="8">
        <f>(M100*($E100/365))+(M99*($E99/365))</f>
        <v>0</v>
      </c>
      <c r="E192" s="48">
        <f t="shared" si="35"/>
        <v>83.333333333333343</v>
      </c>
      <c r="G192" s="1">
        <v>2002</v>
      </c>
      <c r="H192" s="989">
        <f>(O99/$R99*100*($E99/365))+(O100/$R100*100*($E100/365))</f>
        <v>88.495575221238937</v>
      </c>
      <c r="I192" s="989"/>
      <c r="J192" s="989">
        <f>(P99/$R99*100*($E99/365))+(P100/$R100*100*($E100/365))</f>
        <v>11.504424778761061</v>
      </c>
      <c r="K192" s="989"/>
      <c r="L192" s="989">
        <f>(Q99/$R99*100*($E99/365))+(Q100/$R100*100*($E100/365))</f>
        <v>0</v>
      </c>
      <c r="M192" s="989"/>
      <c r="N192" s="959">
        <f t="shared" si="36"/>
        <v>100</v>
      </c>
      <c r="O192" s="959"/>
      <c r="R192" s="1">
        <v>2002</v>
      </c>
      <c r="S192" s="8">
        <f>(O100*($E100/365))+(O99*($E99/365))</f>
        <v>50</v>
      </c>
      <c r="T192" s="8">
        <f>(P100*($E100/365))+(P99*($E99/365))</f>
        <v>6.5</v>
      </c>
      <c r="U192" s="8">
        <f>(Q100*($E100/365))+(Q99*($E99/365))</f>
        <v>0</v>
      </c>
      <c r="V192" s="12"/>
      <c r="W192" s="7">
        <f t="shared" si="37"/>
        <v>56.5</v>
      </c>
    </row>
    <row r="193" spans="1:46">
      <c r="A193" s="1">
        <v>2003</v>
      </c>
      <c r="B193" s="8">
        <f>(K102*($E102/365))+(K101*($E101/365))</f>
        <v>77.777777777777786</v>
      </c>
      <c r="C193" s="8">
        <f>(L102*($E102/365))+(L101*($E101/365))</f>
        <v>5.5555555555555554</v>
      </c>
      <c r="D193" s="8">
        <f>(M102*($E102/365))+(M101*($E101/365))</f>
        <v>0</v>
      </c>
      <c r="E193" s="48">
        <f t="shared" si="35"/>
        <v>83.333333333333343</v>
      </c>
      <c r="G193" s="1">
        <v>2003</v>
      </c>
      <c r="H193" s="989">
        <f>(O101/$R101*100*($E101/365))+(O102/$R102*100*($E102/365))</f>
        <v>88.238260159539578</v>
      </c>
      <c r="I193" s="989"/>
      <c r="J193" s="989">
        <f>(P101/$R101*100*($E101/365))+(P102/$R102*100*($E102/365))</f>
        <v>11.761739840460415</v>
      </c>
      <c r="K193" s="989"/>
      <c r="L193" s="989">
        <f>(Q101/$R101*100*($E101/365))+(Q102/$R102*100*($E102/365))</f>
        <v>0</v>
      </c>
      <c r="M193" s="989"/>
      <c r="N193" s="959">
        <f t="shared" si="36"/>
        <v>100</v>
      </c>
      <c r="O193" s="959"/>
      <c r="R193" s="1">
        <v>2003</v>
      </c>
      <c r="S193" s="8">
        <f>(O102*($E102/365))+(O101*($E101/365))</f>
        <v>50</v>
      </c>
      <c r="T193" s="8">
        <f>(P102*($E102/365))+(P101*($E101/365))</f>
        <v>6.6660273972602733</v>
      </c>
      <c r="U193" s="8">
        <f>(Q102*($E102/365))+(Q101*($E101/365))</f>
        <v>0</v>
      </c>
      <c r="V193" s="12"/>
      <c r="W193" s="7">
        <f t="shared" si="37"/>
        <v>56.666027397260272</v>
      </c>
    </row>
    <row r="194" spans="1:46">
      <c r="A194" s="1">
        <v>2004</v>
      </c>
      <c r="B194" s="8">
        <f>(K104*($E104/366))+(K103*($E103/366))</f>
        <v>82.149362477231335</v>
      </c>
      <c r="C194" s="8">
        <f>(L104*($E104/366))+(L103*($E103/366))</f>
        <v>5.5555555555555554</v>
      </c>
      <c r="D194" s="8">
        <f>(M104*($E104/366))+(M103*($E103/366))</f>
        <v>0</v>
      </c>
      <c r="E194" s="48">
        <f t="shared" si="35"/>
        <v>87.704918032786892</v>
      </c>
      <c r="G194" s="1">
        <v>2004</v>
      </c>
      <c r="H194" s="989">
        <f>(O103/$R103*100*($E103/366))+(O104/$R104*100*($E104/366))</f>
        <v>87.563056230503207</v>
      </c>
      <c r="I194" s="989"/>
      <c r="J194" s="989">
        <f>(P103/$R103*100*($E103/366))+(P104/$R104*100*($E104/366))</f>
        <v>12.436943769496787</v>
      </c>
      <c r="K194" s="989"/>
      <c r="L194" s="989">
        <f>(Q103/$R103*100*($E103/366))+(Q104/$R104*100*($E104/366))</f>
        <v>0</v>
      </c>
      <c r="M194" s="989"/>
      <c r="N194" s="959">
        <f t="shared" si="36"/>
        <v>100</v>
      </c>
      <c r="O194" s="959"/>
      <c r="R194" s="1">
        <v>2004</v>
      </c>
      <c r="S194" s="8">
        <f>(O104*($E104/366))+(O103*($E103/366))</f>
        <v>49.990163934426235</v>
      </c>
      <c r="T194" s="8">
        <f>(P104*($E104/366))+(P103*($E103/366))</f>
        <v>7.1</v>
      </c>
      <c r="U194" s="8">
        <f>(Q104*($E104/366))+(Q103*($E103/366))</f>
        <v>0</v>
      </c>
      <c r="V194" s="12"/>
      <c r="W194" s="7">
        <f t="shared" si="37"/>
        <v>57.090163934426236</v>
      </c>
    </row>
    <row r="195" spans="1:46">
      <c r="A195" s="1">
        <v>2005</v>
      </c>
      <c r="B195" s="8">
        <f>(K106*($E106/365))+(K105*($E105/365))</f>
        <v>94.444444444444457</v>
      </c>
      <c r="C195" s="8">
        <f>(L106*($E106/365))+(L105*($E105/365))</f>
        <v>5.5555555555555554</v>
      </c>
      <c r="D195" s="8">
        <f>(M106*($E106/365))+(M105*($E105/365))</f>
        <v>0</v>
      </c>
      <c r="E195" s="48">
        <f t="shared" si="35"/>
        <v>100.00000000000001</v>
      </c>
      <c r="G195" s="1">
        <v>2005</v>
      </c>
      <c r="H195" s="989">
        <f>(O105/$R105*100*($E105/365))+(O106/$R106*100*($E106/365))</f>
        <v>87.949261067457201</v>
      </c>
      <c r="I195" s="989"/>
      <c r="J195" s="989">
        <f>(P105/$R105*100*($E105/365))+(P106/$R106*100*($E106/365))</f>
        <v>12.050738932542787</v>
      </c>
      <c r="K195" s="989"/>
      <c r="L195" s="989">
        <f>(Q105/$R105*100*($E105/365))+(Q106/$R106*100*($E106/365))</f>
        <v>0</v>
      </c>
      <c r="M195" s="989"/>
      <c r="N195" s="959">
        <f t="shared" si="36"/>
        <v>99.999999999999986</v>
      </c>
      <c r="O195" s="959"/>
      <c r="R195" s="1">
        <v>2005</v>
      </c>
      <c r="S195" s="8">
        <f>(O106*($E106/365))+(O105*($E105/365))</f>
        <v>51.489315068493148</v>
      </c>
      <c r="T195" s="8">
        <f>(P106*($E106/365))+(P105*($E105/365))</f>
        <v>6.9980821917808225</v>
      </c>
      <c r="U195" s="8">
        <f>(Q106*($E106/365))+(Q105*($E105/365))</f>
        <v>0</v>
      </c>
      <c r="V195" s="12"/>
      <c r="W195" s="7">
        <f t="shared" si="37"/>
        <v>58.487397260273973</v>
      </c>
    </row>
    <row r="196" spans="1:46">
      <c r="A196" s="1">
        <v>2006</v>
      </c>
      <c r="B196" s="8">
        <f>(K108*($E108/365))+(K107*($E107/365))</f>
        <v>92.968036529680376</v>
      </c>
      <c r="C196" s="8">
        <f>(L108*($E108/365))+(L107*($E107/365))</f>
        <v>5.5555555555555554</v>
      </c>
      <c r="D196" s="8">
        <f>(M108*($E108/365))+(M107*($E107/365))</f>
        <v>0</v>
      </c>
      <c r="E196" s="48">
        <f t="shared" si="35"/>
        <v>98.523592085235933</v>
      </c>
      <c r="G196" s="1">
        <v>2006</v>
      </c>
      <c r="H196" s="989">
        <f>(O107/$R107*100*($E107/365))+(O108/$R108*100*($E108/365))</f>
        <v>90.469208211143695</v>
      </c>
      <c r="I196" s="989"/>
      <c r="J196" s="989">
        <f>(P107/$R107*100*($E107/365))+(P108/$R108*100*($E108/365))</f>
        <v>9.5307917888563054</v>
      </c>
      <c r="K196" s="989"/>
      <c r="L196" s="989">
        <f>(Q107/$R107*100*($E107/365))+(Q108/$R108*100*($E108/365))</f>
        <v>0</v>
      </c>
      <c r="M196" s="989"/>
      <c r="N196" s="959">
        <f t="shared" si="36"/>
        <v>100</v>
      </c>
      <c r="O196" s="959"/>
      <c r="R196" s="1">
        <v>2006</v>
      </c>
      <c r="S196" s="8">
        <f>(O108*($E108/365))+(O107*($E107/365))</f>
        <v>61.7</v>
      </c>
      <c r="T196" s="8">
        <f>(P108*($E108/365))+(P107*($E107/365))</f>
        <v>6.5</v>
      </c>
      <c r="U196" s="8">
        <f>(Q108*($E108/365))+(Q107*($E107/365))</f>
        <v>0</v>
      </c>
      <c r="V196" s="12"/>
      <c r="W196" s="7">
        <f t="shared" si="37"/>
        <v>68.2</v>
      </c>
    </row>
    <row r="197" spans="1:46">
      <c r="A197" s="1">
        <v>2007</v>
      </c>
      <c r="B197" s="8">
        <f>(K110*($E110/365))+(K109*($E109/365))+(K111*($E111/365))</f>
        <v>86.955859969558603</v>
      </c>
      <c r="C197" s="8">
        <f>(L110*($E110/365))+(L109*($E109/365))+(L111*($E111/365))</f>
        <v>5.5555555555555554</v>
      </c>
      <c r="D197" s="8">
        <f>(M110*($E110/365))+(M109*($E109/365))+(M111*($E111/365))</f>
        <v>0</v>
      </c>
      <c r="E197" s="48">
        <f t="shared" si="35"/>
        <v>92.51141552511416</v>
      </c>
      <c r="G197" s="1">
        <v>2007</v>
      </c>
      <c r="H197" s="989">
        <f>(O109/$R109*100*($E109/365))+(O110/$R110*100*($E110/365))+(O111/$R111*100*($E111/365))</f>
        <v>90.469208211143695</v>
      </c>
      <c r="I197" s="989"/>
      <c r="J197" s="989">
        <f>(P109/$R109*100*($E109/365))+(P110/$R110*100*($E110/365))+(P111/$R111*100*($E111/365))</f>
        <v>9.5307917888563054</v>
      </c>
      <c r="K197" s="989"/>
      <c r="L197" s="989">
        <f>(Q109/$R109*100*($E109/365))+(Q110/$R110*100*($E110/365))+(Q111/$R111*100*($E111/365))</f>
        <v>0</v>
      </c>
      <c r="M197" s="989"/>
      <c r="N197" s="959">
        <f t="shared" si="36"/>
        <v>100</v>
      </c>
      <c r="O197" s="959"/>
      <c r="R197" s="1">
        <v>2007</v>
      </c>
      <c r="S197" s="8">
        <f>(O110*($E110/365))+(O109*($E109/365))+(O111*($E111/365))</f>
        <v>61.7</v>
      </c>
      <c r="T197" s="8">
        <f>(P110*($E110/365))+(P109*($E109/365))+(P111*($E111/365))</f>
        <v>6.5</v>
      </c>
      <c r="U197" s="8">
        <f>(Q110*($E110/365))+(Q109*($E109/365))+(Q111*($E111/365))</f>
        <v>0</v>
      </c>
      <c r="V197" s="12"/>
      <c r="W197" s="7">
        <f t="shared" si="37"/>
        <v>68.2</v>
      </c>
    </row>
    <row r="198" spans="1:46">
      <c r="A198" s="1">
        <v>2008</v>
      </c>
      <c r="B198" s="8">
        <f>(K113*($E113/366))+(K112*($E112/366))+(K114*($E114/366))</f>
        <v>87.14329083181542</v>
      </c>
      <c r="C198" s="8">
        <f>(L113*($E113/366))+(L112*($E112/366))+(L114*($E114/366))</f>
        <v>5.5555555555555554</v>
      </c>
      <c r="D198" s="8">
        <f>(M113*($E113/366))+(M112*($E112/366))+(M114*($E114/366))</f>
        <v>0</v>
      </c>
      <c r="E198" s="48">
        <f t="shared" si="35"/>
        <v>92.698846387370978</v>
      </c>
      <c r="G198" s="1">
        <v>2008</v>
      </c>
      <c r="H198" s="989">
        <f>(O112/$R112*100*($E112/366))+(O113/$R113*100*($E113/366))+(O114/$R114*100*($E114/366))</f>
        <v>90.469208211143695</v>
      </c>
      <c r="I198" s="989"/>
      <c r="J198" s="989">
        <f>(P112/$R112*100*($E112/366))+(P113/$R113*100*($E113/366))+(P114/$R114*100*($E114/366))</f>
        <v>9.5307917888563054</v>
      </c>
      <c r="K198" s="989"/>
      <c r="L198" s="989">
        <f>(Q112/$R112*100*($E112/366))+(Q113/$R113*100*($E113/366))+(Q114/$R114*100*($E114/366))</f>
        <v>0</v>
      </c>
      <c r="M198" s="989"/>
      <c r="N198" s="959">
        <f t="shared" si="36"/>
        <v>100</v>
      </c>
      <c r="O198" s="959"/>
      <c r="R198" s="1">
        <v>2008</v>
      </c>
      <c r="S198" s="8">
        <f>(O113*($E113/366))+(O112*($E112/366))+(O114*($E114/366))</f>
        <v>61.7</v>
      </c>
      <c r="T198" s="8">
        <f>(P113*($E113/366))+(P112*($E112/366))+(P114*($E114/366))</f>
        <v>6.5</v>
      </c>
      <c r="U198" s="8">
        <f>(Q113*($E113/366))+(Q112*($E112/366))+(Q114*($E114/366))</f>
        <v>0</v>
      </c>
      <c r="V198" s="12"/>
      <c r="W198" s="7">
        <f t="shared" si="37"/>
        <v>68.2</v>
      </c>
    </row>
    <row r="199" spans="1:46">
      <c r="A199" s="1">
        <v>2009</v>
      </c>
      <c r="B199" s="8">
        <f>(K115*($E115/365))+(K116*($E116/365))</f>
        <v>68.386605783866059</v>
      </c>
      <c r="C199" s="8">
        <f>(L115*($E115/365))+(L116*($E116/365))</f>
        <v>29.984779299847794</v>
      </c>
      <c r="D199" s="8">
        <f>(M115*($E115/365))+(M116*($E116/365))</f>
        <v>1.6286149162861492</v>
      </c>
      <c r="E199" s="48">
        <f t="shared" si="35"/>
        <v>100</v>
      </c>
      <c r="G199" s="1">
        <v>2009</v>
      </c>
      <c r="H199" s="989">
        <f>(O115/$R115*100*($E115/365))+(O116/$R116*100*($E116/365))</f>
        <v>64.213392596330394</v>
      </c>
      <c r="I199" s="989"/>
      <c r="J199" s="989">
        <f>(P115/$R115*100*($E115/365))+(P116/$R116*100*($E116/365))</f>
        <v>35.123370559933171</v>
      </c>
      <c r="K199" s="989"/>
      <c r="L199" s="989">
        <f>(Q115/$R115*100*($E115/365))+(Q116/$R116*100*($E116/365))</f>
        <v>0.66323684373644087</v>
      </c>
      <c r="M199" s="989"/>
      <c r="N199" s="959">
        <f t="shared" si="36"/>
        <v>100.00000000000001</v>
      </c>
      <c r="O199" s="959"/>
      <c r="R199" s="1">
        <v>2009</v>
      </c>
      <c r="S199" s="8">
        <f>(O115*($E115/365))+(O116*($E116/365))</f>
        <v>43.788493150684936</v>
      </c>
      <c r="T199" s="8">
        <f>(P115*($E115/365))+(P116*($E116/365))</f>
        <v>23.414794520547947</v>
      </c>
      <c r="U199" s="8">
        <f>(Q115*($E115/365))+(Q116*($E116/365))</f>
        <v>0.4397260273972603</v>
      </c>
      <c r="V199" s="12"/>
      <c r="W199" s="7">
        <f t="shared" si="37"/>
        <v>67.643013698630142</v>
      </c>
    </row>
    <row r="200" spans="1:46">
      <c r="A200" s="1">
        <v>2010</v>
      </c>
      <c r="B200" s="8">
        <f>(K117*($E117/365))+(K118*($E118/365))+(K119*($E119/365))+(K120*($E120/365))</f>
        <v>5.5654042438893363</v>
      </c>
      <c r="C200" s="8">
        <f>(L117*($E117/365))+(L118*($E118/365))+(L119*($E119/365))+(L120*($E120/365))</f>
        <v>90.583758617602285</v>
      </c>
      <c r="D200" s="8">
        <f>(M117*($E117/365))+(M118*($E118/365))+(M119*($E119/365))+(M120*($E120/365))</f>
        <v>2.237442922374429</v>
      </c>
      <c r="E200" s="48">
        <f t="shared" si="35"/>
        <v>98.386605783866045</v>
      </c>
      <c r="G200" s="1">
        <v>2010</v>
      </c>
      <c r="H200" s="989">
        <f>(O117/$R117*100*($E117/365))+(O118/$R118*100*($E118/365))+(O119/$R119*100*($E119/365))+(O120/$R120*100*($E120/365))</f>
        <v>0.91748911249314147</v>
      </c>
      <c r="I200" s="989"/>
      <c r="J200" s="989">
        <f>(P117/$R117*100*($E117/365))+(P118/$R118*100*($E118/365))+(P119/$R119*100*($E119/365))+(P120/$R120*100*($E120/365))</f>
        <v>98.171335036766152</v>
      </c>
      <c r="K200" s="989"/>
      <c r="L200" s="989">
        <f>(Q117/$R117*100*($E117/365))+(Q118/$R118*100*($E118/365))+(Q119/$R119*100*($E119/365))+(Q120/$R120*100*($E120/365))</f>
        <v>0.91117585074071783</v>
      </c>
      <c r="M200" s="989"/>
      <c r="N200" s="959">
        <f t="shared" si="36"/>
        <v>100.00000000000001</v>
      </c>
      <c r="O200" s="959"/>
      <c r="R200" s="1">
        <v>2010</v>
      </c>
      <c r="S200" s="8">
        <f>(O117*($E117/365))+(O118*($E118/365))+(O119*($E119/365))+(O120*($E120/365))</f>
        <v>0.59999999999999987</v>
      </c>
      <c r="T200" s="8">
        <f>(P117*($E117/365))+(P118*($E118/365))+(P119*($E119/365))+(P120*($E120/365))</f>
        <v>64.2</v>
      </c>
      <c r="U200" s="8">
        <f>(Q117*($E117/365))+(Q118*($E118/365))+(Q119*($E119/365))+(Q120*($E120/365))</f>
        <v>0.60410958904109591</v>
      </c>
      <c r="V200" s="12"/>
      <c r="W200" s="7">
        <f t="shared" si="37"/>
        <v>65.404109589041099</v>
      </c>
    </row>
    <row r="201" spans="1:46">
      <c r="A201" s="1">
        <v>2011</v>
      </c>
      <c r="B201" s="8">
        <f>(K121*($E121/365))+(K122*($E122/365))+(K123*($E123/365))</f>
        <v>5.5555555555555554</v>
      </c>
      <c r="C201" s="8">
        <f>(L121*($E121/365))+(L122*($E122/365))+(L123*($E123/365))</f>
        <v>87.214611872146122</v>
      </c>
      <c r="D201" s="8">
        <f>(M121*($E121/365))+(M122*($E122/365))+(M123*($E123/365))</f>
        <v>0</v>
      </c>
      <c r="E201" s="48">
        <f t="shared" si="35"/>
        <v>92.770167427701679</v>
      </c>
      <c r="G201" s="1">
        <v>2011</v>
      </c>
      <c r="H201" s="989">
        <f>(O121/$R121*100*($E121/365))+(O122/$R122*100*($E122/365))+(O123/$R123*100*($E123/365))</f>
        <v>0.92592592592592582</v>
      </c>
      <c r="I201" s="989"/>
      <c r="J201" s="989">
        <f>(P121/$R121*100*($E121/365))+(P122/$R122*100*($E122/365))+(P123/$R123*100*($E123/365))</f>
        <v>99.074074074074076</v>
      </c>
      <c r="K201" s="989"/>
      <c r="L201" s="989">
        <f>(Q121/$R121*100*($E121/365))+(Q122/$R122*100*($E122/365))+(Q123/$R123*100*($E123/365))</f>
        <v>0</v>
      </c>
      <c r="M201" s="989"/>
      <c r="N201" s="959">
        <f t="shared" si="36"/>
        <v>100</v>
      </c>
      <c r="O201" s="959"/>
      <c r="R201" s="1">
        <v>2011</v>
      </c>
      <c r="S201" s="8">
        <f>(O121*($E121/365))+(O122*($E122/365))+(O123*($E123/365))</f>
        <v>0.6</v>
      </c>
      <c r="T201" s="8">
        <f>(P121*($E121/365))+(P122*($E122/365))+(P123*($E123/365))</f>
        <v>64.2</v>
      </c>
      <c r="U201" s="8">
        <f>(Q121*($E121/365))+(Q122*($E122/365))+(Q123*($E123/365))</f>
        <v>0</v>
      </c>
      <c r="V201" s="12"/>
      <c r="W201" s="7">
        <f t="shared" si="37"/>
        <v>64.8</v>
      </c>
    </row>
    <row r="202" spans="1:46">
      <c r="A202" s="1">
        <v>2012</v>
      </c>
      <c r="B202" s="8">
        <f>(K124*($E124/366))+(K125*($E125/366))+(K126*($E126/366))+(K127*($E127/366))+(K128*($E128/366))+(K129*($E129/366))</f>
        <v>6.4375419422874121</v>
      </c>
      <c r="C202" s="8">
        <f>(L124*($E124/366))+(L125*($E125/366))+(L126*($E126/366))+(L127*($E127/366))+(L128*($E128/366))+(L129*($E129/366))</f>
        <v>90.597737513181855</v>
      </c>
      <c r="D202" s="8">
        <f>(M124*($E124/366))+(M125*($E125/366))+(M126*($E126/366))+(M127*($E127/366))+(M128*($E128/366))+(M129*($E129/366))</f>
        <v>0</v>
      </c>
      <c r="E202" s="48">
        <f t="shared" si="35"/>
        <v>97.035279455469265</v>
      </c>
      <c r="G202" s="1">
        <v>2012</v>
      </c>
      <c r="H202" s="989">
        <f>(O124/$R124*100*($E124/366))+(O125/$R125*100*($E125/366))+(O126/$R126*100*($E126/366))+(O127/$R127*100*($E127/366))+(O128/$R128*100*($E128/366))+(O129/$R129*100*($E129/366))</f>
        <v>2.3929268017473442</v>
      </c>
      <c r="I202" s="989"/>
      <c r="J202" s="989">
        <f>(P124/$R124*100*($E124/366))+(P125/$R125*100*($E125/366))+(P126/$R126*100*($E126/366))+(P127/$R127*100*($E127/366))+(P128/$R128*100*($E128/366))+(P129/$R129*100*($E129/366))</f>
        <v>97.607073198252664</v>
      </c>
      <c r="K202" s="989"/>
      <c r="L202" s="989">
        <f>(Q124/$R124*100*($E124/366))+(Q125/$R125*100*($E125/366))+(Q126/$R126*100*($E126/366))+(Q127/$R127*100*($E127/366))+(Q128/$R128*100*($E128/366))+(Q129/$R129*100*($E129/366))</f>
        <v>0</v>
      </c>
      <c r="M202" s="989"/>
      <c r="N202" s="959">
        <f t="shared" si="36"/>
        <v>100.00000000000001</v>
      </c>
      <c r="O202" s="959"/>
      <c r="R202" s="1">
        <v>2012</v>
      </c>
      <c r="S202" s="8">
        <f>(O124*($E124/366))+(O125*($E125/366))+(O126*($E126/366))+(O127*($E127/366))+(O128*($E128/366))+(O129*($E129/366))</f>
        <v>1.5950819672131147</v>
      </c>
      <c r="T202" s="8">
        <f>(P124*($E124/366))+(P125*($E125/366))+(P126*($E126/366))+(P127*($E127/366))+(P128*($E128/366))+(P129*($E129/366))</f>
        <v>63.254098360655732</v>
      </c>
      <c r="U202" s="8">
        <f>(Q124*($E124/366))+(Q125*($E125/366))+(Q126*($E126/366))+(Q127*($E127/366))+(Q128*($E128/366))+(Q129*($E129/366))</f>
        <v>0</v>
      </c>
      <c r="V202" s="12"/>
      <c r="W202" s="7">
        <f t="shared" si="37"/>
        <v>64.849180327868851</v>
      </c>
    </row>
    <row r="203" spans="1:46">
      <c r="A203" s="1">
        <v>2013</v>
      </c>
      <c r="B203" s="8">
        <f>(K130*($E130/365))+(K131*($E131/365))</f>
        <v>94.73684210526315</v>
      </c>
      <c r="C203" s="8">
        <f>(L130*($E130/365))+(L131*($E131/365))</f>
        <v>5.2631578947368416</v>
      </c>
      <c r="D203" s="8">
        <f>(M130*($E130/365))+(M131*($E131/365))</f>
        <v>0</v>
      </c>
      <c r="E203" s="304">
        <f t="shared" si="35"/>
        <v>99.999999999999986</v>
      </c>
      <c r="G203" s="1">
        <v>2013</v>
      </c>
      <c r="H203" s="989">
        <f>(O130/$R130*100*($E130/365))+(O131/$R131*100*($E131/365))</f>
        <v>90.412979351032448</v>
      </c>
      <c r="I203" s="989"/>
      <c r="J203" s="989">
        <f>(P130/$R130*100*($E130/365))+(P131/$R131*100*($E131/365))</f>
        <v>9.5870206489675525</v>
      </c>
      <c r="K203" s="989"/>
      <c r="L203" s="989">
        <f>(Q130/$R130*100*($E130/365))+(Q131/$R131*100*($E131/365))</f>
        <v>0</v>
      </c>
      <c r="M203" s="989"/>
      <c r="N203" s="959">
        <f>H203+J203+L203</f>
        <v>100</v>
      </c>
      <c r="O203" s="959"/>
      <c r="R203" s="1">
        <v>2013</v>
      </c>
      <c r="S203" s="8">
        <f>(O130*($E130/365))+(O131*($E131/365))</f>
        <v>61.3</v>
      </c>
      <c r="T203" s="8">
        <f>(P130*($E130/365))+(P131*($E131/365))</f>
        <v>6.5</v>
      </c>
      <c r="U203" s="8">
        <f>(Q130*($E130/365))+(Q131*($E131/365))</f>
        <v>0</v>
      </c>
      <c r="V203" s="12"/>
      <c r="W203" s="7">
        <f t="shared" si="37"/>
        <v>67.8</v>
      </c>
    </row>
    <row r="204" spans="1:46">
      <c r="A204" s="1">
        <v>2014</v>
      </c>
      <c r="B204" s="8">
        <f>(K132*($E132/365))+(K133*($E133/365))</f>
        <v>94.73684210526315</v>
      </c>
      <c r="C204" s="8">
        <f>(L132*($E132/365))+(L133*($E133/365))</f>
        <v>5.2631578947368416</v>
      </c>
      <c r="D204" s="8">
        <f>(M132*($E132/365))+(M133*($E133/365))</f>
        <v>0</v>
      </c>
      <c r="E204" s="554">
        <f>B204+C204+D204</f>
        <v>99.999999999999986</v>
      </c>
      <c r="G204" s="1">
        <v>2014</v>
      </c>
      <c r="H204" s="989">
        <f>(O132/$R132*100*($E132/365))+(O133/$R133*100*($E133/365))</f>
        <v>90.386329508642049</v>
      </c>
      <c r="I204" s="989"/>
      <c r="J204" s="989">
        <f>(P132/$R132*100*($E132/365))+(P133/$R133*100*($E133/365))</f>
        <v>9.6136704913579454</v>
      </c>
      <c r="K204" s="989"/>
      <c r="L204" s="989">
        <f>(Q132/$R132*100*($E132/365))+(Q133/$R133*100*($E133/365))</f>
        <v>0</v>
      </c>
      <c r="M204" s="989"/>
      <c r="N204" s="959">
        <f>H204+J204+L204</f>
        <v>100</v>
      </c>
      <c r="O204" s="959"/>
      <c r="R204" s="1">
        <v>2014</v>
      </c>
      <c r="S204" s="8">
        <f>(O132*($E132/365))+(O133*($E133/365))</f>
        <v>61.295616438356156</v>
      </c>
      <c r="T204" s="8">
        <f>(P132*($E132/365))+(P133*($E133/365))</f>
        <v>6.5197260273972608</v>
      </c>
      <c r="U204" s="8">
        <f>(Q132*($E132/365))+(Q133*($E133/365))</f>
        <v>0</v>
      </c>
      <c r="V204" s="12"/>
      <c r="W204" s="7">
        <f>S204+T204+U204</f>
        <v>67.815342465753417</v>
      </c>
    </row>
    <row r="205" spans="1:46" s="738" customFormat="1">
      <c r="A205" s="738">
        <v>2015</v>
      </c>
      <c r="B205" s="732">
        <f>(K134*($E134/365))+(K135*($E135/365))</f>
        <v>94.798846431146359</v>
      </c>
      <c r="C205" s="732">
        <f>(L134*($E134/365))+(L135*($E135/365))</f>
        <v>5.2011535688536403</v>
      </c>
      <c r="D205" s="732">
        <f>(M134*($E134/365))+(M135*($E135/365))</f>
        <v>0</v>
      </c>
      <c r="E205" s="733">
        <f>B205+C205+D205</f>
        <v>100</v>
      </c>
      <c r="G205" s="738">
        <v>2015</v>
      </c>
      <c r="H205" s="989">
        <f>(O134/$R134*100*($E134/365))+(O135/$R135*100*($E135/365))</f>
        <v>89.197080291970806</v>
      </c>
      <c r="I205" s="989"/>
      <c r="J205" s="989">
        <f>(P134/$R134*100*($E134/365))+(P135/$R135*100*($E135/365))</f>
        <v>10.802919708029197</v>
      </c>
      <c r="K205" s="989"/>
      <c r="L205" s="989">
        <f>(Q134/$R134*100*($E134/365))+(Q135/$R135*100*($E135/365))</f>
        <v>0</v>
      </c>
      <c r="M205" s="989"/>
      <c r="N205" s="959">
        <f>H205+J205+L205</f>
        <v>100</v>
      </c>
      <c r="O205" s="959"/>
      <c r="R205" s="738">
        <v>2015</v>
      </c>
      <c r="S205" s="732">
        <f>(O134*($E134/365))+(O135*($E135/365))</f>
        <v>61.099999999999994</v>
      </c>
      <c r="T205" s="732">
        <f>(P134*($E134/365))+(P135*($E135/365))</f>
        <v>7.4</v>
      </c>
      <c r="U205" s="732">
        <f>(Q134*($E134/365))+(Q135*($E135/365))</f>
        <v>0</v>
      </c>
      <c r="V205" s="12"/>
      <c r="W205" s="737">
        <f>S205+T205+U205</f>
        <v>68.5</v>
      </c>
      <c r="AT205" s="37"/>
    </row>
    <row r="206" spans="1:46" s="834" customFormat="1">
      <c r="A206" s="834">
        <v>2016</v>
      </c>
      <c r="B206" s="831">
        <f>(K136*($E136/366))+(K137*($E137/366))</f>
        <v>95</v>
      </c>
      <c r="C206" s="831">
        <f>(L136*($E136/366))+(L137*($E137/366))</f>
        <v>5</v>
      </c>
      <c r="D206" s="831">
        <f>(M136*($E136/366))+(M137*($E137/366))</f>
        <v>0</v>
      </c>
      <c r="E206" s="832">
        <f>B206+C206+D206</f>
        <v>100</v>
      </c>
      <c r="G206" s="834">
        <v>2016</v>
      </c>
      <c r="H206" s="989">
        <f>(O136/$R136*100*($E136/366))+(O137/$R137*100*($E137/366))</f>
        <v>89.197080291970806</v>
      </c>
      <c r="I206" s="989"/>
      <c r="J206" s="989">
        <f>(P136/$R136*100*($E136/366))+(P137/$R137*100*($E137/366))</f>
        <v>10.802919708029197</v>
      </c>
      <c r="K206" s="989"/>
      <c r="L206" s="989">
        <f>(Q136/$R136*100*($E136/366))+(Q137/$R137*100*($E137/366))</f>
        <v>0</v>
      </c>
      <c r="M206" s="989"/>
      <c r="N206" s="959">
        <f>H206+J206+L206</f>
        <v>100</v>
      </c>
      <c r="O206" s="959"/>
      <c r="R206" s="834">
        <v>2016</v>
      </c>
      <c r="S206" s="831">
        <f>(O136*($E136/366))+(O137*($E137/366))</f>
        <v>61.1</v>
      </c>
      <c r="T206" s="831">
        <f>(P136*($E136/366))+(P137*($E137/366))</f>
        <v>7.4</v>
      </c>
      <c r="U206" s="831">
        <f>(Q136*($E136/366))+(Q137*($E137/366))</f>
        <v>0</v>
      </c>
      <c r="V206" s="12"/>
      <c r="W206" s="833">
        <f>S206+T206+U206</f>
        <v>68.5</v>
      </c>
      <c r="AT206" s="37"/>
    </row>
    <row r="207" spans="1:46">
      <c r="A207" s="920">
        <v>2017</v>
      </c>
      <c r="B207" s="915">
        <f>(K138*($E138/365))+(K139*($E139/365))</f>
        <v>95</v>
      </c>
      <c r="C207" s="915">
        <f t="shared" ref="C207:D207" si="38">(L138*($E138/365))+(L139*($E139/365))</f>
        <v>5</v>
      </c>
      <c r="D207" s="915">
        <f t="shared" si="38"/>
        <v>0</v>
      </c>
      <c r="E207" s="916">
        <f>B207+C207+D207</f>
        <v>100</v>
      </c>
      <c r="F207" s="920"/>
      <c r="G207" s="920">
        <v>2017</v>
      </c>
      <c r="H207" s="989">
        <f>(O138/$R138*100*($E138/365))+(O139/$R139*100*($E139/365))</f>
        <v>89.458290534582915</v>
      </c>
      <c r="I207" s="989"/>
      <c r="J207" s="989">
        <f>(P138/$R138*100*($E138/365))+(P139/$R139*100*($E139/365))</f>
        <v>10.541709465417096</v>
      </c>
      <c r="K207" s="989"/>
      <c r="L207" s="989">
        <f>(Q138/$R138*100*($E138/365))+(Q139/$R139*100*($E139/365))</f>
        <v>0</v>
      </c>
      <c r="M207" s="989"/>
      <c r="N207" s="959">
        <f>H207+J207+L207</f>
        <v>100.00000000000001</v>
      </c>
      <c r="O207" s="959"/>
      <c r="P207" s="920"/>
      <c r="Q207" s="920"/>
      <c r="R207" s="920">
        <v>2017</v>
      </c>
      <c r="S207" s="915">
        <f>(O138*($E138/365))+(O139*($E139/365))</f>
        <v>61.066575342465754</v>
      </c>
      <c r="T207" s="915">
        <f t="shared" ref="T207:U207" si="39">(P138*($E138/365))+(P139*($E139/365))</f>
        <v>7.1994520547945209</v>
      </c>
      <c r="U207" s="915">
        <f t="shared" si="39"/>
        <v>0</v>
      </c>
      <c r="V207" s="12"/>
      <c r="W207" s="917">
        <f>S207+T207+U207</f>
        <v>68.266027397260274</v>
      </c>
    </row>
    <row r="208" spans="1:46">
      <c r="A208" s="950">
        <v>2018</v>
      </c>
      <c r="B208" s="947">
        <f>(K140*($E140/365))+(K141*($E141/365))</f>
        <v>95</v>
      </c>
      <c r="C208" s="947">
        <f>(L140*($E140/365))+(L141*($E141/365))</f>
        <v>5</v>
      </c>
      <c r="D208" s="947">
        <f>(M140*($E140/365))+(M141*($E141/365))</f>
        <v>0</v>
      </c>
      <c r="E208" s="948">
        <f t="shared" ref="E208" si="40">B208+C208+D208</f>
        <v>100</v>
      </c>
      <c r="F208" s="950"/>
      <c r="G208" s="950">
        <v>2018</v>
      </c>
      <c r="H208" s="989">
        <f>(O140/$R140*100*($E140/365))+(O141/$R141*100*($E141/365))</f>
        <v>90.760059612518646</v>
      </c>
      <c r="I208" s="989"/>
      <c r="J208" s="989">
        <f>(P140/$R140*100*($E140/365))+(P141/$R141*100*($E141/365))</f>
        <v>9.2399403874813721</v>
      </c>
      <c r="K208" s="989"/>
      <c r="L208" s="989">
        <f>(Q140/$R140*100*($E140/365))+(Q141/$R141*100*($E141/365))</f>
        <v>0</v>
      </c>
      <c r="M208" s="989"/>
      <c r="N208" s="959">
        <f t="shared" ref="N208" si="41">H208+J208+L208</f>
        <v>100.00000000000001</v>
      </c>
      <c r="O208" s="959"/>
      <c r="P208" s="950"/>
      <c r="Q208" s="950"/>
      <c r="R208" s="950">
        <v>2018</v>
      </c>
      <c r="S208" s="947">
        <f>(O140*($E140/365))+(O141*($E141/365))</f>
        <v>60.9</v>
      </c>
      <c r="T208" s="947">
        <f>(P140*($E140/365))+(P141*($E141/365))</f>
        <v>6.2</v>
      </c>
      <c r="U208" s="947">
        <f>(Q140*($E140/365))+(Q141*($E141/365))</f>
        <v>0</v>
      </c>
      <c r="V208" s="12"/>
      <c r="W208" s="949">
        <f t="shared" ref="W208" si="42">S208+T208+U208</f>
        <v>67.099999999999994</v>
      </c>
    </row>
  </sheetData>
  <mergeCells count="403">
    <mergeCell ref="H208:I208"/>
    <mergeCell ref="J208:K208"/>
    <mergeCell ref="L208:M208"/>
    <mergeCell ref="N208:O208"/>
    <mergeCell ref="H206:I206"/>
    <mergeCell ref="J206:K206"/>
    <mergeCell ref="L206:M206"/>
    <mergeCell ref="N206:O206"/>
    <mergeCell ref="N178:O178"/>
    <mergeCell ref="N179:O179"/>
    <mergeCell ref="N180:O180"/>
    <mergeCell ref="H204:I204"/>
    <mergeCell ref="J204:K204"/>
    <mergeCell ref="L204:M204"/>
    <mergeCell ref="N204:O204"/>
    <mergeCell ref="N196:O196"/>
    <mergeCell ref="N197:O197"/>
    <mergeCell ref="N198:O198"/>
    <mergeCell ref="N187:O187"/>
    <mergeCell ref="N184:O184"/>
    <mergeCell ref="N185:O185"/>
    <mergeCell ref="L197:M197"/>
    <mergeCell ref="L198:M198"/>
    <mergeCell ref="L199:M199"/>
    <mergeCell ref="L196:M196"/>
    <mergeCell ref="AT4:AW4"/>
    <mergeCell ref="AX4:BA4"/>
    <mergeCell ref="N190:O190"/>
    <mergeCell ref="N191:O191"/>
    <mergeCell ref="L184:M184"/>
    <mergeCell ref="L185:M185"/>
    <mergeCell ref="L186:M186"/>
    <mergeCell ref="L187:M187"/>
    <mergeCell ref="L188:M188"/>
    <mergeCell ref="L189:M189"/>
    <mergeCell ref="L178:M178"/>
    <mergeCell ref="L179:M179"/>
    <mergeCell ref="L180:M180"/>
    <mergeCell ref="L181:M181"/>
    <mergeCell ref="L182:M182"/>
    <mergeCell ref="L183:M183"/>
    <mergeCell ref="Z4:AC4"/>
    <mergeCell ref="L190:M190"/>
    <mergeCell ref="AD4:AG4"/>
    <mergeCell ref="N189:O189"/>
    <mergeCell ref="L191:M191"/>
    <mergeCell ref="L192:M192"/>
    <mergeCell ref="L193:M193"/>
    <mergeCell ref="L202:M202"/>
    <mergeCell ref="N202:O202"/>
    <mergeCell ref="C127:D127"/>
    <mergeCell ref="C128:D128"/>
    <mergeCell ref="C129:D129"/>
    <mergeCell ref="R146:W146"/>
    <mergeCell ref="H201:I201"/>
    <mergeCell ref="J201:K201"/>
    <mergeCell ref="L201:M201"/>
    <mergeCell ref="N201:O201"/>
    <mergeCell ref="N199:O199"/>
    <mergeCell ref="N200:O200"/>
    <mergeCell ref="N193:O193"/>
    <mergeCell ref="N194:O194"/>
    <mergeCell ref="N195:O195"/>
    <mergeCell ref="N192:O192"/>
    <mergeCell ref="N181:O181"/>
    <mergeCell ref="N182:O182"/>
    <mergeCell ref="N183:O183"/>
    <mergeCell ref="N188:O188"/>
    <mergeCell ref="L200:M200"/>
    <mergeCell ref="L194:M194"/>
    <mergeCell ref="L195:M195"/>
    <mergeCell ref="N186:O186"/>
    <mergeCell ref="H202:I202"/>
    <mergeCell ref="J202:K202"/>
    <mergeCell ref="J178:K178"/>
    <mergeCell ref="J179:K179"/>
    <mergeCell ref="J180:K180"/>
    <mergeCell ref="J186:K186"/>
    <mergeCell ref="H196:I196"/>
    <mergeCell ref="H197:I197"/>
    <mergeCell ref="H190:I190"/>
    <mergeCell ref="H191:I191"/>
    <mergeCell ref="H192:I192"/>
    <mergeCell ref="H193:I193"/>
    <mergeCell ref="H184:I184"/>
    <mergeCell ref="H185:I185"/>
    <mergeCell ref="H186:I186"/>
    <mergeCell ref="H187:I187"/>
    <mergeCell ref="J187:K187"/>
    <mergeCell ref="J188:K188"/>
    <mergeCell ref="J190:K190"/>
    <mergeCell ref="J191:K191"/>
    <mergeCell ref="J192:K192"/>
    <mergeCell ref="J183:K183"/>
    <mergeCell ref="J184:K184"/>
    <mergeCell ref="H199:I199"/>
    <mergeCell ref="H177:I177"/>
    <mergeCell ref="N176:O176"/>
    <mergeCell ref="N177:O177"/>
    <mergeCell ref="J177:K177"/>
    <mergeCell ref="L177:M177"/>
    <mergeCell ref="J185:K185"/>
    <mergeCell ref="J181:K181"/>
    <mergeCell ref="J182:K182"/>
    <mergeCell ref="H189:I189"/>
    <mergeCell ref="H178:I178"/>
    <mergeCell ref="H179:I179"/>
    <mergeCell ref="H180:I180"/>
    <mergeCell ref="H181:I181"/>
    <mergeCell ref="H182:I182"/>
    <mergeCell ref="H200:I200"/>
    <mergeCell ref="H194:I194"/>
    <mergeCell ref="H195:I195"/>
    <mergeCell ref="H188:I188"/>
    <mergeCell ref="H183:I183"/>
    <mergeCell ref="J199:K199"/>
    <mergeCell ref="J200:K200"/>
    <mergeCell ref="J196:K196"/>
    <mergeCell ref="J197:K197"/>
    <mergeCell ref="J198:K198"/>
    <mergeCell ref="J195:K195"/>
    <mergeCell ref="J193:K193"/>
    <mergeCell ref="J194:K194"/>
    <mergeCell ref="H198:I198"/>
    <mergeCell ref="J189:K189"/>
    <mergeCell ref="H171:I171"/>
    <mergeCell ref="J171:K171"/>
    <mergeCell ref="L171:M171"/>
    <mergeCell ref="N171:O171"/>
    <mergeCell ref="H172:I172"/>
    <mergeCell ref="J172:K172"/>
    <mergeCell ref="L172:M172"/>
    <mergeCell ref="N172:O172"/>
    <mergeCell ref="H173:I173"/>
    <mergeCell ref="J173:K173"/>
    <mergeCell ref="L173:M173"/>
    <mergeCell ref="N173:O173"/>
    <mergeCell ref="H174:I174"/>
    <mergeCell ref="J174:K174"/>
    <mergeCell ref="L174:M174"/>
    <mergeCell ref="N174:O174"/>
    <mergeCell ref="J176:K176"/>
    <mergeCell ref="L176:M176"/>
    <mergeCell ref="H175:I175"/>
    <mergeCell ref="J175:K175"/>
    <mergeCell ref="L175:M175"/>
    <mergeCell ref="N175:O175"/>
    <mergeCell ref="H176:I176"/>
    <mergeCell ref="H169:I169"/>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L153:M153"/>
    <mergeCell ref="N153:O153"/>
    <mergeCell ref="H154:I154"/>
    <mergeCell ref="J154:K154"/>
    <mergeCell ref="L154:M154"/>
    <mergeCell ref="N154:O154"/>
    <mergeCell ref="G3:M3"/>
    <mergeCell ref="O3:Q3"/>
    <mergeCell ref="N152:O152"/>
    <mergeCell ref="L148:M148"/>
    <mergeCell ref="N148:O148"/>
    <mergeCell ref="H150:I150"/>
    <mergeCell ref="J150:K150"/>
    <mergeCell ref="L150:M150"/>
    <mergeCell ref="N150:O150"/>
    <mergeCell ref="H149:I149"/>
    <mergeCell ref="J149:K149"/>
    <mergeCell ref="H152:I152"/>
    <mergeCell ref="J152:K152"/>
    <mergeCell ref="L152:M152"/>
    <mergeCell ref="A4:A5"/>
    <mergeCell ref="B4:B5"/>
    <mergeCell ref="C4:D5"/>
    <mergeCell ref="E4:E5"/>
    <mergeCell ref="F4:F5"/>
    <mergeCell ref="G4:J4"/>
    <mergeCell ref="C19:D19"/>
    <mergeCell ref="H153:I153"/>
    <mergeCell ref="J153:K153"/>
    <mergeCell ref="C95:D95"/>
    <mergeCell ref="C20:D20"/>
    <mergeCell ref="C14:D14"/>
    <mergeCell ref="C15:D15"/>
    <mergeCell ref="C16:D16"/>
    <mergeCell ref="C17:D17"/>
    <mergeCell ref="C18:D18"/>
    <mergeCell ref="C21:D21"/>
    <mergeCell ref="C22:D22"/>
    <mergeCell ref="C23:D23"/>
    <mergeCell ref="C24:D24"/>
    <mergeCell ref="C27:D27"/>
    <mergeCell ref="C28:D28"/>
    <mergeCell ref="C25:D25"/>
    <mergeCell ref="C26:D26"/>
    <mergeCell ref="AP4:AS4"/>
    <mergeCell ref="C8:D8"/>
    <mergeCell ref="K4:N4"/>
    <mergeCell ref="O4:R4"/>
    <mergeCell ref="S4:S5"/>
    <mergeCell ref="T4:T5"/>
    <mergeCell ref="C11:D11"/>
    <mergeCell ref="C12:D12"/>
    <mergeCell ref="C13:D13"/>
    <mergeCell ref="C7:D7"/>
    <mergeCell ref="C6:D6"/>
    <mergeCell ref="C9:D9"/>
    <mergeCell ref="C10:D10"/>
    <mergeCell ref="AH4:AK4"/>
    <mergeCell ref="AL4:AO4"/>
    <mergeCell ref="U4:U5"/>
    <mergeCell ref="V4:Y4"/>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123:D123"/>
    <mergeCell ref="C126:D126"/>
    <mergeCell ref="C133:D133"/>
    <mergeCell ref="C132:D132"/>
    <mergeCell ref="C134:D134"/>
    <mergeCell ref="C135:D135"/>
    <mergeCell ref="C136:D136"/>
    <mergeCell ref="C137:D137"/>
    <mergeCell ref="C138:D138"/>
    <mergeCell ref="C131:D131"/>
    <mergeCell ref="C139:D139"/>
    <mergeCell ref="C142:D142"/>
    <mergeCell ref="C140:D140"/>
    <mergeCell ref="C141:D141"/>
    <mergeCell ref="H207:I207"/>
    <mergeCell ref="J207:K207"/>
    <mergeCell ref="L207:M207"/>
    <mergeCell ref="N207:O207"/>
    <mergeCell ref="H205:I205"/>
    <mergeCell ref="J205:K205"/>
    <mergeCell ref="L205:M205"/>
    <mergeCell ref="N205:O205"/>
    <mergeCell ref="H203:I203"/>
    <mergeCell ref="J203:K203"/>
    <mergeCell ref="L203:M203"/>
    <mergeCell ref="N203:O203"/>
    <mergeCell ref="L149:M149"/>
    <mergeCell ref="N149:O149"/>
    <mergeCell ref="H148:I148"/>
    <mergeCell ref="J148:K148"/>
    <mergeCell ref="H151:I151"/>
    <mergeCell ref="J151:K151"/>
    <mergeCell ref="L151:M151"/>
    <mergeCell ref="N151:O15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A101"/>
  <sheetViews>
    <sheetView zoomScale="171" zoomScaleNormal="120" workbookViewId="0">
      <pane xSplit="1" ySplit="5" topLeftCell="B47" activePane="bottomRight" state="frozen"/>
      <selection pane="topRight" activeCell="B1" sqref="B1"/>
      <selection pane="bottomLeft" activeCell="A6" sqref="A6"/>
      <selection pane="bottomRight" activeCell="H101" sqref="H101:I10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142</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73" customFormat="1">
      <c r="A6" s="73">
        <v>1993</v>
      </c>
      <c r="C6" s="1005" t="s">
        <v>1277</v>
      </c>
      <c r="D6" s="1005"/>
      <c r="E6" s="73">
        <v>214</v>
      </c>
      <c r="G6" s="480"/>
      <c r="H6" s="560"/>
      <c r="I6" s="560"/>
      <c r="J6" s="482"/>
      <c r="K6" s="477"/>
      <c r="L6" s="477"/>
      <c r="M6" s="477"/>
      <c r="N6" s="481"/>
      <c r="O6" s="476"/>
      <c r="P6" s="477"/>
      <c r="Q6" s="477"/>
      <c r="R6" s="478"/>
      <c r="S6" s="560"/>
      <c r="T6" s="81"/>
      <c r="V6" s="82"/>
      <c r="Y6" s="83"/>
      <c r="AD6" s="82"/>
      <c r="AG6" s="83"/>
      <c r="AL6" s="82"/>
      <c r="AO6" s="83"/>
      <c r="AP6" s="82"/>
      <c r="AS6" s="83"/>
      <c r="AW6" s="83"/>
      <c r="BA6" s="84"/>
    </row>
    <row r="7" spans="1:53" s="334" customFormat="1">
      <c r="A7" s="334">
        <v>1993</v>
      </c>
      <c r="B7" s="355">
        <v>34184</v>
      </c>
      <c r="C7" s="992" t="s">
        <v>1034</v>
      </c>
      <c r="D7" s="992"/>
      <c r="E7" s="334">
        <v>151</v>
      </c>
      <c r="F7" s="334" t="s">
        <v>345</v>
      </c>
      <c r="G7" s="497">
        <v>12</v>
      </c>
      <c r="H7" s="561"/>
      <c r="I7" s="561">
        <v>3</v>
      </c>
      <c r="J7" s="499">
        <v>15</v>
      </c>
      <c r="K7" s="495">
        <f t="shared" ref="K7:K47" si="0">G7/J7*100</f>
        <v>80</v>
      </c>
      <c r="L7" s="495">
        <f t="shared" ref="L7:L47" si="1">H7/J7*100</f>
        <v>0</v>
      </c>
      <c r="M7" s="495">
        <f t="shared" ref="M7:M47" si="2">I7/J7*100</f>
        <v>20</v>
      </c>
      <c r="N7" s="498">
        <f t="shared" ref="N7:N51" si="3">SUM(K7:M7)</f>
        <v>100</v>
      </c>
      <c r="O7" s="494">
        <v>36</v>
      </c>
      <c r="P7" s="495"/>
      <c r="Q7" s="495">
        <v>12</v>
      </c>
      <c r="R7" s="496">
        <f t="shared" ref="R7:R51" si="4">SUM(O7:Q7)</f>
        <v>48</v>
      </c>
      <c r="S7" s="561">
        <v>5</v>
      </c>
      <c r="T7" s="342">
        <v>34126</v>
      </c>
      <c r="U7" s="355">
        <v>34184</v>
      </c>
      <c r="V7" s="343" t="s">
        <v>1033</v>
      </c>
      <c r="W7" s="334" t="s">
        <v>22</v>
      </c>
      <c r="X7" s="334" t="s">
        <v>11</v>
      </c>
      <c r="Y7" s="344">
        <v>36</v>
      </c>
      <c r="Z7" s="334" t="s">
        <v>1035</v>
      </c>
      <c r="AA7" s="334" t="s">
        <v>880</v>
      </c>
      <c r="AB7" s="334" t="s">
        <v>12</v>
      </c>
      <c r="AC7" s="334">
        <v>12</v>
      </c>
      <c r="AD7" s="343"/>
      <c r="AG7" s="344"/>
      <c r="AL7" s="343"/>
      <c r="AO7" s="344"/>
      <c r="AP7" s="343"/>
      <c r="AS7" s="344"/>
      <c r="AW7" s="344"/>
      <c r="BA7" s="345"/>
    </row>
    <row r="8" spans="1:53" s="334" customFormat="1">
      <c r="A8" s="334">
        <v>1994</v>
      </c>
      <c r="C8" s="992" t="s">
        <v>1034</v>
      </c>
      <c r="D8" s="992"/>
      <c r="E8" s="334">
        <v>257</v>
      </c>
      <c r="G8" s="497">
        <v>12</v>
      </c>
      <c r="H8" s="561"/>
      <c r="I8" s="561">
        <v>3</v>
      </c>
      <c r="J8" s="499">
        <v>15</v>
      </c>
      <c r="K8" s="495">
        <f t="shared" si="0"/>
        <v>80</v>
      </c>
      <c r="L8" s="495">
        <f t="shared" si="1"/>
        <v>0</v>
      </c>
      <c r="M8" s="495">
        <f t="shared" si="2"/>
        <v>20</v>
      </c>
      <c r="N8" s="498">
        <f t="shared" si="3"/>
        <v>100</v>
      </c>
      <c r="O8" s="494">
        <v>36</v>
      </c>
      <c r="P8" s="495"/>
      <c r="Q8" s="495">
        <v>12</v>
      </c>
      <c r="R8" s="496">
        <f t="shared" si="4"/>
        <v>48</v>
      </c>
      <c r="S8" s="561">
        <v>5</v>
      </c>
      <c r="T8" s="357"/>
      <c r="V8" s="343" t="s">
        <v>1033</v>
      </c>
      <c r="W8" s="334" t="s">
        <v>22</v>
      </c>
      <c r="X8" s="334" t="s">
        <v>11</v>
      </c>
      <c r="Y8" s="344">
        <v>36</v>
      </c>
      <c r="Z8" s="334" t="s">
        <v>1035</v>
      </c>
      <c r="AA8" s="334" t="s">
        <v>880</v>
      </c>
      <c r="AB8" s="334" t="s">
        <v>12</v>
      </c>
      <c r="AC8" s="334">
        <v>12</v>
      </c>
      <c r="AD8" s="343"/>
      <c r="AG8" s="344"/>
      <c r="AL8" s="343"/>
      <c r="AO8" s="344"/>
      <c r="AP8" s="343"/>
      <c r="AS8" s="344"/>
      <c r="AW8" s="344"/>
      <c r="BA8" s="345"/>
    </row>
    <row r="9" spans="1:53" s="73" customFormat="1">
      <c r="A9" s="73">
        <v>1994</v>
      </c>
      <c r="B9" s="85">
        <v>34592</v>
      </c>
      <c r="C9" s="988" t="s">
        <v>1036</v>
      </c>
      <c r="D9" s="988"/>
      <c r="E9" s="73">
        <v>108</v>
      </c>
      <c r="F9" s="73">
        <v>4</v>
      </c>
      <c r="G9" s="480">
        <v>9</v>
      </c>
      <c r="H9" s="560"/>
      <c r="I9" s="560">
        <v>1</v>
      </c>
      <c r="J9" s="482">
        <v>14</v>
      </c>
      <c r="K9" s="477">
        <f t="shared" si="0"/>
        <v>64.285714285714292</v>
      </c>
      <c r="L9" s="477">
        <f t="shared" si="1"/>
        <v>0</v>
      </c>
      <c r="M9" s="477">
        <f t="shared" si="2"/>
        <v>7.1428571428571423</v>
      </c>
      <c r="N9" s="481">
        <f t="shared" si="3"/>
        <v>71.428571428571431</v>
      </c>
      <c r="O9" s="476">
        <v>36</v>
      </c>
      <c r="P9" s="477"/>
      <c r="Q9" s="477"/>
      <c r="R9" s="478">
        <f t="shared" si="4"/>
        <v>36</v>
      </c>
      <c r="S9" s="560">
        <v>5</v>
      </c>
      <c r="T9" s="81"/>
      <c r="U9" s="85">
        <v>34592</v>
      </c>
      <c r="V9" s="82" t="s">
        <v>1033</v>
      </c>
      <c r="W9" s="73" t="s">
        <v>22</v>
      </c>
      <c r="X9" s="73" t="s">
        <v>11</v>
      </c>
      <c r="Y9" s="83">
        <v>36</v>
      </c>
      <c r="Z9" s="73" t="s">
        <v>1037</v>
      </c>
      <c r="AA9" s="73" t="s">
        <v>337</v>
      </c>
      <c r="AB9" s="73" t="s">
        <v>12</v>
      </c>
      <c r="AC9" s="73">
        <v>0</v>
      </c>
      <c r="AD9" s="82"/>
      <c r="AG9" s="83"/>
      <c r="AL9" s="82"/>
      <c r="AO9" s="83"/>
      <c r="AP9" s="82"/>
      <c r="AS9" s="83"/>
      <c r="AW9" s="83"/>
      <c r="BA9" s="84"/>
    </row>
    <row r="10" spans="1:53" s="73" customFormat="1">
      <c r="A10" s="73">
        <v>1995</v>
      </c>
      <c r="C10" s="988" t="s">
        <v>1036</v>
      </c>
      <c r="D10" s="988"/>
      <c r="E10" s="73">
        <v>354</v>
      </c>
      <c r="G10" s="480">
        <v>9</v>
      </c>
      <c r="H10" s="560"/>
      <c r="I10" s="560">
        <v>1</v>
      </c>
      <c r="J10" s="482">
        <v>14</v>
      </c>
      <c r="K10" s="477">
        <f t="shared" si="0"/>
        <v>64.285714285714292</v>
      </c>
      <c r="L10" s="477">
        <f t="shared" si="1"/>
        <v>0</v>
      </c>
      <c r="M10" s="477">
        <f t="shared" si="2"/>
        <v>7.1428571428571423</v>
      </c>
      <c r="N10" s="481">
        <f t="shared" si="3"/>
        <v>71.428571428571431</v>
      </c>
      <c r="O10" s="476">
        <v>36</v>
      </c>
      <c r="P10" s="477"/>
      <c r="Q10" s="477"/>
      <c r="R10" s="478">
        <f t="shared" si="4"/>
        <v>36</v>
      </c>
      <c r="S10" s="560">
        <v>5</v>
      </c>
      <c r="T10" s="81"/>
      <c r="V10" s="82" t="s">
        <v>1033</v>
      </c>
      <c r="W10" s="73" t="s">
        <v>22</v>
      </c>
      <c r="X10" s="73" t="s">
        <v>11</v>
      </c>
      <c r="Y10" s="83">
        <v>36</v>
      </c>
      <c r="Z10" s="73" t="s">
        <v>1037</v>
      </c>
      <c r="AA10" s="73" t="s">
        <v>337</v>
      </c>
      <c r="AB10" s="73" t="s">
        <v>12</v>
      </c>
      <c r="AC10" s="73">
        <v>0</v>
      </c>
      <c r="AD10" s="82"/>
      <c r="AG10" s="83"/>
      <c r="AL10" s="82"/>
      <c r="AO10" s="83"/>
      <c r="AP10" s="82"/>
      <c r="AS10" s="83"/>
      <c r="AW10" s="83"/>
      <c r="BA10" s="84"/>
    </row>
    <row r="11" spans="1:53" s="334" customFormat="1">
      <c r="A11" s="334">
        <v>1995</v>
      </c>
      <c r="B11" s="355">
        <v>35054</v>
      </c>
      <c r="C11" s="992" t="s">
        <v>1128</v>
      </c>
      <c r="D11" s="992"/>
      <c r="E11" s="334">
        <v>11</v>
      </c>
      <c r="F11" s="334">
        <v>1</v>
      </c>
      <c r="G11" s="497">
        <v>9</v>
      </c>
      <c r="H11" s="561">
        <v>1</v>
      </c>
      <c r="I11" s="561">
        <v>5</v>
      </c>
      <c r="J11" s="499">
        <v>16</v>
      </c>
      <c r="K11" s="495">
        <f t="shared" si="0"/>
        <v>56.25</v>
      </c>
      <c r="L11" s="495">
        <f t="shared" si="1"/>
        <v>6.25</v>
      </c>
      <c r="M11" s="495">
        <f t="shared" si="2"/>
        <v>31.25</v>
      </c>
      <c r="N11" s="498">
        <f t="shared" si="3"/>
        <v>93.75</v>
      </c>
      <c r="O11" s="494">
        <v>39</v>
      </c>
      <c r="P11" s="495">
        <v>8</v>
      </c>
      <c r="Q11" s="495">
        <v>26</v>
      </c>
      <c r="R11" s="496">
        <f t="shared" si="4"/>
        <v>73</v>
      </c>
      <c r="S11" s="561">
        <v>3</v>
      </c>
      <c r="T11" s="342">
        <v>34973</v>
      </c>
      <c r="U11" s="355">
        <v>35045</v>
      </c>
      <c r="V11" s="343" t="s">
        <v>986</v>
      </c>
      <c r="W11" s="334" t="s">
        <v>20</v>
      </c>
      <c r="X11" s="334" t="s">
        <v>12</v>
      </c>
      <c r="Y11" s="344">
        <v>18</v>
      </c>
      <c r="Z11" s="343" t="s">
        <v>1033</v>
      </c>
      <c r="AA11" s="334" t="s">
        <v>22</v>
      </c>
      <c r="AB11" s="334" t="s">
        <v>11</v>
      </c>
      <c r="AC11" s="334">
        <v>17</v>
      </c>
      <c r="AD11" s="343" t="s">
        <v>1038</v>
      </c>
      <c r="AE11" s="334" t="s">
        <v>27</v>
      </c>
      <c r="AF11" s="334" t="s">
        <v>11</v>
      </c>
      <c r="AG11" s="344">
        <v>14</v>
      </c>
      <c r="AH11" s="334" t="s">
        <v>1039</v>
      </c>
      <c r="AI11" s="334" t="s">
        <v>304</v>
      </c>
      <c r="AJ11" s="334" t="s">
        <v>11</v>
      </c>
      <c r="AK11" s="334">
        <v>8</v>
      </c>
      <c r="AL11" s="343" t="s">
        <v>1131</v>
      </c>
      <c r="AM11" s="334" t="s">
        <v>116</v>
      </c>
      <c r="AN11" s="334" t="s">
        <v>12</v>
      </c>
      <c r="AO11" s="344">
        <v>8</v>
      </c>
      <c r="AP11" s="343" t="s">
        <v>1134</v>
      </c>
      <c r="AQ11" s="334" t="s">
        <v>74</v>
      </c>
      <c r="AR11" s="334" t="s">
        <v>18</v>
      </c>
      <c r="AS11" s="344">
        <v>8</v>
      </c>
      <c r="AW11" s="344"/>
      <c r="BA11" s="345"/>
    </row>
    <row r="12" spans="1:53" s="334" customFormat="1">
      <c r="A12" s="334">
        <v>1996</v>
      </c>
      <c r="C12" s="992" t="s">
        <v>1128</v>
      </c>
      <c r="D12" s="992"/>
      <c r="E12" s="334">
        <v>0</v>
      </c>
      <c r="G12" s="497">
        <v>9</v>
      </c>
      <c r="H12" s="561">
        <v>1</v>
      </c>
      <c r="I12" s="561">
        <v>5</v>
      </c>
      <c r="J12" s="499">
        <v>16</v>
      </c>
      <c r="K12" s="495">
        <f t="shared" si="0"/>
        <v>56.25</v>
      </c>
      <c r="L12" s="495">
        <f t="shared" si="1"/>
        <v>6.25</v>
      </c>
      <c r="M12" s="495">
        <f t="shared" si="2"/>
        <v>31.25</v>
      </c>
      <c r="N12" s="498">
        <f t="shared" si="3"/>
        <v>93.75</v>
      </c>
      <c r="O12" s="494">
        <v>39</v>
      </c>
      <c r="P12" s="495">
        <v>8</v>
      </c>
      <c r="Q12" s="495">
        <v>26</v>
      </c>
      <c r="R12" s="496">
        <f t="shared" si="4"/>
        <v>73</v>
      </c>
      <c r="S12" s="561">
        <v>3</v>
      </c>
      <c r="T12" s="357"/>
      <c r="V12" s="343" t="s">
        <v>986</v>
      </c>
      <c r="W12" s="334" t="s">
        <v>20</v>
      </c>
      <c r="X12" s="334" t="s">
        <v>12</v>
      </c>
      <c r="Y12" s="344">
        <v>18</v>
      </c>
      <c r="Z12" s="343" t="s">
        <v>1033</v>
      </c>
      <c r="AA12" s="334" t="s">
        <v>22</v>
      </c>
      <c r="AB12" s="334" t="s">
        <v>11</v>
      </c>
      <c r="AC12" s="334">
        <v>17</v>
      </c>
      <c r="AD12" s="343" t="s">
        <v>1038</v>
      </c>
      <c r="AE12" s="334" t="s">
        <v>27</v>
      </c>
      <c r="AF12" s="334" t="s">
        <v>11</v>
      </c>
      <c r="AG12" s="344">
        <v>14</v>
      </c>
      <c r="AH12" s="334" t="s">
        <v>1039</v>
      </c>
      <c r="AI12" s="334" t="s">
        <v>304</v>
      </c>
      <c r="AJ12" s="334" t="s">
        <v>11</v>
      </c>
      <c r="AK12" s="334">
        <v>8</v>
      </c>
      <c r="AL12" s="343" t="s">
        <v>1131</v>
      </c>
      <c r="AM12" s="334" t="s">
        <v>116</v>
      </c>
      <c r="AN12" s="334" t="s">
        <v>12</v>
      </c>
      <c r="AO12" s="344">
        <v>8</v>
      </c>
      <c r="AP12" s="343" t="s">
        <v>1134</v>
      </c>
      <c r="AQ12" s="334" t="s">
        <v>74</v>
      </c>
      <c r="AR12" s="334" t="s">
        <v>18</v>
      </c>
      <c r="AS12" s="344">
        <v>8</v>
      </c>
      <c r="AW12" s="344"/>
      <c r="BA12" s="345"/>
    </row>
    <row r="13" spans="1:53" s="334" customFormat="1">
      <c r="A13" s="334">
        <v>1996</v>
      </c>
      <c r="C13" s="992" t="s">
        <v>1128</v>
      </c>
      <c r="D13" s="992"/>
      <c r="E13" s="334">
        <v>366</v>
      </c>
      <c r="G13" s="497">
        <v>9</v>
      </c>
      <c r="H13" s="561">
        <v>1</v>
      </c>
      <c r="I13" s="561">
        <v>5</v>
      </c>
      <c r="J13" s="499">
        <v>16</v>
      </c>
      <c r="K13" s="495">
        <f t="shared" si="0"/>
        <v>56.25</v>
      </c>
      <c r="L13" s="495">
        <f t="shared" si="1"/>
        <v>6.25</v>
      </c>
      <c r="M13" s="495">
        <f t="shared" si="2"/>
        <v>31.25</v>
      </c>
      <c r="N13" s="498">
        <f t="shared" si="3"/>
        <v>93.75</v>
      </c>
      <c r="O13" s="494">
        <v>39</v>
      </c>
      <c r="P13" s="495">
        <v>8</v>
      </c>
      <c r="Q13" s="495">
        <v>26</v>
      </c>
      <c r="R13" s="496">
        <f t="shared" si="4"/>
        <v>73</v>
      </c>
      <c r="S13" s="561">
        <v>3</v>
      </c>
      <c r="T13" s="357"/>
      <c r="V13" s="343" t="s">
        <v>986</v>
      </c>
      <c r="W13" s="334" t="s">
        <v>20</v>
      </c>
      <c r="X13" s="334" t="s">
        <v>12</v>
      </c>
      <c r="Y13" s="344">
        <v>18</v>
      </c>
      <c r="Z13" s="343" t="s">
        <v>1033</v>
      </c>
      <c r="AA13" s="334" t="s">
        <v>22</v>
      </c>
      <c r="AB13" s="334" t="s">
        <v>11</v>
      </c>
      <c r="AC13" s="334">
        <v>17</v>
      </c>
      <c r="AD13" s="343" t="s">
        <v>1038</v>
      </c>
      <c r="AE13" s="334" t="s">
        <v>27</v>
      </c>
      <c r="AF13" s="334" t="s">
        <v>11</v>
      </c>
      <c r="AG13" s="344">
        <v>14</v>
      </c>
      <c r="AH13" s="334" t="s">
        <v>1039</v>
      </c>
      <c r="AI13" s="334" t="s">
        <v>304</v>
      </c>
      <c r="AJ13" s="334" t="s">
        <v>11</v>
      </c>
      <c r="AK13" s="334">
        <v>8</v>
      </c>
      <c r="AL13" s="343" t="s">
        <v>1131</v>
      </c>
      <c r="AM13" s="334" t="s">
        <v>116</v>
      </c>
      <c r="AN13" s="334" t="s">
        <v>12</v>
      </c>
      <c r="AO13" s="344">
        <v>8</v>
      </c>
      <c r="AP13" s="343" t="s">
        <v>1134</v>
      </c>
      <c r="AQ13" s="334" t="s">
        <v>74</v>
      </c>
      <c r="AR13" s="334" t="s">
        <v>18</v>
      </c>
      <c r="AS13" s="344">
        <v>8</v>
      </c>
      <c r="AW13" s="344"/>
      <c r="BA13" s="345"/>
    </row>
    <row r="14" spans="1:53" s="334" customFormat="1">
      <c r="A14" s="334">
        <v>1997</v>
      </c>
      <c r="C14" s="992" t="s">
        <v>1128</v>
      </c>
      <c r="D14" s="992"/>
      <c r="E14" s="334">
        <v>43</v>
      </c>
      <c r="G14" s="497">
        <v>9</v>
      </c>
      <c r="H14" s="561">
        <v>1</v>
      </c>
      <c r="I14" s="561">
        <v>5</v>
      </c>
      <c r="J14" s="499">
        <v>16</v>
      </c>
      <c r="K14" s="495">
        <f t="shared" si="0"/>
        <v>56.25</v>
      </c>
      <c r="L14" s="495">
        <f t="shared" si="1"/>
        <v>6.25</v>
      </c>
      <c r="M14" s="495">
        <f t="shared" si="2"/>
        <v>31.25</v>
      </c>
      <c r="N14" s="498">
        <f t="shared" si="3"/>
        <v>93.75</v>
      </c>
      <c r="O14" s="494">
        <v>39</v>
      </c>
      <c r="P14" s="495">
        <v>8</v>
      </c>
      <c r="Q14" s="495">
        <v>26</v>
      </c>
      <c r="R14" s="496">
        <f t="shared" si="4"/>
        <v>73</v>
      </c>
      <c r="S14" s="561">
        <v>3</v>
      </c>
      <c r="T14" s="357"/>
      <c r="V14" s="343" t="s">
        <v>986</v>
      </c>
      <c r="W14" s="334" t="s">
        <v>20</v>
      </c>
      <c r="X14" s="334" t="s">
        <v>12</v>
      </c>
      <c r="Y14" s="344">
        <v>18</v>
      </c>
      <c r="Z14" s="343" t="s">
        <v>1033</v>
      </c>
      <c r="AA14" s="334" t="s">
        <v>22</v>
      </c>
      <c r="AB14" s="334" t="s">
        <v>11</v>
      </c>
      <c r="AC14" s="334">
        <v>17</v>
      </c>
      <c r="AD14" s="343" t="s">
        <v>1038</v>
      </c>
      <c r="AE14" s="334" t="s">
        <v>27</v>
      </c>
      <c r="AF14" s="334" t="s">
        <v>11</v>
      </c>
      <c r="AG14" s="344">
        <v>14</v>
      </c>
      <c r="AH14" s="334" t="s">
        <v>1039</v>
      </c>
      <c r="AI14" s="334" t="s">
        <v>304</v>
      </c>
      <c r="AJ14" s="334" t="s">
        <v>11</v>
      </c>
      <c r="AK14" s="334">
        <v>8</v>
      </c>
      <c r="AL14" s="343" t="s">
        <v>1131</v>
      </c>
      <c r="AM14" s="334" t="s">
        <v>116</v>
      </c>
      <c r="AN14" s="334" t="s">
        <v>12</v>
      </c>
      <c r="AO14" s="344">
        <v>8</v>
      </c>
      <c r="AP14" s="343" t="s">
        <v>1134</v>
      </c>
      <c r="AQ14" s="334" t="s">
        <v>74</v>
      </c>
      <c r="AR14" s="334" t="s">
        <v>18</v>
      </c>
      <c r="AS14" s="344">
        <v>8</v>
      </c>
      <c r="AW14" s="344"/>
      <c r="BA14" s="345"/>
    </row>
    <row r="15" spans="1:53" s="73" customFormat="1">
      <c r="A15" s="73">
        <v>1997</v>
      </c>
      <c r="B15" s="85">
        <v>35474</v>
      </c>
      <c r="C15" s="988" t="s">
        <v>1129</v>
      </c>
      <c r="D15" s="988"/>
      <c r="E15" s="73">
        <v>175</v>
      </c>
      <c r="F15" s="73">
        <v>2</v>
      </c>
      <c r="G15" s="480">
        <v>11</v>
      </c>
      <c r="H15" s="560">
        <v>2</v>
      </c>
      <c r="I15" s="560">
        <v>4</v>
      </c>
      <c r="J15" s="482">
        <v>19</v>
      </c>
      <c r="K15" s="477">
        <f t="shared" si="0"/>
        <v>57.894736842105267</v>
      </c>
      <c r="L15" s="477">
        <f t="shared" si="1"/>
        <v>10.526315789473683</v>
      </c>
      <c r="M15" s="477">
        <f t="shared" si="2"/>
        <v>21.052631578947366</v>
      </c>
      <c r="N15" s="481">
        <f t="shared" si="3"/>
        <v>89.473684210526315</v>
      </c>
      <c r="O15" s="476">
        <v>39</v>
      </c>
      <c r="P15" s="477">
        <v>8</v>
      </c>
      <c r="Q15" s="477">
        <v>18</v>
      </c>
      <c r="R15" s="478">
        <f t="shared" si="4"/>
        <v>65</v>
      </c>
      <c r="S15" s="560">
        <v>3</v>
      </c>
      <c r="T15" s="81"/>
      <c r="U15" s="85">
        <v>35474</v>
      </c>
      <c r="V15" s="82" t="s">
        <v>986</v>
      </c>
      <c r="W15" s="73" t="s">
        <v>20</v>
      </c>
      <c r="X15" s="73" t="s">
        <v>12</v>
      </c>
      <c r="Y15" s="83">
        <v>18</v>
      </c>
      <c r="Z15" s="82" t="s">
        <v>1033</v>
      </c>
      <c r="AA15" s="73" t="s">
        <v>22</v>
      </c>
      <c r="AB15" s="73" t="s">
        <v>11</v>
      </c>
      <c r="AC15" s="73">
        <v>17</v>
      </c>
      <c r="AD15" s="82" t="s">
        <v>1038</v>
      </c>
      <c r="AE15" s="73" t="s">
        <v>27</v>
      </c>
      <c r="AF15" s="73" t="s">
        <v>11</v>
      </c>
      <c r="AG15" s="83">
        <v>14</v>
      </c>
      <c r="AH15" s="73" t="s">
        <v>1039</v>
      </c>
      <c r="AI15" s="73" t="s">
        <v>304</v>
      </c>
      <c r="AJ15" s="73" t="s">
        <v>11</v>
      </c>
      <c r="AK15" s="73">
        <v>8</v>
      </c>
      <c r="AL15" s="82" t="s">
        <v>1134</v>
      </c>
      <c r="AM15" s="73" t="s">
        <v>74</v>
      </c>
      <c r="AN15" s="73" t="s">
        <v>18</v>
      </c>
      <c r="AO15" s="83">
        <v>8</v>
      </c>
      <c r="AP15" s="82"/>
      <c r="AS15" s="83"/>
      <c r="AW15" s="83"/>
      <c r="BA15" s="84"/>
    </row>
    <row r="16" spans="1:53" s="334" customFormat="1">
      <c r="A16" s="334">
        <v>1997</v>
      </c>
      <c r="B16" s="355">
        <v>35649</v>
      </c>
      <c r="C16" s="992" t="s">
        <v>1132</v>
      </c>
      <c r="D16" s="992"/>
      <c r="E16" s="334">
        <v>147</v>
      </c>
      <c r="F16" s="334">
        <v>2</v>
      </c>
      <c r="G16" s="497">
        <v>7</v>
      </c>
      <c r="H16" s="561">
        <v>3</v>
      </c>
      <c r="I16" s="561">
        <v>4</v>
      </c>
      <c r="J16" s="499">
        <v>14</v>
      </c>
      <c r="K16" s="495">
        <f t="shared" si="0"/>
        <v>50</v>
      </c>
      <c r="L16" s="495">
        <f t="shared" si="1"/>
        <v>21.428571428571427</v>
      </c>
      <c r="M16" s="495">
        <f t="shared" si="2"/>
        <v>28.571428571428569</v>
      </c>
      <c r="N16" s="498">
        <f t="shared" si="3"/>
        <v>100</v>
      </c>
      <c r="O16" s="494">
        <v>39</v>
      </c>
      <c r="P16" s="495">
        <v>8</v>
      </c>
      <c r="Q16" s="495">
        <v>18</v>
      </c>
      <c r="R16" s="496">
        <f t="shared" si="4"/>
        <v>65</v>
      </c>
      <c r="S16" s="561">
        <v>3</v>
      </c>
      <c r="T16" s="357"/>
      <c r="U16" s="355">
        <v>35649</v>
      </c>
      <c r="V16" s="343" t="s">
        <v>986</v>
      </c>
      <c r="W16" s="334" t="s">
        <v>20</v>
      </c>
      <c r="X16" s="334" t="s">
        <v>12</v>
      </c>
      <c r="Y16" s="344">
        <v>18</v>
      </c>
      <c r="Z16" s="343" t="s">
        <v>1033</v>
      </c>
      <c r="AA16" s="334" t="s">
        <v>22</v>
      </c>
      <c r="AB16" s="334" t="s">
        <v>11</v>
      </c>
      <c r="AC16" s="334">
        <v>17</v>
      </c>
      <c r="AD16" s="343" t="s">
        <v>1038</v>
      </c>
      <c r="AE16" s="334" t="s">
        <v>27</v>
      </c>
      <c r="AF16" s="334" t="s">
        <v>11</v>
      </c>
      <c r="AG16" s="344">
        <v>14</v>
      </c>
      <c r="AH16" s="334" t="s">
        <v>1039</v>
      </c>
      <c r="AI16" s="334" t="s">
        <v>304</v>
      </c>
      <c r="AJ16" s="334" t="s">
        <v>11</v>
      </c>
      <c r="AK16" s="334">
        <v>8</v>
      </c>
      <c r="AL16" s="343" t="s">
        <v>1134</v>
      </c>
      <c r="AM16" s="334" t="s">
        <v>74</v>
      </c>
      <c r="AN16" s="334" t="s">
        <v>18</v>
      </c>
      <c r="AO16" s="344">
        <v>8</v>
      </c>
      <c r="AP16" s="343"/>
      <c r="AS16" s="344"/>
      <c r="AW16" s="344"/>
      <c r="BA16" s="345"/>
    </row>
    <row r="17" spans="1:53" s="334" customFormat="1">
      <c r="A17" s="334">
        <v>1998</v>
      </c>
      <c r="C17" s="992" t="s">
        <v>1132</v>
      </c>
      <c r="D17" s="992"/>
      <c r="E17" s="334">
        <v>97</v>
      </c>
      <c r="G17" s="497">
        <v>7</v>
      </c>
      <c r="H17" s="561">
        <v>3</v>
      </c>
      <c r="I17" s="561">
        <v>4</v>
      </c>
      <c r="J17" s="499">
        <v>14</v>
      </c>
      <c r="K17" s="495">
        <f t="shared" si="0"/>
        <v>50</v>
      </c>
      <c r="L17" s="495">
        <f t="shared" si="1"/>
        <v>21.428571428571427</v>
      </c>
      <c r="M17" s="495">
        <f t="shared" si="2"/>
        <v>28.571428571428569</v>
      </c>
      <c r="N17" s="498">
        <f t="shared" si="3"/>
        <v>100</v>
      </c>
      <c r="O17" s="494">
        <v>39</v>
      </c>
      <c r="P17" s="495">
        <v>8</v>
      </c>
      <c r="Q17" s="495">
        <v>18</v>
      </c>
      <c r="R17" s="496">
        <f t="shared" si="4"/>
        <v>65</v>
      </c>
      <c r="S17" s="561">
        <v>3</v>
      </c>
      <c r="T17" s="357"/>
      <c r="V17" s="343" t="s">
        <v>986</v>
      </c>
      <c r="W17" s="334" t="s">
        <v>20</v>
      </c>
      <c r="X17" s="334" t="s">
        <v>12</v>
      </c>
      <c r="Y17" s="344">
        <v>18</v>
      </c>
      <c r="Z17" s="343" t="s">
        <v>1033</v>
      </c>
      <c r="AA17" s="334" t="s">
        <v>22</v>
      </c>
      <c r="AB17" s="334" t="s">
        <v>11</v>
      </c>
      <c r="AC17" s="334">
        <v>17</v>
      </c>
      <c r="AD17" s="343" t="s">
        <v>1038</v>
      </c>
      <c r="AE17" s="334" t="s">
        <v>27</v>
      </c>
      <c r="AF17" s="334" t="s">
        <v>11</v>
      </c>
      <c r="AG17" s="344">
        <v>14</v>
      </c>
      <c r="AH17" s="334" t="s">
        <v>1039</v>
      </c>
      <c r="AI17" s="334" t="s">
        <v>304</v>
      </c>
      <c r="AJ17" s="334" t="s">
        <v>11</v>
      </c>
      <c r="AK17" s="334">
        <v>8</v>
      </c>
      <c r="AL17" s="343" t="s">
        <v>1134</v>
      </c>
      <c r="AM17" s="334" t="s">
        <v>74</v>
      </c>
      <c r="AN17" s="334" t="s">
        <v>18</v>
      </c>
      <c r="AO17" s="344">
        <v>8</v>
      </c>
      <c r="AP17" s="343"/>
      <c r="AS17" s="344"/>
      <c r="AW17" s="344"/>
      <c r="BA17" s="345"/>
    </row>
    <row r="18" spans="1:53" s="73" customFormat="1">
      <c r="A18" s="73">
        <v>1998</v>
      </c>
      <c r="B18" s="85">
        <v>35893</v>
      </c>
      <c r="C18" s="988" t="s">
        <v>1133</v>
      </c>
      <c r="D18" s="988"/>
      <c r="E18" s="73">
        <v>232</v>
      </c>
      <c r="F18" s="73">
        <v>4</v>
      </c>
      <c r="G18" s="480">
        <v>9</v>
      </c>
      <c r="H18" s="560">
        <v>4</v>
      </c>
      <c r="I18" s="560"/>
      <c r="J18" s="482">
        <v>13</v>
      </c>
      <c r="K18" s="477">
        <f t="shared" si="0"/>
        <v>69.230769230769226</v>
      </c>
      <c r="L18" s="477">
        <f t="shared" si="1"/>
        <v>30.76923076923077</v>
      </c>
      <c r="M18" s="477">
        <f t="shared" ref="M18:M27" si="5">I18/J18*100</f>
        <v>0</v>
      </c>
      <c r="N18" s="481">
        <f t="shared" ref="N18:N27" si="6">SUM(K18:M18)</f>
        <v>100</v>
      </c>
      <c r="O18" s="476">
        <v>39</v>
      </c>
      <c r="P18" s="477">
        <v>8</v>
      </c>
      <c r="Q18" s="477"/>
      <c r="R18" s="478">
        <f t="shared" si="4"/>
        <v>47</v>
      </c>
      <c r="S18" s="560">
        <v>5</v>
      </c>
      <c r="T18" s="95"/>
      <c r="U18" s="85">
        <v>35893</v>
      </c>
      <c r="V18" s="82" t="s">
        <v>1033</v>
      </c>
      <c r="W18" s="73" t="s">
        <v>22</v>
      </c>
      <c r="X18" s="73" t="s">
        <v>11</v>
      </c>
      <c r="Y18" s="83">
        <v>17</v>
      </c>
      <c r="Z18" s="82" t="s">
        <v>1038</v>
      </c>
      <c r="AA18" s="73" t="s">
        <v>27</v>
      </c>
      <c r="AB18" s="73" t="s">
        <v>11</v>
      </c>
      <c r="AC18" s="83">
        <v>14</v>
      </c>
      <c r="AD18" s="82" t="s">
        <v>1039</v>
      </c>
      <c r="AE18" s="73" t="s">
        <v>304</v>
      </c>
      <c r="AF18" s="73" t="s">
        <v>11</v>
      </c>
      <c r="AG18" s="83">
        <v>8</v>
      </c>
      <c r="AH18" s="73" t="s">
        <v>1134</v>
      </c>
      <c r="AI18" s="73" t="s">
        <v>74</v>
      </c>
      <c r="AJ18" s="73" t="s">
        <v>18</v>
      </c>
      <c r="AK18" s="73">
        <v>8</v>
      </c>
      <c r="AL18" s="82"/>
      <c r="AO18" s="83"/>
      <c r="AP18" s="82"/>
      <c r="AS18" s="83"/>
      <c r="AW18" s="83"/>
      <c r="BA18" s="84"/>
    </row>
    <row r="19" spans="1:53" s="334" customFormat="1">
      <c r="A19" s="334">
        <v>1998</v>
      </c>
      <c r="B19" s="355">
        <v>36125</v>
      </c>
      <c r="C19" s="992" t="s">
        <v>1135</v>
      </c>
      <c r="D19" s="992"/>
      <c r="E19" s="334">
        <v>36</v>
      </c>
      <c r="F19" s="334">
        <v>1</v>
      </c>
      <c r="G19" s="497">
        <v>13</v>
      </c>
      <c r="H19" s="561"/>
      <c r="I19" s="561">
        <v>2</v>
      </c>
      <c r="J19" s="499">
        <v>15</v>
      </c>
      <c r="K19" s="495">
        <f t="shared" ref="K19:K27" si="7">G19/J19*100</f>
        <v>86.666666666666671</v>
      </c>
      <c r="L19" s="495">
        <f t="shared" ref="L19:L27" si="8">H19/J19*100</f>
        <v>0</v>
      </c>
      <c r="M19" s="495">
        <f t="shared" si="5"/>
        <v>13.333333333333334</v>
      </c>
      <c r="N19" s="498">
        <f t="shared" si="6"/>
        <v>100</v>
      </c>
      <c r="O19" s="494">
        <v>41</v>
      </c>
      <c r="P19" s="495"/>
      <c r="Q19" s="495">
        <v>8</v>
      </c>
      <c r="R19" s="496">
        <f t="shared" si="4"/>
        <v>49</v>
      </c>
      <c r="S19" s="561">
        <v>5</v>
      </c>
      <c r="T19" s="342">
        <v>36071</v>
      </c>
      <c r="U19" s="355">
        <v>36125</v>
      </c>
      <c r="V19" s="343" t="s">
        <v>1033</v>
      </c>
      <c r="W19" s="334" t="s">
        <v>22</v>
      </c>
      <c r="X19" s="334" t="s">
        <v>11</v>
      </c>
      <c r="Y19" s="344">
        <v>21</v>
      </c>
      <c r="Z19" s="343" t="s">
        <v>1040</v>
      </c>
      <c r="AA19" s="334" t="s">
        <v>863</v>
      </c>
      <c r="AB19" s="334" t="s">
        <v>11</v>
      </c>
      <c r="AC19" s="344">
        <v>17</v>
      </c>
      <c r="AD19" s="334" t="s">
        <v>1041</v>
      </c>
      <c r="AE19" s="334" t="s">
        <v>1042</v>
      </c>
      <c r="AF19" s="334" t="s">
        <v>12</v>
      </c>
      <c r="AG19" s="344">
        <v>8</v>
      </c>
      <c r="AH19" s="452"/>
      <c r="AL19" s="343"/>
      <c r="AO19" s="344"/>
      <c r="AP19" s="343"/>
      <c r="AS19" s="344"/>
      <c r="AW19" s="344"/>
      <c r="BA19" s="345"/>
    </row>
    <row r="20" spans="1:53" s="334" customFormat="1">
      <c r="A20" s="334">
        <v>1999</v>
      </c>
      <c r="C20" s="992" t="s">
        <v>1135</v>
      </c>
      <c r="D20" s="992"/>
      <c r="E20" s="334">
        <v>34</v>
      </c>
      <c r="G20" s="497">
        <v>13</v>
      </c>
      <c r="H20" s="561"/>
      <c r="I20" s="561">
        <v>2</v>
      </c>
      <c r="J20" s="499">
        <v>15</v>
      </c>
      <c r="K20" s="495">
        <f t="shared" si="7"/>
        <v>86.666666666666671</v>
      </c>
      <c r="L20" s="495">
        <f t="shared" si="8"/>
        <v>0</v>
      </c>
      <c r="M20" s="495">
        <f t="shared" si="5"/>
        <v>13.333333333333334</v>
      </c>
      <c r="N20" s="498">
        <f t="shared" si="6"/>
        <v>100</v>
      </c>
      <c r="O20" s="494">
        <v>41</v>
      </c>
      <c r="P20" s="495"/>
      <c r="Q20" s="495">
        <v>8</v>
      </c>
      <c r="R20" s="496">
        <f t="shared" si="4"/>
        <v>49</v>
      </c>
      <c r="S20" s="561">
        <v>5</v>
      </c>
      <c r="T20" s="357"/>
      <c r="V20" s="343" t="s">
        <v>1033</v>
      </c>
      <c r="W20" s="334" t="s">
        <v>22</v>
      </c>
      <c r="X20" s="334" t="s">
        <v>11</v>
      </c>
      <c r="Y20" s="344">
        <v>21</v>
      </c>
      <c r="Z20" s="334" t="s">
        <v>1040</v>
      </c>
      <c r="AA20" s="334" t="s">
        <v>863</v>
      </c>
      <c r="AB20" s="334" t="s">
        <v>11</v>
      </c>
      <c r="AC20" s="334">
        <v>17</v>
      </c>
      <c r="AD20" s="343" t="s">
        <v>1041</v>
      </c>
      <c r="AE20" s="334" t="s">
        <v>1042</v>
      </c>
      <c r="AF20" s="334" t="s">
        <v>12</v>
      </c>
      <c r="AG20" s="344">
        <v>8</v>
      </c>
      <c r="AL20" s="343"/>
      <c r="AO20" s="344"/>
      <c r="AP20" s="343"/>
      <c r="AS20" s="344"/>
      <c r="AW20" s="344"/>
      <c r="BA20" s="345"/>
    </row>
    <row r="21" spans="1:53" s="73" customFormat="1">
      <c r="A21" s="73">
        <v>1999</v>
      </c>
      <c r="B21" s="85">
        <v>36195</v>
      </c>
      <c r="C21" s="988" t="s">
        <v>1136</v>
      </c>
      <c r="D21" s="988"/>
      <c r="E21" s="73">
        <v>162</v>
      </c>
      <c r="F21" s="73">
        <v>2</v>
      </c>
      <c r="G21" s="480">
        <v>12</v>
      </c>
      <c r="H21" s="560"/>
      <c r="I21" s="560">
        <v>3</v>
      </c>
      <c r="J21" s="482">
        <v>15</v>
      </c>
      <c r="K21" s="477">
        <f t="shared" si="7"/>
        <v>80</v>
      </c>
      <c r="L21" s="477">
        <f t="shared" si="8"/>
        <v>0</v>
      </c>
      <c r="M21" s="477">
        <f t="shared" si="5"/>
        <v>20</v>
      </c>
      <c r="N21" s="481">
        <f t="shared" si="6"/>
        <v>100</v>
      </c>
      <c r="O21" s="476">
        <v>41</v>
      </c>
      <c r="P21" s="477"/>
      <c r="Q21" s="477">
        <v>22</v>
      </c>
      <c r="R21" s="478">
        <f t="shared" si="4"/>
        <v>63</v>
      </c>
      <c r="S21" s="560">
        <v>3</v>
      </c>
      <c r="T21" s="81"/>
      <c r="U21" s="85">
        <v>36195</v>
      </c>
      <c r="V21" s="82" t="s">
        <v>1033</v>
      </c>
      <c r="W21" s="73" t="s">
        <v>22</v>
      </c>
      <c r="X21" s="73" t="s">
        <v>11</v>
      </c>
      <c r="Y21" s="83">
        <v>21</v>
      </c>
      <c r="Z21" s="82" t="s">
        <v>1040</v>
      </c>
      <c r="AA21" s="73" t="s">
        <v>863</v>
      </c>
      <c r="AB21" s="73" t="s">
        <v>11</v>
      </c>
      <c r="AC21" s="83">
        <v>17</v>
      </c>
      <c r="AD21" s="73" t="s">
        <v>1041</v>
      </c>
      <c r="AE21" s="73" t="s">
        <v>1042</v>
      </c>
      <c r="AF21" s="73" t="s">
        <v>12</v>
      </c>
      <c r="AG21" s="83">
        <v>8</v>
      </c>
      <c r="AH21" s="73" t="s">
        <v>1043</v>
      </c>
      <c r="AI21" s="73" t="s">
        <v>1044</v>
      </c>
      <c r="AJ21" s="73" t="s">
        <v>12</v>
      </c>
      <c r="AK21" s="73">
        <v>14</v>
      </c>
      <c r="AL21" s="82"/>
      <c r="AO21" s="83"/>
      <c r="AP21" s="82"/>
      <c r="AS21" s="83"/>
      <c r="AW21" s="83"/>
      <c r="BA21" s="84"/>
    </row>
    <row r="22" spans="1:53" s="334" customFormat="1">
      <c r="A22" s="334">
        <v>1999</v>
      </c>
      <c r="B22" s="355">
        <v>36357</v>
      </c>
      <c r="C22" s="992" t="s">
        <v>1130</v>
      </c>
      <c r="D22" s="992"/>
      <c r="E22" s="334">
        <v>169</v>
      </c>
      <c r="F22" s="334">
        <v>2</v>
      </c>
      <c r="G22" s="497">
        <v>13</v>
      </c>
      <c r="H22" s="561"/>
      <c r="I22" s="561"/>
      <c r="J22" s="499">
        <v>13</v>
      </c>
      <c r="K22" s="495">
        <f t="shared" si="7"/>
        <v>100</v>
      </c>
      <c r="L22" s="495">
        <f t="shared" si="8"/>
        <v>0</v>
      </c>
      <c r="M22" s="495">
        <f t="shared" si="5"/>
        <v>0</v>
      </c>
      <c r="N22" s="498">
        <f t="shared" si="6"/>
        <v>100</v>
      </c>
      <c r="O22" s="494">
        <v>62</v>
      </c>
      <c r="P22" s="495"/>
      <c r="Q22" s="495"/>
      <c r="R22" s="496">
        <f t="shared" si="4"/>
        <v>62</v>
      </c>
      <c r="S22" s="561">
        <v>2</v>
      </c>
      <c r="T22" s="357"/>
      <c r="U22" s="355">
        <v>36357</v>
      </c>
      <c r="V22" s="343" t="s">
        <v>1045</v>
      </c>
      <c r="W22" s="334" t="s">
        <v>1063</v>
      </c>
      <c r="X22" s="334" t="s">
        <v>11</v>
      </c>
      <c r="Y22" s="344">
        <v>24</v>
      </c>
      <c r="Z22" s="343" t="s">
        <v>1033</v>
      </c>
      <c r="AA22" s="334" t="s">
        <v>22</v>
      </c>
      <c r="AB22" s="334" t="s">
        <v>11</v>
      </c>
      <c r="AC22" s="344">
        <v>21</v>
      </c>
      <c r="AD22" s="343" t="s">
        <v>1040</v>
      </c>
      <c r="AE22" s="334" t="s">
        <v>863</v>
      </c>
      <c r="AF22" s="334" t="s">
        <v>11</v>
      </c>
      <c r="AG22" s="344">
        <v>17</v>
      </c>
      <c r="AL22" s="343"/>
      <c r="AO22" s="344"/>
      <c r="AP22" s="343"/>
      <c r="AS22" s="344"/>
      <c r="AW22" s="344"/>
      <c r="BA22" s="345"/>
    </row>
    <row r="23" spans="1:53" s="334" customFormat="1">
      <c r="A23" s="334">
        <v>2000</v>
      </c>
      <c r="C23" s="992" t="s">
        <v>1130</v>
      </c>
      <c r="D23" s="992"/>
      <c r="E23" s="334">
        <v>124</v>
      </c>
      <c r="G23" s="497">
        <v>13</v>
      </c>
      <c r="H23" s="561"/>
      <c r="I23" s="561"/>
      <c r="J23" s="499">
        <v>13</v>
      </c>
      <c r="K23" s="495">
        <f t="shared" si="7"/>
        <v>100</v>
      </c>
      <c r="L23" s="495">
        <f t="shared" si="8"/>
        <v>0</v>
      </c>
      <c r="M23" s="495">
        <f t="shared" si="5"/>
        <v>0</v>
      </c>
      <c r="N23" s="498">
        <f t="shared" si="6"/>
        <v>100</v>
      </c>
      <c r="O23" s="494">
        <v>62</v>
      </c>
      <c r="P23" s="495"/>
      <c r="Q23" s="495"/>
      <c r="R23" s="496">
        <f t="shared" si="4"/>
        <v>62</v>
      </c>
      <c r="S23" s="561">
        <v>2</v>
      </c>
      <c r="T23" s="357"/>
      <c r="V23" s="343" t="s">
        <v>1045</v>
      </c>
      <c r="W23" s="334" t="s">
        <v>1063</v>
      </c>
      <c r="X23" s="334" t="s">
        <v>11</v>
      </c>
      <c r="Y23" s="344">
        <v>24</v>
      </c>
      <c r="Z23" s="343" t="s">
        <v>1033</v>
      </c>
      <c r="AA23" s="334" t="s">
        <v>22</v>
      </c>
      <c r="AB23" s="334" t="s">
        <v>11</v>
      </c>
      <c r="AC23" s="334">
        <v>21</v>
      </c>
      <c r="AD23" s="343" t="s">
        <v>1040</v>
      </c>
      <c r="AE23" s="334" t="s">
        <v>863</v>
      </c>
      <c r="AF23" s="334" t="s">
        <v>11</v>
      </c>
      <c r="AG23" s="344">
        <v>17</v>
      </c>
      <c r="AL23" s="343"/>
      <c r="AO23" s="344"/>
      <c r="AP23" s="343"/>
      <c r="AS23" s="344"/>
      <c r="AW23" s="344"/>
      <c r="BA23" s="345"/>
    </row>
    <row r="24" spans="1:53" s="73" customFormat="1">
      <c r="A24" s="73">
        <v>2000</v>
      </c>
      <c r="B24" s="85">
        <v>36650</v>
      </c>
      <c r="C24" s="988" t="s">
        <v>1137</v>
      </c>
      <c r="D24" s="988"/>
      <c r="E24" s="73">
        <v>242</v>
      </c>
      <c r="F24" s="73">
        <v>7</v>
      </c>
      <c r="G24" s="480">
        <v>13</v>
      </c>
      <c r="H24" s="560"/>
      <c r="I24" s="560">
        <v>2</v>
      </c>
      <c r="J24" s="482">
        <v>15</v>
      </c>
      <c r="K24" s="477">
        <f t="shared" si="7"/>
        <v>86.666666666666671</v>
      </c>
      <c r="L24" s="477">
        <f t="shared" si="8"/>
        <v>0</v>
      </c>
      <c r="M24" s="477">
        <f t="shared" si="5"/>
        <v>13.333333333333334</v>
      </c>
      <c r="N24" s="481">
        <f t="shared" si="6"/>
        <v>100</v>
      </c>
      <c r="O24" s="476">
        <v>62</v>
      </c>
      <c r="P24" s="477"/>
      <c r="Q24" s="477">
        <v>8</v>
      </c>
      <c r="R24" s="478">
        <f t="shared" si="4"/>
        <v>70</v>
      </c>
      <c r="S24" s="560">
        <v>3</v>
      </c>
      <c r="T24" s="81"/>
      <c r="U24" s="85">
        <v>36650</v>
      </c>
      <c r="V24" s="82" t="s">
        <v>1045</v>
      </c>
      <c r="W24" s="73" t="s">
        <v>1063</v>
      </c>
      <c r="X24" s="73" t="s">
        <v>11</v>
      </c>
      <c r="Y24" s="83">
        <v>24</v>
      </c>
      <c r="Z24" s="82" t="s">
        <v>1033</v>
      </c>
      <c r="AA24" s="73" t="s">
        <v>22</v>
      </c>
      <c r="AB24" s="73" t="s">
        <v>11</v>
      </c>
      <c r="AC24" s="83">
        <v>21</v>
      </c>
      <c r="AD24" s="82" t="s">
        <v>1040</v>
      </c>
      <c r="AE24" s="73" t="s">
        <v>863</v>
      </c>
      <c r="AF24" s="73" t="s">
        <v>11</v>
      </c>
      <c r="AG24" s="83">
        <v>17</v>
      </c>
      <c r="AH24" s="73" t="s">
        <v>1041</v>
      </c>
      <c r="AI24" s="73" t="s">
        <v>1042</v>
      </c>
      <c r="AJ24" s="73" t="s">
        <v>12</v>
      </c>
      <c r="AK24" s="73">
        <v>8</v>
      </c>
      <c r="AL24" s="82"/>
      <c r="AO24" s="83"/>
      <c r="AP24" s="82"/>
      <c r="AS24" s="83"/>
      <c r="AW24" s="83"/>
      <c r="BA24" s="84"/>
    </row>
    <row r="25" spans="1:53" s="73" customFormat="1">
      <c r="A25" s="73">
        <v>2001</v>
      </c>
      <c r="C25" s="988" t="s">
        <v>1137</v>
      </c>
      <c r="D25" s="988"/>
      <c r="E25" s="73">
        <v>0</v>
      </c>
      <c r="G25" s="480">
        <v>13</v>
      </c>
      <c r="H25" s="560"/>
      <c r="I25" s="560">
        <v>2</v>
      </c>
      <c r="J25" s="482">
        <v>15</v>
      </c>
      <c r="K25" s="477">
        <f t="shared" si="7"/>
        <v>86.666666666666671</v>
      </c>
      <c r="L25" s="477">
        <f t="shared" si="8"/>
        <v>0</v>
      </c>
      <c r="M25" s="477">
        <f t="shared" si="5"/>
        <v>13.333333333333334</v>
      </c>
      <c r="N25" s="481">
        <f t="shared" si="6"/>
        <v>100</v>
      </c>
      <c r="O25" s="476">
        <v>62</v>
      </c>
      <c r="P25" s="477"/>
      <c r="Q25" s="477">
        <v>8</v>
      </c>
      <c r="R25" s="478">
        <f t="shared" si="4"/>
        <v>70</v>
      </c>
      <c r="S25" s="560">
        <v>3</v>
      </c>
      <c r="T25" s="81"/>
      <c r="V25" s="82" t="s">
        <v>1045</v>
      </c>
      <c r="W25" s="73" t="s">
        <v>1063</v>
      </c>
      <c r="X25" s="73" t="s">
        <v>11</v>
      </c>
      <c r="Y25" s="83">
        <v>24</v>
      </c>
      <c r="Z25" s="82" t="s">
        <v>1033</v>
      </c>
      <c r="AA25" s="73" t="s">
        <v>22</v>
      </c>
      <c r="AB25" s="73" t="s">
        <v>11</v>
      </c>
      <c r="AC25" s="83">
        <v>21</v>
      </c>
      <c r="AD25" s="82" t="s">
        <v>1040</v>
      </c>
      <c r="AE25" s="73" t="s">
        <v>863</v>
      </c>
      <c r="AF25" s="73" t="s">
        <v>11</v>
      </c>
      <c r="AG25" s="83">
        <v>17</v>
      </c>
      <c r="AH25" s="73" t="s">
        <v>1041</v>
      </c>
      <c r="AI25" s="73" t="s">
        <v>1042</v>
      </c>
      <c r="AJ25" s="73" t="s">
        <v>12</v>
      </c>
      <c r="AK25" s="73">
        <v>8</v>
      </c>
      <c r="AL25" s="82"/>
      <c r="AO25" s="83"/>
      <c r="AP25" s="82"/>
      <c r="AS25" s="83"/>
      <c r="AW25" s="83"/>
      <c r="BA25" s="84"/>
    </row>
    <row r="26" spans="1:53" s="73" customFormat="1">
      <c r="A26" s="73">
        <v>2001</v>
      </c>
      <c r="C26" s="988" t="s">
        <v>1137</v>
      </c>
      <c r="D26" s="988"/>
      <c r="E26" s="73">
        <v>365</v>
      </c>
      <c r="G26" s="480">
        <v>13</v>
      </c>
      <c r="H26" s="560"/>
      <c r="I26" s="560">
        <v>2</v>
      </c>
      <c r="J26" s="482">
        <v>15</v>
      </c>
      <c r="K26" s="477">
        <f t="shared" si="7"/>
        <v>86.666666666666671</v>
      </c>
      <c r="L26" s="477">
        <f t="shared" si="8"/>
        <v>0</v>
      </c>
      <c r="M26" s="477">
        <f t="shared" si="5"/>
        <v>13.333333333333334</v>
      </c>
      <c r="N26" s="481">
        <f t="shared" si="6"/>
        <v>100</v>
      </c>
      <c r="O26" s="476">
        <v>62</v>
      </c>
      <c r="P26" s="477"/>
      <c r="Q26" s="477">
        <v>8</v>
      </c>
      <c r="R26" s="478">
        <f t="shared" si="4"/>
        <v>70</v>
      </c>
      <c r="S26" s="560">
        <v>3</v>
      </c>
      <c r="T26" s="81"/>
      <c r="V26" s="82" t="s">
        <v>1045</v>
      </c>
      <c r="W26" s="73" t="s">
        <v>1063</v>
      </c>
      <c r="X26" s="73" t="s">
        <v>11</v>
      </c>
      <c r="Y26" s="83">
        <v>24</v>
      </c>
      <c r="Z26" s="82" t="s">
        <v>1033</v>
      </c>
      <c r="AA26" s="73" t="s">
        <v>22</v>
      </c>
      <c r="AB26" s="73" t="s">
        <v>11</v>
      </c>
      <c r="AC26" s="73">
        <v>21</v>
      </c>
      <c r="AD26" s="82" t="s">
        <v>1040</v>
      </c>
      <c r="AE26" s="73" t="s">
        <v>863</v>
      </c>
      <c r="AF26" s="73" t="s">
        <v>11</v>
      </c>
      <c r="AG26" s="83">
        <v>17</v>
      </c>
      <c r="AH26" s="73" t="s">
        <v>1041</v>
      </c>
      <c r="AI26" s="73" t="s">
        <v>1042</v>
      </c>
      <c r="AJ26" s="73" t="s">
        <v>12</v>
      </c>
      <c r="AK26" s="73">
        <v>8</v>
      </c>
      <c r="AL26" s="82"/>
      <c r="AO26" s="83"/>
      <c r="AP26" s="82"/>
      <c r="AS26" s="83"/>
      <c r="AW26" s="83"/>
      <c r="BA26" s="84"/>
    </row>
    <row r="27" spans="1:53" s="73" customFormat="1">
      <c r="A27" s="73">
        <v>2002</v>
      </c>
      <c r="C27" s="988" t="s">
        <v>1137</v>
      </c>
      <c r="D27" s="988"/>
      <c r="E27" s="73">
        <v>308</v>
      </c>
      <c r="G27" s="480">
        <v>13</v>
      </c>
      <c r="H27" s="560"/>
      <c r="I27" s="560">
        <v>2</v>
      </c>
      <c r="J27" s="482">
        <v>15</v>
      </c>
      <c r="K27" s="477">
        <f t="shared" si="7"/>
        <v>86.666666666666671</v>
      </c>
      <c r="L27" s="477">
        <f t="shared" si="8"/>
        <v>0</v>
      </c>
      <c r="M27" s="477">
        <f t="shared" si="5"/>
        <v>13.333333333333334</v>
      </c>
      <c r="N27" s="481">
        <f t="shared" si="6"/>
        <v>100</v>
      </c>
      <c r="O27" s="476">
        <v>62</v>
      </c>
      <c r="P27" s="477"/>
      <c r="Q27" s="477">
        <v>8</v>
      </c>
      <c r="R27" s="478">
        <f t="shared" si="4"/>
        <v>70</v>
      </c>
      <c r="S27" s="560">
        <v>3</v>
      </c>
      <c r="T27" s="81"/>
      <c r="V27" s="82" t="s">
        <v>1045</v>
      </c>
      <c r="W27" s="73" t="s">
        <v>1063</v>
      </c>
      <c r="X27" s="73" t="s">
        <v>11</v>
      </c>
      <c r="Y27" s="83">
        <v>24</v>
      </c>
      <c r="Z27" s="82" t="s">
        <v>1033</v>
      </c>
      <c r="AA27" s="73" t="s">
        <v>22</v>
      </c>
      <c r="AB27" s="73" t="s">
        <v>11</v>
      </c>
      <c r="AC27" s="83">
        <v>21</v>
      </c>
      <c r="AD27" s="82" t="s">
        <v>1040</v>
      </c>
      <c r="AE27" s="73" t="s">
        <v>863</v>
      </c>
      <c r="AF27" s="73" t="s">
        <v>11</v>
      </c>
      <c r="AG27" s="83">
        <v>17</v>
      </c>
      <c r="AH27" s="73" t="s">
        <v>1041</v>
      </c>
      <c r="AI27" s="73" t="s">
        <v>1042</v>
      </c>
      <c r="AJ27" s="73" t="s">
        <v>12</v>
      </c>
      <c r="AK27" s="73">
        <v>8</v>
      </c>
      <c r="AL27" s="82"/>
      <c r="AO27" s="83"/>
      <c r="AP27" s="82"/>
      <c r="AS27" s="83"/>
      <c r="AW27" s="83"/>
      <c r="BA27" s="84"/>
    </row>
    <row r="28" spans="1:53" s="334" customFormat="1">
      <c r="A28" s="334">
        <v>2002</v>
      </c>
      <c r="B28" s="361">
        <v>37565</v>
      </c>
      <c r="C28" s="992" t="s">
        <v>1138</v>
      </c>
      <c r="D28" s="992"/>
      <c r="E28" s="334">
        <v>57</v>
      </c>
      <c r="F28" s="334">
        <v>1</v>
      </c>
      <c r="G28" s="497">
        <v>11</v>
      </c>
      <c r="H28" s="561">
        <v>7</v>
      </c>
      <c r="I28" s="561"/>
      <c r="J28" s="499">
        <v>18</v>
      </c>
      <c r="K28" s="495">
        <f t="shared" si="0"/>
        <v>61.111111111111114</v>
      </c>
      <c r="L28" s="495">
        <f t="shared" si="1"/>
        <v>38.888888888888893</v>
      </c>
      <c r="M28" s="495">
        <f t="shared" si="2"/>
        <v>0</v>
      </c>
      <c r="N28" s="498">
        <f t="shared" si="3"/>
        <v>100</v>
      </c>
      <c r="O28" s="494">
        <v>33</v>
      </c>
      <c r="P28" s="495">
        <v>22</v>
      </c>
      <c r="Q28" s="495"/>
      <c r="R28" s="496">
        <f t="shared" si="4"/>
        <v>55</v>
      </c>
      <c r="S28" s="561">
        <v>2</v>
      </c>
      <c r="T28" s="342">
        <v>37534</v>
      </c>
      <c r="U28" s="361">
        <v>37565</v>
      </c>
      <c r="V28" s="343" t="s">
        <v>1046</v>
      </c>
      <c r="W28" s="334" t="s">
        <v>88</v>
      </c>
      <c r="X28" s="334" t="s">
        <v>11</v>
      </c>
      <c r="Y28" s="344">
        <v>26</v>
      </c>
      <c r="Z28" s="334" t="s">
        <v>1047</v>
      </c>
      <c r="AA28" s="334" t="s">
        <v>945</v>
      </c>
      <c r="AB28" s="334" t="s">
        <v>18</v>
      </c>
      <c r="AC28" s="334">
        <v>12</v>
      </c>
      <c r="AD28" s="343" t="s">
        <v>1040</v>
      </c>
      <c r="AE28" s="334" t="s">
        <v>863</v>
      </c>
      <c r="AF28" s="334" t="s">
        <v>11</v>
      </c>
      <c r="AG28" s="344">
        <v>7</v>
      </c>
      <c r="AH28" s="334" t="s">
        <v>1048</v>
      </c>
      <c r="AI28" s="334" t="s">
        <v>82</v>
      </c>
      <c r="AJ28" s="334" t="s">
        <v>18</v>
      </c>
      <c r="AK28" s="334">
        <v>10</v>
      </c>
      <c r="AL28" s="343"/>
      <c r="AO28" s="344"/>
      <c r="AP28" s="343"/>
      <c r="AS28" s="344"/>
      <c r="AW28" s="344"/>
      <c r="BA28" s="345"/>
    </row>
    <row r="29" spans="1:53" s="334" customFormat="1">
      <c r="A29" s="334">
        <v>2003</v>
      </c>
      <c r="B29" s="358"/>
      <c r="C29" s="992" t="s">
        <v>1138</v>
      </c>
      <c r="D29" s="992"/>
      <c r="E29" s="334">
        <v>0</v>
      </c>
      <c r="G29" s="497">
        <v>11</v>
      </c>
      <c r="H29" s="561">
        <v>7</v>
      </c>
      <c r="I29" s="561"/>
      <c r="J29" s="499">
        <v>18</v>
      </c>
      <c r="K29" s="495">
        <f t="shared" si="0"/>
        <v>61.111111111111114</v>
      </c>
      <c r="L29" s="495">
        <f t="shared" si="1"/>
        <v>38.888888888888893</v>
      </c>
      <c r="M29" s="495">
        <f t="shared" si="2"/>
        <v>0</v>
      </c>
      <c r="N29" s="498">
        <f t="shared" si="3"/>
        <v>100</v>
      </c>
      <c r="O29" s="494">
        <v>33</v>
      </c>
      <c r="P29" s="495">
        <v>22</v>
      </c>
      <c r="Q29" s="495"/>
      <c r="R29" s="496">
        <f t="shared" si="4"/>
        <v>55</v>
      </c>
      <c r="S29" s="561">
        <v>2</v>
      </c>
      <c r="T29" s="357"/>
      <c r="V29" s="343" t="s">
        <v>1046</v>
      </c>
      <c r="W29" s="334" t="s">
        <v>88</v>
      </c>
      <c r="X29" s="334" t="s">
        <v>11</v>
      </c>
      <c r="Y29" s="344">
        <v>26</v>
      </c>
      <c r="Z29" s="334" t="s">
        <v>1047</v>
      </c>
      <c r="AA29" s="334" t="s">
        <v>945</v>
      </c>
      <c r="AB29" s="556" t="s">
        <v>18</v>
      </c>
      <c r="AC29" s="334">
        <v>12</v>
      </c>
      <c r="AD29" s="343" t="s">
        <v>1040</v>
      </c>
      <c r="AE29" s="334" t="s">
        <v>863</v>
      </c>
      <c r="AF29" s="334" t="s">
        <v>11</v>
      </c>
      <c r="AG29" s="344">
        <v>7</v>
      </c>
      <c r="AH29" s="334" t="s">
        <v>1048</v>
      </c>
      <c r="AI29" s="334" t="s">
        <v>82</v>
      </c>
      <c r="AJ29" s="334" t="s">
        <v>18</v>
      </c>
      <c r="AK29" s="334">
        <v>10</v>
      </c>
      <c r="AL29" s="343"/>
      <c r="AO29" s="344"/>
      <c r="AP29" s="343"/>
      <c r="AS29" s="344"/>
      <c r="AW29" s="344"/>
      <c r="BA29" s="345"/>
    </row>
    <row r="30" spans="1:53" s="334" customFormat="1">
      <c r="A30" s="334">
        <v>2003</v>
      </c>
      <c r="B30" s="358"/>
      <c r="C30" s="992" t="s">
        <v>1138</v>
      </c>
      <c r="D30" s="992"/>
      <c r="E30" s="334">
        <v>365</v>
      </c>
      <c r="G30" s="497">
        <v>11</v>
      </c>
      <c r="H30" s="561">
        <v>7</v>
      </c>
      <c r="I30" s="561"/>
      <c r="J30" s="499">
        <v>18</v>
      </c>
      <c r="K30" s="495">
        <f t="shared" si="0"/>
        <v>61.111111111111114</v>
      </c>
      <c r="L30" s="495">
        <f t="shared" si="1"/>
        <v>38.888888888888893</v>
      </c>
      <c r="M30" s="495">
        <f t="shared" si="2"/>
        <v>0</v>
      </c>
      <c r="N30" s="498">
        <f t="shared" si="3"/>
        <v>100</v>
      </c>
      <c r="O30" s="494">
        <v>33</v>
      </c>
      <c r="P30" s="495">
        <v>22</v>
      </c>
      <c r="Q30" s="495"/>
      <c r="R30" s="496">
        <f t="shared" si="4"/>
        <v>55</v>
      </c>
      <c r="S30" s="561">
        <v>2</v>
      </c>
      <c r="T30" s="357"/>
      <c r="V30" s="343" t="s">
        <v>1046</v>
      </c>
      <c r="W30" s="334" t="s">
        <v>88</v>
      </c>
      <c r="X30" s="334" t="s">
        <v>11</v>
      </c>
      <c r="Y30" s="344">
        <v>26</v>
      </c>
      <c r="Z30" s="334" t="s">
        <v>1047</v>
      </c>
      <c r="AA30" s="334" t="s">
        <v>945</v>
      </c>
      <c r="AB30" s="556" t="s">
        <v>18</v>
      </c>
      <c r="AC30" s="334">
        <v>12</v>
      </c>
      <c r="AD30" s="343" t="s">
        <v>1040</v>
      </c>
      <c r="AE30" s="334" t="s">
        <v>863</v>
      </c>
      <c r="AF30" s="334" t="s">
        <v>11</v>
      </c>
      <c r="AG30" s="344">
        <v>7</v>
      </c>
      <c r="AH30" s="334" t="s">
        <v>1048</v>
      </c>
      <c r="AI30" s="334" t="s">
        <v>82</v>
      </c>
      <c r="AJ30" s="334" t="s">
        <v>18</v>
      </c>
      <c r="AK30" s="334">
        <v>10</v>
      </c>
      <c r="AL30" s="343"/>
      <c r="AO30" s="344"/>
      <c r="AP30" s="343"/>
      <c r="AS30" s="344"/>
      <c r="AW30" s="344"/>
      <c r="BA30" s="345"/>
    </row>
    <row r="31" spans="1:53" s="334" customFormat="1">
      <c r="A31" s="334">
        <v>2004</v>
      </c>
      <c r="B31" s="358"/>
      <c r="C31" s="992" t="s">
        <v>1138</v>
      </c>
      <c r="D31" s="992"/>
      <c r="E31" s="334">
        <v>68</v>
      </c>
      <c r="G31" s="497">
        <v>11</v>
      </c>
      <c r="H31" s="561">
        <v>7</v>
      </c>
      <c r="I31" s="561"/>
      <c r="J31" s="499">
        <v>18</v>
      </c>
      <c r="K31" s="495">
        <f>G31/J31*100</f>
        <v>61.111111111111114</v>
      </c>
      <c r="L31" s="495">
        <f>H31/J31*100</f>
        <v>38.888888888888893</v>
      </c>
      <c r="M31" s="495">
        <f>I31/J31*100</f>
        <v>0</v>
      </c>
      <c r="N31" s="498">
        <f t="shared" si="3"/>
        <v>100</v>
      </c>
      <c r="O31" s="494">
        <v>33</v>
      </c>
      <c r="P31" s="495">
        <v>22</v>
      </c>
      <c r="Q31" s="495"/>
      <c r="R31" s="496">
        <f t="shared" si="4"/>
        <v>55</v>
      </c>
      <c r="S31" s="561">
        <v>2</v>
      </c>
      <c r="T31" s="357"/>
      <c r="V31" s="343" t="s">
        <v>1046</v>
      </c>
      <c r="W31" s="334" t="s">
        <v>88</v>
      </c>
      <c r="X31" s="334" t="s">
        <v>11</v>
      </c>
      <c r="Y31" s="344">
        <v>26</v>
      </c>
      <c r="Z31" s="334" t="s">
        <v>1047</v>
      </c>
      <c r="AA31" s="334" t="s">
        <v>945</v>
      </c>
      <c r="AB31" s="556" t="s">
        <v>18</v>
      </c>
      <c r="AC31" s="334">
        <v>12</v>
      </c>
      <c r="AD31" s="343" t="s">
        <v>1040</v>
      </c>
      <c r="AE31" s="334" t="s">
        <v>863</v>
      </c>
      <c r="AF31" s="334" t="s">
        <v>11</v>
      </c>
      <c r="AG31" s="344">
        <v>7</v>
      </c>
      <c r="AH31" s="334" t="s">
        <v>1048</v>
      </c>
      <c r="AI31" s="334" t="s">
        <v>82</v>
      </c>
      <c r="AJ31" s="334" t="s">
        <v>18</v>
      </c>
      <c r="AK31" s="334">
        <v>10</v>
      </c>
      <c r="AL31" s="343"/>
      <c r="AO31" s="344"/>
      <c r="AP31" s="343"/>
      <c r="AS31" s="344"/>
      <c r="AW31" s="344"/>
      <c r="BA31" s="345"/>
    </row>
    <row r="32" spans="1:53" s="73" customFormat="1">
      <c r="A32" s="73">
        <v>2004</v>
      </c>
      <c r="B32" s="121">
        <v>38055</v>
      </c>
      <c r="C32" s="988" t="s">
        <v>1049</v>
      </c>
      <c r="D32" s="988"/>
      <c r="E32" s="73">
        <v>268</v>
      </c>
      <c r="F32" s="73">
        <v>2</v>
      </c>
      <c r="G32" s="480">
        <v>5</v>
      </c>
      <c r="H32" s="560">
        <v>11</v>
      </c>
      <c r="I32" s="560"/>
      <c r="J32" s="482">
        <v>18</v>
      </c>
      <c r="K32" s="477">
        <f t="shared" si="0"/>
        <v>27.777777777777779</v>
      </c>
      <c r="L32" s="477">
        <f t="shared" si="1"/>
        <v>61.111111111111114</v>
      </c>
      <c r="M32" s="477">
        <f t="shared" si="2"/>
        <v>0</v>
      </c>
      <c r="N32" s="481">
        <f t="shared" si="3"/>
        <v>88.888888888888886</v>
      </c>
      <c r="O32" s="476">
        <v>20</v>
      </c>
      <c r="P32" s="477">
        <v>22</v>
      </c>
      <c r="Q32" s="477"/>
      <c r="R32" s="478">
        <f t="shared" si="4"/>
        <v>42</v>
      </c>
      <c r="S32" s="560">
        <v>5</v>
      </c>
      <c r="T32" s="81"/>
      <c r="U32" s="121">
        <v>38055</v>
      </c>
      <c r="V32" s="82" t="s">
        <v>1045</v>
      </c>
      <c r="W32" s="73" t="s">
        <v>1063</v>
      </c>
      <c r="X32" s="73" t="s">
        <v>11</v>
      </c>
      <c r="Y32" s="83">
        <v>20</v>
      </c>
      <c r="Z32" s="73" t="s">
        <v>1047</v>
      </c>
      <c r="AA32" s="73" t="s">
        <v>945</v>
      </c>
      <c r="AB32" s="73" t="s">
        <v>18</v>
      </c>
      <c r="AC32" s="73">
        <v>12</v>
      </c>
      <c r="AD32" s="82" t="s">
        <v>1048</v>
      </c>
      <c r="AE32" s="73" t="s">
        <v>82</v>
      </c>
      <c r="AF32" s="73" t="s">
        <v>18</v>
      </c>
      <c r="AG32" s="83">
        <v>10</v>
      </c>
      <c r="AL32" s="82"/>
      <c r="AO32" s="83"/>
      <c r="AP32" s="82"/>
      <c r="AS32" s="83"/>
      <c r="AW32" s="83"/>
      <c r="BA32" s="84"/>
    </row>
    <row r="33" spans="1:53" s="334" customFormat="1">
      <c r="A33" s="334">
        <v>2004</v>
      </c>
      <c r="B33" s="335">
        <v>38323</v>
      </c>
      <c r="C33" s="992" t="s">
        <v>1139</v>
      </c>
      <c r="D33" s="992"/>
      <c r="E33" s="334">
        <v>30</v>
      </c>
      <c r="F33" s="334">
        <v>7</v>
      </c>
      <c r="G33" s="497">
        <v>12</v>
      </c>
      <c r="H33" s="561">
        <v>6</v>
      </c>
      <c r="I33" s="561"/>
      <c r="J33" s="499">
        <v>18</v>
      </c>
      <c r="K33" s="495">
        <f t="shared" si="0"/>
        <v>66.666666666666657</v>
      </c>
      <c r="L33" s="495">
        <f t="shared" si="1"/>
        <v>33.333333333333329</v>
      </c>
      <c r="M33" s="495">
        <f t="shared" si="2"/>
        <v>0</v>
      </c>
      <c r="N33" s="498">
        <f t="shared" si="3"/>
        <v>99.999999999999986</v>
      </c>
      <c r="O33" s="494">
        <v>46</v>
      </c>
      <c r="P33" s="495">
        <v>22</v>
      </c>
      <c r="Q33" s="495"/>
      <c r="R33" s="496">
        <f t="shared" si="4"/>
        <v>68</v>
      </c>
      <c r="S33" s="561">
        <v>3</v>
      </c>
      <c r="T33" s="357"/>
      <c r="U33" s="335">
        <v>38323</v>
      </c>
      <c r="V33" s="343" t="s">
        <v>1046</v>
      </c>
      <c r="W33" s="334" t="s">
        <v>88</v>
      </c>
      <c r="X33" s="334" t="s">
        <v>11</v>
      </c>
      <c r="Y33" s="344">
        <v>26</v>
      </c>
      <c r="Z33" s="343" t="s">
        <v>1045</v>
      </c>
      <c r="AA33" s="334" t="s">
        <v>1063</v>
      </c>
      <c r="AB33" s="334" t="s">
        <v>11</v>
      </c>
      <c r="AC33" s="334">
        <v>20</v>
      </c>
      <c r="AD33" s="343" t="s">
        <v>1047</v>
      </c>
      <c r="AE33" s="334" t="s">
        <v>945</v>
      </c>
      <c r="AF33" s="334" t="s">
        <v>18</v>
      </c>
      <c r="AG33" s="344">
        <v>12</v>
      </c>
      <c r="AH33" s="334" t="s">
        <v>1048</v>
      </c>
      <c r="AI33" s="334" t="s">
        <v>82</v>
      </c>
      <c r="AJ33" s="334" t="s">
        <v>18</v>
      </c>
      <c r="AK33" s="334">
        <v>10</v>
      </c>
      <c r="AL33" s="343"/>
      <c r="AO33" s="344"/>
      <c r="AP33" s="343"/>
      <c r="AS33" s="344"/>
      <c r="AW33" s="344"/>
      <c r="BA33" s="345"/>
    </row>
    <row r="34" spans="1:53" s="334" customFormat="1">
      <c r="A34" s="334">
        <v>2005</v>
      </c>
      <c r="B34" s="358"/>
      <c r="C34" s="992" t="s">
        <v>1139</v>
      </c>
      <c r="D34" s="992"/>
      <c r="E34" s="334">
        <v>0</v>
      </c>
      <c r="G34" s="497">
        <v>12</v>
      </c>
      <c r="H34" s="561">
        <v>6</v>
      </c>
      <c r="I34" s="561"/>
      <c r="J34" s="499">
        <v>18</v>
      </c>
      <c r="K34" s="495">
        <f t="shared" si="0"/>
        <v>66.666666666666657</v>
      </c>
      <c r="L34" s="495">
        <f t="shared" si="1"/>
        <v>33.333333333333329</v>
      </c>
      <c r="M34" s="495">
        <f t="shared" si="2"/>
        <v>0</v>
      </c>
      <c r="N34" s="498">
        <f t="shared" si="3"/>
        <v>99.999999999999986</v>
      </c>
      <c r="O34" s="494">
        <v>46</v>
      </c>
      <c r="P34" s="495">
        <v>22</v>
      </c>
      <c r="Q34" s="495"/>
      <c r="R34" s="496">
        <f t="shared" si="4"/>
        <v>68</v>
      </c>
      <c r="S34" s="561">
        <v>3</v>
      </c>
      <c r="T34" s="357"/>
      <c r="V34" s="343" t="s">
        <v>1046</v>
      </c>
      <c r="W34" s="334" t="s">
        <v>88</v>
      </c>
      <c r="X34" s="334" t="s">
        <v>11</v>
      </c>
      <c r="Y34" s="344">
        <v>26</v>
      </c>
      <c r="Z34" s="334" t="s">
        <v>1045</v>
      </c>
      <c r="AA34" s="334" t="s">
        <v>1063</v>
      </c>
      <c r="AB34" s="334" t="s">
        <v>11</v>
      </c>
      <c r="AC34" s="334">
        <v>20</v>
      </c>
      <c r="AD34" s="343" t="s">
        <v>1047</v>
      </c>
      <c r="AE34" s="334" t="s">
        <v>945</v>
      </c>
      <c r="AF34" s="556" t="s">
        <v>18</v>
      </c>
      <c r="AG34" s="344">
        <v>12</v>
      </c>
      <c r="AH34" s="334" t="s">
        <v>1048</v>
      </c>
      <c r="AI34" s="334" t="s">
        <v>82</v>
      </c>
      <c r="AJ34" s="334" t="s">
        <v>18</v>
      </c>
      <c r="AK34" s="334">
        <v>10</v>
      </c>
      <c r="AL34" s="343"/>
      <c r="AO34" s="344"/>
      <c r="AP34" s="343"/>
      <c r="AS34" s="344"/>
      <c r="AW34" s="344"/>
      <c r="BA34" s="345"/>
    </row>
    <row r="35" spans="1:53" s="334" customFormat="1">
      <c r="A35" s="334">
        <v>2005</v>
      </c>
      <c r="B35" s="358"/>
      <c r="C35" s="992" t="s">
        <v>1139</v>
      </c>
      <c r="D35" s="992"/>
      <c r="E35" s="334">
        <v>365</v>
      </c>
      <c r="G35" s="497">
        <v>12</v>
      </c>
      <c r="H35" s="561">
        <v>6</v>
      </c>
      <c r="I35" s="561"/>
      <c r="J35" s="499">
        <v>18</v>
      </c>
      <c r="K35" s="495">
        <f t="shared" si="0"/>
        <v>66.666666666666657</v>
      </c>
      <c r="L35" s="495">
        <f t="shared" si="1"/>
        <v>33.333333333333329</v>
      </c>
      <c r="M35" s="495">
        <f t="shared" si="2"/>
        <v>0</v>
      </c>
      <c r="N35" s="498">
        <f t="shared" si="3"/>
        <v>99.999999999999986</v>
      </c>
      <c r="O35" s="494">
        <v>46</v>
      </c>
      <c r="P35" s="495">
        <v>22</v>
      </c>
      <c r="Q35" s="495"/>
      <c r="R35" s="496">
        <f t="shared" si="4"/>
        <v>68</v>
      </c>
      <c r="S35" s="561">
        <v>3</v>
      </c>
      <c r="T35" s="357"/>
      <c r="V35" s="343" t="s">
        <v>1046</v>
      </c>
      <c r="W35" s="334" t="s">
        <v>88</v>
      </c>
      <c r="X35" s="334" t="s">
        <v>11</v>
      </c>
      <c r="Y35" s="344">
        <v>26</v>
      </c>
      <c r="Z35" s="343" t="s">
        <v>1045</v>
      </c>
      <c r="AA35" s="334" t="s">
        <v>1063</v>
      </c>
      <c r="AB35" s="334" t="s">
        <v>11</v>
      </c>
      <c r="AC35" s="334">
        <v>20</v>
      </c>
      <c r="AD35" s="343" t="s">
        <v>1047</v>
      </c>
      <c r="AE35" s="334" t="s">
        <v>945</v>
      </c>
      <c r="AF35" s="556" t="s">
        <v>18</v>
      </c>
      <c r="AG35" s="344">
        <v>12</v>
      </c>
      <c r="AH35" s="334" t="s">
        <v>1048</v>
      </c>
      <c r="AI35" s="334" t="s">
        <v>82</v>
      </c>
      <c r="AJ35" s="334" t="s">
        <v>18</v>
      </c>
      <c r="AK35" s="334">
        <v>10</v>
      </c>
      <c r="AL35" s="343"/>
      <c r="AO35" s="344"/>
      <c r="AP35" s="343"/>
      <c r="AS35" s="344"/>
      <c r="AW35" s="344"/>
      <c r="BA35" s="345"/>
    </row>
    <row r="36" spans="1:53" s="334" customFormat="1">
      <c r="A36" s="334">
        <v>2006</v>
      </c>
      <c r="B36" s="358"/>
      <c r="C36" s="992" t="s">
        <v>1139</v>
      </c>
      <c r="D36" s="992"/>
      <c r="E36" s="334">
        <v>97</v>
      </c>
      <c r="G36" s="497">
        <v>12</v>
      </c>
      <c r="H36" s="561">
        <v>6</v>
      </c>
      <c r="I36" s="561"/>
      <c r="J36" s="499">
        <v>18</v>
      </c>
      <c r="K36" s="495">
        <f>G36/J36*100</f>
        <v>66.666666666666657</v>
      </c>
      <c r="L36" s="495">
        <f>H36/J36*100</f>
        <v>33.333333333333329</v>
      </c>
      <c r="M36" s="495">
        <f>I36/J36*100</f>
        <v>0</v>
      </c>
      <c r="N36" s="498">
        <f t="shared" si="3"/>
        <v>99.999999999999986</v>
      </c>
      <c r="O36" s="494">
        <v>46</v>
      </c>
      <c r="P36" s="495">
        <v>22</v>
      </c>
      <c r="Q36" s="495"/>
      <c r="R36" s="496">
        <f t="shared" si="4"/>
        <v>68</v>
      </c>
      <c r="S36" s="561">
        <v>3</v>
      </c>
      <c r="T36" s="357"/>
      <c r="V36" s="343" t="s">
        <v>1046</v>
      </c>
      <c r="W36" s="334" t="s">
        <v>88</v>
      </c>
      <c r="X36" s="334" t="s">
        <v>11</v>
      </c>
      <c r="Y36" s="344">
        <v>26</v>
      </c>
      <c r="Z36" s="334" t="s">
        <v>1045</v>
      </c>
      <c r="AA36" s="334" t="s">
        <v>1063</v>
      </c>
      <c r="AB36" s="334" t="s">
        <v>11</v>
      </c>
      <c r="AC36" s="334">
        <v>20</v>
      </c>
      <c r="AD36" s="343" t="s">
        <v>1047</v>
      </c>
      <c r="AE36" s="334" t="s">
        <v>945</v>
      </c>
      <c r="AF36" s="556" t="s">
        <v>18</v>
      </c>
      <c r="AG36" s="344">
        <v>12</v>
      </c>
      <c r="AH36" s="334" t="s">
        <v>1048</v>
      </c>
      <c r="AI36" s="334" t="s">
        <v>82</v>
      </c>
      <c r="AJ36" s="334" t="s">
        <v>18</v>
      </c>
      <c r="AK36" s="334">
        <v>10</v>
      </c>
      <c r="AL36" s="343"/>
      <c r="AO36" s="344"/>
      <c r="AP36" s="343"/>
      <c r="AS36" s="344"/>
      <c r="AW36" s="344"/>
      <c r="BA36" s="345"/>
    </row>
    <row r="37" spans="1:53" s="73" customFormat="1">
      <c r="A37" s="73">
        <v>2006</v>
      </c>
      <c r="B37" s="121">
        <v>38815</v>
      </c>
      <c r="C37" s="988" t="s">
        <v>1140</v>
      </c>
      <c r="D37" s="988"/>
      <c r="E37" s="73">
        <v>213</v>
      </c>
      <c r="F37" s="73">
        <v>4</v>
      </c>
      <c r="G37" s="480">
        <v>9</v>
      </c>
      <c r="H37" s="560">
        <v>9</v>
      </c>
      <c r="I37" s="560"/>
      <c r="J37" s="482">
        <v>18</v>
      </c>
      <c r="K37" s="477">
        <f t="shared" si="0"/>
        <v>50</v>
      </c>
      <c r="L37" s="477">
        <f t="shared" si="1"/>
        <v>50</v>
      </c>
      <c r="M37" s="477">
        <f t="shared" si="2"/>
        <v>0</v>
      </c>
      <c r="N37" s="481">
        <f t="shared" si="3"/>
        <v>100</v>
      </c>
      <c r="O37" s="476">
        <v>20</v>
      </c>
      <c r="P37" s="477">
        <v>22</v>
      </c>
      <c r="Q37" s="477"/>
      <c r="R37" s="478">
        <f t="shared" si="4"/>
        <v>42</v>
      </c>
      <c r="S37" s="560">
        <v>5</v>
      </c>
      <c r="T37" s="81"/>
      <c r="U37" s="121">
        <v>38815</v>
      </c>
      <c r="V37" s="82" t="s">
        <v>1045</v>
      </c>
      <c r="W37" s="73" t="s">
        <v>1063</v>
      </c>
      <c r="X37" s="73" t="s">
        <v>11</v>
      </c>
      <c r="Y37" s="83">
        <v>20</v>
      </c>
      <c r="Z37" s="73" t="s">
        <v>1047</v>
      </c>
      <c r="AA37" s="73" t="s">
        <v>945</v>
      </c>
      <c r="AB37" s="73" t="s">
        <v>18</v>
      </c>
      <c r="AC37" s="73">
        <v>12</v>
      </c>
      <c r="AD37" s="82" t="s">
        <v>1048</v>
      </c>
      <c r="AE37" s="73" t="s">
        <v>82</v>
      </c>
      <c r="AF37" s="73" t="s">
        <v>18</v>
      </c>
      <c r="AG37" s="83">
        <v>10</v>
      </c>
      <c r="AH37" s="82" t="s">
        <v>1033</v>
      </c>
      <c r="AI37" s="73" t="s">
        <v>22</v>
      </c>
      <c r="AJ37" s="73" t="s">
        <v>11</v>
      </c>
      <c r="AK37" s="73">
        <v>0</v>
      </c>
      <c r="AL37" s="82"/>
      <c r="AO37" s="83"/>
      <c r="AP37" s="82"/>
      <c r="AS37" s="83"/>
      <c r="AW37" s="83"/>
      <c r="BA37" s="84"/>
    </row>
    <row r="38" spans="1:53" s="334" customFormat="1">
      <c r="A38" s="334">
        <v>2006</v>
      </c>
      <c r="B38" s="335">
        <v>39028</v>
      </c>
      <c r="C38" s="992" t="s">
        <v>1141</v>
      </c>
      <c r="D38" s="992"/>
      <c r="E38" s="334">
        <v>55</v>
      </c>
      <c r="F38" s="334">
        <v>1</v>
      </c>
      <c r="G38" s="497">
        <v>9</v>
      </c>
      <c r="H38" s="561">
        <v>9</v>
      </c>
      <c r="I38" s="561"/>
      <c r="J38" s="499">
        <v>18</v>
      </c>
      <c r="K38" s="495">
        <f t="shared" si="0"/>
        <v>50</v>
      </c>
      <c r="L38" s="495">
        <f t="shared" si="1"/>
        <v>50</v>
      </c>
      <c r="M38" s="495">
        <f t="shared" si="2"/>
        <v>0</v>
      </c>
      <c r="N38" s="498">
        <f t="shared" si="3"/>
        <v>100</v>
      </c>
      <c r="O38" s="494">
        <v>31</v>
      </c>
      <c r="P38" s="495">
        <v>28</v>
      </c>
      <c r="Q38" s="495"/>
      <c r="R38" s="496">
        <f t="shared" si="4"/>
        <v>59</v>
      </c>
      <c r="S38" s="561">
        <v>3</v>
      </c>
      <c r="T38" s="342">
        <v>38997</v>
      </c>
      <c r="U38" s="335">
        <v>39028</v>
      </c>
      <c r="V38" s="343" t="s">
        <v>1045</v>
      </c>
      <c r="W38" s="334" t="s">
        <v>1063</v>
      </c>
      <c r="X38" s="334" t="s">
        <v>11</v>
      </c>
      <c r="Y38" s="344">
        <v>23</v>
      </c>
      <c r="Z38" s="334" t="s">
        <v>1047</v>
      </c>
      <c r="AA38" s="334" t="s">
        <v>945</v>
      </c>
      <c r="AB38" s="334" t="s">
        <v>18</v>
      </c>
      <c r="AC38" s="334">
        <v>18</v>
      </c>
      <c r="AD38" s="343" t="s">
        <v>1051</v>
      </c>
      <c r="AE38" s="334" t="s">
        <v>1050</v>
      </c>
      <c r="AF38" s="334" t="s">
        <v>18</v>
      </c>
      <c r="AG38" s="344">
        <v>10</v>
      </c>
      <c r="AH38" s="343" t="s">
        <v>1040</v>
      </c>
      <c r="AI38" s="334" t="s">
        <v>863</v>
      </c>
      <c r="AJ38" s="334" t="s">
        <v>11</v>
      </c>
      <c r="AK38" s="334">
        <v>8</v>
      </c>
      <c r="AL38" s="343"/>
      <c r="AO38" s="344"/>
      <c r="AP38" s="343"/>
      <c r="AS38" s="344"/>
      <c r="AW38" s="344"/>
      <c r="BA38" s="345"/>
    </row>
    <row r="39" spans="1:53" s="334" customFormat="1">
      <c r="A39" s="334">
        <v>2007</v>
      </c>
      <c r="B39" s="358"/>
      <c r="C39" s="992" t="s">
        <v>1141</v>
      </c>
      <c r="D39" s="992"/>
      <c r="E39" s="334">
        <v>353</v>
      </c>
      <c r="G39" s="497">
        <v>9</v>
      </c>
      <c r="H39" s="561">
        <v>9</v>
      </c>
      <c r="I39" s="561"/>
      <c r="J39" s="499">
        <v>18</v>
      </c>
      <c r="K39" s="495">
        <f t="shared" si="0"/>
        <v>50</v>
      </c>
      <c r="L39" s="495">
        <f t="shared" si="1"/>
        <v>50</v>
      </c>
      <c r="M39" s="495">
        <f t="shared" si="2"/>
        <v>0</v>
      </c>
      <c r="N39" s="498">
        <f t="shared" si="3"/>
        <v>100</v>
      </c>
      <c r="O39" s="494">
        <v>31</v>
      </c>
      <c r="P39" s="495">
        <v>28</v>
      </c>
      <c r="Q39" s="495"/>
      <c r="R39" s="496">
        <f t="shared" si="4"/>
        <v>59</v>
      </c>
      <c r="S39" s="561">
        <v>3</v>
      </c>
      <c r="T39" s="357"/>
      <c r="V39" s="343" t="s">
        <v>1045</v>
      </c>
      <c r="W39" s="334" t="s">
        <v>1063</v>
      </c>
      <c r="X39" s="334" t="s">
        <v>11</v>
      </c>
      <c r="Y39" s="344">
        <v>23</v>
      </c>
      <c r="Z39" s="334" t="s">
        <v>1047</v>
      </c>
      <c r="AA39" s="334" t="s">
        <v>945</v>
      </c>
      <c r="AB39" s="334" t="s">
        <v>18</v>
      </c>
      <c r="AC39" s="334">
        <v>18</v>
      </c>
      <c r="AD39" s="343" t="s">
        <v>1051</v>
      </c>
      <c r="AE39" s="334" t="s">
        <v>1050</v>
      </c>
      <c r="AF39" s="334" t="s">
        <v>18</v>
      </c>
      <c r="AG39" s="344">
        <v>10</v>
      </c>
      <c r="AH39" s="343" t="s">
        <v>1040</v>
      </c>
      <c r="AI39" s="334" t="s">
        <v>863</v>
      </c>
      <c r="AJ39" s="334" t="s">
        <v>11</v>
      </c>
      <c r="AK39" s="334">
        <v>8</v>
      </c>
      <c r="AL39" s="343"/>
      <c r="AO39" s="344"/>
      <c r="AP39" s="343"/>
      <c r="AS39" s="344"/>
      <c r="AW39" s="344"/>
      <c r="BA39" s="345"/>
    </row>
    <row r="40" spans="1:53" s="73" customFormat="1">
      <c r="A40" s="73">
        <v>2007</v>
      </c>
      <c r="B40" s="121">
        <v>39436</v>
      </c>
      <c r="C40" s="988" t="s">
        <v>1052</v>
      </c>
      <c r="D40" s="988"/>
      <c r="E40" s="73">
        <v>12</v>
      </c>
      <c r="F40" s="73">
        <v>2</v>
      </c>
      <c r="G40" s="480">
        <v>10</v>
      </c>
      <c r="H40" s="560">
        <v>9</v>
      </c>
      <c r="I40" s="560"/>
      <c r="J40" s="482">
        <v>19</v>
      </c>
      <c r="K40" s="477">
        <f t="shared" si="0"/>
        <v>52.631578947368418</v>
      </c>
      <c r="L40" s="477">
        <f t="shared" si="1"/>
        <v>47.368421052631575</v>
      </c>
      <c r="M40" s="477">
        <f t="shared" si="2"/>
        <v>0</v>
      </c>
      <c r="N40" s="481">
        <f t="shared" si="3"/>
        <v>100</v>
      </c>
      <c r="O40" s="476">
        <v>31</v>
      </c>
      <c r="P40" s="477">
        <v>28</v>
      </c>
      <c r="Q40" s="477"/>
      <c r="R40" s="478">
        <f t="shared" si="4"/>
        <v>59</v>
      </c>
      <c r="S40" s="560">
        <v>3</v>
      </c>
      <c r="T40" s="81"/>
      <c r="U40" s="121">
        <v>39436</v>
      </c>
      <c r="V40" s="82" t="s">
        <v>1045</v>
      </c>
      <c r="W40" s="73" t="s">
        <v>1063</v>
      </c>
      <c r="X40" s="73" t="s">
        <v>11</v>
      </c>
      <c r="Y40" s="83">
        <v>23</v>
      </c>
      <c r="Z40" s="73" t="s">
        <v>1047</v>
      </c>
      <c r="AA40" s="73" t="s">
        <v>945</v>
      </c>
      <c r="AB40" s="73" t="s">
        <v>18</v>
      </c>
      <c r="AC40" s="73">
        <v>18</v>
      </c>
      <c r="AD40" s="82" t="s">
        <v>1051</v>
      </c>
      <c r="AE40" s="73" t="s">
        <v>1050</v>
      </c>
      <c r="AF40" s="73" t="s">
        <v>18</v>
      </c>
      <c r="AG40" s="83">
        <v>10</v>
      </c>
      <c r="AH40" s="82" t="s">
        <v>1040</v>
      </c>
      <c r="AI40" s="73" t="s">
        <v>863</v>
      </c>
      <c r="AJ40" s="73" t="s">
        <v>11</v>
      </c>
      <c r="AK40" s="73">
        <v>8</v>
      </c>
      <c r="AL40" s="82"/>
      <c r="AO40" s="83"/>
      <c r="AP40" s="82"/>
      <c r="AS40" s="83"/>
      <c r="AW40" s="83"/>
      <c r="BA40" s="84"/>
    </row>
    <row r="41" spans="1:53" s="73" customFormat="1">
      <c r="A41" s="73">
        <v>2008</v>
      </c>
      <c r="B41" s="122"/>
      <c r="C41" s="988" t="s">
        <v>1052</v>
      </c>
      <c r="D41" s="988"/>
      <c r="E41" s="73">
        <v>0</v>
      </c>
      <c r="G41" s="480">
        <v>10</v>
      </c>
      <c r="H41" s="560">
        <v>9</v>
      </c>
      <c r="I41" s="560"/>
      <c r="J41" s="482">
        <v>19</v>
      </c>
      <c r="K41" s="477">
        <f t="shared" si="0"/>
        <v>52.631578947368418</v>
      </c>
      <c r="L41" s="477">
        <f t="shared" si="1"/>
        <v>47.368421052631575</v>
      </c>
      <c r="M41" s="477">
        <f t="shared" si="2"/>
        <v>0</v>
      </c>
      <c r="N41" s="481">
        <f t="shared" si="3"/>
        <v>100</v>
      </c>
      <c r="O41" s="476">
        <v>31</v>
      </c>
      <c r="P41" s="477">
        <v>28</v>
      </c>
      <c r="Q41" s="477"/>
      <c r="R41" s="478">
        <f t="shared" si="4"/>
        <v>59</v>
      </c>
      <c r="S41" s="560">
        <v>3</v>
      </c>
      <c r="T41" s="81"/>
      <c r="V41" s="82" t="s">
        <v>1045</v>
      </c>
      <c r="W41" s="73" t="s">
        <v>1063</v>
      </c>
      <c r="X41" s="73" t="s">
        <v>11</v>
      </c>
      <c r="Y41" s="83">
        <v>23</v>
      </c>
      <c r="Z41" s="73" t="s">
        <v>1047</v>
      </c>
      <c r="AA41" s="73" t="s">
        <v>945</v>
      </c>
      <c r="AB41" s="555" t="s">
        <v>18</v>
      </c>
      <c r="AC41" s="73">
        <v>18</v>
      </c>
      <c r="AD41" s="82" t="s">
        <v>1051</v>
      </c>
      <c r="AE41" s="73" t="s">
        <v>1050</v>
      </c>
      <c r="AF41" s="73" t="s">
        <v>18</v>
      </c>
      <c r="AG41" s="83">
        <v>10</v>
      </c>
      <c r="AH41" s="73" t="s">
        <v>1040</v>
      </c>
      <c r="AI41" s="73" t="s">
        <v>863</v>
      </c>
      <c r="AJ41" s="73" t="s">
        <v>11</v>
      </c>
      <c r="AK41" s="73">
        <v>8</v>
      </c>
      <c r="AL41" s="82"/>
      <c r="AO41" s="83"/>
      <c r="AP41" s="82"/>
      <c r="AS41" s="83"/>
      <c r="AW41" s="83"/>
      <c r="BA41" s="84"/>
    </row>
    <row r="42" spans="1:53" s="73" customFormat="1">
      <c r="A42" s="73">
        <v>2008</v>
      </c>
      <c r="B42" s="122"/>
      <c r="C42" s="988" t="s">
        <v>1052</v>
      </c>
      <c r="D42" s="988"/>
      <c r="E42" s="73">
        <v>366</v>
      </c>
      <c r="G42" s="480">
        <v>10</v>
      </c>
      <c r="H42" s="560">
        <v>9</v>
      </c>
      <c r="I42" s="560"/>
      <c r="J42" s="482">
        <v>19</v>
      </c>
      <c r="K42" s="477">
        <f t="shared" si="0"/>
        <v>52.631578947368418</v>
      </c>
      <c r="L42" s="477">
        <f t="shared" si="1"/>
        <v>47.368421052631575</v>
      </c>
      <c r="M42" s="477">
        <f t="shared" si="2"/>
        <v>0</v>
      </c>
      <c r="N42" s="481">
        <f t="shared" si="3"/>
        <v>100</v>
      </c>
      <c r="O42" s="476">
        <v>31</v>
      </c>
      <c r="P42" s="477">
        <v>28</v>
      </c>
      <c r="Q42" s="477"/>
      <c r="R42" s="478">
        <f t="shared" si="4"/>
        <v>59</v>
      </c>
      <c r="S42" s="560">
        <v>3</v>
      </c>
      <c r="T42" s="81"/>
      <c r="V42" s="82" t="s">
        <v>1045</v>
      </c>
      <c r="W42" s="73" t="s">
        <v>1063</v>
      </c>
      <c r="X42" s="73" t="s">
        <v>11</v>
      </c>
      <c r="Y42" s="83">
        <v>23</v>
      </c>
      <c r="Z42" s="73" t="s">
        <v>1047</v>
      </c>
      <c r="AA42" s="73" t="s">
        <v>945</v>
      </c>
      <c r="AB42" s="555" t="s">
        <v>18</v>
      </c>
      <c r="AC42" s="73">
        <v>18</v>
      </c>
      <c r="AD42" s="82" t="s">
        <v>1051</v>
      </c>
      <c r="AE42" s="73" t="s">
        <v>1050</v>
      </c>
      <c r="AF42" s="73" t="s">
        <v>18</v>
      </c>
      <c r="AG42" s="83">
        <v>10</v>
      </c>
      <c r="AH42" s="82" t="s">
        <v>1040</v>
      </c>
      <c r="AI42" s="73" t="s">
        <v>863</v>
      </c>
      <c r="AJ42" s="73" t="s">
        <v>11</v>
      </c>
      <c r="AK42" s="73">
        <v>8</v>
      </c>
      <c r="AL42" s="82"/>
      <c r="AO42" s="83"/>
      <c r="AP42" s="82"/>
      <c r="AS42" s="83"/>
      <c r="AW42" s="83"/>
      <c r="BA42" s="84"/>
    </row>
    <row r="43" spans="1:53" s="73" customFormat="1">
      <c r="A43" s="73">
        <v>2009</v>
      </c>
      <c r="B43" s="122"/>
      <c r="C43" s="988" t="s">
        <v>1052</v>
      </c>
      <c r="D43" s="988"/>
      <c r="E43" s="73">
        <v>70</v>
      </c>
      <c r="G43" s="480">
        <v>10</v>
      </c>
      <c r="H43" s="560">
        <v>9</v>
      </c>
      <c r="I43" s="560"/>
      <c r="J43" s="482">
        <v>19</v>
      </c>
      <c r="K43" s="477">
        <f t="shared" si="0"/>
        <v>52.631578947368418</v>
      </c>
      <c r="L43" s="477">
        <f t="shared" si="1"/>
        <v>47.368421052631575</v>
      </c>
      <c r="M43" s="477">
        <f t="shared" si="2"/>
        <v>0</v>
      </c>
      <c r="N43" s="481">
        <f t="shared" si="3"/>
        <v>100</v>
      </c>
      <c r="O43" s="476">
        <v>31</v>
      </c>
      <c r="P43" s="477">
        <v>28</v>
      </c>
      <c r="Q43" s="477"/>
      <c r="R43" s="478">
        <f t="shared" si="4"/>
        <v>59</v>
      </c>
      <c r="S43" s="560">
        <v>3</v>
      </c>
      <c r="T43" s="81"/>
      <c r="V43" s="82" t="s">
        <v>1045</v>
      </c>
      <c r="W43" s="73" t="s">
        <v>1063</v>
      </c>
      <c r="X43" s="73" t="s">
        <v>11</v>
      </c>
      <c r="Y43" s="83">
        <v>23</v>
      </c>
      <c r="Z43" s="73" t="s">
        <v>1047</v>
      </c>
      <c r="AA43" s="73" t="s">
        <v>945</v>
      </c>
      <c r="AB43" s="555" t="s">
        <v>18</v>
      </c>
      <c r="AC43" s="73">
        <v>18</v>
      </c>
      <c r="AD43" s="82" t="s">
        <v>1051</v>
      </c>
      <c r="AE43" s="73" t="s">
        <v>1050</v>
      </c>
      <c r="AF43" s="73" t="s">
        <v>18</v>
      </c>
      <c r="AG43" s="83">
        <v>10</v>
      </c>
      <c r="AH43" s="73" t="s">
        <v>1040</v>
      </c>
      <c r="AI43" s="73" t="s">
        <v>863</v>
      </c>
      <c r="AJ43" s="73" t="s">
        <v>11</v>
      </c>
      <c r="AK43" s="73">
        <v>8</v>
      </c>
      <c r="AL43" s="82"/>
      <c r="AO43" s="83"/>
      <c r="AP43" s="82"/>
      <c r="AS43" s="83"/>
      <c r="AW43" s="83"/>
      <c r="BA43" s="84"/>
    </row>
    <row r="44" spans="1:53" s="334" customFormat="1">
      <c r="A44" s="334">
        <v>2009</v>
      </c>
      <c r="B44" s="335">
        <v>39884</v>
      </c>
      <c r="C44" s="992" t="s">
        <v>1142</v>
      </c>
      <c r="D44" s="992"/>
      <c r="E44" s="334">
        <v>295</v>
      </c>
      <c r="F44" s="334">
        <v>2</v>
      </c>
      <c r="G44" s="497">
        <v>11</v>
      </c>
      <c r="H44" s="561">
        <v>4</v>
      </c>
      <c r="I44" s="561"/>
      <c r="J44" s="499">
        <v>15</v>
      </c>
      <c r="K44" s="495">
        <f t="shared" si="0"/>
        <v>73.333333333333329</v>
      </c>
      <c r="L44" s="495">
        <f t="shared" si="1"/>
        <v>26.666666666666668</v>
      </c>
      <c r="M44" s="495">
        <f t="shared" si="2"/>
        <v>0</v>
      </c>
      <c r="N44" s="498">
        <f t="shared" si="3"/>
        <v>100</v>
      </c>
      <c r="O44" s="494">
        <v>49</v>
      </c>
      <c r="P44" s="495">
        <v>18</v>
      </c>
      <c r="R44" s="496">
        <f>SUM(O44:P44)</f>
        <v>67</v>
      </c>
      <c r="S44" s="561">
        <v>3</v>
      </c>
      <c r="T44" s="357"/>
      <c r="U44" s="355">
        <v>39884</v>
      </c>
      <c r="V44" s="343" t="s">
        <v>1045</v>
      </c>
      <c r="W44" s="334" t="s">
        <v>1063</v>
      </c>
      <c r="X44" s="334" t="s">
        <v>11</v>
      </c>
      <c r="Y44" s="344">
        <v>23</v>
      </c>
      <c r="Z44" s="334" t="s">
        <v>1046</v>
      </c>
      <c r="AA44" s="334" t="s">
        <v>88</v>
      </c>
      <c r="AB44" s="334" t="s">
        <v>11</v>
      </c>
      <c r="AC44" s="334">
        <v>18</v>
      </c>
      <c r="AD44" s="343" t="s">
        <v>1047</v>
      </c>
      <c r="AE44" s="334" t="s">
        <v>945</v>
      </c>
      <c r="AF44" s="334" t="s">
        <v>18</v>
      </c>
      <c r="AG44" s="344">
        <v>18</v>
      </c>
      <c r="AH44" s="343" t="s">
        <v>1040</v>
      </c>
      <c r="AI44" s="334" t="s">
        <v>863</v>
      </c>
      <c r="AJ44" s="334" t="s">
        <v>11</v>
      </c>
      <c r="AK44" s="334">
        <v>8</v>
      </c>
      <c r="AL44" s="343" t="s">
        <v>96</v>
      </c>
      <c r="AM44" s="334" t="s">
        <v>337</v>
      </c>
      <c r="AN44" s="334" t="s">
        <v>11</v>
      </c>
      <c r="AO44" s="344">
        <v>0</v>
      </c>
      <c r="AP44" s="343"/>
      <c r="AS44" s="344"/>
      <c r="AW44" s="344"/>
      <c r="BA44" s="345"/>
    </row>
    <row r="45" spans="1:53" s="334" customFormat="1">
      <c r="A45" s="334">
        <v>2010</v>
      </c>
      <c r="B45" s="358"/>
      <c r="C45" s="992" t="s">
        <v>1142</v>
      </c>
      <c r="D45" s="992"/>
      <c r="E45" s="334">
        <v>81</v>
      </c>
      <c r="G45" s="497">
        <v>11</v>
      </c>
      <c r="H45" s="561">
        <v>4</v>
      </c>
      <c r="I45" s="561"/>
      <c r="J45" s="499">
        <v>15</v>
      </c>
      <c r="K45" s="495">
        <f>G45/J45*100</f>
        <v>73.333333333333329</v>
      </c>
      <c r="L45" s="495">
        <f>H45/J45*100</f>
        <v>26.666666666666668</v>
      </c>
      <c r="M45" s="495">
        <f>I45/J45*100</f>
        <v>0</v>
      </c>
      <c r="N45" s="498">
        <f t="shared" si="3"/>
        <v>100</v>
      </c>
      <c r="O45" s="494">
        <v>49</v>
      </c>
      <c r="P45" s="495">
        <v>18</v>
      </c>
      <c r="R45" s="496">
        <f>SUM(O45:P45)</f>
        <v>67</v>
      </c>
      <c r="S45" s="561">
        <v>3</v>
      </c>
      <c r="T45" s="357"/>
      <c r="V45" s="343" t="s">
        <v>1045</v>
      </c>
      <c r="W45" s="334" t="s">
        <v>1063</v>
      </c>
      <c r="X45" s="334" t="s">
        <v>11</v>
      </c>
      <c r="Y45" s="344">
        <v>23</v>
      </c>
      <c r="Z45" s="334" t="s">
        <v>1046</v>
      </c>
      <c r="AA45" s="334" t="s">
        <v>88</v>
      </c>
      <c r="AB45" s="334" t="s">
        <v>11</v>
      </c>
      <c r="AC45" s="334">
        <v>18</v>
      </c>
      <c r="AD45" s="343" t="s">
        <v>1047</v>
      </c>
      <c r="AE45" s="334" t="s">
        <v>945</v>
      </c>
      <c r="AF45" s="334" t="s">
        <v>18</v>
      </c>
      <c r="AG45" s="344">
        <v>18</v>
      </c>
      <c r="AH45" s="334" t="s">
        <v>1040</v>
      </c>
      <c r="AI45" s="334" t="s">
        <v>863</v>
      </c>
      <c r="AJ45" s="334" t="s">
        <v>11</v>
      </c>
      <c r="AK45" s="334">
        <v>8</v>
      </c>
      <c r="AL45" s="343" t="s">
        <v>96</v>
      </c>
      <c r="AM45" s="334" t="s">
        <v>337</v>
      </c>
      <c r="AN45" s="334" t="s">
        <v>11</v>
      </c>
      <c r="AO45" s="344">
        <v>0</v>
      </c>
      <c r="AP45" s="343"/>
      <c r="AS45" s="344"/>
      <c r="AW45" s="344"/>
      <c r="BA45" s="345"/>
    </row>
    <row r="46" spans="1:53" s="73" customFormat="1">
      <c r="A46" s="73">
        <v>2010</v>
      </c>
      <c r="B46" s="121">
        <v>40260</v>
      </c>
      <c r="C46" s="988" t="s">
        <v>1143</v>
      </c>
      <c r="D46" s="988"/>
      <c r="E46" s="73">
        <v>224</v>
      </c>
      <c r="F46" s="73">
        <v>4</v>
      </c>
      <c r="G46" s="480">
        <v>8</v>
      </c>
      <c r="H46" s="560">
        <v>5</v>
      </c>
      <c r="I46" s="560"/>
      <c r="J46" s="482">
        <v>15</v>
      </c>
      <c r="K46" s="477">
        <f t="shared" si="0"/>
        <v>53.333333333333336</v>
      </c>
      <c r="L46" s="477">
        <f t="shared" si="1"/>
        <v>33.333333333333329</v>
      </c>
      <c r="M46" s="477">
        <f t="shared" si="2"/>
        <v>0</v>
      </c>
      <c r="N46" s="481">
        <f t="shared" si="3"/>
        <v>86.666666666666657</v>
      </c>
      <c r="O46" s="476">
        <v>26</v>
      </c>
      <c r="P46" s="477">
        <v>18</v>
      </c>
      <c r="R46" s="478">
        <f>SUM(O46:P46)</f>
        <v>44</v>
      </c>
      <c r="S46" s="560">
        <v>5</v>
      </c>
      <c r="T46" s="81"/>
      <c r="U46" s="85">
        <v>40260</v>
      </c>
      <c r="V46" s="82" t="s">
        <v>1046</v>
      </c>
      <c r="W46" s="73" t="s">
        <v>88</v>
      </c>
      <c r="X46" s="73" t="s">
        <v>11</v>
      </c>
      <c r="Y46" s="83">
        <v>18</v>
      </c>
      <c r="Z46" s="73" t="s">
        <v>1047</v>
      </c>
      <c r="AA46" s="73" t="s">
        <v>945</v>
      </c>
      <c r="AB46" s="73" t="s">
        <v>18</v>
      </c>
      <c r="AC46" s="73">
        <v>18</v>
      </c>
      <c r="AD46" s="82" t="s">
        <v>1040</v>
      </c>
      <c r="AE46" s="73" t="s">
        <v>863</v>
      </c>
      <c r="AF46" s="73" t="s">
        <v>11</v>
      </c>
      <c r="AG46" s="83">
        <v>8</v>
      </c>
      <c r="AH46" s="73" t="s">
        <v>96</v>
      </c>
      <c r="AI46" s="73" t="s">
        <v>337</v>
      </c>
      <c r="AJ46" s="73" t="s">
        <v>11</v>
      </c>
      <c r="AK46" s="73">
        <v>0</v>
      </c>
      <c r="AL46" s="82"/>
      <c r="AO46" s="83"/>
      <c r="AP46" s="82"/>
      <c r="AS46" s="83"/>
      <c r="AW46" s="83"/>
      <c r="BA46" s="84"/>
    </row>
    <row r="47" spans="1:53" s="334" customFormat="1">
      <c r="A47" s="334">
        <v>2010</v>
      </c>
      <c r="B47" s="335">
        <v>40484</v>
      </c>
      <c r="C47" s="992" t="s">
        <v>1144</v>
      </c>
      <c r="D47" s="992"/>
      <c r="E47" s="334">
        <v>60</v>
      </c>
      <c r="F47" s="334">
        <v>1</v>
      </c>
      <c r="G47" s="497">
        <v>8</v>
      </c>
      <c r="H47" s="561">
        <v>6</v>
      </c>
      <c r="I47" s="561"/>
      <c r="J47" s="499">
        <v>14</v>
      </c>
      <c r="K47" s="495">
        <f t="shared" si="0"/>
        <v>57.142857142857139</v>
      </c>
      <c r="L47" s="495">
        <f t="shared" si="1"/>
        <v>42.857142857142854</v>
      </c>
      <c r="M47" s="495">
        <f t="shared" si="2"/>
        <v>0</v>
      </c>
      <c r="N47" s="498">
        <f t="shared" si="3"/>
        <v>100</v>
      </c>
      <c r="O47" s="494">
        <v>33</v>
      </c>
      <c r="P47" s="495">
        <v>22</v>
      </c>
      <c r="R47" s="496">
        <f>SUM(O47:P47)</f>
        <v>55</v>
      </c>
      <c r="S47" s="561">
        <v>2</v>
      </c>
      <c r="T47" s="342">
        <v>40453</v>
      </c>
      <c r="U47" s="355">
        <v>40484</v>
      </c>
      <c r="V47" s="343" t="s">
        <v>414</v>
      </c>
      <c r="W47" s="334" t="s">
        <v>76</v>
      </c>
      <c r="X47" s="334" t="s">
        <v>11</v>
      </c>
      <c r="Y47" s="344">
        <v>33</v>
      </c>
      <c r="Z47" s="334" t="s">
        <v>1047</v>
      </c>
      <c r="AA47" s="334" t="s">
        <v>945</v>
      </c>
      <c r="AB47" s="334" t="s">
        <v>18</v>
      </c>
      <c r="AC47" s="334">
        <v>22</v>
      </c>
      <c r="AD47" s="343"/>
      <c r="AG47" s="344"/>
      <c r="AL47" s="343"/>
      <c r="AO47" s="344"/>
      <c r="AP47" s="343"/>
      <c r="AS47" s="344"/>
      <c r="AW47" s="344"/>
      <c r="BA47" s="345"/>
    </row>
    <row r="48" spans="1:53" s="334" customFormat="1">
      <c r="A48" s="334">
        <v>2011</v>
      </c>
      <c r="B48" s="358"/>
      <c r="C48" s="992" t="s">
        <v>1144</v>
      </c>
      <c r="D48" s="992"/>
      <c r="E48" s="334">
        <v>297</v>
      </c>
      <c r="G48" s="497">
        <v>8</v>
      </c>
      <c r="H48" s="561">
        <v>6</v>
      </c>
      <c r="I48" s="561"/>
      <c r="J48" s="499">
        <v>14</v>
      </c>
      <c r="K48" s="495">
        <f t="shared" ref="K48:K53" si="9">G48/J48*100</f>
        <v>57.142857142857139</v>
      </c>
      <c r="L48" s="495">
        <f t="shared" ref="L48:L53" si="10">H48/J48*100</f>
        <v>42.857142857142854</v>
      </c>
      <c r="M48" s="495">
        <f t="shared" ref="M48:M53" si="11">I48/J48*100</f>
        <v>0</v>
      </c>
      <c r="N48" s="498">
        <f t="shared" si="3"/>
        <v>100</v>
      </c>
      <c r="O48" s="494">
        <v>33</v>
      </c>
      <c r="P48" s="495">
        <v>22</v>
      </c>
      <c r="R48" s="496">
        <f>SUM(O48:P48)</f>
        <v>55</v>
      </c>
      <c r="S48" s="561">
        <v>2</v>
      </c>
      <c r="T48" s="357"/>
      <c r="V48" s="343" t="s">
        <v>414</v>
      </c>
      <c r="W48" s="334" t="s">
        <v>76</v>
      </c>
      <c r="X48" s="334" t="s">
        <v>11</v>
      </c>
      <c r="Y48" s="344">
        <v>33</v>
      </c>
      <c r="Z48" s="334" t="s">
        <v>1047</v>
      </c>
      <c r="AA48" s="334" t="s">
        <v>945</v>
      </c>
      <c r="AB48" s="334" t="s">
        <v>18</v>
      </c>
      <c r="AC48" s="334">
        <v>22</v>
      </c>
      <c r="AD48" s="343"/>
      <c r="AG48" s="344"/>
      <c r="AL48" s="343"/>
      <c r="AO48" s="344"/>
      <c r="AP48" s="343"/>
      <c r="AS48" s="344"/>
      <c r="AW48" s="344"/>
      <c r="BA48" s="345"/>
    </row>
    <row r="49" spans="1:53" s="73" customFormat="1">
      <c r="A49" s="73">
        <v>2011</v>
      </c>
      <c r="B49" s="121">
        <v>40841</v>
      </c>
      <c r="C49" s="988" t="s">
        <v>1145</v>
      </c>
      <c r="D49" s="988"/>
      <c r="E49" s="73">
        <v>68</v>
      </c>
      <c r="F49" s="73">
        <v>1</v>
      </c>
      <c r="G49" s="480">
        <v>14</v>
      </c>
      <c r="H49" s="560"/>
      <c r="I49" s="560"/>
      <c r="J49" s="482">
        <v>14</v>
      </c>
      <c r="K49" s="477">
        <f t="shared" si="9"/>
        <v>100</v>
      </c>
      <c r="L49" s="477">
        <f t="shared" si="10"/>
        <v>0</v>
      </c>
      <c r="M49" s="477">
        <f t="shared" si="11"/>
        <v>0</v>
      </c>
      <c r="N49" s="481">
        <f t="shared" si="3"/>
        <v>100</v>
      </c>
      <c r="O49" s="476">
        <v>56</v>
      </c>
      <c r="P49" s="477"/>
      <c r="Q49" s="477"/>
      <c r="R49" s="478">
        <f t="shared" si="4"/>
        <v>56</v>
      </c>
      <c r="S49" s="560">
        <v>2</v>
      </c>
      <c r="T49" s="95">
        <v>40803</v>
      </c>
      <c r="U49" s="85">
        <v>40841</v>
      </c>
      <c r="V49" s="82" t="s">
        <v>1146</v>
      </c>
      <c r="W49" s="73" t="s">
        <v>79</v>
      </c>
      <c r="X49" s="73" t="s">
        <v>11</v>
      </c>
      <c r="Y49" s="83">
        <v>22</v>
      </c>
      <c r="Z49" s="73" t="s">
        <v>414</v>
      </c>
      <c r="AA49" s="73" t="s">
        <v>76</v>
      </c>
      <c r="AB49" s="73" t="s">
        <v>11</v>
      </c>
      <c r="AC49" s="73">
        <v>20</v>
      </c>
      <c r="AD49" s="82" t="s">
        <v>1147</v>
      </c>
      <c r="AE49" s="73" t="s">
        <v>1148</v>
      </c>
      <c r="AF49" s="73" t="s">
        <v>11</v>
      </c>
      <c r="AG49" s="83">
        <v>14</v>
      </c>
      <c r="AL49" s="82"/>
      <c r="AO49" s="83"/>
      <c r="AP49" s="82"/>
      <c r="AS49" s="83"/>
      <c r="AW49" s="83"/>
      <c r="BA49" s="84"/>
    </row>
    <row r="50" spans="1:53" s="73" customFormat="1">
      <c r="A50" s="73">
        <v>2012</v>
      </c>
      <c r="B50" s="122"/>
      <c r="C50" s="988" t="s">
        <v>1145</v>
      </c>
      <c r="D50" s="988"/>
      <c r="E50" s="73">
        <v>0</v>
      </c>
      <c r="G50" s="480">
        <v>14</v>
      </c>
      <c r="H50" s="560"/>
      <c r="I50" s="560"/>
      <c r="J50" s="482">
        <v>14</v>
      </c>
      <c r="K50" s="477">
        <f t="shared" si="9"/>
        <v>100</v>
      </c>
      <c r="L50" s="477">
        <f t="shared" si="10"/>
        <v>0</v>
      </c>
      <c r="M50" s="477">
        <f t="shared" si="11"/>
        <v>0</v>
      </c>
      <c r="N50" s="481">
        <f t="shared" si="3"/>
        <v>100</v>
      </c>
      <c r="O50" s="476">
        <v>56</v>
      </c>
      <c r="P50" s="477"/>
      <c r="Q50" s="477"/>
      <c r="R50" s="478">
        <f t="shared" si="4"/>
        <v>56</v>
      </c>
      <c r="S50" s="560">
        <v>2</v>
      </c>
      <c r="T50" s="81"/>
      <c r="V50" s="82" t="s">
        <v>1146</v>
      </c>
      <c r="W50" s="73" t="s">
        <v>79</v>
      </c>
      <c r="X50" s="73" t="s">
        <v>11</v>
      </c>
      <c r="Y50" s="83">
        <v>22</v>
      </c>
      <c r="Z50" s="73" t="s">
        <v>414</v>
      </c>
      <c r="AA50" s="73" t="s">
        <v>76</v>
      </c>
      <c r="AB50" s="73" t="s">
        <v>11</v>
      </c>
      <c r="AC50" s="73">
        <v>20</v>
      </c>
      <c r="AD50" s="82" t="s">
        <v>1147</v>
      </c>
      <c r="AE50" s="73" t="s">
        <v>1148</v>
      </c>
      <c r="AF50" s="73" t="s">
        <v>11</v>
      </c>
      <c r="AG50" s="83">
        <v>14</v>
      </c>
      <c r="AL50" s="82"/>
      <c r="AO50" s="83"/>
      <c r="AP50" s="82"/>
      <c r="AS50" s="83"/>
      <c r="AW50" s="83"/>
      <c r="BA50" s="84"/>
    </row>
    <row r="51" spans="1:53" s="73" customFormat="1">
      <c r="A51" s="73">
        <v>2012</v>
      </c>
      <c r="B51" s="122"/>
      <c r="C51" s="988" t="s">
        <v>1145</v>
      </c>
      <c r="D51" s="988"/>
      <c r="E51" s="73">
        <v>366</v>
      </c>
      <c r="G51" s="480">
        <v>14</v>
      </c>
      <c r="H51" s="560"/>
      <c r="I51" s="560"/>
      <c r="J51" s="482">
        <v>14</v>
      </c>
      <c r="K51" s="477">
        <f t="shared" si="9"/>
        <v>100</v>
      </c>
      <c r="L51" s="477">
        <f t="shared" si="10"/>
        <v>0</v>
      </c>
      <c r="M51" s="477">
        <f t="shared" si="11"/>
        <v>0</v>
      </c>
      <c r="N51" s="481">
        <f t="shared" si="3"/>
        <v>100</v>
      </c>
      <c r="O51" s="476">
        <v>56</v>
      </c>
      <c r="P51" s="477"/>
      <c r="Q51" s="477"/>
      <c r="R51" s="478">
        <f t="shared" si="4"/>
        <v>56</v>
      </c>
      <c r="S51" s="560">
        <v>2</v>
      </c>
      <c r="T51" s="81"/>
      <c r="V51" s="82" t="s">
        <v>1146</v>
      </c>
      <c r="W51" s="73" t="s">
        <v>79</v>
      </c>
      <c r="X51" s="73" t="s">
        <v>11</v>
      </c>
      <c r="Y51" s="83">
        <v>22</v>
      </c>
      <c r="Z51" s="73" t="s">
        <v>414</v>
      </c>
      <c r="AA51" s="73" t="s">
        <v>76</v>
      </c>
      <c r="AB51" s="73" t="s">
        <v>11</v>
      </c>
      <c r="AC51" s="73">
        <v>20</v>
      </c>
      <c r="AD51" s="82" t="s">
        <v>1147</v>
      </c>
      <c r="AE51" s="73" t="s">
        <v>1148</v>
      </c>
      <c r="AF51" s="73" t="s">
        <v>11</v>
      </c>
      <c r="AG51" s="83">
        <v>14</v>
      </c>
      <c r="AL51" s="82"/>
      <c r="AO51" s="83"/>
      <c r="AP51" s="82"/>
      <c r="AS51" s="83"/>
      <c r="AW51" s="83"/>
      <c r="BA51" s="84"/>
    </row>
    <row r="52" spans="1:53" s="317" customFormat="1">
      <c r="A52" s="317">
        <v>2013</v>
      </c>
      <c r="B52" s="122"/>
      <c r="C52" s="988" t="s">
        <v>1145</v>
      </c>
      <c r="D52" s="988"/>
      <c r="E52" s="317">
        <v>0</v>
      </c>
      <c r="G52" s="480">
        <v>14</v>
      </c>
      <c r="H52" s="560"/>
      <c r="I52" s="560"/>
      <c r="J52" s="482">
        <v>14</v>
      </c>
      <c r="K52" s="477">
        <f t="shared" si="9"/>
        <v>100</v>
      </c>
      <c r="L52" s="477">
        <f t="shared" si="10"/>
        <v>0</v>
      </c>
      <c r="M52" s="477">
        <f t="shared" si="11"/>
        <v>0</v>
      </c>
      <c r="N52" s="481">
        <f t="shared" ref="N52:N57" si="12">SUM(K52:M52)</f>
        <v>100</v>
      </c>
      <c r="O52" s="476">
        <v>56</v>
      </c>
      <c r="P52" s="477"/>
      <c r="Q52" s="477"/>
      <c r="R52" s="478">
        <f>SUM(O52:Q52)</f>
        <v>56</v>
      </c>
      <c r="S52" s="560">
        <v>2</v>
      </c>
      <c r="T52" s="81"/>
      <c r="V52" s="82" t="s">
        <v>1146</v>
      </c>
      <c r="W52" s="317" t="s">
        <v>79</v>
      </c>
      <c r="X52" s="317" t="s">
        <v>11</v>
      </c>
      <c r="Y52" s="83">
        <v>22</v>
      </c>
      <c r="Z52" s="317" t="s">
        <v>414</v>
      </c>
      <c r="AA52" s="317" t="s">
        <v>76</v>
      </c>
      <c r="AB52" s="317" t="s">
        <v>11</v>
      </c>
      <c r="AC52" s="317">
        <v>20</v>
      </c>
      <c r="AD52" s="82" t="s">
        <v>1147</v>
      </c>
      <c r="AE52" s="317" t="s">
        <v>1148</v>
      </c>
      <c r="AF52" s="317" t="s">
        <v>11</v>
      </c>
      <c r="AG52" s="83">
        <v>14</v>
      </c>
      <c r="AL52" s="82"/>
      <c r="AO52" s="83"/>
      <c r="AP52" s="82"/>
      <c r="AS52" s="83"/>
      <c r="AW52" s="83"/>
      <c r="BA52" s="84"/>
    </row>
    <row r="53" spans="1:53" s="317" customFormat="1">
      <c r="A53" s="317">
        <v>2013</v>
      </c>
      <c r="B53" s="122"/>
      <c r="C53" s="988" t="s">
        <v>1145</v>
      </c>
      <c r="D53" s="988"/>
      <c r="E53" s="317">
        <v>365</v>
      </c>
      <c r="G53" s="480">
        <v>14</v>
      </c>
      <c r="H53" s="560"/>
      <c r="I53" s="560"/>
      <c r="J53" s="482">
        <v>14</v>
      </c>
      <c r="K53" s="477">
        <f t="shared" si="9"/>
        <v>100</v>
      </c>
      <c r="L53" s="477">
        <f t="shared" si="10"/>
        <v>0</v>
      </c>
      <c r="M53" s="477">
        <f t="shared" si="11"/>
        <v>0</v>
      </c>
      <c r="N53" s="481">
        <f t="shared" si="12"/>
        <v>100</v>
      </c>
      <c r="O53" s="476">
        <v>56</v>
      </c>
      <c r="P53" s="477"/>
      <c r="Q53" s="477"/>
      <c r="R53" s="478">
        <f>SUM(O53:Q53)</f>
        <v>56</v>
      </c>
      <c r="S53" s="560">
        <v>2</v>
      </c>
      <c r="T53" s="81"/>
      <c r="V53" s="82" t="s">
        <v>1146</v>
      </c>
      <c r="W53" s="317" t="s">
        <v>79</v>
      </c>
      <c r="X53" s="317" t="s">
        <v>11</v>
      </c>
      <c r="Y53" s="83">
        <v>22</v>
      </c>
      <c r="Z53" s="317" t="s">
        <v>414</v>
      </c>
      <c r="AA53" s="317" t="s">
        <v>76</v>
      </c>
      <c r="AB53" s="317" t="s">
        <v>11</v>
      </c>
      <c r="AC53" s="317">
        <v>20</v>
      </c>
      <c r="AD53" s="82" t="s">
        <v>1147</v>
      </c>
      <c r="AE53" s="317" t="s">
        <v>1148</v>
      </c>
      <c r="AF53" s="317" t="s">
        <v>11</v>
      </c>
      <c r="AG53" s="83">
        <v>14</v>
      </c>
      <c r="AL53" s="82"/>
      <c r="AO53" s="83"/>
      <c r="AP53" s="82"/>
      <c r="AS53" s="83"/>
      <c r="AW53" s="83"/>
      <c r="BA53" s="84"/>
    </row>
    <row r="54" spans="1:53" s="555" customFormat="1">
      <c r="A54" s="555">
        <v>2014</v>
      </c>
      <c r="B54" s="122"/>
      <c r="C54" s="988" t="s">
        <v>1145</v>
      </c>
      <c r="D54" s="988"/>
      <c r="E54" s="555">
        <v>21</v>
      </c>
      <c r="G54" s="480">
        <v>14</v>
      </c>
      <c r="H54" s="560"/>
      <c r="I54" s="560"/>
      <c r="J54" s="482">
        <v>14</v>
      </c>
      <c r="K54" s="477">
        <f>G54/J54*100</f>
        <v>100</v>
      </c>
      <c r="L54" s="477">
        <f>H54/J54*100</f>
        <v>0</v>
      </c>
      <c r="M54" s="477">
        <f>I54/J54*100</f>
        <v>0</v>
      </c>
      <c r="N54" s="481">
        <f t="shared" si="12"/>
        <v>100</v>
      </c>
      <c r="O54" s="476">
        <v>56</v>
      </c>
      <c r="P54" s="477"/>
      <c r="Q54" s="477"/>
      <c r="R54" s="478">
        <f>SUM(O54:Q54)</f>
        <v>56</v>
      </c>
      <c r="S54" s="560">
        <v>2</v>
      </c>
      <c r="T54" s="471"/>
      <c r="V54" s="472" t="s">
        <v>1146</v>
      </c>
      <c r="W54" s="555" t="s">
        <v>79</v>
      </c>
      <c r="X54" s="555" t="s">
        <v>11</v>
      </c>
      <c r="Y54" s="473">
        <v>22</v>
      </c>
      <c r="Z54" s="555" t="s">
        <v>414</v>
      </c>
      <c r="AA54" s="555" t="s">
        <v>76</v>
      </c>
      <c r="AB54" s="555" t="s">
        <v>11</v>
      </c>
      <c r="AC54" s="555">
        <v>20</v>
      </c>
      <c r="AD54" s="472" t="s">
        <v>1147</v>
      </c>
      <c r="AE54" s="555" t="s">
        <v>1148</v>
      </c>
      <c r="AF54" s="555" t="s">
        <v>11</v>
      </c>
      <c r="AG54" s="473">
        <v>14</v>
      </c>
      <c r="AL54" s="472"/>
      <c r="AO54" s="473"/>
      <c r="AP54" s="472"/>
      <c r="AS54" s="473"/>
      <c r="AW54" s="473"/>
      <c r="BA54" s="474"/>
    </row>
    <row r="55" spans="1:53" s="561" customFormat="1">
      <c r="A55" s="561">
        <v>2014</v>
      </c>
      <c r="B55" s="335">
        <v>41661</v>
      </c>
      <c r="C55" s="992" t="s">
        <v>1305</v>
      </c>
      <c r="D55" s="992"/>
      <c r="E55" s="561">
        <v>169</v>
      </c>
      <c r="F55" s="561">
        <v>2</v>
      </c>
      <c r="G55" s="497">
        <v>11</v>
      </c>
      <c r="H55" s="561">
        <v>3</v>
      </c>
      <c r="J55" s="499">
        <v>14</v>
      </c>
      <c r="K55" s="495">
        <f>G55/J55*100</f>
        <v>78.571428571428569</v>
      </c>
      <c r="L55" s="495">
        <f>H55/J55*100</f>
        <v>21.428571428571427</v>
      </c>
      <c r="M55" s="495">
        <f>I55/J55*100</f>
        <v>0</v>
      </c>
      <c r="N55" s="498">
        <f t="shared" si="12"/>
        <v>100</v>
      </c>
      <c r="O55" s="494">
        <v>50</v>
      </c>
      <c r="P55" s="495">
        <v>13</v>
      </c>
      <c r="R55" s="496">
        <f>SUM(O55:P55)</f>
        <v>63</v>
      </c>
      <c r="S55" s="561">
        <v>2</v>
      </c>
      <c r="T55" s="487"/>
      <c r="U55" s="558"/>
      <c r="V55" s="488" t="s">
        <v>1146</v>
      </c>
      <c r="W55" s="561" t="s">
        <v>79</v>
      </c>
      <c r="X55" s="561" t="s">
        <v>11</v>
      </c>
      <c r="Y55" s="489">
        <v>16</v>
      </c>
      <c r="Z55" s="561" t="s">
        <v>414</v>
      </c>
      <c r="AA55" s="561" t="s">
        <v>76</v>
      </c>
      <c r="AB55" s="561" t="s">
        <v>11</v>
      </c>
      <c r="AC55" s="561">
        <v>20</v>
      </c>
      <c r="AD55" s="488" t="s">
        <v>1147</v>
      </c>
      <c r="AE55" s="561" t="s">
        <v>1148</v>
      </c>
      <c r="AF55" s="561" t="s">
        <v>11</v>
      </c>
      <c r="AG55" s="489">
        <v>14</v>
      </c>
      <c r="AH55" s="561" t="s">
        <v>1047</v>
      </c>
      <c r="AI55" s="561" t="s">
        <v>945</v>
      </c>
      <c r="AJ55" s="561" t="s">
        <v>18</v>
      </c>
      <c r="AK55" s="561">
        <v>13</v>
      </c>
      <c r="AL55" s="488"/>
      <c r="AO55" s="489"/>
      <c r="AP55" s="488"/>
      <c r="AS55" s="489"/>
      <c r="AW55" s="489"/>
      <c r="BA55" s="490"/>
    </row>
    <row r="56" spans="1:53" s="561" customFormat="1">
      <c r="A56" s="561">
        <v>2014</v>
      </c>
      <c r="B56" s="502">
        <v>41830</v>
      </c>
      <c r="C56" s="992" t="s">
        <v>1305</v>
      </c>
      <c r="D56" s="992"/>
      <c r="E56" s="561">
        <v>118</v>
      </c>
      <c r="F56" s="501">
        <v>0</v>
      </c>
      <c r="G56" s="497">
        <v>10</v>
      </c>
      <c r="H56" s="561">
        <v>3</v>
      </c>
      <c r="J56" s="499">
        <v>13</v>
      </c>
      <c r="K56" s="495">
        <f>G56/J56*100</f>
        <v>76.923076923076934</v>
      </c>
      <c r="L56" s="495">
        <f>H56/J56*100</f>
        <v>23.076923076923077</v>
      </c>
      <c r="M56" s="495">
        <f>I56/J56*100</f>
        <v>0</v>
      </c>
      <c r="N56" s="498">
        <f t="shared" si="12"/>
        <v>100.00000000000001</v>
      </c>
      <c r="O56" s="494">
        <v>50</v>
      </c>
      <c r="P56" s="495">
        <v>13</v>
      </c>
      <c r="R56" s="496">
        <f>SUM(O56:P56)</f>
        <v>63</v>
      </c>
      <c r="S56" s="561">
        <v>2</v>
      </c>
      <c r="T56" s="487"/>
      <c r="V56" s="488" t="s">
        <v>1146</v>
      </c>
      <c r="W56" s="561" t="s">
        <v>79</v>
      </c>
      <c r="X56" s="561" t="s">
        <v>11</v>
      </c>
      <c r="Y56" s="489">
        <v>16</v>
      </c>
      <c r="Z56" s="561" t="s">
        <v>414</v>
      </c>
      <c r="AA56" s="561" t="s">
        <v>76</v>
      </c>
      <c r="AB56" s="561" t="s">
        <v>11</v>
      </c>
      <c r="AC56" s="561">
        <v>20</v>
      </c>
      <c r="AD56" s="488" t="s">
        <v>1147</v>
      </c>
      <c r="AE56" s="561" t="s">
        <v>1148</v>
      </c>
      <c r="AF56" s="561" t="s">
        <v>11</v>
      </c>
      <c r="AG56" s="489">
        <v>14</v>
      </c>
      <c r="AH56" s="561" t="s">
        <v>1047</v>
      </c>
      <c r="AI56" s="561" t="s">
        <v>945</v>
      </c>
      <c r="AJ56" s="561" t="s">
        <v>18</v>
      </c>
      <c r="AK56" s="561">
        <v>13</v>
      </c>
      <c r="AL56" s="488"/>
      <c r="AO56" s="489"/>
      <c r="AP56" s="488"/>
      <c r="AS56" s="489"/>
      <c r="AW56" s="489"/>
      <c r="BA56" s="490"/>
    </row>
    <row r="57" spans="1:53" s="560" customFormat="1">
      <c r="A57" s="560">
        <v>2014</v>
      </c>
      <c r="B57" s="121">
        <v>41948</v>
      </c>
      <c r="C57" s="988" t="s">
        <v>1306</v>
      </c>
      <c r="D57" s="988"/>
      <c r="E57" s="560">
        <v>57</v>
      </c>
      <c r="F57" s="560">
        <v>1</v>
      </c>
      <c r="G57" s="480">
        <v>9</v>
      </c>
      <c r="H57" s="560">
        <v>5</v>
      </c>
      <c r="J57" s="482">
        <v>14</v>
      </c>
      <c r="K57" s="477">
        <f>G57/J57*100</f>
        <v>64.285714285714292</v>
      </c>
      <c r="L57" s="477">
        <f>H57/J57*100</f>
        <v>35.714285714285715</v>
      </c>
      <c r="M57" s="477">
        <f>I57/J57*100</f>
        <v>0</v>
      </c>
      <c r="N57" s="481">
        <f t="shared" si="12"/>
        <v>100</v>
      </c>
      <c r="O57" s="476">
        <v>40</v>
      </c>
      <c r="P57" s="477">
        <v>21</v>
      </c>
      <c r="R57" s="478">
        <f>SUM(O57:P57)</f>
        <v>61</v>
      </c>
      <c r="S57" s="560">
        <v>2</v>
      </c>
      <c r="T57" s="479">
        <v>41915</v>
      </c>
      <c r="U57" s="731">
        <v>41948</v>
      </c>
      <c r="V57" s="588" t="s">
        <v>414</v>
      </c>
      <c r="W57" s="560" t="s">
        <v>76</v>
      </c>
      <c r="X57" s="560" t="s">
        <v>11</v>
      </c>
      <c r="Y57" s="473">
        <v>23</v>
      </c>
      <c r="Z57" s="472" t="s">
        <v>1147</v>
      </c>
      <c r="AA57" s="560" t="s">
        <v>1148</v>
      </c>
      <c r="AB57" s="560" t="s">
        <v>11</v>
      </c>
      <c r="AC57" s="560">
        <v>17</v>
      </c>
      <c r="AD57" s="472" t="s">
        <v>1047</v>
      </c>
      <c r="AE57" s="560" t="s">
        <v>945</v>
      </c>
      <c r="AF57" s="560" t="s">
        <v>18</v>
      </c>
      <c r="AG57" s="473">
        <v>21</v>
      </c>
      <c r="AL57" s="472"/>
      <c r="AO57" s="473"/>
      <c r="AP57" s="472"/>
      <c r="AS57" s="473"/>
      <c r="AW57" s="473"/>
      <c r="BA57" s="474"/>
    </row>
    <row r="58" spans="1:53" s="734" customFormat="1">
      <c r="A58" s="734">
        <v>2015</v>
      </c>
      <c r="B58" s="121"/>
      <c r="C58" s="988" t="s">
        <v>1306</v>
      </c>
      <c r="D58" s="988"/>
      <c r="E58" s="734">
        <v>307</v>
      </c>
      <c r="G58" s="596">
        <v>9</v>
      </c>
      <c r="H58" s="734">
        <v>5</v>
      </c>
      <c r="J58" s="598">
        <v>14</v>
      </c>
      <c r="K58" s="593">
        <f t="shared" ref="K58:K59" si="13">G58/J58*100</f>
        <v>64.285714285714292</v>
      </c>
      <c r="L58" s="593">
        <f t="shared" ref="L58:L59" si="14">H58/J58*100</f>
        <v>35.714285714285715</v>
      </c>
      <c r="M58" s="593">
        <f t="shared" ref="M58:M59" si="15">I58/J58*100</f>
        <v>0</v>
      </c>
      <c r="N58" s="597">
        <f t="shared" ref="N58:N59" si="16">SUM(K58:M58)</f>
        <v>100</v>
      </c>
      <c r="O58" s="592">
        <v>40</v>
      </c>
      <c r="P58" s="593">
        <v>21</v>
      </c>
      <c r="R58" s="594">
        <f t="shared" ref="R58:R59" si="17">SUM(O58:P58)</f>
        <v>61</v>
      </c>
      <c r="S58" s="734">
        <v>2</v>
      </c>
      <c r="T58" s="595"/>
      <c r="V58" s="588" t="s">
        <v>414</v>
      </c>
      <c r="W58" s="734" t="s">
        <v>76</v>
      </c>
      <c r="X58" s="734" t="s">
        <v>11</v>
      </c>
      <c r="Y58" s="589">
        <v>23</v>
      </c>
      <c r="Z58" s="588" t="s">
        <v>1147</v>
      </c>
      <c r="AA58" s="734" t="s">
        <v>1148</v>
      </c>
      <c r="AB58" s="734" t="s">
        <v>11</v>
      </c>
      <c r="AC58" s="734">
        <v>17</v>
      </c>
      <c r="AD58" s="588" t="s">
        <v>1047</v>
      </c>
      <c r="AE58" s="734" t="s">
        <v>945</v>
      </c>
      <c r="AF58" s="734" t="s">
        <v>18</v>
      </c>
      <c r="AG58" s="589">
        <v>21</v>
      </c>
      <c r="AL58" s="588"/>
      <c r="AO58" s="589"/>
      <c r="AP58" s="588"/>
      <c r="AS58" s="589"/>
      <c r="AW58" s="589"/>
      <c r="BA58" s="590"/>
    </row>
    <row r="59" spans="1:53" s="734" customFormat="1">
      <c r="A59" s="734">
        <v>2015</v>
      </c>
      <c r="B59" s="154">
        <v>42312</v>
      </c>
      <c r="C59" s="988" t="s">
        <v>1306</v>
      </c>
      <c r="D59" s="988"/>
      <c r="E59" s="734">
        <v>58</v>
      </c>
      <c r="F59" s="600">
        <v>0</v>
      </c>
      <c r="G59" s="596">
        <v>8</v>
      </c>
      <c r="H59" s="734">
        <v>5</v>
      </c>
      <c r="J59" s="598">
        <v>13</v>
      </c>
      <c r="K59" s="593">
        <f t="shared" si="13"/>
        <v>61.53846153846154</v>
      </c>
      <c r="L59" s="593">
        <f t="shared" si="14"/>
        <v>38.461538461538467</v>
      </c>
      <c r="M59" s="593">
        <f t="shared" si="15"/>
        <v>0</v>
      </c>
      <c r="N59" s="597">
        <f t="shared" si="16"/>
        <v>100</v>
      </c>
      <c r="O59" s="592">
        <v>40</v>
      </c>
      <c r="P59" s="593">
        <v>21</v>
      </c>
      <c r="R59" s="594">
        <f t="shared" si="17"/>
        <v>61</v>
      </c>
      <c r="S59" s="734">
        <v>2</v>
      </c>
      <c r="T59" s="595"/>
      <c r="V59" s="588" t="s">
        <v>414</v>
      </c>
      <c r="W59" s="734" t="s">
        <v>76</v>
      </c>
      <c r="X59" s="734" t="s">
        <v>11</v>
      </c>
      <c r="Y59" s="589">
        <v>23</v>
      </c>
      <c r="Z59" s="588" t="s">
        <v>1147</v>
      </c>
      <c r="AA59" s="734" t="s">
        <v>1148</v>
      </c>
      <c r="AB59" s="734" t="s">
        <v>11</v>
      </c>
      <c r="AC59" s="734">
        <v>17</v>
      </c>
      <c r="AD59" s="588" t="s">
        <v>1047</v>
      </c>
      <c r="AE59" s="734" t="s">
        <v>945</v>
      </c>
      <c r="AF59" s="734" t="s">
        <v>18</v>
      </c>
      <c r="AG59" s="589">
        <v>21</v>
      </c>
      <c r="AL59" s="588"/>
      <c r="AO59" s="589"/>
      <c r="AP59" s="588"/>
      <c r="AS59" s="589"/>
      <c r="AW59" s="589"/>
      <c r="BA59" s="590"/>
    </row>
    <row r="60" spans="1:53" s="830" customFormat="1">
      <c r="A60" s="830">
        <v>2016</v>
      </c>
      <c r="B60" s="154"/>
      <c r="C60" s="988" t="s">
        <v>1306</v>
      </c>
      <c r="D60" s="988"/>
      <c r="E60" s="830">
        <v>41</v>
      </c>
      <c r="F60" s="600"/>
      <c r="G60" s="596">
        <v>8</v>
      </c>
      <c r="H60" s="830">
        <v>5</v>
      </c>
      <c r="J60" s="598">
        <v>13</v>
      </c>
      <c r="K60" s="593">
        <f t="shared" ref="K60:K63" si="18">G60/J60*100</f>
        <v>61.53846153846154</v>
      </c>
      <c r="L60" s="593">
        <f t="shared" ref="L60:L63" si="19">H60/J60*100</f>
        <v>38.461538461538467</v>
      </c>
      <c r="M60" s="593">
        <f t="shared" ref="M60:M63" si="20">I60/J60*100</f>
        <v>0</v>
      </c>
      <c r="N60" s="597">
        <f t="shared" ref="N60:N63" si="21">SUM(K60:M60)</f>
        <v>100</v>
      </c>
      <c r="O60" s="592">
        <v>40</v>
      </c>
      <c r="P60" s="593">
        <v>21</v>
      </c>
      <c r="R60" s="594">
        <f t="shared" ref="R60:R61" si="22">SUM(O60:P60)</f>
        <v>61</v>
      </c>
      <c r="S60" s="830">
        <v>2</v>
      </c>
      <c r="T60" s="595"/>
      <c r="V60" s="588" t="s">
        <v>414</v>
      </c>
      <c r="W60" s="830" t="s">
        <v>76</v>
      </c>
      <c r="X60" s="830" t="s">
        <v>11</v>
      </c>
      <c r="Y60" s="589">
        <v>23</v>
      </c>
      <c r="Z60" s="588" t="s">
        <v>1147</v>
      </c>
      <c r="AA60" s="830" t="s">
        <v>1148</v>
      </c>
      <c r="AB60" s="830" t="s">
        <v>11</v>
      </c>
      <c r="AC60" s="830">
        <v>17</v>
      </c>
      <c r="AD60" s="588" t="s">
        <v>1047</v>
      </c>
      <c r="AE60" s="830" t="s">
        <v>945</v>
      </c>
      <c r="AF60" s="830" t="s">
        <v>18</v>
      </c>
      <c r="AG60" s="589">
        <v>21</v>
      </c>
      <c r="AL60" s="588"/>
      <c r="AO60" s="589"/>
      <c r="AP60" s="588"/>
      <c r="AS60" s="589"/>
      <c r="AW60" s="589"/>
      <c r="BA60" s="590"/>
    </row>
    <row r="61" spans="1:53" s="861" customFormat="1">
      <c r="A61" s="861">
        <v>2016</v>
      </c>
      <c r="B61" s="361">
        <v>42411</v>
      </c>
      <c r="C61" s="992" t="s">
        <v>1360</v>
      </c>
      <c r="D61" s="992"/>
      <c r="E61" s="861">
        <v>325</v>
      </c>
      <c r="F61" s="866">
        <v>2</v>
      </c>
      <c r="G61" s="642">
        <v>8</v>
      </c>
      <c r="H61" s="861">
        <v>6</v>
      </c>
      <c r="J61" s="644">
        <v>14</v>
      </c>
      <c r="K61" s="640">
        <f t="shared" si="18"/>
        <v>57.142857142857139</v>
      </c>
      <c r="L61" s="640">
        <f t="shared" si="19"/>
        <v>42.857142857142854</v>
      </c>
      <c r="M61" s="640">
        <f t="shared" si="20"/>
        <v>0</v>
      </c>
      <c r="N61" s="643">
        <f t="shared" si="21"/>
        <v>100</v>
      </c>
      <c r="O61" s="639">
        <v>40</v>
      </c>
      <c r="P61" s="640">
        <v>21</v>
      </c>
      <c r="R61" s="641">
        <f t="shared" si="22"/>
        <v>61</v>
      </c>
      <c r="S61" s="861">
        <v>2</v>
      </c>
      <c r="T61" s="487"/>
      <c r="U61" s="361">
        <v>42411</v>
      </c>
      <c r="V61" s="634" t="s">
        <v>414</v>
      </c>
      <c r="W61" s="861" t="s">
        <v>76</v>
      </c>
      <c r="X61" s="861" t="s">
        <v>11</v>
      </c>
      <c r="Y61" s="635">
        <v>23</v>
      </c>
      <c r="Z61" s="634" t="s">
        <v>1147</v>
      </c>
      <c r="AA61" s="861" t="s">
        <v>1148</v>
      </c>
      <c r="AB61" s="861" t="s">
        <v>11</v>
      </c>
      <c r="AC61" s="861">
        <v>17</v>
      </c>
      <c r="AD61" s="634" t="s">
        <v>1047</v>
      </c>
      <c r="AE61" s="861" t="s">
        <v>945</v>
      </c>
      <c r="AF61" s="861" t="s">
        <v>18</v>
      </c>
      <c r="AG61" s="635">
        <v>21</v>
      </c>
      <c r="AL61" s="634"/>
      <c r="AO61" s="635"/>
      <c r="AP61" s="634"/>
      <c r="AS61" s="635"/>
      <c r="AW61" s="635"/>
      <c r="BA61" s="636"/>
    </row>
    <row r="62" spans="1:53" s="895" customFormat="1">
      <c r="A62" s="895">
        <v>2017</v>
      </c>
      <c r="B62" s="361"/>
      <c r="C62" s="992" t="s">
        <v>1360</v>
      </c>
      <c r="D62" s="992"/>
      <c r="E62" s="895">
        <v>355</v>
      </c>
      <c r="F62" s="866"/>
      <c r="G62" s="642">
        <v>8</v>
      </c>
      <c r="H62" s="895">
        <v>6</v>
      </c>
      <c r="J62" s="644">
        <v>14</v>
      </c>
      <c r="K62" s="640">
        <f t="shared" si="18"/>
        <v>57.142857142857139</v>
      </c>
      <c r="L62" s="640">
        <f t="shared" si="19"/>
        <v>42.857142857142854</v>
      </c>
      <c r="M62" s="640">
        <f t="shared" si="20"/>
        <v>0</v>
      </c>
      <c r="N62" s="643">
        <f t="shared" si="21"/>
        <v>100</v>
      </c>
      <c r="O62" s="639">
        <v>40</v>
      </c>
      <c r="P62" s="640">
        <v>21</v>
      </c>
      <c r="R62" s="641">
        <f t="shared" ref="R62:R63" si="23">SUM(O62:P62)</f>
        <v>61</v>
      </c>
      <c r="S62" s="895">
        <v>2</v>
      </c>
      <c r="T62" s="487"/>
      <c r="U62" s="361"/>
      <c r="V62" s="634" t="s">
        <v>414</v>
      </c>
      <c r="W62" s="895" t="s">
        <v>76</v>
      </c>
      <c r="X62" s="895" t="s">
        <v>11</v>
      </c>
      <c r="Y62" s="635">
        <v>23</v>
      </c>
      <c r="Z62" s="634" t="s">
        <v>1147</v>
      </c>
      <c r="AA62" s="895" t="s">
        <v>1148</v>
      </c>
      <c r="AB62" s="895" t="s">
        <v>11</v>
      </c>
      <c r="AC62" s="895">
        <v>17</v>
      </c>
      <c r="AD62" s="634" t="s">
        <v>1047</v>
      </c>
      <c r="AE62" s="895" t="s">
        <v>945</v>
      </c>
      <c r="AF62" s="895" t="s">
        <v>18</v>
      </c>
      <c r="AG62" s="635">
        <v>21</v>
      </c>
      <c r="AL62" s="634"/>
      <c r="AO62" s="635"/>
      <c r="AP62" s="634"/>
      <c r="AS62" s="635"/>
      <c r="AW62" s="635"/>
      <c r="BA62" s="636"/>
    </row>
    <row r="63" spans="1:53" s="895" customFormat="1">
      <c r="A63" s="895">
        <v>2017</v>
      </c>
      <c r="B63" s="359">
        <v>43091</v>
      </c>
      <c r="C63" s="992" t="s">
        <v>1360</v>
      </c>
      <c r="D63" s="992"/>
      <c r="E63" s="895">
        <v>10</v>
      </c>
      <c r="F63" s="906">
        <v>0</v>
      </c>
      <c r="G63" s="642">
        <v>8</v>
      </c>
      <c r="H63" s="895">
        <v>5</v>
      </c>
      <c r="J63" s="644">
        <v>13</v>
      </c>
      <c r="K63" s="640">
        <f t="shared" si="18"/>
        <v>61.53846153846154</v>
      </c>
      <c r="L63" s="640">
        <f t="shared" si="19"/>
        <v>38.461538461538467</v>
      </c>
      <c r="M63" s="640">
        <f t="shared" si="20"/>
        <v>0</v>
      </c>
      <c r="N63" s="643">
        <f t="shared" si="21"/>
        <v>100</v>
      </c>
      <c r="O63" s="639">
        <v>40</v>
      </c>
      <c r="P63" s="640">
        <v>21</v>
      </c>
      <c r="R63" s="641">
        <f t="shared" si="23"/>
        <v>61</v>
      </c>
      <c r="S63" s="895">
        <v>2</v>
      </c>
      <c r="T63" s="487"/>
      <c r="U63" s="361"/>
      <c r="V63" s="634" t="s">
        <v>414</v>
      </c>
      <c r="W63" s="895" t="s">
        <v>76</v>
      </c>
      <c r="X63" s="895" t="s">
        <v>11</v>
      </c>
      <c r="Y63" s="635">
        <v>23</v>
      </c>
      <c r="Z63" s="634" t="s">
        <v>1147</v>
      </c>
      <c r="AA63" s="895" t="s">
        <v>1148</v>
      </c>
      <c r="AB63" s="895" t="s">
        <v>11</v>
      </c>
      <c r="AC63" s="895">
        <v>17</v>
      </c>
      <c r="AD63" s="634" t="s">
        <v>1047</v>
      </c>
      <c r="AE63" s="895" t="s">
        <v>945</v>
      </c>
      <c r="AF63" s="895" t="s">
        <v>18</v>
      </c>
      <c r="AG63" s="635">
        <v>21</v>
      </c>
      <c r="AL63" s="634"/>
      <c r="AO63" s="635"/>
      <c r="AP63" s="634"/>
      <c r="AS63" s="635"/>
      <c r="AW63" s="635"/>
      <c r="BA63" s="636"/>
    </row>
    <row r="64" spans="1:53" s="945" customFormat="1">
      <c r="A64" s="945">
        <v>2018</v>
      </c>
      <c r="B64" s="359"/>
      <c r="C64" s="992" t="s">
        <v>1360</v>
      </c>
      <c r="D64" s="992"/>
      <c r="E64" s="945">
        <v>330</v>
      </c>
      <c r="F64" s="906"/>
      <c r="G64" s="642">
        <v>8</v>
      </c>
      <c r="H64" s="945">
        <v>5</v>
      </c>
      <c r="J64" s="644">
        <v>13</v>
      </c>
      <c r="K64" s="640">
        <f t="shared" ref="K64:K65" si="24">G64/J64*100</f>
        <v>61.53846153846154</v>
      </c>
      <c r="L64" s="640">
        <f t="shared" ref="L64:L65" si="25">H64/J64*100</f>
        <v>38.461538461538467</v>
      </c>
      <c r="M64" s="640">
        <f t="shared" ref="M64:M65" si="26">I64/J64*100</f>
        <v>0</v>
      </c>
      <c r="N64" s="643">
        <f t="shared" ref="N64:N65" si="27">SUM(K64:M64)</f>
        <v>100</v>
      </c>
      <c r="O64" s="639">
        <v>40</v>
      </c>
      <c r="P64" s="640">
        <v>21</v>
      </c>
      <c r="R64" s="641">
        <f t="shared" ref="R64" si="28">SUM(O64:P64)</f>
        <v>61</v>
      </c>
      <c r="S64" s="945">
        <v>2</v>
      </c>
      <c r="T64" s="487"/>
      <c r="U64" s="361"/>
      <c r="V64" s="634" t="s">
        <v>414</v>
      </c>
      <c r="W64" s="945" t="s">
        <v>76</v>
      </c>
      <c r="X64" s="945" t="s">
        <v>11</v>
      </c>
      <c r="Y64" s="635">
        <v>23</v>
      </c>
      <c r="Z64" s="634" t="s">
        <v>1147</v>
      </c>
      <c r="AA64" s="945" t="s">
        <v>1148</v>
      </c>
      <c r="AB64" s="945" t="s">
        <v>11</v>
      </c>
      <c r="AC64" s="945">
        <v>17</v>
      </c>
      <c r="AD64" s="634" t="s">
        <v>1047</v>
      </c>
      <c r="AE64" s="945" t="s">
        <v>945</v>
      </c>
      <c r="AF64" s="945" t="s">
        <v>18</v>
      </c>
      <c r="AG64" s="635">
        <v>21</v>
      </c>
      <c r="AL64" s="634"/>
      <c r="AO64" s="635"/>
      <c r="AP64" s="634"/>
      <c r="AS64" s="635"/>
      <c r="AW64" s="635"/>
      <c r="BA64" s="636"/>
    </row>
    <row r="65" spans="1:53" s="945" customFormat="1">
      <c r="A65" s="945">
        <v>2018</v>
      </c>
      <c r="B65" s="359">
        <v>43431</v>
      </c>
      <c r="C65" s="992" t="s">
        <v>1360</v>
      </c>
      <c r="D65" s="992"/>
      <c r="E65" s="945">
        <v>35</v>
      </c>
      <c r="F65" s="906">
        <v>0</v>
      </c>
      <c r="G65" s="642">
        <v>7</v>
      </c>
      <c r="H65" s="945">
        <v>6</v>
      </c>
      <c r="J65" s="644">
        <v>13</v>
      </c>
      <c r="K65" s="640">
        <f t="shared" si="24"/>
        <v>53.846153846153847</v>
      </c>
      <c r="L65" s="640">
        <f t="shared" si="25"/>
        <v>46.153846153846153</v>
      </c>
      <c r="M65" s="640">
        <f t="shared" si="26"/>
        <v>0</v>
      </c>
      <c r="N65" s="643">
        <f t="shared" si="27"/>
        <v>100</v>
      </c>
      <c r="O65" s="639">
        <v>40</v>
      </c>
      <c r="P65" s="640">
        <v>21</v>
      </c>
      <c r="R65" s="641">
        <f t="shared" ref="R65" si="29">SUM(O65:P65)</f>
        <v>61</v>
      </c>
      <c r="S65" s="945">
        <v>2</v>
      </c>
      <c r="T65" s="487">
        <v>43379</v>
      </c>
      <c r="U65" s="361"/>
      <c r="V65" s="634" t="s">
        <v>414</v>
      </c>
      <c r="W65" s="945" t="s">
        <v>76</v>
      </c>
      <c r="X65" s="945" t="s">
        <v>11</v>
      </c>
      <c r="Y65" s="635">
        <v>23</v>
      </c>
      <c r="Z65" s="634" t="s">
        <v>1147</v>
      </c>
      <c r="AA65" s="945" t="s">
        <v>1148</v>
      </c>
      <c r="AB65" s="945" t="s">
        <v>11</v>
      </c>
      <c r="AC65" s="945">
        <v>17</v>
      </c>
      <c r="AD65" s="634" t="s">
        <v>1047</v>
      </c>
      <c r="AE65" s="945" t="s">
        <v>945</v>
      </c>
      <c r="AF65" s="945" t="s">
        <v>18</v>
      </c>
      <c r="AG65" s="635">
        <v>21</v>
      </c>
      <c r="AL65" s="634"/>
      <c r="AO65" s="635"/>
      <c r="AP65" s="634"/>
      <c r="AS65" s="635"/>
      <c r="AW65" s="635"/>
      <c r="BA65" s="636"/>
    </row>
    <row r="66" spans="1:53">
      <c r="B66" s="2"/>
      <c r="C66" s="2"/>
      <c r="D66" s="2"/>
      <c r="E66" s="2"/>
      <c r="F66" s="2"/>
      <c r="G66" s="2"/>
      <c r="H66" s="2"/>
      <c r="I66" s="2"/>
      <c r="J66" s="2"/>
      <c r="K66" s="2"/>
      <c r="L66" s="2"/>
      <c r="M66" s="2"/>
      <c r="N66" s="2"/>
    </row>
    <row r="67" spans="1:53">
      <c r="B67" s="2"/>
      <c r="C67" s="2"/>
      <c r="D67" s="2"/>
      <c r="E67" s="2"/>
      <c r="F67" s="2"/>
      <c r="G67" s="2"/>
      <c r="H67" s="2"/>
      <c r="I67" s="2"/>
      <c r="J67" s="2"/>
      <c r="K67" s="2"/>
      <c r="L67" s="2"/>
      <c r="M67" s="2"/>
      <c r="N67" s="2"/>
    </row>
    <row r="68" spans="1:53" s="2" customFormat="1" ht="18" customHeight="1">
      <c r="B68" s="22" t="s">
        <v>1278</v>
      </c>
    </row>
    <row r="69" spans="1:53" s="2" customFormat="1" ht="9" customHeight="1"/>
    <row r="70" spans="1:53" s="364" customFormat="1" ht="9" customHeight="1">
      <c r="A70" s="362"/>
      <c r="B70" s="363" t="s">
        <v>1229</v>
      </c>
      <c r="C70" s="363"/>
      <c r="D70" s="363"/>
      <c r="E70" s="363"/>
      <c r="F70" s="363"/>
      <c r="G70" s="363" t="s">
        <v>1230</v>
      </c>
      <c r="H70" s="363"/>
      <c r="I70" s="363"/>
      <c r="J70" s="363"/>
      <c r="K70" s="363"/>
      <c r="L70" s="363"/>
      <c r="M70" s="363"/>
      <c r="N70" s="363"/>
      <c r="R70" s="982" t="s">
        <v>1231</v>
      </c>
      <c r="S70" s="982"/>
      <c r="T70" s="982"/>
      <c r="U70" s="982"/>
      <c r="V70" s="982"/>
      <c r="W70" s="982"/>
      <c r="X70" s="365"/>
      <c r="Y70" s="365"/>
      <c r="AA70" s="365"/>
      <c r="AB70" s="365"/>
      <c r="AC70" s="365"/>
      <c r="AD70" s="365"/>
    </row>
    <row r="71" spans="1:53" s="369" customFormat="1" ht="9" customHeight="1">
      <c r="A71" s="366"/>
      <c r="B71" s="367" t="s">
        <v>1233</v>
      </c>
      <c r="C71" s="368"/>
      <c r="D71" s="368"/>
      <c r="E71" s="368"/>
      <c r="F71" s="368"/>
      <c r="G71" s="367" t="s">
        <v>1232</v>
      </c>
      <c r="H71" s="368"/>
      <c r="I71" s="368"/>
      <c r="J71" s="368"/>
      <c r="K71" s="368"/>
      <c r="L71" s="368"/>
      <c r="M71" s="368"/>
      <c r="N71" s="368"/>
      <c r="R71" s="370" t="s">
        <v>1234</v>
      </c>
      <c r="S71" s="371"/>
      <c r="T71" s="372"/>
      <c r="U71" s="372"/>
      <c r="V71" s="372"/>
      <c r="W71" s="370" t="s">
        <v>1235</v>
      </c>
      <c r="X71" s="372"/>
      <c r="Y71" s="372"/>
      <c r="AA71" s="372"/>
      <c r="AB71" s="372"/>
      <c r="AC71" s="372"/>
      <c r="AD71" s="372"/>
    </row>
    <row r="72" spans="1:53" s="351" customFormat="1" ht="12" customHeight="1">
      <c r="A72" s="373" t="s">
        <v>3</v>
      </c>
      <c r="B72" s="374" t="s">
        <v>8</v>
      </c>
      <c r="C72" s="374" t="s">
        <v>9</v>
      </c>
      <c r="D72" s="374" t="s">
        <v>10</v>
      </c>
      <c r="E72" s="375" t="s">
        <v>1209</v>
      </c>
      <c r="F72" s="374"/>
      <c r="G72" s="351" t="s">
        <v>3</v>
      </c>
      <c r="H72" s="983" t="s">
        <v>0</v>
      </c>
      <c r="I72" s="983"/>
      <c r="J72" s="983" t="s">
        <v>1</v>
      </c>
      <c r="K72" s="983"/>
      <c r="L72" s="983" t="s">
        <v>2</v>
      </c>
      <c r="M72" s="983"/>
      <c r="N72" s="984" t="s">
        <v>1209</v>
      </c>
      <c r="O72" s="984"/>
      <c r="P72" s="376"/>
      <c r="Q72" s="376"/>
      <c r="R72" s="377" t="s">
        <v>3</v>
      </c>
      <c r="S72" s="378" t="s">
        <v>136</v>
      </c>
      <c r="T72" s="376" t="s">
        <v>134</v>
      </c>
      <c r="U72" s="374" t="s">
        <v>135</v>
      </c>
      <c r="V72" s="376"/>
      <c r="W72" s="379" t="s">
        <v>26</v>
      </c>
    </row>
    <row r="73" spans="1:53" ht="9" customHeight="1">
      <c r="A73" s="1">
        <v>1990</v>
      </c>
      <c r="C73" s="8"/>
      <c r="D73" s="8"/>
      <c r="E73" s="69"/>
      <c r="G73" s="1">
        <v>1990</v>
      </c>
      <c r="H73" s="961"/>
      <c r="I73" s="961"/>
      <c r="J73" s="961"/>
      <c r="K73" s="961"/>
      <c r="L73" s="961"/>
      <c r="M73" s="961"/>
      <c r="N73" s="959"/>
      <c r="O73" s="959"/>
      <c r="R73" s="1">
        <v>1990</v>
      </c>
    </row>
    <row r="74" spans="1:53" ht="9" customHeight="1">
      <c r="A74" s="1">
        <v>1991</v>
      </c>
      <c r="C74" s="8"/>
      <c r="D74" s="8"/>
      <c r="E74" s="69"/>
      <c r="G74" s="1">
        <v>1991</v>
      </c>
      <c r="H74" s="1002"/>
      <c r="I74" s="1002"/>
      <c r="J74" s="1002"/>
      <c r="K74" s="1002"/>
      <c r="L74" s="1002"/>
      <c r="M74" s="1002"/>
      <c r="N74" s="959"/>
      <c r="O74" s="959"/>
      <c r="R74" s="1">
        <v>1991</v>
      </c>
    </row>
    <row r="75" spans="1:53" ht="9" customHeight="1">
      <c r="A75" s="1">
        <v>1992</v>
      </c>
      <c r="C75" s="8"/>
      <c r="D75" s="8"/>
      <c r="E75" s="69"/>
      <c r="G75" s="1">
        <v>1992</v>
      </c>
      <c r="H75" s="1002"/>
      <c r="I75" s="1002"/>
      <c r="J75" s="1002"/>
      <c r="K75" s="1002"/>
      <c r="L75" s="1002"/>
      <c r="M75" s="1002"/>
      <c r="N75" s="959"/>
      <c r="O75" s="959"/>
      <c r="R75" s="1">
        <v>1992</v>
      </c>
    </row>
    <row r="76" spans="1:53" ht="9" customHeight="1">
      <c r="A76" s="1">
        <v>1993</v>
      </c>
      <c r="B76" s="8">
        <f>(K7*($E7/151))</f>
        <v>80</v>
      </c>
      <c r="C76" s="8">
        <f>(L7*($E7/151))</f>
        <v>0</v>
      </c>
      <c r="D76" s="8">
        <f>(M7*($E7/151))</f>
        <v>20</v>
      </c>
      <c r="E76" s="69">
        <f t="shared" ref="E76:E95" si="30">SUM(B76:D76)</f>
        <v>100</v>
      </c>
      <c r="G76" s="1">
        <v>1993</v>
      </c>
      <c r="H76" s="1002">
        <f>(O7/$R7*100*($E7/151))</f>
        <v>75</v>
      </c>
      <c r="I76" s="1002"/>
      <c r="J76" s="1002">
        <f>(P7/$R7*100*($E7/151))</f>
        <v>0</v>
      </c>
      <c r="K76" s="1002"/>
      <c r="L76" s="1002">
        <f>(Q7/$R7*100*($E7/151))</f>
        <v>25</v>
      </c>
      <c r="M76" s="1002"/>
      <c r="N76" s="959">
        <f t="shared" ref="N76:N91" si="31">SUM(H76:L76)</f>
        <v>100</v>
      </c>
      <c r="O76" s="959"/>
      <c r="R76" s="1">
        <v>1993</v>
      </c>
      <c r="S76" s="8">
        <f>(O7*($E7/151))</f>
        <v>36</v>
      </c>
      <c r="T76" s="8">
        <f>(P7*($E7/151))</f>
        <v>0</v>
      </c>
      <c r="U76" s="8">
        <f>(Q7*($E7/151))</f>
        <v>12</v>
      </c>
      <c r="W76" s="7">
        <f>SUM(S76:U76)</f>
        <v>48</v>
      </c>
      <c r="Y76" s="71" t="s">
        <v>1238</v>
      </c>
    </row>
    <row r="77" spans="1:53" ht="9" customHeight="1">
      <c r="A77" s="1">
        <v>1994</v>
      </c>
      <c r="B77" s="8">
        <f>(K8*($E8/365))+(K9*($E9/365))</f>
        <v>75.350293542074368</v>
      </c>
      <c r="C77" s="8">
        <f>(L8*($E8/365))+(L9*($E9/365))</f>
        <v>0</v>
      </c>
      <c r="D77" s="8">
        <f>(M8*($E8/365))+(M9*($E9/365))</f>
        <v>16.195694716242659</v>
      </c>
      <c r="E77" s="69">
        <f t="shared" si="30"/>
        <v>91.545988258317024</v>
      </c>
      <c r="G77" s="1">
        <v>1994</v>
      </c>
      <c r="H77" s="1002">
        <f>(O8/$R8*100*($E8/365))+(O9/$R9*100*($E9/365))</f>
        <v>82.397260273972606</v>
      </c>
      <c r="I77" s="1002"/>
      <c r="J77" s="1002">
        <f>(P8/$R8*100*($E8/365))+(P9/$R9*100*($E9/365))</f>
        <v>0</v>
      </c>
      <c r="K77" s="1002"/>
      <c r="L77" s="1002">
        <f>(Q8/$R8*100*($E8/365))+(Q9/$R9*100*($E9/365))</f>
        <v>17.602739726027398</v>
      </c>
      <c r="M77" s="1002"/>
      <c r="N77" s="959">
        <f t="shared" si="31"/>
        <v>100</v>
      </c>
      <c r="O77" s="959"/>
      <c r="R77" s="1">
        <v>1994</v>
      </c>
      <c r="S77" s="8">
        <f>(O8*($E8/365))+(O9*($E9/365))</f>
        <v>36</v>
      </c>
      <c r="T77" s="8">
        <f>(P8*($E8/365))+(P9*($E9/365))</f>
        <v>0</v>
      </c>
      <c r="U77" s="8">
        <f>(Q8*($E8/365))+(Q9*($E9/365))</f>
        <v>8.4493150684931511</v>
      </c>
      <c r="W77" s="7">
        <f t="shared" ref="W77:W95" si="32">SUM(S77:U77)</f>
        <v>44.449315068493149</v>
      </c>
    </row>
    <row r="78" spans="1:53" ht="9" customHeight="1">
      <c r="A78" s="1">
        <v>1995</v>
      </c>
      <c r="B78" s="8">
        <f>(K10*($E10/365))+(K11*($E11/365))</f>
        <v>64.043542074363998</v>
      </c>
      <c r="C78" s="8">
        <f>(L10*($E10/365))+(L11*($E11/365))</f>
        <v>0.18835616438356165</v>
      </c>
      <c r="D78" s="8">
        <f>(M10*($E10/365))+(M11*($E11/365))</f>
        <v>7.8693737769080228</v>
      </c>
      <c r="E78" s="69">
        <f t="shared" si="30"/>
        <v>72.101272015655582</v>
      </c>
      <c r="G78" s="1">
        <v>1995</v>
      </c>
      <c r="H78" s="1002">
        <f>(O10/$R10*100*($E10/365))+(O11/$R11*100*($E11/365))</f>
        <v>98.596359542127985</v>
      </c>
      <c r="I78" s="1002"/>
      <c r="J78" s="1002">
        <f>(P10/$R10*100*($E10/365))+(P11/$R11*100*($E11/365))</f>
        <v>0.33026834302871083</v>
      </c>
      <c r="K78" s="1002"/>
      <c r="L78" s="1002">
        <f>(Q10/$R10*100*($E10/365))+(Q11/$R11*100*($E11/365))</f>
        <v>1.0733721148433102</v>
      </c>
      <c r="M78" s="1002"/>
      <c r="N78" s="959">
        <f t="shared" si="31"/>
        <v>100</v>
      </c>
      <c r="O78" s="959"/>
      <c r="R78" s="1">
        <v>1995</v>
      </c>
      <c r="S78" s="8">
        <f>(O10*($E10/365))+(O11*($E11/365))</f>
        <v>36.090410958904108</v>
      </c>
      <c r="T78" s="8">
        <f>(P10*($E10/365))+(P11*($E11/365))</f>
        <v>0.24109589041095891</v>
      </c>
      <c r="U78" s="8">
        <f>(Q10*($E10/365))+(Q11*($E11/365))</f>
        <v>0.78356164383561644</v>
      </c>
      <c r="W78" s="7">
        <f t="shared" si="32"/>
        <v>37.115068493150687</v>
      </c>
    </row>
    <row r="79" spans="1:53" ht="9" customHeight="1">
      <c r="A79" s="1">
        <v>1996</v>
      </c>
      <c r="B79" s="8">
        <f>(K12*($E12/366))+(K13*($E13/366))</f>
        <v>56.25</v>
      </c>
      <c r="C79" s="8">
        <f>(L12*($E12/366))+(L13*($E13/366))</f>
        <v>6.25</v>
      </c>
      <c r="D79" s="8">
        <f>(M12*($E12/366))+(M13*($E13/366))</f>
        <v>31.25</v>
      </c>
      <c r="E79" s="69">
        <f t="shared" si="30"/>
        <v>93.75</v>
      </c>
      <c r="G79" s="1">
        <v>1996</v>
      </c>
      <c r="H79" s="1002">
        <f>(O12/$R12*100*($E12/366))+(O13/$R13*100*($E13/366))</f>
        <v>53.424657534246577</v>
      </c>
      <c r="I79" s="1002"/>
      <c r="J79" s="1002">
        <f>(P12/$R12*100*($E12/366))+(P13/$R13*100*($E13/366))</f>
        <v>10.95890410958904</v>
      </c>
      <c r="K79" s="1002"/>
      <c r="L79" s="1002">
        <f>(Q12/$R12*100*($E12/366))+(Q13/$R13*100*($E13/366))</f>
        <v>35.61643835616438</v>
      </c>
      <c r="M79" s="1002"/>
      <c r="N79" s="959">
        <f t="shared" si="31"/>
        <v>100</v>
      </c>
      <c r="O79" s="959"/>
      <c r="R79" s="1">
        <v>1996</v>
      </c>
      <c r="S79" s="8">
        <f>(O12*($E12/366))+(O13*($E13/366))</f>
        <v>39</v>
      </c>
      <c r="T79" s="8">
        <f>(P12*($E12/366))+(P13*($E13/366))</f>
        <v>8</v>
      </c>
      <c r="U79" s="8">
        <f>(Q12*($E12/366))+(Q13*($E13/366))</f>
        <v>26</v>
      </c>
      <c r="W79" s="7">
        <f t="shared" si="32"/>
        <v>73</v>
      </c>
    </row>
    <row r="80" spans="1:53" ht="9" customHeight="1">
      <c r="A80" s="1">
        <v>1997</v>
      </c>
      <c r="B80" s="8">
        <f>(K14*($E14/365))+(K15*($E15/365))+(K16*($E16/365))</f>
        <v>54.521449170872387</v>
      </c>
      <c r="C80" s="8">
        <f>(L14*($E14/365))+(L15*($E15/365))+(L16*($E16/365))</f>
        <v>14.413302090843548</v>
      </c>
      <c r="D80" s="8">
        <f>(M14*($E14/365))+(M15*($E15/365))+(M16*($E16/365))</f>
        <v>25.282083633741887</v>
      </c>
      <c r="E80" s="69">
        <f t="shared" si="30"/>
        <v>94.216834895457822</v>
      </c>
      <c r="G80" s="1">
        <v>1997</v>
      </c>
      <c r="H80" s="1002">
        <f>(O14/$R14*100*($E14/365))+(O15/$R15*100*($E15/365))+(O16/$R16*100*($E16/365))</f>
        <v>59.225370613623575</v>
      </c>
      <c r="I80" s="1002"/>
      <c r="J80" s="1002">
        <f>(P14/$R14*100*($E14/365))+(P15/$R15*100*($E15/365))+(P16/$R16*100*($E16/365))</f>
        <v>12.148793972025349</v>
      </c>
      <c r="K80" s="1002"/>
      <c r="L80" s="1002">
        <f>(Q14/$R14*100*($E14/365))+(Q15/$R15*100*($E15/365))+(Q16/$R16*100*($E16/365))</f>
        <v>28.625835414351084</v>
      </c>
      <c r="M80" s="1002"/>
      <c r="N80" s="959">
        <f t="shared" si="31"/>
        <v>100.00000000000001</v>
      </c>
      <c r="O80" s="959"/>
      <c r="R80" s="1">
        <v>1997</v>
      </c>
      <c r="S80" s="8">
        <f>(O14*($E14/365))+(O15*($E15/365))+(O16*($E16/365))</f>
        <v>39</v>
      </c>
      <c r="T80" s="8">
        <f>(P14*($E14/365))+(P15*($E15/365))+(P16*($E16/365))</f>
        <v>8</v>
      </c>
      <c r="U80" s="8">
        <f>(Q14*($E14/365))+(Q15*($E15/365))+(Q16*($E16/365))</f>
        <v>18.942465753424656</v>
      </c>
      <c r="W80" s="7">
        <f t="shared" si="32"/>
        <v>65.942465753424656</v>
      </c>
    </row>
    <row r="81" spans="1:23" ht="9" customHeight="1">
      <c r="A81" s="1">
        <v>1998</v>
      </c>
      <c r="B81" s="8">
        <f>(K17*($E17/365))+(K18*($E18/365))+(K19*($E19/365))</f>
        <v>65.839831401475237</v>
      </c>
      <c r="C81" s="8">
        <f>(L17*($E17/365))+(L18*($E18/365))+(L19*($E19/365))</f>
        <v>25.252145115158818</v>
      </c>
      <c r="D81" s="8">
        <f>(M17*($E17/365))+(M18*($E18/365))+(M19*($E19/365))</f>
        <v>8.9080234833659482</v>
      </c>
      <c r="E81" s="69">
        <f t="shared" si="30"/>
        <v>100</v>
      </c>
      <c r="G81" s="1">
        <v>1998</v>
      </c>
      <c r="H81" s="1002">
        <f>(O17/$R17*100*($E17/365))+(O18/$R18*100*($E18/365))+(O19/$R19*100*($E19/365))</f>
        <v>76.940571856839512</v>
      </c>
      <c r="I81" s="1002"/>
      <c r="J81" s="1002">
        <f>(P17/$R17*100*($E17/365))+(P18/$R18*100*($E18/365))+(P19/$R19*100*($E19/365))</f>
        <v>14.089814586462795</v>
      </c>
      <c r="K81" s="1002"/>
      <c r="L81" s="1002">
        <f>(Q17/$R17*100*($E17/365))+(Q18/$R18*100*($E18/365))+(Q19/$R19*100*($E19/365))</f>
        <v>8.9696135566977055</v>
      </c>
      <c r="M81" s="1002"/>
      <c r="N81" s="959">
        <f t="shared" si="31"/>
        <v>100.00000000000001</v>
      </c>
      <c r="O81" s="959"/>
      <c r="R81" s="1">
        <v>1998</v>
      </c>
      <c r="S81" s="8">
        <f>(O17*($E17/365))+(O18*($E18/365))+(O19*($E19/365))</f>
        <v>39.197260273972603</v>
      </c>
      <c r="T81" s="8">
        <f>(P17*($E17/365))+(P18*($E18/365))+(P19*($E19/365))</f>
        <v>7.2109589041095896</v>
      </c>
      <c r="U81" s="8">
        <f>(Q17*($E17/365))+(Q18*($E18/365))+(Q19*($E19/365))</f>
        <v>5.5726027397260278</v>
      </c>
      <c r="W81" s="7">
        <f t="shared" si="32"/>
        <v>51.980821917808221</v>
      </c>
    </row>
    <row r="82" spans="1:23" ht="9" customHeight="1">
      <c r="A82" s="1">
        <v>1999</v>
      </c>
      <c r="B82" s="8">
        <f>(K20*($E20/365))+(K21*($E21/365))+(K22*($E22/365))</f>
        <v>89.881278538812779</v>
      </c>
      <c r="C82" s="8">
        <f>(L20*($E20/365))+(L21*($E21/365))+(L22*($E22/365))</f>
        <v>0</v>
      </c>
      <c r="D82" s="8">
        <f>(M20*($E20/365))+(M21*($E21/365))+(M22*($E22/365))</f>
        <v>10.118721461187215</v>
      </c>
      <c r="E82" s="69">
        <f t="shared" si="30"/>
        <v>100</v>
      </c>
      <c r="G82" s="1">
        <v>1999</v>
      </c>
      <c r="H82" s="1002">
        <f>(O20/$R20*100*($E20/365))+(O21/$R21*100*($E21/365))+(O22/$R22*100*($E22/365))</f>
        <v>82.98015096449538</v>
      </c>
      <c r="I82" s="1002"/>
      <c r="J82" s="1002">
        <f>(P20/$R20*100*($E20/365))+(P21/$R21*100*($E21/365))+(P22/$R22*100*($E22/365))</f>
        <v>0</v>
      </c>
      <c r="K82" s="1002"/>
      <c r="L82" s="1002">
        <f>(Q20/$R20*100*($E20/365))+(Q21/$R21*100*($E21/365))+(Q22/$R22*100*($E22/365))</f>
        <v>17.01984903550461</v>
      </c>
      <c r="M82" s="1002"/>
      <c r="N82" s="959">
        <f t="shared" si="31"/>
        <v>99.999999999999986</v>
      </c>
      <c r="O82" s="959"/>
      <c r="R82" s="1">
        <v>1999</v>
      </c>
      <c r="S82" s="8">
        <f>(O20*($E20/365))+(O21*($E21/365))+(O22*($E22/365))</f>
        <v>50.723287671232875</v>
      </c>
      <c r="T82" s="8">
        <f>(P20*($E20/365))+(P21*($E21/365))+(P22*($E22/365))</f>
        <v>0</v>
      </c>
      <c r="U82" s="8">
        <f>(Q20*($E20/365))+(Q21*($E21/365))+(Q22*($E22/365))</f>
        <v>10.509589041095891</v>
      </c>
      <c r="W82" s="7">
        <f t="shared" si="32"/>
        <v>61.232876712328768</v>
      </c>
    </row>
    <row r="83" spans="1:23" ht="9" customHeight="1">
      <c r="A83" s="1">
        <v>2000</v>
      </c>
      <c r="B83" s="8">
        <f>(K23*($E23/366))+(K24*($E24/366))</f>
        <v>91.183970856102007</v>
      </c>
      <c r="C83" s="8">
        <f>(L23*($E23/366))+(L24*($E24/366))</f>
        <v>0</v>
      </c>
      <c r="D83" s="8">
        <f>(M23*($E23/366))+(M24*($E24/366))</f>
        <v>8.8160291438979961</v>
      </c>
      <c r="E83" s="69">
        <f t="shared" si="30"/>
        <v>100</v>
      </c>
      <c r="G83" s="1">
        <v>2000</v>
      </c>
      <c r="H83" s="1002">
        <f>(O23/$R23*100*($E23/366))+(O24/$R24*100*($E24/366))</f>
        <v>92.44340359094457</v>
      </c>
      <c r="I83" s="1002"/>
      <c r="J83" s="1002">
        <f>(P23/$R23*100*($E23/366))+(P24/$R24*100*($E24/366))</f>
        <v>0</v>
      </c>
      <c r="K83" s="1002"/>
      <c r="L83" s="1002">
        <f>(Q23/$R23*100*($E23/366))+(Q24/$R24*100*($E24/366))</f>
        <v>7.556596409055425</v>
      </c>
      <c r="M83" s="1002"/>
      <c r="N83" s="959">
        <f t="shared" si="31"/>
        <v>100</v>
      </c>
      <c r="O83" s="959"/>
      <c r="R83" s="1">
        <v>2000</v>
      </c>
      <c r="S83" s="8">
        <f>(O23*($E23/366))+(O24*($E24/366))</f>
        <v>62</v>
      </c>
      <c r="T83" s="8">
        <f>(P23*($E23/366))+(P24*($E24/366))</f>
        <v>0</v>
      </c>
      <c r="U83" s="8">
        <f>(Q23*($E23/366))+(Q24*($E24/366))</f>
        <v>5.2896174863387975</v>
      </c>
      <c r="W83" s="7">
        <f t="shared" si="32"/>
        <v>67.289617486338798</v>
      </c>
    </row>
    <row r="84" spans="1:23" ht="9" customHeight="1">
      <c r="A84" s="1">
        <v>2001</v>
      </c>
      <c r="B84" s="8">
        <f>(K25*($E25/365))+(K26*($E26/365))</f>
        <v>86.666666666666671</v>
      </c>
      <c r="C84" s="8">
        <f>(L25*($E25/365))+(L26*($E26/365))</f>
        <v>0</v>
      </c>
      <c r="D84" s="8">
        <f>(M25*($E25/365))+(M26*($E26/365))</f>
        <v>13.333333333333334</v>
      </c>
      <c r="E84" s="69">
        <f t="shared" si="30"/>
        <v>100</v>
      </c>
      <c r="G84" s="1">
        <v>2001</v>
      </c>
      <c r="H84" s="1002">
        <f>(O25/$R25*100*($E25/365))+(O26/$R26*100*($E26/365))</f>
        <v>88.571428571428569</v>
      </c>
      <c r="I84" s="1002"/>
      <c r="J84" s="1002">
        <f>(P25/$R25*100*($E25/365))+(P26/$R26*100*($E26/365))</f>
        <v>0</v>
      </c>
      <c r="K84" s="1002"/>
      <c r="L84" s="1002">
        <f>(Q25/$R25*100*($E25/365))+(Q26/$R26*100*($E26/365))</f>
        <v>11.428571428571429</v>
      </c>
      <c r="M84" s="1002"/>
      <c r="N84" s="959">
        <f t="shared" si="31"/>
        <v>100</v>
      </c>
      <c r="O84" s="959"/>
      <c r="R84" s="1">
        <v>2001</v>
      </c>
      <c r="S84" s="8">
        <f>(O25*($E25/365))+(O26*($E26/365))</f>
        <v>62</v>
      </c>
      <c r="T84" s="8">
        <f>(P25*($E25/365))+(P26*($E26/365))</f>
        <v>0</v>
      </c>
      <c r="U84" s="8">
        <f>(Q25*($E25/365))+(Q26*($E26/365))</f>
        <v>8</v>
      </c>
      <c r="W84" s="7">
        <f t="shared" si="32"/>
        <v>70</v>
      </c>
    </row>
    <row r="85" spans="1:23" ht="9" customHeight="1">
      <c r="A85" s="1">
        <v>2002</v>
      </c>
      <c r="B85" s="8">
        <f>(K27*($E27/365))+(K28*($E28/365))</f>
        <v>82.675799086757991</v>
      </c>
      <c r="C85" s="8">
        <f>(L27*($E27/365))+(L28*($E28/365))</f>
        <v>6.0730593607305945</v>
      </c>
      <c r="D85" s="8">
        <f>(M27*($E27/365))+(M28*($E28/365))</f>
        <v>11.251141552511415</v>
      </c>
      <c r="E85" s="69">
        <f t="shared" si="30"/>
        <v>100</v>
      </c>
      <c r="G85" s="1">
        <v>2002</v>
      </c>
      <c r="H85" s="1002">
        <f>(O27/$R27*100*($E27/365))+(O28/$R28*100*($E28/365))</f>
        <v>84.109589041095887</v>
      </c>
      <c r="I85" s="1002"/>
      <c r="J85" s="1002">
        <f>(P27/$R27*100*($E27/365))+(P28/$R28*100*($E28/365))</f>
        <v>6.2465753424657535</v>
      </c>
      <c r="K85" s="1002"/>
      <c r="L85" s="1002">
        <f>(Q27/$R27*100*($E27/365))+(Q28/$R28*100*($E28/365))</f>
        <v>9.6438356164383556</v>
      </c>
      <c r="M85" s="1002"/>
      <c r="N85" s="959">
        <f t="shared" si="31"/>
        <v>99.999999999999986</v>
      </c>
      <c r="O85" s="959"/>
      <c r="R85" s="1">
        <v>2002</v>
      </c>
      <c r="S85" s="8">
        <f>(O27*($E27/365))+(O28*($E28/365))</f>
        <v>57.471232876712328</v>
      </c>
      <c r="T85" s="8">
        <f>(P27*($E27/365))+(P28*($E28/365))</f>
        <v>3.4356164383561643</v>
      </c>
      <c r="U85" s="8">
        <f>(Q27*($E27/365))+(Q28*($E28/365))</f>
        <v>6.7506849315068491</v>
      </c>
      <c r="W85" s="7">
        <f t="shared" si="32"/>
        <v>67.657534246575338</v>
      </c>
    </row>
    <row r="86" spans="1:23" ht="9" customHeight="1">
      <c r="A86" s="1">
        <v>2003</v>
      </c>
      <c r="B86" s="8">
        <f>(K29*($E29/365))+(K30*($E30/365))</f>
        <v>61.111111111111114</v>
      </c>
      <c r="C86" s="8">
        <f>(L29*($E29/365))+(L30*($E30/365))</f>
        <v>38.888888888888893</v>
      </c>
      <c r="D86" s="8">
        <f>(M29*($E29/365))+(M30*($E30/365))</f>
        <v>0</v>
      </c>
      <c r="E86" s="69">
        <f t="shared" si="30"/>
        <v>100</v>
      </c>
      <c r="G86" s="1">
        <v>2003</v>
      </c>
      <c r="H86" s="1002">
        <f>(O29/$R29*100*($E29/365))+(O30/$R30*100*($E30/365))</f>
        <v>60</v>
      </c>
      <c r="I86" s="1002"/>
      <c r="J86" s="1002">
        <f>(P29/$R29*100*($E29/365))+(P30/$R30*100*($E30/365))</f>
        <v>40</v>
      </c>
      <c r="K86" s="1002"/>
      <c r="L86" s="1002">
        <f>(Q29/$R29*100*($E29/365))+(Q30/$R30*100*($E30/365))</f>
        <v>0</v>
      </c>
      <c r="M86" s="1002"/>
      <c r="N86" s="959">
        <f t="shared" si="31"/>
        <v>100</v>
      </c>
      <c r="O86" s="959"/>
      <c r="R86" s="1">
        <v>2003</v>
      </c>
      <c r="S86" s="8">
        <f>(O29*($E29/365))+(O30*($E30/365))</f>
        <v>33</v>
      </c>
      <c r="T86" s="8">
        <f>(P29*($E29/365))+(P30*($E30/365))</f>
        <v>22</v>
      </c>
      <c r="U86" s="8">
        <f>(Q29*($E29/365))+(Q30*($E30/365))</f>
        <v>0</v>
      </c>
      <c r="W86" s="7">
        <f t="shared" si="32"/>
        <v>55</v>
      </c>
    </row>
    <row r="87" spans="1:23" ht="9" customHeight="1">
      <c r="A87" s="1">
        <v>2004</v>
      </c>
      <c r="B87" s="8">
        <f>(K31*($E31/366))+(K32*($E32/366))+(K33*($E33/366))</f>
        <v>37.158469945355193</v>
      </c>
      <c r="C87" s="8">
        <f>(L31*($E31/366))+(L32*($E32/366))+(L33*($E33/366))</f>
        <v>54.705525197328477</v>
      </c>
      <c r="D87" s="8">
        <f>(M31*($E31/366))+(M32*($E32/366))+(M33*($E33/366))</f>
        <v>0</v>
      </c>
      <c r="E87" s="69">
        <f t="shared" si="30"/>
        <v>91.863995142683677</v>
      </c>
      <c r="G87" s="1">
        <v>2004</v>
      </c>
      <c r="H87" s="1002">
        <f>(O31/$R31*100*($E31/366))+(O32/$R32*100*($E32/366))+(O33/$R33*100*($E33/366))</f>
        <v>51.560974116422528</v>
      </c>
      <c r="I87" s="1002"/>
      <c r="J87" s="1002">
        <f>(P31/$R31*100*($E31/366))+(P32/$R32*100*($E32/366))+(P33/$R33*100*($E33/366))</f>
        <v>48.439025883577479</v>
      </c>
      <c r="K87" s="1002"/>
      <c r="L87" s="1002">
        <f>(Q31/$R31*100*($E31/366))+(Q32/$R32*100*($E32/366))+(Q33/$R33*100*($E33/366))</f>
        <v>0</v>
      </c>
      <c r="M87" s="1002"/>
      <c r="N87" s="959">
        <f t="shared" si="31"/>
        <v>100</v>
      </c>
      <c r="O87" s="959"/>
      <c r="R87" s="1">
        <v>2004</v>
      </c>
      <c r="S87" s="8">
        <f>(O31*($E31/366))+(O32*($E32/366))+(O33*($E33/366))</f>
        <v>24.546448087431692</v>
      </c>
      <c r="T87" s="8">
        <f>(P31*($E31/366))+(P32*($E32/366))+(P33*($E33/366))</f>
        <v>22</v>
      </c>
      <c r="U87" s="8">
        <f>(Q31*($E31/366))+(Q32*($E32/366))+(Q33*($E33/366))</f>
        <v>0</v>
      </c>
      <c r="W87" s="7">
        <f t="shared" si="32"/>
        <v>46.546448087431692</v>
      </c>
    </row>
    <row r="88" spans="1:23" ht="9" customHeight="1">
      <c r="A88" s="1">
        <v>2005</v>
      </c>
      <c r="B88" s="8">
        <f>(K34*($E34/365))+(K35*($E35/365))</f>
        <v>66.666666666666657</v>
      </c>
      <c r="C88" s="8">
        <f>(L34*($E34/365))+(L35*($E35/365))</f>
        <v>33.333333333333329</v>
      </c>
      <c r="D88" s="8">
        <f>(M34*($E34/365))+(M35*($E35/365))</f>
        <v>0</v>
      </c>
      <c r="E88" s="69">
        <f t="shared" si="30"/>
        <v>99.999999999999986</v>
      </c>
      <c r="G88" s="1">
        <v>2005</v>
      </c>
      <c r="H88" s="1002">
        <f>(O34/$R34*100*($E34/365))+(O35/$R35*100*($E35/365))</f>
        <v>67.64705882352942</v>
      </c>
      <c r="I88" s="1002"/>
      <c r="J88" s="1002">
        <f>(P34/$R34*100*($E34/365))+(P35/$R35*100*($E35/365))</f>
        <v>32.352941176470587</v>
      </c>
      <c r="K88" s="1002"/>
      <c r="L88" s="1002">
        <f>(Q34/$R34*100*($E34/365))+(Q35/$R35*100*($E35/365))</f>
        <v>0</v>
      </c>
      <c r="M88" s="1002"/>
      <c r="N88" s="959">
        <f t="shared" si="31"/>
        <v>100</v>
      </c>
      <c r="O88" s="959"/>
      <c r="R88" s="1">
        <v>2005</v>
      </c>
      <c r="S88" s="8">
        <f>(O34*($E34/365))+(O35*($E35/365))</f>
        <v>46</v>
      </c>
      <c r="T88" s="8">
        <f>(P34*($E34/365))+(P35*($E35/365))</f>
        <v>22</v>
      </c>
      <c r="U88" s="8">
        <f>(Q34*($E34/365))+(Q35*($E35/365))</f>
        <v>0</v>
      </c>
      <c r="W88" s="7">
        <f t="shared" si="32"/>
        <v>68</v>
      </c>
    </row>
    <row r="89" spans="1:23" ht="9" customHeight="1">
      <c r="A89" s="1">
        <v>2006</v>
      </c>
      <c r="B89" s="8">
        <f>(K36*($E36/365))+(K37*($E37/365))+(K38*($E38/365))</f>
        <v>54.429223744292237</v>
      </c>
      <c r="C89" s="8">
        <f>(L36*($E36/365))+(L37*($E37/365))+(L38*($E38/365))</f>
        <v>45.570776255707763</v>
      </c>
      <c r="D89" s="8">
        <f>(M36*($E36/365))+(M37*($E37/365))+(M38*($E38/365))</f>
        <v>0</v>
      </c>
      <c r="E89" s="69">
        <f t="shared" si="30"/>
        <v>100</v>
      </c>
      <c r="G89" s="1">
        <v>2006</v>
      </c>
      <c r="H89" s="1002">
        <f>(O36/$R36*100*($E36/365))+(O37/$R37*100*($E37/365))+(O38/$R38*100*($E38/365))</f>
        <v>53.683431115654997</v>
      </c>
      <c r="I89" s="1002"/>
      <c r="J89" s="1002">
        <f>(P36/$R36*100*($E36/365))+(P37/$R37*100*($E37/365))+(P38/$R38*100*($E38/365))</f>
        <v>46.31656888434501</v>
      </c>
      <c r="K89" s="1002"/>
      <c r="L89" s="1002">
        <f>(Q36/$R36*100*($E36/365))+(Q37/$R37*100*($E37/365))+(Q38/$R38*100*($E38/365))</f>
        <v>0</v>
      </c>
      <c r="M89" s="1002"/>
      <c r="N89" s="959">
        <f t="shared" si="31"/>
        <v>100</v>
      </c>
      <c r="O89" s="959"/>
      <c r="R89" s="1">
        <v>2006</v>
      </c>
      <c r="S89" s="8">
        <f>(O36*($E36/365))+(O37*($E37/365))+(O38*($E38/365))</f>
        <v>28.567123287671233</v>
      </c>
      <c r="T89" s="8">
        <f>(P36*($E36/365))+(P37*($E37/365))+(P38*($E38/365))</f>
        <v>22.904109589041099</v>
      </c>
      <c r="U89" s="8">
        <f>(Q36*($E36/365))+(Q37*($E37/365))+(Q38*($E38/365))</f>
        <v>0</v>
      </c>
      <c r="W89" s="7">
        <f t="shared" si="32"/>
        <v>51.471232876712335</v>
      </c>
    </row>
    <row r="90" spans="1:23" ht="9" customHeight="1">
      <c r="A90" s="1">
        <v>2007</v>
      </c>
      <c r="B90" s="8">
        <f>(K39*($E39/365))+(K40*($E40/365))</f>
        <v>50.086517664023077</v>
      </c>
      <c r="C90" s="8">
        <f>(L39*($E39/365))+(L40*($E40/365))</f>
        <v>49.91348233597693</v>
      </c>
      <c r="D90" s="8">
        <f>(M39*($E39/365))+(M40*($E40/365))</f>
        <v>0</v>
      </c>
      <c r="E90" s="69">
        <f t="shared" si="30"/>
        <v>100</v>
      </c>
      <c r="G90" s="1">
        <v>2007</v>
      </c>
      <c r="H90" s="1002">
        <f>(O39/$R39*100*($E39/365))+(O40/$R40*100*($E40/365))</f>
        <v>52.542372881355938</v>
      </c>
      <c r="I90" s="1002"/>
      <c r="J90" s="1002">
        <f>(P39/$R39*100*($E39/365))+(P40/$R40*100*($E40/365))</f>
        <v>47.457627118644069</v>
      </c>
      <c r="K90" s="1002"/>
      <c r="L90" s="1002">
        <f>(Q39/$R39*100*($E39/365))+(Q40/$R40*100*($E40/365))</f>
        <v>0</v>
      </c>
      <c r="M90" s="1002"/>
      <c r="N90" s="959">
        <f t="shared" si="31"/>
        <v>100</v>
      </c>
      <c r="O90" s="959"/>
      <c r="R90" s="1">
        <v>2007</v>
      </c>
      <c r="S90" s="8">
        <f>(O39*($E39/365))+(O40*($E40/365))</f>
        <v>31</v>
      </c>
      <c r="T90" s="8">
        <f>(P39*($E39/365))+(P40*($E40/365))</f>
        <v>28.000000000000004</v>
      </c>
      <c r="U90" s="8">
        <f>(Q39*($E39/365))+(Q40*($E40/365))</f>
        <v>0</v>
      </c>
      <c r="W90" s="7">
        <f t="shared" si="32"/>
        <v>59</v>
      </c>
    </row>
    <row r="91" spans="1:23" ht="9" customHeight="1">
      <c r="A91" s="1">
        <v>2008</v>
      </c>
      <c r="B91" s="8">
        <f>(K41*($E41/366))+(K42*($E42/366))</f>
        <v>52.631578947368418</v>
      </c>
      <c r="C91" s="8">
        <f>(L41*($E41/366))+(L42*($E42/366))</f>
        <v>47.368421052631575</v>
      </c>
      <c r="D91" s="8">
        <f>(M41*($E41/366))+(M42*($E42/366))</f>
        <v>0</v>
      </c>
      <c r="E91" s="69">
        <f t="shared" si="30"/>
        <v>100</v>
      </c>
      <c r="G91" s="1">
        <v>2008</v>
      </c>
      <c r="H91" s="1002">
        <f>(O41/$R41*100*($E41/366))+(O42/$R42*100*($E42/366))</f>
        <v>52.542372881355938</v>
      </c>
      <c r="I91" s="1002"/>
      <c r="J91" s="1002">
        <f>(P41/$R41*100*($E41/366))+(P42/$R42*100*($E42/366))</f>
        <v>47.457627118644069</v>
      </c>
      <c r="K91" s="1002"/>
      <c r="L91" s="1002">
        <f>(Q41/$R41*100*($E41/366))+(Q42/$R42*100*($E42/366))</f>
        <v>0</v>
      </c>
      <c r="M91" s="1002"/>
      <c r="N91" s="959">
        <f t="shared" si="31"/>
        <v>100</v>
      </c>
      <c r="O91" s="959"/>
      <c r="R91" s="1">
        <v>2008</v>
      </c>
      <c r="S91" s="8">
        <f>(O41*($E41/366))+(O42*($E42/366))</f>
        <v>31</v>
      </c>
      <c r="T91" s="8">
        <f>(P41*($E41/366))+(P42*($E42/366))</f>
        <v>28</v>
      </c>
      <c r="U91" s="8">
        <f>(Q41*($E41/366))+(Q42*($E42/366))</f>
        <v>0</v>
      </c>
      <c r="W91" s="7">
        <f t="shared" si="32"/>
        <v>59</v>
      </c>
    </row>
    <row r="92" spans="1:23" ht="9" customHeight="1">
      <c r="A92" s="1">
        <v>2009</v>
      </c>
      <c r="B92" s="8">
        <f>(K43*($E43/365))+(K44*($E44/365))</f>
        <v>69.363133862052379</v>
      </c>
      <c r="C92" s="8">
        <f>(L43*($E43/365))+(L44*($E44/365))</f>
        <v>30.636866137947607</v>
      </c>
      <c r="D92" s="8">
        <f>(M43*($E43/365))+(M44*($E44/365))</f>
        <v>0</v>
      </c>
      <c r="E92" s="69">
        <f t="shared" si="30"/>
        <v>99.999999999999986</v>
      </c>
      <c r="G92" s="1">
        <v>2009</v>
      </c>
      <c r="H92" s="1002">
        <f>(O43/$R43*100*($E43/365))+(O44/$R44*100*($E44/365))</f>
        <v>69.18518621196317</v>
      </c>
      <c r="I92" s="1002"/>
      <c r="J92" s="1002">
        <f>(P43/$R43*100*($E43/365))+(P44/$R44*100*($E44/365))</f>
        <v>30.81481378803683</v>
      </c>
      <c r="K92" s="1002"/>
      <c r="L92" s="1002">
        <f>(Q43/$R43*100*($E43/365))+(Q44/$R44*100*($E44/365))</f>
        <v>0</v>
      </c>
      <c r="M92" s="1002"/>
      <c r="N92" s="959">
        <f t="shared" ref="N92:N97" si="33">SUM(H92:L92)</f>
        <v>100</v>
      </c>
      <c r="O92" s="959"/>
      <c r="R92" s="1">
        <v>2009</v>
      </c>
      <c r="S92" s="8">
        <f>(O43*($E43/365))+(O44*($E44/365))</f>
        <v>45.547945205479451</v>
      </c>
      <c r="T92" s="8">
        <f>(P43*($E43/365))+(P44*($E44/365))</f>
        <v>19.917808219178085</v>
      </c>
      <c r="U92" s="8">
        <f>(Q43*($E43/365))+(Q44*($E44/365))</f>
        <v>0</v>
      </c>
      <c r="W92" s="7">
        <f t="shared" si="32"/>
        <v>65.465753424657535</v>
      </c>
    </row>
    <row r="93" spans="1:23" ht="9" customHeight="1">
      <c r="A93" s="1">
        <v>2010</v>
      </c>
      <c r="B93" s="8">
        <f>(K45*($E45/365))+(K46*($E46/365))+(K47*($E47/365))</f>
        <v>58.397912589693419</v>
      </c>
      <c r="C93" s="8">
        <f>(L45*($E45/365))+(L46*($E46/365))+(L47*($E47/365))</f>
        <v>33.419439008480104</v>
      </c>
      <c r="D93" s="8">
        <f>(M45*($E45/365))+(M46*($E46/365))+(M47*($E47/365))</f>
        <v>0</v>
      </c>
      <c r="E93" s="69">
        <f t="shared" si="30"/>
        <v>91.817351598173531</v>
      </c>
      <c r="G93" s="1">
        <v>2010</v>
      </c>
      <c r="H93" s="1002">
        <f>(O45/$R45*100*($E45/365))+(O46/$R46*100*($E46/365))+(O47/$R47*100*($E47/365))</f>
        <v>62.356833516105652</v>
      </c>
      <c r="I93" s="1002"/>
      <c r="J93" s="1002">
        <f>(P45/$R45*100*($E45/365))+(P46/$R46*100*($E46/365))+(P47/$R47*100*($E47/365))</f>
        <v>37.643166483894355</v>
      </c>
      <c r="K93" s="1002"/>
      <c r="L93" s="1002">
        <f>(Q45/$R45*100*($E45/365))+(Q46/$R46*100*($E46/365))+(Q47/$R47*100*($E47/365))</f>
        <v>0</v>
      </c>
      <c r="M93" s="1002"/>
      <c r="N93" s="959">
        <f t="shared" si="33"/>
        <v>100</v>
      </c>
      <c r="O93" s="959"/>
      <c r="R93" s="1">
        <v>2010</v>
      </c>
      <c r="S93" s="8">
        <f>(O45*($E45/365))+(O46*($E46/365))+(O47*($E47/365))</f>
        <v>32.254794520547946</v>
      </c>
      <c r="T93" s="8">
        <f>(P45*($E45/365))+(P46*($E46/365))+(P47*($E47/365))</f>
        <v>18.657534246575342</v>
      </c>
      <c r="U93" s="8">
        <f>(Q45*($E45/365))+(Q46*($E46/365))+(Q47*($E47/365))</f>
        <v>0</v>
      </c>
      <c r="W93" s="7">
        <f t="shared" si="32"/>
        <v>50.912328767123284</v>
      </c>
    </row>
    <row r="94" spans="1:23" ht="9" customHeight="1">
      <c r="A94" s="1">
        <v>2011</v>
      </c>
      <c r="B94" s="8">
        <f>(K48*($E48/365))+(K49*($E49/365))</f>
        <v>65.127201565557726</v>
      </c>
      <c r="C94" s="8">
        <f>(L48*($E48/365))+(L49*($E49/365))</f>
        <v>34.872798434442267</v>
      </c>
      <c r="D94" s="8">
        <f>(M48*($E48/365))+(M49*($E49/365))</f>
        <v>0</v>
      </c>
      <c r="E94" s="69">
        <f t="shared" si="30"/>
        <v>100</v>
      </c>
      <c r="G94" s="1">
        <v>2011</v>
      </c>
      <c r="H94" s="1002">
        <f>(O48/$R48*100*($E48/365))+(O49/$R49*100*($E49/365))</f>
        <v>67.452054794520549</v>
      </c>
      <c r="I94" s="1002"/>
      <c r="J94" s="1002">
        <f>(P48/$R48*100*($E48/365))+(P49/$R49*100*($E49/365))</f>
        <v>32.547945205479451</v>
      </c>
      <c r="K94" s="1002"/>
      <c r="L94" s="1002">
        <f>(Q48/$R48*100*($E48/365))+(Q49/$R49*100*($E49/365))</f>
        <v>0</v>
      </c>
      <c r="M94" s="1002"/>
      <c r="N94" s="959">
        <f t="shared" si="33"/>
        <v>100</v>
      </c>
      <c r="O94" s="959"/>
      <c r="R94" s="1">
        <v>2011</v>
      </c>
      <c r="S94" s="8">
        <f>(O48*($E48/365))+(O49*($E49/365))</f>
        <v>37.284931506849318</v>
      </c>
      <c r="T94" s="8">
        <f>(P48*($E48/365))+(P49*($E49/365))</f>
        <v>17.901369863013699</v>
      </c>
      <c r="U94" s="8">
        <f>(Q48*($E48/365))+(Q49*($E49/365))</f>
        <v>0</v>
      </c>
      <c r="W94" s="7">
        <f t="shared" si="32"/>
        <v>55.186301369863017</v>
      </c>
    </row>
    <row r="95" spans="1:23" ht="9" customHeight="1">
      <c r="A95" s="1">
        <v>2012</v>
      </c>
      <c r="B95" s="8">
        <f>(K50*($E50/366))+(K51*($E51/366))</f>
        <v>100</v>
      </c>
      <c r="C95" s="8">
        <f>(L50*($E50/366))+(L51*($E51/366))</f>
        <v>0</v>
      </c>
      <c r="D95" s="8">
        <f>(M50*($E50/366))+(M51*($E51/366))</f>
        <v>0</v>
      </c>
      <c r="E95" s="69">
        <f t="shared" si="30"/>
        <v>100</v>
      </c>
      <c r="G95" s="1">
        <v>2012</v>
      </c>
      <c r="H95" s="1002">
        <f>(O50/$R50*100*($E50/366))+(O51/$R51*100*($E51/366))</f>
        <v>100</v>
      </c>
      <c r="I95" s="1002"/>
      <c r="J95" s="1002">
        <f>(P50/$R50*100*($E50/366))+(P51/$R51*100*($E51/366))</f>
        <v>0</v>
      </c>
      <c r="K95" s="1002"/>
      <c r="L95" s="1002">
        <f>(Q50/$R50*100*($E50/366))+(Q51/$R51*100*($E51/366))</f>
        <v>0</v>
      </c>
      <c r="M95" s="1002"/>
      <c r="N95" s="959">
        <f t="shared" si="33"/>
        <v>100</v>
      </c>
      <c r="O95" s="959"/>
      <c r="R95" s="1">
        <v>2012</v>
      </c>
      <c r="S95" s="8">
        <f>(O50*($E50/366))+(O51*($E51/366))</f>
        <v>56</v>
      </c>
      <c r="T95" s="8">
        <f>(P50*($E50/366))+(P51*($E51/366))</f>
        <v>0</v>
      </c>
      <c r="U95" s="8">
        <f>(Q50*($E50/366))+(Q51*($E51/366))</f>
        <v>0</v>
      </c>
      <c r="W95" s="7">
        <f t="shared" si="32"/>
        <v>56</v>
      </c>
    </row>
    <row r="96" spans="1:23" ht="9" customHeight="1">
      <c r="A96" s="1">
        <v>2013</v>
      </c>
      <c r="B96" s="8">
        <f>(K52*($E52/365))+(K53*($E53/365))</f>
        <v>100</v>
      </c>
      <c r="C96" s="8">
        <f>(L52*($E52/365))+(L53*($E53/365))</f>
        <v>0</v>
      </c>
      <c r="D96" s="8">
        <f>(M52*($E52/365))+(M53*($E53/365))</f>
        <v>0</v>
      </c>
      <c r="E96" s="559">
        <f>SUM(B96:D96)</f>
        <v>100</v>
      </c>
      <c r="G96" s="1">
        <v>2013</v>
      </c>
      <c r="H96" s="1002">
        <f>(O52/$R52*100*($E52/365))+(O53/$R53*100*($E53/365))</f>
        <v>100</v>
      </c>
      <c r="I96" s="1002"/>
      <c r="J96" s="1002">
        <f>(P52/$R52*100*($E52/365))+(P53/$R53*100*($E53/365))</f>
        <v>0</v>
      </c>
      <c r="K96" s="1002"/>
      <c r="L96" s="1002">
        <f>(Q52/$R52*100*($E52/365))+(Q53/$R53*100*($E53/365))</f>
        <v>0</v>
      </c>
      <c r="M96" s="1002"/>
      <c r="N96" s="959">
        <f t="shared" si="33"/>
        <v>100</v>
      </c>
      <c r="O96" s="959"/>
      <c r="R96" s="1">
        <v>2013</v>
      </c>
      <c r="S96" s="8">
        <f>(O52*($E52/365))+(O53*($E53/365))</f>
        <v>56</v>
      </c>
      <c r="T96" s="8">
        <f>(P52*($E52/365))+(P53*($E53/365))</f>
        <v>0</v>
      </c>
      <c r="U96" s="8">
        <f>(Q52*($E52/365))+(Q53*($E53/365))</f>
        <v>0</v>
      </c>
      <c r="W96" s="7">
        <f>SUM(S96:U96)</f>
        <v>56</v>
      </c>
    </row>
    <row r="97" spans="1:53" s="738" customFormat="1" ht="9" customHeight="1">
      <c r="A97" s="738">
        <v>2014</v>
      </c>
      <c r="B97" s="732">
        <f>(K54*($E54/365))+(K55*($E55/365))+(K56*($E56/365))+(K57*($E57/365))</f>
        <v>77.040493752822528</v>
      </c>
      <c r="C97" s="732">
        <f>(L54*($E54/365))+(L55*($E55/365))+(L56*($E56/365))+(L57*($E57/365))</f>
        <v>22.95950624717748</v>
      </c>
      <c r="D97" s="732">
        <f>(M54*($E54/365))+(M55*($E55/365))+(M56*($E56/365))+(M57*($E57/365))</f>
        <v>0</v>
      </c>
      <c r="E97" s="733">
        <f>SUM(B97:D97)</f>
        <v>100</v>
      </c>
      <c r="G97" s="738">
        <v>2014</v>
      </c>
      <c r="H97" s="1002">
        <f>(O54/$R54*100*($E54/365))+(O55/$R55*100*($E55/365))+(O56/$R56*100*($E56/365))+(O57/$R57*100*($E57/365))</f>
        <v>78.398582728248115</v>
      </c>
      <c r="I97" s="1002"/>
      <c r="J97" s="1002">
        <f>(P54/$R54*100*($E54/365))+(P55/$R55*100*($E55/365))+(P56/$R56*100*($E56/365))+(P57/$R57*100*($E57/365))</f>
        <v>21.601417271751874</v>
      </c>
      <c r="K97" s="1002"/>
      <c r="L97" s="1002">
        <f>(Q54/$R54*100*($E54/365))+(Q55/$R55*100*($E55/365))+(Q56/$R56*100*($E56/365))+(Q57/$R57*100*($E57/365))</f>
        <v>0</v>
      </c>
      <c r="M97" s="1002"/>
      <c r="N97" s="959">
        <f t="shared" si="33"/>
        <v>99.999999999999986</v>
      </c>
      <c r="O97" s="959"/>
      <c r="R97" s="738">
        <v>2014</v>
      </c>
      <c r="S97" s="732">
        <f>(O54*($E54/365))+(O55*($E55/365))+(O56*($E56/365))+(O57*($E57/365))</f>
        <v>48.783561643835618</v>
      </c>
      <c r="T97" s="732">
        <f>(P54*($E54/365))+(P55*($E55/365))+(P56*($E56/365))+(P57*($E57/365))</f>
        <v>13.501369863013698</v>
      </c>
      <c r="U97" s="732">
        <f>(Q54*($E54/365))+(Q55*($E55/365))+(Q56*($E56/365))+(Q57*($E57/365))</f>
        <v>0</v>
      </c>
      <c r="W97" s="737">
        <f>SUM(S97:U97)</f>
        <v>62.284931506849318</v>
      </c>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row>
    <row r="98" spans="1:53" s="738" customFormat="1" ht="9" customHeight="1">
      <c r="A98" s="738">
        <v>2015</v>
      </c>
      <c r="B98" s="732">
        <f>(K58*($E58/365))+(K59*($E59/365))</f>
        <v>63.849164534096047</v>
      </c>
      <c r="C98" s="732">
        <f>(L58*($E58/365))+(L59*($E59/365))</f>
        <v>36.15083546590396</v>
      </c>
      <c r="D98" s="732">
        <f>(M58*($E58/365))+(M59*($E59/365))</f>
        <v>0</v>
      </c>
      <c r="E98" s="733">
        <f>SUM(B98:D98)</f>
        <v>100</v>
      </c>
      <c r="G98" s="738">
        <v>2015</v>
      </c>
      <c r="H98" s="1002">
        <f>(O58/$R58*100*($E58/365))+(O59/$R59*100*($E59/365))</f>
        <v>65.573770491803273</v>
      </c>
      <c r="I98" s="1002"/>
      <c r="J98" s="1002">
        <f>(P58/$R58*100*($E58/365))+(P59/$R59*100*($E59/365))</f>
        <v>34.42622950819672</v>
      </c>
      <c r="K98" s="1002"/>
      <c r="L98" s="1002">
        <f>(Q58/$R58*100*($E58/365))+(Q59/$R59*100*($E59/365))</f>
        <v>0</v>
      </c>
      <c r="M98" s="1002"/>
      <c r="N98" s="959">
        <f>SUM(H98:L98)</f>
        <v>100</v>
      </c>
      <c r="O98" s="959"/>
      <c r="R98" s="738">
        <v>2015</v>
      </c>
      <c r="S98" s="732">
        <f>(O58*($E58/365))+(O59*($E59/365))</f>
        <v>40</v>
      </c>
      <c r="T98" s="732">
        <f>(P58*($E58/365))+(P59*($E59/365))</f>
        <v>21</v>
      </c>
      <c r="U98" s="732">
        <f>(Q58*($E58/365))+(Q59*($E59/365))</f>
        <v>0</v>
      </c>
      <c r="W98" s="737">
        <f>SUM(S98:U98)</f>
        <v>61</v>
      </c>
    </row>
    <row r="99" spans="1:53" s="738" customFormat="1" ht="9" customHeight="1">
      <c r="A99" s="863">
        <v>2016</v>
      </c>
      <c r="B99" s="858">
        <f>(K60*($E60/366))+(K61*($E61/366))</f>
        <v>57.635260913949438</v>
      </c>
      <c r="C99" s="858">
        <f>(L60*($E60/366))+(L61*($E61/366))</f>
        <v>42.364739086050562</v>
      </c>
      <c r="D99" s="858">
        <f>(M60*($E60/366))+(M61*($E61/366))</f>
        <v>0</v>
      </c>
      <c r="E99" s="859">
        <f t="shared" ref="E99" si="34">SUM(B99:D99)</f>
        <v>100</v>
      </c>
      <c r="G99" s="738">
        <v>2016</v>
      </c>
      <c r="H99" s="1002">
        <f>(O60/$R60*100*($E60/366))+(O61/$R61*100*($E61/366))</f>
        <v>65.573770491803273</v>
      </c>
      <c r="I99" s="1002"/>
      <c r="J99" s="1002">
        <f>(P60/$R60*100*($E60/366))+(P61/$R61*100*($E61/366))</f>
        <v>34.42622950819672</v>
      </c>
      <c r="K99" s="1002"/>
      <c r="L99" s="1002">
        <f>(Q60/$R60*100*($E60/366))+(Q61/$R61*100*($E61/366))</f>
        <v>0</v>
      </c>
      <c r="M99" s="1002"/>
      <c r="N99" s="959">
        <f t="shared" ref="N99" si="35">SUM(H99:L99)</f>
        <v>100</v>
      </c>
      <c r="O99" s="959"/>
      <c r="R99" s="738">
        <v>2016</v>
      </c>
      <c r="S99" s="858">
        <f>(O60*($E60/366))+(O61*($E61/366))</f>
        <v>40</v>
      </c>
      <c r="T99" s="858">
        <f>(P60*($E60/366))+(P61*($E61/366))</f>
        <v>21</v>
      </c>
      <c r="U99" s="858">
        <f>(Q60*($E60/366))+(Q61*($E61/366))</f>
        <v>0</v>
      </c>
      <c r="V99" s="863"/>
      <c r="W99" s="862">
        <f t="shared" ref="W99" si="36">SUM(S99:U99)</f>
        <v>61</v>
      </c>
    </row>
    <row r="100" spans="1:53" s="738" customFormat="1" ht="9" customHeight="1">
      <c r="A100" s="920">
        <v>2017</v>
      </c>
      <c r="B100" s="915">
        <f>(K62*($E62/365))+(K63*($E63/365))</f>
        <v>57.263284660544933</v>
      </c>
      <c r="C100" s="915">
        <f>(L62*($E62/365))+(L63*($E63/365))</f>
        <v>42.73671533945506</v>
      </c>
      <c r="D100" s="915">
        <f>(M62*($E62/365))+(M63*($E63/365))</f>
        <v>0</v>
      </c>
      <c r="E100" s="916">
        <f t="shared" ref="E100" si="37">SUM(B100:D100)</f>
        <v>100</v>
      </c>
      <c r="G100" s="920">
        <v>2017</v>
      </c>
      <c r="H100" s="1002">
        <f>(O62/$R62*100*($E62/365))+(O63/$R63*100*($E63/365))</f>
        <v>65.573770491803273</v>
      </c>
      <c r="I100" s="1002"/>
      <c r="J100" s="1002">
        <f>(P62/$R62*100*($E62/365))+(P63/$R63*100*($E63/365))</f>
        <v>34.42622950819672</v>
      </c>
      <c r="K100" s="1002"/>
      <c r="L100" s="1002">
        <f>(Q62/$R62*100*($E62/365))+(Q63/$R63*100*($E63/365))</f>
        <v>0</v>
      </c>
      <c r="M100" s="1002"/>
      <c r="N100" s="959">
        <f t="shared" ref="N100" si="38">SUM(H100:L100)</f>
        <v>100</v>
      </c>
      <c r="O100" s="959"/>
      <c r="R100" s="920">
        <v>2017</v>
      </c>
      <c r="S100" s="915">
        <f>(O62*($E62/365)+(O63*($E63/365)))</f>
        <v>40</v>
      </c>
      <c r="T100" s="915">
        <f>(P62*($E62/365)+(P63*($E63/365)))</f>
        <v>21</v>
      </c>
      <c r="U100" s="915">
        <f>(Q62*($E62/365)+(Q63*($E63/365)))</f>
        <v>0</v>
      </c>
      <c r="V100" s="920"/>
      <c r="W100" s="917">
        <f t="shared" ref="W100" si="39">SUM(S100:U100)</f>
        <v>61</v>
      </c>
    </row>
    <row r="101" spans="1:53">
      <c r="A101" s="950">
        <v>2018</v>
      </c>
      <c r="B101" s="947">
        <f>(K64*($E64/365))+(K65*($E65/365))</f>
        <v>60.800842992623814</v>
      </c>
      <c r="C101" s="947">
        <f>(L64*($E64/365))+(L65*($E65/365))</f>
        <v>39.199157007376186</v>
      </c>
      <c r="D101" s="947">
        <f>(M64*($E64/365))+(M65*($E65/365))</f>
        <v>0</v>
      </c>
      <c r="E101" s="948">
        <f t="shared" ref="E101" si="40">SUM(B101:D101)</f>
        <v>100</v>
      </c>
      <c r="F101" s="950"/>
      <c r="G101" s="950">
        <v>2018</v>
      </c>
      <c r="H101" s="1002">
        <f>(O64/$R64*100*($E64/365))+(O65/$R65*100*($E65/365))</f>
        <v>65.573770491803273</v>
      </c>
      <c r="I101" s="1002"/>
      <c r="J101" s="1002">
        <f>(P64/$R64*100*($E64/365))+(P65/$R65*100*($E65/365))</f>
        <v>34.42622950819672</v>
      </c>
      <c r="K101" s="1002"/>
      <c r="L101" s="1002">
        <f>(Q64/$R64*100*($E64/365))+(Q65/$R65*100*($E65/365))</f>
        <v>0</v>
      </c>
      <c r="M101" s="1002"/>
      <c r="N101" s="959">
        <f t="shared" ref="N101" si="41">SUM(H101:L101)</f>
        <v>100</v>
      </c>
      <c r="O101" s="959"/>
      <c r="P101" s="950"/>
      <c r="Q101" s="950"/>
      <c r="R101" s="950">
        <v>2018</v>
      </c>
      <c r="S101" s="947">
        <f>(O64*($E64/365)+(O65*($E65/365)))</f>
        <v>39.999999999999993</v>
      </c>
      <c r="T101" s="947">
        <f>(P64*($E64/365)+(P65*($E65/365)))</f>
        <v>21</v>
      </c>
      <c r="U101" s="947">
        <f>(Q64*($E64/365)+(Q65*($E65/365)))</f>
        <v>0</v>
      </c>
      <c r="V101" s="950"/>
      <c r="W101" s="949">
        <f t="shared" ref="W101" si="42">SUM(S101:U101)</f>
        <v>60.999999999999993</v>
      </c>
    </row>
  </sheetData>
  <mergeCells count="202">
    <mergeCell ref="AT4:AW4"/>
    <mergeCell ref="AX4:BA4"/>
    <mergeCell ref="H96:I96"/>
    <mergeCell ref="J96:K96"/>
    <mergeCell ref="L96:M96"/>
    <mergeCell ref="N96:O96"/>
    <mergeCell ref="K4:N4"/>
    <mergeCell ref="N74:O74"/>
    <mergeCell ref="L95:M95"/>
    <mergeCell ref="N75:O75"/>
    <mergeCell ref="N76:O76"/>
    <mergeCell ref="L91:M91"/>
    <mergeCell ref="L92:M92"/>
    <mergeCell ref="N84:O84"/>
    <mergeCell ref="N81:O81"/>
    <mergeCell ref="N82:O82"/>
    <mergeCell ref="N85:O85"/>
    <mergeCell ref="L94:M94"/>
    <mergeCell ref="N78:O78"/>
    <mergeCell ref="L79:M79"/>
    <mergeCell ref="L80:M80"/>
    <mergeCell ref="N79:O79"/>
    <mergeCell ref="N80:O80"/>
    <mergeCell ref="L88:M88"/>
    <mergeCell ref="A4:A5"/>
    <mergeCell ref="B4:B5"/>
    <mergeCell ref="C4:D5"/>
    <mergeCell ref="E4:E5"/>
    <mergeCell ref="F4:F5"/>
    <mergeCell ref="H101:I101"/>
    <mergeCell ref="J101:K101"/>
    <mergeCell ref="L101:M101"/>
    <mergeCell ref="N101:O101"/>
    <mergeCell ref="C16:D16"/>
    <mergeCell ref="C19:D19"/>
    <mergeCell ref="L93:M93"/>
    <mergeCell ref="N77:O77"/>
    <mergeCell ref="C9:D9"/>
    <mergeCell ref="C6:D6"/>
    <mergeCell ref="C7:D7"/>
    <mergeCell ref="C8:D8"/>
    <mergeCell ref="C10:D10"/>
    <mergeCell ref="C11:D11"/>
    <mergeCell ref="C12:D12"/>
    <mergeCell ref="C13:D13"/>
    <mergeCell ref="C14:D14"/>
    <mergeCell ref="C15:D15"/>
    <mergeCell ref="C17:D17"/>
    <mergeCell ref="C25:D25"/>
    <mergeCell ref="C26:D26"/>
    <mergeCell ref="C27:D27"/>
    <mergeCell ref="C28:D28"/>
    <mergeCell ref="C29:D29"/>
    <mergeCell ref="C31:D31"/>
    <mergeCell ref="C36:D36"/>
    <mergeCell ref="C23:D23"/>
    <mergeCell ref="C34:D34"/>
    <mergeCell ref="AP4:AS4"/>
    <mergeCell ref="S4:S5"/>
    <mergeCell ref="T4:T5"/>
    <mergeCell ref="U4:U5"/>
    <mergeCell ref="V4:Y4"/>
    <mergeCell ref="G4:J4"/>
    <mergeCell ref="J73:K73"/>
    <mergeCell ref="H73:I73"/>
    <mergeCell ref="R70:W70"/>
    <mergeCell ref="H72:I72"/>
    <mergeCell ref="J72:K72"/>
    <mergeCell ref="L72:M72"/>
    <mergeCell ref="N72:O72"/>
    <mergeCell ref="O4:R4"/>
    <mergeCell ref="AH4:AK4"/>
    <mergeCell ref="AL4:AO4"/>
    <mergeCell ref="L73:M73"/>
    <mergeCell ref="C62:D62"/>
    <mergeCell ref="C63:D63"/>
    <mergeCell ref="C64:D64"/>
    <mergeCell ref="C65:D65"/>
    <mergeCell ref="G3:M3"/>
    <mergeCell ref="O3:Q3"/>
    <mergeCell ref="Z4:AC4"/>
    <mergeCell ref="AD4:AG4"/>
    <mergeCell ref="N73:O73"/>
    <mergeCell ref="C18:D18"/>
    <mergeCell ref="C20:D20"/>
    <mergeCell ref="C21:D21"/>
    <mergeCell ref="C38:D38"/>
    <mergeCell ref="C39:D39"/>
    <mergeCell ref="C40:D40"/>
    <mergeCell ref="C41:D41"/>
    <mergeCell ref="C42:D42"/>
    <mergeCell ref="C30:D30"/>
    <mergeCell ref="C32:D32"/>
    <mergeCell ref="C33:D33"/>
    <mergeCell ref="C35:D35"/>
    <mergeCell ref="C22:D22"/>
    <mergeCell ref="C37:D37"/>
    <mergeCell ref="C24:D24"/>
    <mergeCell ref="C43:D43"/>
    <mergeCell ref="C44:D44"/>
    <mergeCell ref="C46:D46"/>
    <mergeCell ref="C47:D47"/>
    <mergeCell ref="C48:D48"/>
    <mergeCell ref="C49:D49"/>
    <mergeCell ref="C50:D50"/>
    <mergeCell ref="C45:D45"/>
    <mergeCell ref="C58:D58"/>
    <mergeCell ref="L74:M74"/>
    <mergeCell ref="L75:M75"/>
    <mergeCell ref="L76:M76"/>
    <mergeCell ref="L77:M77"/>
    <mergeCell ref="L78:M78"/>
    <mergeCell ref="L84:M84"/>
    <mergeCell ref="L90:M90"/>
    <mergeCell ref="N83:O83"/>
    <mergeCell ref="C51:D51"/>
    <mergeCell ref="C56:D56"/>
    <mergeCell ref="C52:D52"/>
    <mergeCell ref="C53:D53"/>
    <mergeCell ref="L85:M85"/>
    <mergeCell ref="C54:D54"/>
    <mergeCell ref="C55:D55"/>
    <mergeCell ref="C57:D57"/>
    <mergeCell ref="J83:K83"/>
    <mergeCell ref="J84:K84"/>
    <mergeCell ref="L81:M81"/>
    <mergeCell ref="L82:M82"/>
    <mergeCell ref="L83:M83"/>
    <mergeCell ref="C59:D59"/>
    <mergeCell ref="C60:D60"/>
    <mergeCell ref="C61:D61"/>
    <mergeCell ref="N92:O92"/>
    <mergeCell ref="N89:O89"/>
    <mergeCell ref="H86:I86"/>
    <mergeCell ref="H91:I91"/>
    <mergeCell ref="H90:I90"/>
    <mergeCell ref="N90:O90"/>
    <mergeCell ref="N87:O87"/>
    <mergeCell ref="N88:O88"/>
    <mergeCell ref="H88:I88"/>
    <mergeCell ref="N86:O86"/>
    <mergeCell ref="J87:K87"/>
    <mergeCell ref="J88:K88"/>
    <mergeCell ref="J89:K89"/>
    <mergeCell ref="J90:K90"/>
    <mergeCell ref="H87:I87"/>
    <mergeCell ref="H92:I92"/>
    <mergeCell ref="L89:M89"/>
    <mergeCell ref="J94:K94"/>
    <mergeCell ref="J95:K95"/>
    <mergeCell ref="J74:K74"/>
    <mergeCell ref="J75:K75"/>
    <mergeCell ref="J76:K76"/>
    <mergeCell ref="J77:K77"/>
    <mergeCell ref="H89:I89"/>
    <mergeCell ref="J79:K79"/>
    <mergeCell ref="J80:K80"/>
    <mergeCell ref="H75:I75"/>
    <mergeCell ref="H76:I76"/>
    <mergeCell ref="H83:I83"/>
    <mergeCell ref="H74:I74"/>
    <mergeCell ref="H77:I77"/>
    <mergeCell ref="H78:I78"/>
    <mergeCell ref="J78:K78"/>
    <mergeCell ref="J81:K81"/>
    <mergeCell ref="J82:K82"/>
    <mergeCell ref="N93:O93"/>
    <mergeCell ref="N91:O91"/>
    <mergeCell ref="H79:I79"/>
    <mergeCell ref="H80:I80"/>
    <mergeCell ref="H81:I81"/>
    <mergeCell ref="L86:M86"/>
    <mergeCell ref="L87:M87"/>
    <mergeCell ref="H82:I82"/>
    <mergeCell ref="J97:K97"/>
    <mergeCell ref="H97:I97"/>
    <mergeCell ref="L97:M97"/>
    <mergeCell ref="N97:O97"/>
    <mergeCell ref="H84:I84"/>
    <mergeCell ref="H85:I85"/>
    <mergeCell ref="N95:O95"/>
    <mergeCell ref="N94:O94"/>
    <mergeCell ref="H94:I94"/>
    <mergeCell ref="J86:K86"/>
    <mergeCell ref="J85:K85"/>
    <mergeCell ref="J91:K91"/>
    <mergeCell ref="J92:K92"/>
    <mergeCell ref="H93:I93"/>
    <mergeCell ref="J93:K93"/>
    <mergeCell ref="H95:I95"/>
    <mergeCell ref="H98:I98"/>
    <mergeCell ref="J98:K98"/>
    <mergeCell ref="L98:M98"/>
    <mergeCell ref="N98:O98"/>
    <mergeCell ref="H100:I100"/>
    <mergeCell ref="J100:K100"/>
    <mergeCell ref="L100:M100"/>
    <mergeCell ref="N100:O100"/>
    <mergeCell ref="H99:I99"/>
    <mergeCell ref="J99:K99"/>
    <mergeCell ref="L99:M99"/>
    <mergeCell ref="N99:O99"/>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A100"/>
  <sheetViews>
    <sheetView zoomScale="143" zoomScaleNormal="120" workbookViewId="0">
      <pane xSplit="1" ySplit="5" topLeftCell="B43" activePane="bottomRight" state="frozen"/>
      <selection pane="topRight" activeCell="B1" sqref="B1"/>
      <selection pane="bottomLeft" activeCell="A6" sqref="A6"/>
      <selection pane="bottomRight" activeCell="W100" sqref="W100"/>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143</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86" customFormat="1">
      <c r="A6" s="86">
        <v>1992</v>
      </c>
      <c r="C6" s="1005" t="s">
        <v>1277</v>
      </c>
      <c r="D6" s="1005"/>
      <c r="E6" s="151">
        <v>344</v>
      </c>
      <c r="F6" s="191"/>
      <c r="G6" s="123"/>
      <c r="J6" s="134"/>
      <c r="K6" s="92"/>
      <c r="L6" s="92"/>
      <c r="M6" s="92"/>
      <c r="N6" s="125"/>
      <c r="O6" s="91"/>
      <c r="P6" s="92"/>
      <c r="Q6" s="92"/>
      <c r="R6" s="93"/>
      <c r="T6" s="81"/>
      <c r="V6" s="82"/>
      <c r="Y6" s="83"/>
      <c r="AD6" s="82"/>
      <c r="AG6" s="83"/>
      <c r="AL6" s="82"/>
      <c r="AO6" s="83"/>
      <c r="AP6" s="82"/>
      <c r="AS6" s="83"/>
      <c r="AW6" s="83"/>
      <c r="BA6" s="84"/>
    </row>
    <row r="7" spans="1:53" s="334" customFormat="1">
      <c r="A7" s="334">
        <v>1992</v>
      </c>
      <c r="B7" s="355">
        <v>33948</v>
      </c>
      <c r="C7" s="992" t="s">
        <v>1030</v>
      </c>
      <c r="D7" s="992"/>
      <c r="E7" s="334">
        <f>366-344</f>
        <v>22</v>
      </c>
      <c r="F7" s="334" t="s">
        <v>345</v>
      </c>
      <c r="G7" s="497"/>
      <c r="H7" s="561"/>
      <c r="I7" s="561">
        <v>19</v>
      </c>
      <c r="J7" s="499">
        <v>19</v>
      </c>
      <c r="K7" s="495">
        <f t="shared" ref="K7:K49" si="0">G7/J7*100</f>
        <v>0</v>
      </c>
      <c r="L7" s="495">
        <f t="shared" ref="L7:L49" si="1">H7/J7*100</f>
        <v>0</v>
      </c>
      <c r="M7" s="495">
        <f t="shared" ref="M7:M49" si="2">I7/J7*100</f>
        <v>100</v>
      </c>
      <c r="N7" s="498">
        <f t="shared" ref="N7:N53" si="3">SUM(K7:M7)</f>
        <v>100</v>
      </c>
      <c r="O7" s="494"/>
      <c r="P7" s="495"/>
      <c r="Q7" s="495">
        <v>51.8</v>
      </c>
      <c r="R7" s="496">
        <f t="shared" ref="R7:R53" si="4">SUM(O7:Q7)</f>
        <v>51.8</v>
      </c>
      <c r="S7" s="561">
        <v>1</v>
      </c>
      <c r="T7" s="487">
        <v>33923</v>
      </c>
      <c r="U7" s="558">
        <v>33940</v>
      </c>
      <c r="V7" s="343" t="s">
        <v>1025</v>
      </c>
      <c r="W7" s="334" t="s">
        <v>903</v>
      </c>
      <c r="X7" s="334" t="s">
        <v>12</v>
      </c>
      <c r="Y7" s="344">
        <v>51.8</v>
      </c>
      <c r="AD7" s="343"/>
      <c r="AG7" s="344"/>
      <c r="AL7" s="343"/>
      <c r="AO7" s="344"/>
      <c r="AP7" s="343"/>
      <c r="AS7" s="344"/>
      <c r="AW7" s="344"/>
      <c r="BA7" s="345"/>
    </row>
    <row r="8" spans="1:53" s="334" customFormat="1">
      <c r="A8" s="334">
        <v>1993</v>
      </c>
      <c r="C8" s="992" t="s">
        <v>1030</v>
      </c>
      <c r="D8" s="992"/>
      <c r="E8" s="334">
        <v>74</v>
      </c>
      <c r="G8" s="497"/>
      <c r="H8" s="561"/>
      <c r="I8" s="561">
        <v>19</v>
      </c>
      <c r="J8" s="499">
        <v>19</v>
      </c>
      <c r="K8" s="495">
        <f t="shared" si="0"/>
        <v>0</v>
      </c>
      <c r="L8" s="495">
        <f t="shared" si="1"/>
        <v>0</v>
      </c>
      <c r="M8" s="495">
        <f t="shared" si="2"/>
        <v>100</v>
      </c>
      <c r="N8" s="498">
        <f t="shared" si="3"/>
        <v>100</v>
      </c>
      <c r="O8" s="494"/>
      <c r="P8" s="495"/>
      <c r="Q8" s="495">
        <v>51.8</v>
      </c>
      <c r="R8" s="496">
        <f t="shared" si="4"/>
        <v>51.8</v>
      </c>
      <c r="S8" s="561">
        <v>1</v>
      </c>
      <c r="T8" s="492"/>
      <c r="U8" s="561"/>
      <c r="V8" s="343" t="s">
        <v>1025</v>
      </c>
      <c r="W8" s="334" t="s">
        <v>903</v>
      </c>
      <c r="X8" s="334" t="s">
        <v>12</v>
      </c>
      <c r="Y8" s="344">
        <v>51.8</v>
      </c>
      <c r="AD8" s="343"/>
      <c r="AG8" s="344"/>
      <c r="AL8" s="343"/>
      <c r="AO8" s="344"/>
      <c r="AP8" s="343"/>
      <c r="AS8" s="344"/>
      <c r="AW8" s="344"/>
      <c r="BA8" s="345"/>
    </row>
    <row r="9" spans="1:53" s="86" customFormat="1">
      <c r="A9" s="86">
        <v>1993</v>
      </c>
      <c r="B9" s="101">
        <v>34044</v>
      </c>
      <c r="C9" s="988" t="s">
        <v>1154</v>
      </c>
      <c r="D9" s="988"/>
      <c r="E9" s="86">
        <f xml:space="preserve"> 365-E8</f>
        <v>291</v>
      </c>
      <c r="F9" s="86">
        <v>1</v>
      </c>
      <c r="G9" s="480"/>
      <c r="H9" s="560"/>
      <c r="I9" s="560">
        <v>17</v>
      </c>
      <c r="J9" s="482">
        <v>17</v>
      </c>
      <c r="K9" s="477">
        <f t="shared" si="0"/>
        <v>0</v>
      </c>
      <c r="L9" s="477">
        <f t="shared" si="1"/>
        <v>0</v>
      </c>
      <c r="M9" s="477">
        <f t="shared" si="2"/>
        <v>100</v>
      </c>
      <c r="N9" s="481">
        <f t="shared" si="3"/>
        <v>100</v>
      </c>
      <c r="O9" s="476"/>
      <c r="P9" s="477"/>
      <c r="Q9" s="477">
        <v>51.8</v>
      </c>
      <c r="R9" s="478">
        <f t="shared" si="4"/>
        <v>51.8</v>
      </c>
      <c r="S9" s="560">
        <v>1</v>
      </c>
      <c r="T9" s="471"/>
      <c r="U9" s="557">
        <v>34044</v>
      </c>
      <c r="V9" s="82" t="s">
        <v>1025</v>
      </c>
      <c r="W9" s="86" t="s">
        <v>903</v>
      </c>
      <c r="X9" s="86" t="s">
        <v>12</v>
      </c>
      <c r="Y9" s="83">
        <v>51.8</v>
      </c>
      <c r="AD9" s="82"/>
      <c r="AG9" s="83"/>
      <c r="AL9" s="82"/>
      <c r="AO9" s="83"/>
      <c r="AP9" s="82"/>
      <c r="AS9" s="83"/>
      <c r="AW9" s="83"/>
      <c r="BA9" s="84"/>
    </row>
    <row r="10" spans="1:53" s="86" customFormat="1">
      <c r="A10" s="86">
        <v>1994</v>
      </c>
      <c r="C10" s="988" t="s">
        <v>1154</v>
      </c>
      <c r="D10" s="988"/>
      <c r="E10" s="86">
        <v>0</v>
      </c>
      <c r="G10" s="480"/>
      <c r="H10" s="560"/>
      <c r="I10" s="560">
        <v>17</v>
      </c>
      <c r="J10" s="482">
        <v>17</v>
      </c>
      <c r="K10" s="477">
        <f t="shared" si="0"/>
        <v>0</v>
      </c>
      <c r="L10" s="477">
        <f t="shared" si="1"/>
        <v>0</v>
      </c>
      <c r="M10" s="477">
        <f t="shared" si="2"/>
        <v>100</v>
      </c>
      <c r="N10" s="481">
        <f t="shared" si="3"/>
        <v>100</v>
      </c>
      <c r="O10" s="476"/>
      <c r="P10" s="477"/>
      <c r="Q10" s="477">
        <v>51.8</v>
      </c>
      <c r="R10" s="478">
        <f t="shared" si="4"/>
        <v>51.8</v>
      </c>
      <c r="S10" s="560">
        <v>1</v>
      </c>
      <c r="T10" s="471"/>
      <c r="U10" s="560"/>
      <c r="V10" s="82" t="s">
        <v>1025</v>
      </c>
      <c r="W10" s="86" t="s">
        <v>903</v>
      </c>
      <c r="X10" s="86" t="s">
        <v>12</v>
      </c>
      <c r="Y10" s="83">
        <v>51.8</v>
      </c>
      <c r="AD10" s="82"/>
      <c r="AG10" s="83"/>
      <c r="AL10" s="82"/>
      <c r="AO10" s="83"/>
      <c r="AP10" s="82"/>
      <c r="AS10" s="83"/>
      <c r="AW10" s="83"/>
      <c r="BA10" s="84"/>
    </row>
    <row r="11" spans="1:53" s="86" customFormat="1">
      <c r="A11" s="86">
        <v>1994</v>
      </c>
      <c r="C11" s="988" t="s">
        <v>1154</v>
      </c>
      <c r="D11" s="988"/>
      <c r="E11" s="86">
        <v>365</v>
      </c>
      <c r="G11" s="480"/>
      <c r="H11" s="560"/>
      <c r="I11" s="560">
        <v>17</v>
      </c>
      <c r="J11" s="482">
        <v>17</v>
      </c>
      <c r="K11" s="477">
        <f t="shared" si="0"/>
        <v>0</v>
      </c>
      <c r="L11" s="477">
        <f t="shared" si="1"/>
        <v>0</v>
      </c>
      <c r="M11" s="477">
        <f t="shared" si="2"/>
        <v>100</v>
      </c>
      <c r="N11" s="481">
        <f t="shared" si="3"/>
        <v>100</v>
      </c>
      <c r="O11" s="476"/>
      <c r="P11" s="477"/>
      <c r="Q11" s="477">
        <v>51.8</v>
      </c>
      <c r="R11" s="478">
        <f t="shared" si="4"/>
        <v>51.8</v>
      </c>
      <c r="S11" s="560">
        <v>1</v>
      </c>
      <c r="T11" s="471"/>
      <c r="U11" s="560"/>
      <c r="V11" s="82" t="s">
        <v>1025</v>
      </c>
      <c r="W11" s="86" t="s">
        <v>903</v>
      </c>
      <c r="X11" s="86" t="s">
        <v>12</v>
      </c>
      <c r="Y11" s="83">
        <v>51.8</v>
      </c>
      <c r="AD11" s="82"/>
      <c r="AG11" s="83"/>
      <c r="AL11" s="82"/>
      <c r="AO11" s="83"/>
      <c r="AP11" s="82"/>
      <c r="AS11" s="83"/>
      <c r="AW11" s="83"/>
      <c r="BA11" s="84"/>
    </row>
    <row r="12" spans="1:53" s="86" customFormat="1">
      <c r="A12" s="86">
        <v>1995</v>
      </c>
      <c r="C12" s="988" t="s">
        <v>1154</v>
      </c>
      <c r="D12" s="988"/>
      <c r="E12" s="86">
        <v>0</v>
      </c>
      <c r="G12" s="480"/>
      <c r="H12" s="560"/>
      <c r="I12" s="560">
        <v>17</v>
      </c>
      <c r="J12" s="482">
        <v>17</v>
      </c>
      <c r="K12" s="477">
        <f t="shared" si="0"/>
        <v>0</v>
      </c>
      <c r="L12" s="477">
        <f t="shared" si="1"/>
        <v>0</v>
      </c>
      <c r="M12" s="477">
        <f t="shared" si="2"/>
        <v>100</v>
      </c>
      <c r="N12" s="481">
        <f t="shared" si="3"/>
        <v>100</v>
      </c>
      <c r="O12" s="476"/>
      <c r="P12" s="477"/>
      <c r="Q12" s="477">
        <v>51.8</v>
      </c>
      <c r="R12" s="478">
        <f t="shared" si="4"/>
        <v>51.8</v>
      </c>
      <c r="S12" s="560">
        <v>1</v>
      </c>
      <c r="T12" s="471"/>
      <c r="U12" s="560"/>
      <c r="V12" s="82" t="s">
        <v>1025</v>
      </c>
      <c r="W12" s="86" t="s">
        <v>903</v>
      </c>
      <c r="X12" s="86" t="s">
        <v>12</v>
      </c>
      <c r="Y12" s="83">
        <v>51.8</v>
      </c>
      <c r="AD12" s="82"/>
      <c r="AG12" s="83"/>
      <c r="AL12" s="82"/>
      <c r="AO12" s="83"/>
      <c r="AP12" s="82"/>
      <c r="AS12" s="83"/>
      <c r="AW12" s="83"/>
      <c r="BA12" s="84"/>
    </row>
    <row r="13" spans="1:53" s="86" customFormat="1">
      <c r="A13" s="86">
        <v>1995</v>
      </c>
      <c r="C13" s="988" t="s">
        <v>1154</v>
      </c>
      <c r="D13" s="988"/>
      <c r="E13" s="86">
        <v>365</v>
      </c>
      <c r="G13" s="480"/>
      <c r="H13" s="560"/>
      <c r="I13" s="560">
        <v>17</v>
      </c>
      <c r="J13" s="482">
        <v>17</v>
      </c>
      <c r="K13" s="477">
        <f t="shared" si="0"/>
        <v>0</v>
      </c>
      <c r="L13" s="477">
        <f t="shared" si="1"/>
        <v>0</v>
      </c>
      <c r="M13" s="477">
        <f t="shared" si="2"/>
        <v>100</v>
      </c>
      <c r="N13" s="481">
        <f t="shared" si="3"/>
        <v>100</v>
      </c>
      <c r="O13" s="476"/>
      <c r="P13" s="477"/>
      <c r="Q13" s="477">
        <v>51.8</v>
      </c>
      <c r="R13" s="478">
        <f t="shared" si="4"/>
        <v>51.8</v>
      </c>
      <c r="S13" s="560">
        <v>1</v>
      </c>
      <c r="T13" s="471"/>
      <c r="U13" s="560"/>
      <c r="V13" s="82" t="s">
        <v>1025</v>
      </c>
      <c r="W13" s="86" t="s">
        <v>903</v>
      </c>
      <c r="X13" s="86" t="s">
        <v>12</v>
      </c>
      <c r="Y13" s="83">
        <v>51.8</v>
      </c>
      <c r="AD13" s="82"/>
      <c r="AG13" s="83"/>
      <c r="AL13" s="82"/>
      <c r="AO13" s="83"/>
      <c r="AP13" s="82"/>
      <c r="AS13" s="83"/>
      <c r="AW13" s="83"/>
      <c r="BA13" s="84"/>
    </row>
    <row r="14" spans="1:53" s="86" customFormat="1">
      <c r="A14" s="86">
        <v>1996</v>
      </c>
      <c r="C14" s="988" t="s">
        <v>1154</v>
      </c>
      <c r="D14" s="988"/>
      <c r="E14" s="86">
        <v>53</v>
      </c>
      <c r="G14" s="480"/>
      <c r="H14" s="560"/>
      <c r="I14" s="560">
        <v>17</v>
      </c>
      <c r="J14" s="482">
        <v>17</v>
      </c>
      <c r="K14" s="477">
        <f t="shared" si="0"/>
        <v>0</v>
      </c>
      <c r="L14" s="477">
        <f t="shared" si="1"/>
        <v>0</v>
      </c>
      <c r="M14" s="477">
        <f t="shared" si="2"/>
        <v>100</v>
      </c>
      <c r="N14" s="481">
        <f t="shared" si="3"/>
        <v>100</v>
      </c>
      <c r="O14" s="476"/>
      <c r="P14" s="477"/>
      <c r="Q14" s="477">
        <v>51.8</v>
      </c>
      <c r="R14" s="478">
        <f t="shared" si="4"/>
        <v>51.8</v>
      </c>
      <c r="S14" s="560">
        <v>1</v>
      </c>
      <c r="T14" s="471"/>
      <c r="U14" s="560"/>
      <c r="V14" s="82" t="s">
        <v>1025</v>
      </c>
      <c r="W14" s="86" t="s">
        <v>903</v>
      </c>
      <c r="X14" s="86" t="s">
        <v>12</v>
      </c>
      <c r="Y14" s="83">
        <v>51.8</v>
      </c>
      <c r="AD14" s="82"/>
      <c r="AG14" s="83"/>
      <c r="AL14" s="82"/>
      <c r="AO14" s="83"/>
      <c r="AP14" s="82"/>
      <c r="AS14" s="83"/>
      <c r="AW14" s="83"/>
      <c r="BA14" s="84"/>
    </row>
    <row r="15" spans="1:53" s="334" customFormat="1">
      <c r="A15" s="334">
        <v>1996</v>
      </c>
      <c r="B15" s="355">
        <v>35118</v>
      </c>
      <c r="C15" s="992" t="s">
        <v>1155</v>
      </c>
      <c r="D15" s="992"/>
      <c r="E15" s="334">
        <v>278</v>
      </c>
      <c r="F15" s="334">
        <v>6</v>
      </c>
      <c r="G15" s="497"/>
      <c r="H15" s="561"/>
      <c r="I15" s="561">
        <v>18</v>
      </c>
      <c r="J15" s="499">
        <v>18</v>
      </c>
      <c r="K15" s="495">
        <f t="shared" si="0"/>
        <v>0</v>
      </c>
      <c r="L15" s="495">
        <f t="shared" si="1"/>
        <v>0</v>
      </c>
      <c r="M15" s="495">
        <f t="shared" si="2"/>
        <v>100</v>
      </c>
      <c r="N15" s="498">
        <f t="shared" si="3"/>
        <v>100</v>
      </c>
      <c r="O15" s="494"/>
      <c r="P15" s="495"/>
      <c r="Q15" s="495">
        <v>51.8</v>
      </c>
      <c r="R15" s="496">
        <f t="shared" si="4"/>
        <v>51.8</v>
      </c>
      <c r="S15" s="561">
        <v>1</v>
      </c>
      <c r="T15" s="492"/>
      <c r="U15" s="558">
        <v>35118</v>
      </c>
      <c r="V15" s="343" t="s">
        <v>1025</v>
      </c>
      <c r="W15" s="334" t="s">
        <v>903</v>
      </c>
      <c r="X15" s="334" t="s">
        <v>12</v>
      </c>
      <c r="Y15" s="344">
        <v>51.8</v>
      </c>
      <c r="AD15" s="343"/>
      <c r="AG15" s="344"/>
      <c r="AL15" s="343"/>
      <c r="AO15" s="344"/>
      <c r="AP15" s="343"/>
      <c r="AS15" s="344"/>
      <c r="AW15" s="344"/>
      <c r="BA15" s="345"/>
    </row>
    <row r="16" spans="1:53" s="86" customFormat="1">
      <c r="A16" s="86">
        <v>1996</v>
      </c>
      <c r="B16" s="101">
        <v>35396</v>
      </c>
      <c r="C16" s="988" t="s">
        <v>1156</v>
      </c>
      <c r="D16" s="988"/>
      <c r="E16" s="86">
        <f xml:space="preserve"> 366-E15-E14</f>
        <v>35</v>
      </c>
      <c r="F16" s="86">
        <v>1</v>
      </c>
      <c r="G16" s="480">
        <v>13</v>
      </c>
      <c r="H16" s="560">
        <v>3</v>
      </c>
      <c r="I16" s="560"/>
      <c r="J16" s="482">
        <v>17</v>
      </c>
      <c r="K16" s="477">
        <f t="shared" si="0"/>
        <v>76.470588235294116</v>
      </c>
      <c r="L16" s="477">
        <f t="shared" si="1"/>
        <v>17.647058823529413</v>
      </c>
      <c r="M16" s="477">
        <f t="shared" si="2"/>
        <v>0</v>
      </c>
      <c r="N16" s="481">
        <f t="shared" si="3"/>
        <v>94.117647058823536</v>
      </c>
      <c r="O16" s="476">
        <v>60.6</v>
      </c>
      <c r="P16" s="477">
        <v>11.7</v>
      </c>
      <c r="Q16" s="477"/>
      <c r="R16" s="478">
        <f t="shared" si="4"/>
        <v>72.3</v>
      </c>
      <c r="S16" s="560">
        <v>3</v>
      </c>
      <c r="T16" s="479">
        <v>35380</v>
      </c>
      <c r="U16" s="557">
        <v>35396</v>
      </c>
      <c r="V16" s="82" t="s">
        <v>1020</v>
      </c>
      <c r="W16" s="86" t="s">
        <v>88</v>
      </c>
      <c r="X16" s="86" t="s">
        <v>11</v>
      </c>
      <c r="Y16" s="83">
        <v>51.1</v>
      </c>
      <c r="Z16" s="86" t="s">
        <v>1026</v>
      </c>
      <c r="AA16" s="86" t="s">
        <v>17</v>
      </c>
      <c r="AB16" s="86" t="s">
        <v>18</v>
      </c>
      <c r="AC16" s="86">
        <v>11.7</v>
      </c>
      <c r="AD16" s="82" t="s">
        <v>1027</v>
      </c>
      <c r="AE16" s="86" t="s">
        <v>22</v>
      </c>
      <c r="AF16" s="86" t="s">
        <v>11</v>
      </c>
      <c r="AG16" s="83">
        <v>9.5</v>
      </c>
      <c r="AL16" s="82"/>
      <c r="AO16" s="83"/>
      <c r="AP16" s="82"/>
      <c r="AS16" s="83"/>
      <c r="AW16" s="83"/>
      <c r="BA16" s="84"/>
    </row>
    <row r="17" spans="1:53" s="86" customFormat="1">
      <c r="A17" s="86">
        <v>1997</v>
      </c>
      <c r="C17" s="988" t="s">
        <v>1156</v>
      </c>
      <c r="D17" s="988"/>
      <c r="E17" s="86">
        <v>0</v>
      </c>
      <c r="G17" s="480">
        <v>13</v>
      </c>
      <c r="H17" s="560">
        <v>3</v>
      </c>
      <c r="I17" s="560"/>
      <c r="J17" s="482">
        <v>17</v>
      </c>
      <c r="K17" s="477">
        <f t="shared" si="0"/>
        <v>76.470588235294116</v>
      </c>
      <c r="L17" s="477">
        <f t="shared" si="1"/>
        <v>17.647058823529413</v>
      </c>
      <c r="M17" s="477">
        <f t="shared" si="2"/>
        <v>0</v>
      </c>
      <c r="N17" s="481">
        <f t="shared" si="3"/>
        <v>94.117647058823536</v>
      </c>
      <c r="O17" s="476">
        <v>60.6</v>
      </c>
      <c r="P17" s="477">
        <v>11.7</v>
      </c>
      <c r="Q17" s="477"/>
      <c r="R17" s="478">
        <f t="shared" si="4"/>
        <v>72.3</v>
      </c>
      <c r="S17" s="560">
        <v>3</v>
      </c>
      <c r="T17" s="471"/>
      <c r="U17" s="560"/>
      <c r="V17" s="82" t="s">
        <v>1020</v>
      </c>
      <c r="W17" s="86" t="s">
        <v>88</v>
      </c>
      <c r="X17" s="86" t="s">
        <v>11</v>
      </c>
      <c r="Y17" s="83">
        <v>51.1</v>
      </c>
      <c r="Z17" s="86" t="s">
        <v>1026</v>
      </c>
      <c r="AA17" s="86" t="s">
        <v>17</v>
      </c>
      <c r="AB17" s="86" t="s">
        <v>18</v>
      </c>
      <c r="AC17" s="86">
        <v>11.7</v>
      </c>
      <c r="AD17" s="82" t="s">
        <v>1027</v>
      </c>
      <c r="AE17" s="86" t="s">
        <v>22</v>
      </c>
      <c r="AF17" s="86" t="s">
        <v>11</v>
      </c>
      <c r="AG17" s="83">
        <v>9.5</v>
      </c>
      <c r="AL17" s="82"/>
      <c r="AO17" s="83"/>
      <c r="AP17" s="82"/>
      <c r="AS17" s="83"/>
      <c r="AW17" s="83"/>
      <c r="BA17" s="84"/>
    </row>
    <row r="18" spans="1:53" s="86" customFormat="1">
      <c r="A18" s="86">
        <v>1997</v>
      </c>
      <c r="C18" s="988" t="s">
        <v>1156</v>
      </c>
      <c r="D18" s="988"/>
      <c r="E18" s="86">
        <v>365</v>
      </c>
      <c r="G18" s="480">
        <v>13</v>
      </c>
      <c r="H18" s="560">
        <v>3</v>
      </c>
      <c r="I18" s="560"/>
      <c r="J18" s="482">
        <v>17</v>
      </c>
      <c r="K18" s="477">
        <f t="shared" si="0"/>
        <v>76.470588235294116</v>
      </c>
      <c r="L18" s="477">
        <f t="shared" si="1"/>
        <v>17.647058823529413</v>
      </c>
      <c r="M18" s="477">
        <f t="shared" si="2"/>
        <v>0</v>
      </c>
      <c r="N18" s="481">
        <f t="shared" si="3"/>
        <v>94.117647058823536</v>
      </c>
      <c r="O18" s="476">
        <v>60.6</v>
      </c>
      <c r="P18" s="477">
        <v>11.7</v>
      </c>
      <c r="Q18" s="477"/>
      <c r="R18" s="478">
        <f t="shared" si="4"/>
        <v>72.3</v>
      </c>
      <c r="S18" s="560">
        <v>3</v>
      </c>
      <c r="T18" s="471"/>
      <c r="U18" s="560"/>
      <c r="V18" s="82" t="s">
        <v>1020</v>
      </c>
      <c r="W18" s="86" t="s">
        <v>88</v>
      </c>
      <c r="X18" s="86" t="s">
        <v>11</v>
      </c>
      <c r="Y18" s="83">
        <v>51.1</v>
      </c>
      <c r="Z18" s="86" t="s">
        <v>1026</v>
      </c>
      <c r="AA18" s="86" t="s">
        <v>17</v>
      </c>
      <c r="AB18" s="86" t="s">
        <v>18</v>
      </c>
      <c r="AC18" s="86">
        <v>11.7</v>
      </c>
      <c r="AD18" s="82" t="s">
        <v>1027</v>
      </c>
      <c r="AE18" s="86" t="s">
        <v>22</v>
      </c>
      <c r="AF18" s="86" t="s">
        <v>11</v>
      </c>
      <c r="AG18" s="83">
        <v>9.5</v>
      </c>
      <c r="AL18" s="82"/>
      <c r="AO18" s="83"/>
      <c r="AP18" s="82"/>
      <c r="AS18" s="83"/>
      <c r="AW18" s="83"/>
      <c r="BA18" s="84"/>
    </row>
    <row r="19" spans="1:53" s="86" customFormat="1">
      <c r="A19" s="86">
        <v>1998</v>
      </c>
      <c r="C19" s="988" t="s">
        <v>1156</v>
      </c>
      <c r="D19" s="988"/>
      <c r="E19" s="86">
        <v>83</v>
      </c>
      <c r="G19" s="480">
        <v>13</v>
      </c>
      <c r="H19" s="560">
        <v>3</v>
      </c>
      <c r="I19" s="560"/>
      <c r="J19" s="482">
        <v>17</v>
      </c>
      <c r="K19" s="477">
        <f t="shared" si="0"/>
        <v>76.470588235294116</v>
      </c>
      <c r="L19" s="477">
        <f t="shared" si="1"/>
        <v>17.647058823529413</v>
      </c>
      <c r="M19" s="477">
        <f t="shared" si="2"/>
        <v>0</v>
      </c>
      <c r="N19" s="481">
        <f t="shared" si="3"/>
        <v>94.117647058823536</v>
      </c>
      <c r="O19" s="476">
        <v>60.6</v>
      </c>
      <c r="P19" s="477">
        <v>11.7</v>
      </c>
      <c r="Q19" s="477"/>
      <c r="R19" s="478">
        <f t="shared" si="4"/>
        <v>72.3</v>
      </c>
      <c r="S19" s="560">
        <v>3</v>
      </c>
      <c r="T19" s="471"/>
      <c r="U19" s="560"/>
      <c r="V19" s="82" t="s">
        <v>1020</v>
      </c>
      <c r="W19" s="86" t="s">
        <v>88</v>
      </c>
      <c r="X19" s="86" t="s">
        <v>11</v>
      </c>
      <c r="Y19" s="83">
        <v>51.1</v>
      </c>
      <c r="Z19" s="86" t="s">
        <v>1026</v>
      </c>
      <c r="AA19" s="86" t="s">
        <v>17</v>
      </c>
      <c r="AB19" s="86" t="s">
        <v>18</v>
      </c>
      <c r="AC19" s="86">
        <v>11.7</v>
      </c>
      <c r="AD19" s="82" t="s">
        <v>1027</v>
      </c>
      <c r="AE19" s="86" t="s">
        <v>22</v>
      </c>
      <c r="AF19" s="86" t="s">
        <v>11</v>
      </c>
      <c r="AG19" s="83">
        <v>9.5</v>
      </c>
      <c r="AL19" s="82"/>
      <c r="AO19" s="83"/>
      <c r="AP19" s="82"/>
      <c r="AS19" s="83"/>
      <c r="AW19" s="83"/>
      <c r="BA19" s="84"/>
    </row>
    <row r="20" spans="1:53" s="86" customFormat="1">
      <c r="A20" s="86">
        <v>1998</v>
      </c>
      <c r="B20" s="149">
        <v>35879</v>
      </c>
      <c r="C20" s="988" t="s">
        <v>1156</v>
      </c>
      <c r="D20" s="988"/>
      <c r="E20" s="86">
        <v>282</v>
      </c>
      <c r="F20" s="150">
        <v>0</v>
      </c>
      <c r="G20" s="480">
        <v>10</v>
      </c>
      <c r="H20" s="560">
        <v>2</v>
      </c>
      <c r="I20" s="560"/>
      <c r="J20" s="482">
        <v>15</v>
      </c>
      <c r="K20" s="477">
        <f t="shared" si="0"/>
        <v>66.666666666666657</v>
      </c>
      <c r="L20" s="477">
        <f t="shared" si="1"/>
        <v>13.333333333333334</v>
      </c>
      <c r="M20" s="477">
        <f t="shared" si="2"/>
        <v>0</v>
      </c>
      <c r="N20" s="481">
        <f t="shared" si="3"/>
        <v>79.999999999999986</v>
      </c>
      <c r="O20" s="476">
        <v>60.6</v>
      </c>
      <c r="P20" s="477">
        <v>11.7</v>
      </c>
      <c r="Q20" s="477"/>
      <c r="R20" s="478">
        <f t="shared" si="4"/>
        <v>72.3</v>
      </c>
      <c r="S20" s="560">
        <v>3</v>
      </c>
      <c r="T20" s="471"/>
      <c r="U20" s="560"/>
      <c r="V20" s="82" t="s">
        <v>1020</v>
      </c>
      <c r="W20" s="86" t="s">
        <v>88</v>
      </c>
      <c r="X20" s="86" t="s">
        <v>11</v>
      </c>
      <c r="Y20" s="83">
        <v>51.1</v>
      </c>
      <c r="Z20" s="86" t="s">
        <v>1026</v>
      </c>
      <c r="AA20" s="86" t="s">
        <v>17</v>
      </c>
      <c r="AB20" s="86" t="s">
        <v>18</v>
      </c>
      <c r="AC20" s="86">
        <v>11.7</v>
      </c>
      <c r="AD20" s="82" t="s">
        <v>1027</v>
      </c>
      <c r="AE20" s="86" t="s">
        <v>22</v>
      </c>
      <c r="AF20" s="86" t="s">
        <v>11</v>
      </c>
      <c r="AG20" s="83">
        <v>9.5</v>
      </c>
      <c r="AL20" s="82"/>
      <c r="AO20" s="83"/>
      <c r="AP20" s="82"/>
      <c r="AS20" s="83"/>
      <c r="AW20" s="83"/>
      <c r="BA20" s="84"/>
    </row>
    <row r="21" spans="1:53" s="86" customFormat="1">
      <c r="A21" s="86">
        <v>1999</v>
      </c>
      <c r="C21" s="988" t="s">
        <v>1156</v>
      </c>
      <c r="D21" s="988"/>
      <c r="E21" s="86">
        <v>137</v>
      </c>
      <c r="G21" s="480">
        <v>10</v>
      </c>
      <c r="H21" s="560">
        <v>2</v>
      </c>
      <c r="I21" s="560"/>
      <c r="J21" s="482">
        <v>15</v>
      </c>
      <c r="K21" s="477">
        <f t="shared" si="0"/>
        <v>66.666666666666657</v>
      </c>
      <c r="L21" s="477">
        <f t="shared" si="1"/>
        <v>13.333333333333334</v>
      </c>
      <c r="M21" s="477">
        <f t="shared" si="2"/>
        <v>0</v>
      </c>
      <c r="N21" s="481">
        <f t="shared" si="3"/>
        <v>79.999999999999986</v>
      </c>
      <c r="O21" s="476">
        <v>60.6</v>
      </c>
      <c r="P21" s="477">
        <v>11.7</v>
      </c>
      <c r="Q21" s="477"/>
      <c r="R21" s="478">
        <f t="shared" si="4"/>
        <v>72.3</v>
      </c>
      <c r="S21" s="560">
        <v>3</v>
      </c>
      <c r="T21" s="471"/>
      <c r="U21" s="560"/>
      <c r="V21" s="82" t="s">
        <v>1020</v>
      </c>
      <c r="W21" s="86" t="s">
        <v>88</v>
      </c>
      <c r="X21" s="86" t="s">
        <v>11</v>
      </c>
      <c r="Y21" s="83">
        <v>51.1</v>
      </c>
      <c r="Z21" s="86" t="s">
        <v>1026</v>
      </c>
      <c r="AA21" s="86" t="s">
        <v>17</v>
      </c>
      <c r="AB21" s="86" t="s">
        <v>18</v>
      </c>
      <c r="AC21" s="86">
        <v>11.7</v>
      </c>
      <c r="AD21" s="82" t="s">
        <v>1027</v>
      </c>
      <c r="AE21" s="86" t="s">
        <v>22</v>
      </c>
      <c r="AF21" s="86" t="s">
        <v>11</v>
      </c>
      <c r="AG21" s="83">
        <v>9.5</v>
      </c>
      <c r="AL21" s="82"/>
      <c r="AO21" s="83"/>
      <c r="AP21" s="82"/>
      <c r="AS21" s="83"/>
      <c r="AW21" s="83"/>
      <c r="BA21" s="84"/>
    </row>
    <row r="22" spans="1:53" s="334" customFormat="1">
      <c r="A22" s="334">
        <v>1999</v>
      </c>
      <c r="B22" s="355">
        <v>36298</v>
      </c>
      <c r="C22" s="992" t="s">
        <v>1028</v>
      </c>
      <c r="D22" s="992"/>
      <c r="E22" s="334">
        <v>164</v>
      </c>
      <c r="F22" s="334">
        <v>2</v>
      </c>
      <c r="G22" s="497">
        <v>8</v>
      </c>
      <c r="H22" s="561">
        <v>2</v>
      </c>
      <c r="I22" s="561"/>
      <c r="J22" s="499">
        <v>14</v>
      </c>
      <c r="K22" s="495">
        <f t="shared" si="0"/>
        <v>57.142857142857139</v>
      </c>
      <c r="L22" s="495">
        <f t="shared" si="1"/>
        <v>14.285714285714285</v>
      </c>
      <c r="M22" s="495">
        <f t="shared" si="2"/>
        <v>0</v>
      </c>
      <c r="N22" s="498">
        <f t="shared" si="3"/>
        <v>71.428571428571416</v>
      </c>
      <c r="O22" s="494">
        <v>60.6</v>
      </c>
      <c r="P22" s="495">
        <v>11.7</v>
      </c>
      <c r="Q22" s="495"/>
      <c r="R22" s="496">
        <f>SUM(O22:Q22)</f>
        <v>72.3</v>
      </c>
      <c r="S22" s="561">
        <v>3</v>
      </c>
      <c r="T22" s="492"/>
      <c r="U22" s="558">
        <v>36298</v>
      </c>
      <c r="V22" s="343" t="s">
        <v>1020</v>
      </c>
      <c r="W22" s="334" t="s">
        <v>88</v>
      </c>
      <c r="X22" s="334" t="s">
        <v>11</v>
      </c>
      <c r="Y22" s="344">
        <v>51.1</v>
      </c>
      <c r="Z22" s="334" t="s">
        <v>1026</v>
      </c>
      <c r="AA22" s="334" t="s">
        <v>17</v>
      </c>
      <c r="AB22" s="334" t="s">
        <v>18</v>
      </c>
      <c r="AC22" s="334">
        <v>11.7</v>
      </c>
      <c r="AD22" s="343" t="s">
        <v>1027</v>
      </c>
      <c r="AE22" s="334" t="s">
        <v>22</v>
      </c>
      <c r="AF22" s="334" t="s">
        <v>11</v>
      </c>
      <c r="AG22" s="344">
        <v>9.5</v>
      </c>
      <c r="AL22" s="343"/>
      <c r="AO22" s="344"/>
      <c r="AP22" s="343"/>
      <c r="AS22" s="344"/>
      <c r="AW22" s="344"/>
      <c r="BA22" s="345"/>
    </row>
    <row r="23" spans="1:53" s="86" customFormat="1">
      <c r="A23" s="86">
        <v>1999</v>
      </c>
      <c r="B23" s="101">
        <v>36462</v>
      </c>
      <c r="C23" s="988" t="s">
        <v>1029</v>
      </c>
      <c r="D23" s="988"/>
      <c r="E23" s="86">
        <v>64</v>
      </c>
      <c r="F23" s="86">
        <v>2</v>
      </c>
      <c r="G23" s="480">
        <v>7</v>
      </c>
      <c r="H23" s="560">
        <v>2</v>
      </c>
      <c r="I23" s="560"/>
      <c r="J23" s="482">
        <v>14</v>
      </c>
      <c r="K23" s="477">
        <f t="shared" si="0"/>
        <v>50</v>
      </c>
      <c r="L23" s="477">
        <f t="shared" si="1"/>
        <v>14.285714285714285</v>
      </c>
      <c r="M23" s="477">
        <f t="shared" si="2"/>
        <v>0</v>
      </c>
      <c r="N23" s="477">
        <f t="shared" si="3"/>
        <v>64.285714285714278</v>
      </c>
      <c r="O23" s="476">
        <v>60.6</v>
      </c>
      <c r="P23" s="477">
        <v>11.7</v>
      </c>
      <c r="Q23" s="477"/>
      <c r="R23" s="478">
        <f t="shared" si="4"/>
        <v>72.3</v>
      </c>
      <c r="S23" s="560">
        <v>3</v>
      </c>
      <c r="T23" s="471"/>
      <c r="U23" s="557">
        <v>36462</v>
      </c>
      <c r="V23" s="82" t="s">
        <v>1020</v>
      </c>
      <c r="W23" s="86" t="s">
        <v>88</v>
      </c>
      <c r="X23" s="86" t="s">
        <v>11</v>
      </c>
      <c r="Y23" s="83">
        <v>51.1</v>
      </c>
      <c r="Z23" s="86" t="s">
        <v>1026</v>
      </c>
      <c r="AA23" s="86" t="s">
        <v>17</v>
      </c>
      <c r="AB23" s="86" t="s">
        <v>18</v>
      </c>
      <c r="AC23" s="86">
        <v>11.7</v>
      </c>
      <c r="AD23" s="82" t="s">
        <v>1027</v>
      </c>
      <c r="AE23" s="86" t="s">
        <v>22</v>
      </c>
      <c r="AF23" s="86" t="s">
        <v>11</v>
      </c>
      <c r="AG23" s="83">
        <v>9.5</v>
      </c>
      <c r="AL23" s="82"/>
      <c r="AO23" s="83"/>
      <c r="AP23" s="82"/>
      <c r="AS23" s="83"/>
      <c r="AW23" s="83"/>
      <c r="BA23" s="84"/>
    </row>
    <row r="24" spans="1:53" s="86" customFormat="1">
      <c r="A24" s="86">
        <v>2000</v>
      </c>
      <c r="C24" s="988" t="s">
        <v>1029</v>
      </c>
      <c r="D24" s="988"/>
      <c r="E24" s="86">
        <v>300</v>
      </c>
      <c r="G24" s="480">
        <v>7</v>
      </c>
      <c r="H24" s="560">
        <v>2</v>
      </c>
      <c r="I24" s="560"/>
      <c r="J24" s="482">
        <v>14</v>
      </c>
      <c r="K24" s="477">
        <f>G24/J24*100</f>
        <v>50</v>
      </c>
      <c r="L24" s="477">
        <f>H24/J24*100</f>
        <v>14.285714285714285</v>
      </c>
      <c r="M24" s="477">
        <f>I24/J24*100</f>
        <v>0</v>
      </c>
      <c r="N24" s="477">
        <f>SUM(K24:M24)</f>
        <v>64.285714285714278</v>
      </c>
      <c r="O24" s="476">
        <v>60.6</v>
      </c>
      <c r="P24" s="477">
        <v>11.7</v>
      </c>
      <c r="Q24" s="477"/>
      <c r="R24" s="478">
        <f t="shared" si="4"/>
        <v>72.3</v>
      </c>
      <c r="S24" s="560">
        <v>3</v>
      </c>
      <c r="T24" s="471"/>
      <c r="U24" s="560"/>
      <c r="V24" s="82" t="s">
        <v>1020</v>
      </c>
      <c r="W24" s="86" t="s">
        <v>88</v>
      </c>
      <c r="X24" s="86" t="s">
        <v>11</v>
      </c>
      <c r="Y24" s="83">
        <v>51.1</v>
      </c>
      <c r="Z24" s="86" t="s">
        <v>1026</v>
      </c>
      <c r="AA24" s="86" t="s">
        <v>17</v>
      </c>
      <c r="AB24" s="86" t="s">
        <v>18</v>
      </c>
      <c r="AC24" s="86">
        <v>11.7</v>
      </c>
      <c r="AD24" s="82" t="s">
        <v>1027</v>
      </c>
      <c r="AE24" s="86" t="s">
        <v>22</v>
      </c>
      <c r="AF24" s="86" t="s">
        <v>11</v>
      </c>
      <c r="AG24" s="83">
        <v>9.5</v>
      </c>
      <c r="AL24" s="82"/>
      <c r="AO24" s="83"/>
      <c r="AP24" s="82"/>
      <c r="AS24" s="83"/>
      <c r="AW24" s="83"/>
      <c r="BA24" s="84"/>
    </row>
    <row r="25" spans="1:53" s="334" customFormat="1">
      <c r="A25" s="334">
        <v>2000</v>
      </c>
      <c r="B25" s="355">
        <v>36826</v>
      </c>
      <c r="C25" s="992" t="s">
        <v>1157</v>
      </c>
      <c r="D25" s="992"/>
      <c r="E25" s="334">
        <f xml:space="preserve"> 366-E24</f>
        <v>66</v>
      </c>
      <c r="F25" s="334">
        <v>1</v>
      </c>
      <c r="G25" s="497">
        <v>7</v>
      </c>
      <c r="H25" s="561">
        <v>6</v>
      </c>
      <c r="I25" s="561"/>
      <c r="J25" s="499">
        <v>14</v>
      </c>
      <c r="K25" s="495">
        <f>G25/J25*100</f>
        <v>50</v>
      </c>
      <c r="L25" s="495">
        <f>H25/J25*100</f>
        <v>42.857142857142854</v>
      </c>
      <c r="M25" s="495">
        <f>I25/J25*100</f>
        <v>0</v>
      </c>
      <c r="N25" s="498">
        <f>SUM(K25:M25)</f>
        <v>92.857142857142861</v>
      </c>
      <c r="O25" s="494">
        <v>23.4</v>
      </c>
      <c r="P25" s="495">
        <v>19.899999999999999</v>
      </c>
      <c r="Q25" s="495"/>
      <c r="R25" s="496">
        <f t="shared" si="4"/>
        <v>43.3</v>
      </c>
      <c r="S25" s="561">
        <v>5</v>
      </c>
      <c r="T25" s="487">
        <v>36807</v>
      </c>
      <c r="U25" s="558">
        <v>36826</v>
      </c>
      <c r="V25" s="343" t="s">
        <v>1031</v>
      </c>
      <c r="W25" s="334" t="s">
        <v>100</v>
      </c>
      <c r="X25" s="334" t="s">
        <v>11</v>
      </c>
      <c r="Y25" s="344">
        <v>23.4</v>
      </c>
      <c r="Z25" s="334" t="s">
        <v>1016</v>
      </c>
      <c r="AA25" s="334" t="s">
        <v>1032</v>
      </c>
      <c r="AB25" s="334" t="s">
        <v>18</v>
      </c>
      <c r="AC25" s="334">
        <v>19.899999999999999</v>
      </c>
      <c r="AD25" s="343"/>
      <c r="AG25" s="344"/>
      <c r="AL25" s="343"/>
      <c r="AO25" s="344"/>
      <c r="AP25" s="343"/>
      <c r="AS25" s="344"/>
      <c r="AW25" s="344"/>
      <c r="BA25" s="345"/>
    </row>
    <row r="26" spans="1:53" s="334" customFormat="1">
      <c r="A26" s="334">
        <v>2001</v>
      </c>
      <c r="C26" s="992" t="s">
        <v>1157</v>
      </c>
      <c r="D26" s="992"/>
      <c r="E26" s="334">
        <v>185</v>
      </c>
      <c r="G26" s="497">
        <v>7</v>
      </c>
      <c r="H26" s="561">
        <v>6</v>
      </c>
      <c r="I26" s="561"/>
      <c r="J26" s="499">
        <v>14</v>
      </c>
      <c r="K26" s="495">
        <f>G26/J26*100</f>
        <v>50</v>
      </c>
      <c r="L26" s="495">
        <f>H26/J26*100</f>
        <v>42.857142857142854</v>
      </c>
      <c r="M26" s="495">
        <f>I26/J26*100</f>
        <v>0</v>
      </c>
      <c r="N26" s="498">
        <f>SUM(K26:M26)</f>
        <v>92.857142857142861</v>
      </c>
      <c r="O26" s="494">
        <v>23.4</v>
      </c>
      <c r="P26" s="495">
        <v>19.899999999999999</v>
      </c>
      <c r="Q26" s="495"/>
      <c r="R26" s="496">
        <f t="shared" si="4"/>
        <v>43.3</v>
      </c>
      <c r="S26" s="561">
        <v>5</v>
      </c>
      <c r="T26" s="492"/>
      <c r="U26" s="561"/>
      <c r="V26" s="343" t="s">
        <v>1031</v>
      </c>
      <c r="W26" s="334" t="s">
        <v>100</v>
      </c>
      <c r="X26" s="334" t="s">
        <v>11</v>
      </c>
      <c r="Y26" s="344">
        <v>23.4</v>
      </c>
      <c r="Z26" s="334" t="s">
        <v>1016</v>
      </c>
      <c r="AA26" s="334" t="s">
        <v>1032</v>
      </c>
      <c r="AB26" s="334" t="s">
        <v>18</v>
      </c>
      <c r="AC26" s="334">
        <v>19.899999999999999</v>
      </c>
      <c r="AD26" s="343"/>
      <c r="AG26" s="344"/>
      <c r="AL26" s="343"/>
      <c r="AO26" s="344"/>
      <c r="AP26" s="343"/>
      <c r="AS26" s="344"/>
      <c r="AW26" s="344"/>
      <c r="BA26" s="345"/>
    </row>
    <row r="27" spans="1:53" s="86" customFormat="1">
      <c r="A27" s="86">
        <v>2001</v>
      </c>
      <c r="B27" s="192">
        <v>37077</v>
      </c>
      <c r="C27" s="988" t="s">
        <v>1015</v>
      </c>
      <c r="D27" s="988"/>
      <c r="E27" s="86">
        <f xml:space="preserve"> 365-E26</f>
        <v>180</v>
      </c>
      <c r="F27" s="86">
        <v>7</v>
      </c>
      <c r="G27" s="480"/>
      <c r="H27" s="560">
        <v>6</v>
      </c>
      <c r="I27" s="560">
        <v>4</v>
      </c>
      <c r="J27" s="482">
        <v>14</v>
      </c>
      <c r="K27" s="477">
        <f t="shared" si="0"/>
        <v>0</v>
      </c>
      <c r="L27" s="477">
        <f t="shared" si="1"/>
        <v>42.857142857142854</v>
      </c>
      <c r="M27" s="477">
        <f t="shared" si="2"/>
        <v>28.571428571428569</v>
      </c>
      <c r="N27" s="481">
        <f t="shared" si="3"/>
        <v>71.428571428571416</v>
      </c>
      <c r="O27" s="476"/>
      <c r="P27" s="477">
        <v>19.899999999999999</v>
      </c>
      <c r="Q27" s="477">
        <v>34</v>
      </c>
      <c r="R27" s="478">
        <f t="shared" si="4"/>
        <v>53.9</v>
      </c>
      <c r="S27" s="560">
        <v>2</v>
      </c>
      <c r="T27" s="471"/>
      <c r="U27" s="192">
        <v>37077</v>
      </c>
      <c r="V27" s="82" t="s">
        <v>1158</v>
      </c>
      <c r="W27" s="86" t="s">
        <v>20</v>
      </c>
      <c r="X27" s="86" t="s">
        <v>12</v>
      </c>
      <c r="Y27" s="83">
        <v>34</v>
      </c>
      <c r="Z27" s="86" t="s">
        <v>1016</v>
      </c>
      <c r="AA27" s="86" t="s">
        <v>316</v>
      </c>
      <c r="AB27" s="86" t="s">
        <v>18</v>
      </c>
      <c r="AC27" s="86">
        <v>19.899999999999999</v>
      </c>
      <c r="AD27" s="82"/>
      <c r="AG27" s="83"/>
      <c r="AL27" s="82"/>
      <c r="AO27" s="83"/>
      <c r="AP27" s="82"/>
      <c r="AS27" s="83"/>
      <c r="AW27" s="83"/>
      <c r="BA27" s="84"/>
    </row>
    <row r="28" spans="1:53" s="86" customFormat="1">
      <c r="A28" s="86">
        <v>2002</v>
      </c>
      <c r="B28" s="193"/>
      <c r="C28" s="988" t="s">
        <v>1015</v>
      </c>
      <c r="D28" s="988"/>
      <c r="E28" s="86">
        <v>0</v>
      </c>
      <c r="G28" s="480"/>
      <c r="H28" s="560">
        <v>6</v>
      </c>
      <c r="I28" s="560">
        <v>4</v>
      </c>
      <c r="J28" s="482">
        <v>14</v>
      </c>
      <c r="K28" s="477">
        <f t="shared" si="0"/>
        <v>0</v>
      </c>
      <c r="L28" s="477">
        <f t="shared" si="1"/>
        <v>42.857142857142854</v>
      </c>
      <c r="M28" s="477">
        <f t="shared" si="2"/>
        <v>28.571428571428569</v>
      </c>
      <c r="N28" s="481">
        <f t="shared" si="3"/>
        <v>71.428571428571416</v>
      </c>
      <c r="O28" s="476"/>
      <c r="P28" s="477">
        <v>19.899999999999999</v>
      </c>
      <c r="Q28" s="477">
        <v>34</v>
      </c>
      <c r="R28" s="478">
        <f t="shared" si="4"/>
        <v>53.9</v>
      </c>
      <c r="S28" s="560">
        <v>2</v>
      </c>
      <c r="T28" s="471"/>
      <c r="U28" s="560"/>
      <c r="V28" s="82" t="s">
        <v>1158</v>
      </c>
      <c r="W28" s="86" t="s">
        <v>20</v>
      </c>
      <c r="X28" s="86" t="s">
        <v>12</v>
      </c>
      <c r="Y28" s="83">
        <v>34</v>
      </c>
      <c r="Z28" s="86" t="s">
        <v>1016</v>
      </c>
      <c r="AA28" s="86" t="s">
        <v>316</v>
      </c>
      <c r="AB28" s="86" t="s">
        <v>18</v>
      </c>
      <c r="AC28" s="86">
        <v>19.899999999999999</v>
      </c>
      <c r="AD28" s="82"/>
      <c r="AG28" s="83"/>
      <c r="AL28" s="82"/>
      <c r="AO28" s="83"/>
      <c r="AP28" s="82"/>
      <c r="AS28" s="83"/>
      <c r="AW28" s="83"/>
      <c r="BA28" s="84"/>
    </row>
    <row r="29" spans="1:53" s="86" customFormat="1">
      <c r="A29" s="86">
        <v>2002</v>
      </c>
      <c r="B29" s="193"/>
      <c r="C29" s="988" t="s">
        <v>1015</v>
      </c>
      <c r="D29" s="988"/>
      <c r="E29" s="86">
        <v>365</v>
      </c>
      <c r="G29" s="480"/>
      <c r="H29" s="560">
        <v>6</v>
      </c>
      <c r="I29" s="560">
        <v>4</v>
      </c>
      <c r="J29" s="482">
        <v>14</v>
      </c>
      <c r="K29" s="477">
        <f t="shared" si="0"/>
        <v>0</v>
      </c>
      <c r="L29" s="477">
        <f t="shared" si="1"/>
        <v>42.857142857142854</v>
      </c>
      <c r="M29" s="477">
        <f t="shared" si="2"/>
        <v>28.571428571428569</v>
      </c>
      <c r="N29" s="481">
        <f t="shared" si="3"/>
        <v>71.428571428571416</v>
      </c>
      <c r="O29" s="476"/>
      <c r="P29" s="477">
        <v>19.899999999999999</v>
      </c>
      <c r="Q29" s="477">
        <v>34</v>
      </c>
      <c r="R29" s="478">
        <f t="shared" si="4"/>
        <v>53.9</v>
      </c>
      <c r="S29" s="560">
        <v>2</v>
      </c>
      <c r="T29" s="471"/>
      <c r="U29" s="560"/>
      <c r="V29" s="82" t="s">
        <v>1158</v>
      </c>
      <c r="W29" s="86" t="s">
        <v>20</v>
      </c>
      <c r="X29" s="86" t="s">
        <v>12</v>
      </c>
      <c r="Y29" s="83">
        <v>34</v>
      </c>
      <c r="Z29" s="86" t="s">
        <v>1016</v>
      </c>
      <c r="AA29" s="86" t="s">
        <v>316</v>
      </c>
      <c r="AB29" s="86" t="s">
        <v>18</v>
      </c>
      <c r="AC29" s="86">
        <v>19.899999999999999</v>
      </c>
      <c r="AD29" s="82"/>
      <c r="AG29" s="83"/>
      <c r="AL29" s="82"/>
      <c r="AO29" s="83"/>
      <c r="AP29" s="82"/>
      <c r="AS29" s="83"/>
      <c r="AW29" s="83"/>
      <c r="BA29" s="84"/>
    </row>
    <row r="30" spans="1:53" s="86" customFormat="1">
      <c r="A30" s="86">
        <v>2003</v>
      </c>
      <c r="B30" s="193"/>
      <c r="C30" s="988" t="s">
        <v>1015</v>
      </c>
      <c r="D30" s="988"/>
      <c r="E30" s="86">
        <v>64</v>
      </c>
      <c r="G30" s="480"/>
      <c r="H30" s="560">
        <v>6</v>
      </c>
      <c r="I30" s="560">
        <v>4</v>
      </c>
      <c r="J30" s="482">
        <v>14</v>
      </c>
      <c r="K30" s="477">
        <f t="shared" si="0"/>
        <v>0</v>
      </c>
      <c r="L30" s="477">
        <f t="shared" si="1"/>
        <v>42.857142857142854</v>
      </c>
      <c r="M30" s="477">
        <f t="shared" si="2"/>
        <v>28.571428571428569</v>
      </c>
      <c r="N30" s="481">
        <f t="shared" si="3"/>
        <v>71.428571428571416</v>
      </c>
      <c r="O30" s="476"/>
      <c r="P30" s="477">
        <v>19.899999999999999</v>
      </c>
      <c r="Q30" s="477">
        <v>34</v>
      </c>
      <c r="R30" s="478">
        <f t="shared" si="4"/>
        <v>53.9</v>
      </c>
      <c r="S30" s="560">
        <v>2</v>
      </c>
      <c r="T30" s="471"/>
      <c r="U30" s="560"/>
      <c r="V30" s="82" t="s">
        <v>1158</v>
      </c>
      <c r="W30" s="86" t="s">
        <v>20</v>
      </c>
      <c r="X30" s="86" t="s">
        <v>12</v>
      </c>
      <c r="Y30" s="83">
        <v>34</v>
      </c>
      <c r="Z30" s="86" t="s">
        <v>1016</v>
      </c>
      <c r="AA30" s="86" t="s">
        <v>316</v>
      </c>
      <c r="AB30" s="86" t="s">
        <v>18</v>
      </c>
      <c r="AC30" s="86">
        <v>19.899999999999999</v>
      </c>
      <c r="AD30" s="82"/>
      <c r="AG30" s="83"/>
      <c r="AL30" s="82"/>
      <c r="AO30" s="83"/>
      <c r="AP30" s="82"/>
      <c r="AS30" s="83"/>
      <c r="AW30" s="83"/>
      <c r="BA30" s="84"/>
    </row>
    <row r="31" spans="1:53" s="86" customFormat="1">
      <c r="A31" s="86">
        <v>2003</v>
      </c>
      <c r="B31" s="194">
        <v>37686</v>
      </c>
      <c r="C31" s="988" t="s">
        <v>1015</v>
      </c>
      <c r="D31" s="988"/>
      <c r="E31" s="86">
        <f xml:space="preserve"> 365-E30</f>
        <v>301</v>
      </c>
      <c r="F31" s="129">
        <v>0</v>
      </c>
      <c r="G31" s="480"/>
      <c r="H31" s="560">
        <v>5</v>
      </c>
      <c r="I31" s="560">
        <v>5</v>
      </c>
      <c r="J31" s="482">
        <v>14</v>
      </c>
      <c r="K31" s="477">
        <f t="shared" si="0"/>
        <v>0</v>
      </c>
      <c r="L31" s="477">
        <f t="shared" si="1"/>
        <v>35.714285714285715</v>
      </c>
      <c r="M31" s="477">
        <f t="shared" si="2"/>
        <v>35.714285714285715</v>
      </c>
      <c r="N31" s="481">
        <f t="shared" si="3"/>
        <v>71.428571428571431</v>
      </c>
      <c r="O31" s="476"/>
      <c r="P31" s="477">
        <v>19.899999999999999</v>
      </c>
      <c r="Q31" s="477">
        <v>34</v>
      </c>
      <c r="R31" s="478">
        <f t="shared" si="4"/>
        <v>53.9</v>
      </c>
      <c r="S31" s="560">
        <v>2</v>
      </c>
      <c r="T31" s="471"/>
      <c r="U31" s="560"/>
      <c r="V31" s="82" t="s">
        <v>1158</v>
      </c>
      <c r="W31" s="86" t="s">
        <v>20</v>
      </c>
      <c r="X31" s="86" t="s">
        <v>12</v>
      </c>
      <c r="Y31" s="83">
        <v>34</v>
      </c>
      <c r="Z31" s="86" t="s">
        <v>1016</v>
      </c>
      <c r="AA31" s="86" t="s">
        <v>316</v>
      </c>
      <c r="AB31" s="86" t="s">
        <v>18</v>
      </c>
      <c r="AC31" s="86">
        <v>19.899999999999999</v>
      </c>
      <c r="AD31" s="82"/>
      <c r="AG31" s="83"/>
      <c r="AL31" s="82"/>
      <c r="AO31" s="83"/>
      <c r="AP31" s="82"/>
      <c r="AS31" s="83"/>
      <c r="AW31" s="83"/>
      <c r="BA31" s="84"/>
    </row>
    <row r="32" spans="1:53" s="86" customFormat="1">
      <c r="A32" s="86">
        <v>2004</v>
      </c>
      <c r="B32" s="195"/>
      <c r="C32" s="988" t="s">
        <v>1015</v>
      </c>
      <c r="D32" s="988"/>
      <c r="E32" s="86">
        <v>124</v>
      </c>
      <c r="G32" s="480"/>
      <c r="H32" s="560">
        <v>5</v>
      </c>
      <c r="I32" s="560">
        <v>5</v>
      </c>
      <c r="J32" s="482">
        <v>14</v>
      </c>
      <c r="K32" s="477">
        <f>G32/J32*100</f>
        <v>0</v>
      </c>
      <c r="L32" s="477">
        <f>H32/J32*100</f>
        <v>35.714285714285715</v>
      </c>
      <c r="M32" s="477">
        <f>I32/J32*100</f>
        <v>35.714285714285715</v>
      </c>
      <c r="N32" s="481">
        <f t="shared" si="3"/>
        <v>71.428571428571431</v>
      </c>
      <c r="O32" s="476"/>
      <c r="P32" s="477">
        <v>19.899999999999999</v>
      </c>
      <c r="Q32" s="477">
        <v>34</v>
      </c>
      <c r="R32" s="478">
        <f t="shared" si="4"/>
        <v>53.9</v>
      </c>
      <c r="S32" s="560">
        <v>2</v>
      </c>
      <c r="T32" s="471"/>
      <c r="U32" s="560"/>
      <c r="V32" s="82" t="s">
        <v>1158</v>
      </c>
      <c r="W32" s="86" t="s">
        <v>20</v>
      </c>
      <c r="X32" s="86" t="s">
        <v>12</v>
      </c>
      <c r="Y32" s="83">
        <v>34</v>
      </c>
      <c r="Z32" s="86" t="s">
        <v>1016</v>
      </c>
      <c r="AA32" s="86" t="s">
        <v>316</v>
      </c>
      <c r="AB32" s="86" t="s">
        <v>18</v>
      </c>
      <c r="AC32" s="86">
        <v>19.899999999999999</v>
      </c>
      <c r="AD32" s="82"/>
      <c r="AG32" s="83"/>
      <c r="AL32" s="82"/>
      <c r="AO32" s="83"/>
      <c r="AP32" s="82"/>
      <c r="AS32" s="83"/>
      <c r="AW32" s="83"/>
      <c r="BA32" s="84"/>
    </row>
    <row r="33" spans="1:53" s="86" customFormat="1">
      <c r="A33" s="86">
        <v>2004</v>
      </c>
      <c r="B33" s="194">
        <v>38111</v>
      </c>
      <c r="C33" s="988" t="s">
        <v>1015</v>
      </c>
      <c r="D33" s="988"/>
      <c r="E33" s="86">
        <v>224</v>
      </c>
      <c r="F33" s="129">
        <v>0</v>
      </c>
      <c r="G33" s="480"/>
      <c r="H33" s="560">
        <v>5</v>
      </c>
      <c r="I33" s="560">
        <v>6</v>
      </c>
      <c r="J33" s="482">
        <v>14</v>
      </c>
      <c r="K33" s="477">
        <f t="shared" si="0"/>
        <v>0</v>
      </c>
      <c r="L33" s="477">
        <f t="shared" si="1"/>
        <v>35.714285714285715</v>
      </c>
      <c r="M33" s="477">
        <f t="shared" si="2"/>
        <v>42.857142857142854</v>
      </c>
      <c r="N33" s="481">
        <f t="shared" si="3"/>
        <v>78.571428571428569</v>
      </c>
      <c r="O33" s="476"/>
      <c r="P33" s="477">
        <v>19.899999999999999</v>
      </c>
      <c r="Q33" s="477">
        <v>34</v>
      </c>
      <c r="R33" s="478">
        <f t="shared" si="4"/>
        <v>53.9</v>
      </c>
      <c r="S33" s="560">
        <v>2</v>
      </c>
      <c r="T33" s="471"/>
      <c r="U33" s="560"/>
      <c r="V33" s="82" t="s">
        <v>1158</v>
      </c>
      <c r="W33" s="86" t="s">
        <v>20</v>
      </c>
      <c r="X33" s="86" t="s">
        <v>12</v>
      </c>
      <c r="Y33" s="83">
        <v>34</v>
      </c>
      <c r="Z33" s="86" t="s">
        <v>1016</v>
      </c>
      <c r="AA33" s="86" t="s">
        <v>316</v>
      </c>
      <c r="AB33" s="86" t="s">
        <v>18</v>
      </c>
      <c r="AC33" s="86">
        <v>19.899999999999999</v>
      </c>
      <c r="AD33" s="82"/>
      <c r="AG33" s="83"/>
      <c r="AL33" s="82"/>
      <c r="AO33" s="83"/>
      <c r="AP33" s="82"/>
      <c r="AS33" s="83"/>
      <c r="AW33" s="83"/>
      <c r="BA33" s="84"/>
    </row>
    <row r="34" spans="1:53" s="334" customFormat="1">
      <c r="A34" s="334">
        <v>2004</v>
      </c>
      <c r="B34" s="335">
        <v>38335</v>
      </c>
      <c r="C34" s="992" t="s">
        <v>1017</v>
      </c>
      <c r="D34" s="992"/>
      <c r="E34" s="334">
        <f xml:space="preserve"> 366-E33-E32</f>
        <v>18</v>
      </c>
      <c r="F34" s="334">
        <v>1</v>
      </c>
      <c r="G34" s="497"/>
      <c r="H34" s="561">
        <v>2</v>
      </c>
      <c r="I34" s="561">
        <v>12</v>
      </c>
      <c r="J34" s="499">
        <v>14</v>
      </c>
      <c r="K34" s="495">
        <f t="shared" si="0"/>
        <v>0</v>
      </c>
      <c r="L34" s="495">
        <f t="shared" si="1"/>
        <v>14.285714285714285</v>
      </c>
      <c r="M34" s="495">
        <f t="shared" si="2"/>
        <v>85.714285714285708</v>
      </c>
      <c r="N34" s="498">
        <f t="shared" si="3"/>
        <v>100</v>
      </c>
      <c r="O34" s="494"/>
      <c r="P34" s="495">
        <v>7.8</v>
      </c>
      <c r="Q34" s="495">
        <v>49</v>
      </c>
      <c r="R34" s="496">
        <f t="shared" si="4"/>
        <v>56.8</v>
      </c>
      <c r="S34" s="561">
        <v>2</v>
      </c>
      <c r="T34" s="487">
        <v>38270</v>
      </c>
      <c r="U34" s="335">
        <v>38335</v>
      </c>
      <c r="V34" s="343" t="s">
        <v>131</v>
      </c>
      <c r="W34" s="334" t="s">
        <v>98</v>
      </c>
      <c r="X34" s="334" t="s">
        <v>12</v>
      </c>
      <c r="Y34" s="344">
        <v>27.7</v>
      </c>
      <c r="Z34" s="343" t="s">
        <v>1158</v>
      </c>
      <c r="AA34" s="334" t="s">
        <v>20</v>
      </c>
      <c r="AB34" s="334" t="s">
        <v>12</v>
      </c>
      <c r="AC34" s="334">
        <v>14.2</v>
      </c>
      <c r="AD34" s="343" t="s">
        <v>1016</v>
      </c>
      <c r="AE34" s="334" t="s">
        <v>316</v>
      </c>
      <c r="AF34" s="334" t="s">
        <v>18</v>
      </c>
      <c r="AG34" s="344">
        <v>7.8</v>
      </c>
      <c r="AH34" s="334" t="s">
        <v>1018</v>
      </c>
      <c r="AI34" s="334" t="s">
        <v>945</v>
      </c>
      <c r="AJ34" s="334" t="s">
        <v>12</v>
      </c>
      <c r="AK34" s="334">
        <v>7.1</v>
      </c>
      <c r="AL34" s="343"/>
      <c r="AO34" s="344"/>
      <c r="AP34" s="343"/>
      <c r="AS34" s="344"/>
      <c r="AW34" s="344"/>
      <c r="BA34" s="345"/>
    </row>
    <row r="35" spans="1:53" s="334" customFormat="1">
      <c r="A35" s="334">
        <v>2005</v>
      </c>
      <c r="B35" s="358"/>
      <c r="C35" s="992" t="s">
        <v>1017</v>
      </c>
      <c r="D35" s="992"/>
      <c r="E35" s="334">
        <v>0</v>
      </c>
      <c r="G35" s="497"/>
      <c r="H35" s="561">
        <v>2</v>
      </c>
      <c r="I35" s="561">
        <v>12</v>
      </c>
      <c r="J35" s="499">
        <v>14</v>
      </c>
      <c r="K35" s="495">
        <f t="shared" si="0"/>
        <v>0</v>
      </c>
      <c r="L35" s="495">
        <f t="shared" si="1"/>
        <v>14.285714285714285</v>
      </c>
      <c r="M35" s="495">
        <f t="shared" si="2"/>
        <v>85.714285714285708</v>
      </c>
      <c r="N35" s="498">
        <f t="shared" si="3"/>
        <v>100</v>
      </c>
      <c r="O35" s="494"/>
      <c r="P35" s="495">
        <v>7.8</v>
      </c>
      <c r="Q35" s="495">
        <v>49</v>
      </c>
      <c r="R35" s="496">
        <f t="shared" si="4"/>
        <v>56.8</v>
      </c>
      <c r="S35" s="561">
        <v>2</v>
      </c>
      <c r="T35" s="492"/>
      <c r="U35" s="561"/>
      <c r="V35" s="343" t="s">
        <v>131</v>
      </c>
      <c r="W35" s="334" t="s">
        <v>98</v>
      </c>
      <c r="X35" s="334" t="s">
        <v>12</v>
      </c>
      <c r="Y35" s="344">
        <v>27.7</v>
      </c>
      <c r="Z35" s="343" t="s">
        <v>1158</v>
      </c>
      <c r="AA35" s="334" t="s">
        <v>20</v>
      </c>
      <c r="AB35" s="334" t="s">
        <v>12</v>
      </c>
      <c r="AC35" s="334">
        <v>14.2</v>
      </c>
      <c r="AD35" s="343" t="s">
        <v>1016</v>
      </c>
      <c r="AE35" s="334" t="s">
        <v>316</v>
      </c>
      <c r="AF35" s="334" t="s">
        <v>18</v>
      </c>
      <c r="AG35" s="344">
        <v>7.8</v>
      </c>
      <c r="AH35" s="334" t="s">
        <v>1018</v>
      </c>
      <c r="AI35" s="334" t="s">
        <v>945</v>
      </c>
      <c r="AJ35" s="334" t="s">
        <v>12</v>
      </c>
      <c r="AK35" s="334">
        <v>7.1</v>
      </c>
      <c r="AL35" s="343"/>
      <c r="AO35" s="344"/>
      <c r="AP35" s="343"/>
      <c r="AS35" s="344"/>
      <c r="AW35" s="344"/>
      <c r="BA35" s="345"/>
    </row>
    <row r="36" spans="1:53" s="334" customFormat="1">
      <c r="A36" s="334">
        <v>2005</v>
      </c>
      <c r="B36" s="358"/>
      <c r="C36" s="992" t="s">
        <v>1017</v>
      </c>
      <c r="D36" s="992"/>
      <c r="E36" s="334">
        <v>365</v>
      </c>
      <c r="G36" s="497"/>
      <c r="H36" s="561">
        <v>2</v>
      </c>
      <c r="I36" s="561">
        <v>12</v>
      </c>
      <c r="J36" s="499">
        <v>14</v>
      </c>
      <c r="K36" s="495">
        <f t="shared" si="0"/>
        <v>0</v>
      </c>
      <c r="L36" s="495">
        <f t="shared" si="1"/>
        <v>14.285714285714285</v>
      </c>
      <c r="M36" s="495">
        <f t="shared" si="2"/>
        <v>85.714285714285708</v>
      </c>
      <c r="N36" s="498">
        <f t="shared" si="3"/>
        <v>100</v>
      </c>
      <c r="O36" s="494"/>
      <c r="P36" s="495">
        <v>7.8</v>
      </c>
      <c r="Q36" s="495">
        <v>49</v>
      </c>
      <c r="R36" s="496">
        <f t="shared" si="4"/>
        <v>56.8</v>
      </c>
      <c r="S36" s="561">
        <v>2</v>
      </c>
      <c r="T36" s="492"/>
      <c r="U36" s="561"/>
      <c r="V36" s="343" t="s">
        <v>131</v>
      </c>
      <c r="W36" s="334" t="s">
        <v>98</v>
      </c>
      <c r="X36" s="334" t="s">
        <v>12</v>
      </c>
      <c r="Y36" s="344">
        <v>27.7</v>
      </c>
      <c r="Z36" s="343" t="s">
        <v>1158</v>
      </c>
      <c r="AA36" s="334" t="s">
        <v>20</v>
      </c>
      <c r="AB36" s="334" t="s">
        <v>12</v>
      </c>
      <c r="AC36" s="334">
        <v>14.2</v>
      </c>
      <c r="AD36" s="343" t="s">
        <v>1016</v>
      </c>
      <c r="AE36" s="334" t="s">
        <v>316</v>
      </c>
      <c r="AF36" s="334" t="s">
        <v>18</v>
      </c>
      <c r="AG36" s="344">
        <v>7.8</v>
      </c>
      <c r="AH36" s="334" t="s">
        <v>1018</v>
      </c>
      <c r="AI36" s="334" t="s">
        <v>945</v>
      </c>
      <c r="AJ36" s="334" t="s">
        <v>12</v>
      </c>
      <c r="AK36" s="334">
        <v>7.1</v>
      </c>
      <c r="AL36" s="343"/>
      <c r="AO36" s="344"/>
      <c r="AP36" s="343"/>
      <c r="AS36" s="344"/>
      <c r="AW36" s="344"/>
      <c r="BA36" s="345"/>
    </row>
    <row r="37" spans="1:53" s="334" customFormat="1">
      <c r="A37" s="334">
        <v>2006</v>
      </c>
      <c r="B37" s="358"/>
      <c r="C37" s="992" t="s">
        <v>1017</v>
      </c>
      <c r="D37" s="992"/>
      <c r="E37" s="334">
        <v>120</v>
      </c>
      <c r="G37" s="497"/>
      <c r="H37" s="561">
        <v>2</v>
      </c>
      <c r="I37" s="561">
        <v>12</v>
      </c>
      <c r="J37" s="499">
        <v>14</v>
      </c>
      <c r="K37" s="495">
        <f>G37/J37*100</f>
        <v>0</v>
      </c>
      <c r="L37" s="495">
        <f>H37/J37*100</f>
        <v>14.285714285714285</v>
      </c>
      <c r="M37" s="495">
        <f>I37/J37*100</f>
        <v>85.714285714285708</v>
      </c>
      <c r="N37" s="498">
        <f t="shared" si="3"/>
        <v>100</v>
      </c>
      <c r="O37" s="494"/>
      <c r="P37" s="495">
        <v>7.8</v>
      </c>
      <c r="Q37" s="495">
        <v>49</v>
      </c>
      <c r="R37" s="496">
        <f t="shared" si="4"/>
        <v>56.8</v>
      </c>
      <c r="S37" s="561">
        <v>2</v>
      </c>
      <c r="T37" s="492"/>
      <c r="U37" s="561"/>
      <c r="V37" s="343" t="s">
        <v>131</v>
      </c>
      <c r="W37" s="334" t="s">
        <v>98</v>
      </c>
      <c r="X37" s="334" t="s">
        <v>12</v>
      </c>
      <c r="Y37" s="344">
        <v>27.7</v>
      </c>
      <c r="Z37" s="343" t="s">
        <v>1158</v>
      </c>
      <c r="AA37" s="334" t="s">
        <v>20</v>
      </c>
      <c r="AB37" s="334" t="s">
        <v>12</v>
      </c>
      <c r="AC37" s="334">
        <v>14.2</v>
      </c>
      <c r="AD37" s="343" t="s">
        <v>1016</v>
      </c>
      <c r="AE37" s="334" t="s">
        <v>316</v>
      </c>
      <c r="AF37" s="334" t="s">
        <v>18</v>
      </c>
      <c r="AG37" s="344">
        <v>7.8</v>
      </c>
      <c r="AH37" s="334" t="s">
        <v>1018</v>
      </c>
      <c r="AI37" s="334" t="s">
        <v>945</v>
      </c>
      <c r="AJ37" s="334" t="s">
        <v>12</v>
      </c>
      <c r="AK37" s="334">
        <v>7.1</v>
      </c>
      <c r="AL37" s="343"/>
      <c r="AO37" s="344"/>
      <c r="AP37" s="343"/>
      <c r="AS37" s="344"/>
      <c r="AW37" s="344"/>
      <c r="BA37" s="345"/>
    </row>
    <row r="38" spans="1:53" s="334" customFormat="1">
      <c r="A38" s="334">
        <v>2006</v>
      </c>
      <c r="B38" s="359">
        <v>38838</v>
      </c>
      <c r="C38" s="992" t="s">
        <v>1017</v>
      </c>
      <c r="D38" s="992"/>
      <c r="E38" s="334">
        <v>78</v>
      </c>
      <c r="F38" s="360">
        <v>0</v>
      </c>
      <c r="G38" s="497"/>
      <c r="H38" s="561">
        <v>1</v>
      </c>
      <c r="I38" s="561">
        <v>13</v>
      </c>
      <c r="J38" s="499">
        <v>14</v>
      </c>
      <c r="K38" s="495">
        <f t="shared" si="0"/>
        <v>0</v>
      </c>
      <c r="L38" s="495">
        <f t="shared" si="1"/>
        <v>7.1428571428571423</v>
      </c>
      <c r="M38" s="495">
        <f t="shared" si="2"/>
        <v>92.857142857142861</v>
      </c>
      <c r="N38" s="498">
        <f t="shared" si="3"/>
        <v>100</v>
      </c>
      <c r="O38" s="494"/>
      <c r="P38" s="495">
        <v>7.8</v>
      </c>
      <c r="Q38" s="495">
        <v>49</v>
      </c>
      <c r="R38" s="496">
        <f t="shared" si="4"/>
        <v>56.8</v>
      </c>
      <c r="S38" s="561">
        <v>2</v>
      </c>
      <c r="T38" s="492"/>
      <c r="U38" s="561"/>
      <c r="V38" s="343" t="s">
        <v>131</v>
      </c>
      <c r="W38" s="334" t="s">
        <v>98</v>
      </c>
      <c r="X38" s="334" t="s">
        <v>12</v>
      </c>
      <c r="Y38" s="344">
        <v>27.7</v>
      </c>
      <c r="Z38" s="343" t="s">
        <v>1158</v>
      </c>
      <c r="AA38" s="334" t="s">
        <v>20</v>
      </c>
      <c r="AB38" s="334" t="s">
        <v>12</v>
      </c>
      <c r="AC38" s="334">
        <v>14.2</v>
      </c>
      <c r="AD38" s="343" t="s">
        <v>1016</v>
      </c>
      <c r="AE38" s="334" t="s">
        <v>316</v>
      </c>
      <c r="AF38" s="334" t="s">
        <v>18</v>
      </c>
      <c r="AG38" s="344">
        <v>7.8</v>
      </c>
      <c r="AH38" s="334" t="s">
        <v>1018</v>
      </c>
      <c r="AI38" s="334" t="s">
        <v>945</v>
      </c>
      <c r="AJ38" s="334" t="s">
        <v>12</v>
      </c>
      <c r="AK38" s="334">
        <v>7.1</v>
      </c>
      <c r="AL38" s="343"/>
      <c r="AO38" s="344"/>
      <c r="AP38" s="343"/>
      <c r="AS38" s="344"/>
      <c r="AW38" s="344"/>
      <c r="BA38" s="345"/>
    </row>
    <row r="39" spans="1:53" s="86" customFormat="1">
      <c r="A39" s="86">
        <v>2006</v>
      </c>
      <c r="B39" s="121">
        <v>38916</v>
      </c>
      <c r="C39" s="988" t="s">
        <v>1159</v>
      </c>
      <c r="D39" s="988"/>
      <c r="E39" s="86">
        <f xml:space="preserve"> 365-E38-E37</f>
        <v>167</v>
      </c>
      <c r="F39" s="86">
        <v>4</v>
      </c>
      <c r="G39" s="480">
        <v>2</v>
      </c>
      <c r="H39" s="560"/>
      <c r="I39" s="560">
        <v>12</v>
      </c>
      <c r="J39" s="482">
        <v>14</v>
      </c>
      <c r="K39" s="477">
        <f t="shared" si="0"/>
        <v>14.285714285714285</v>
      </c>
      <c r="L39" s="477">
        <f t="shared" si="1"/>
        <v>0</v>
      </c>
      <c r="M39" s="477">
        <f t="shared" si="2"/>
        <v>85.714285714285708</v>
      </c>
      <c r="N39" s="481">
        <f t="shared" si="3"/>
        <v>100</v>
      </c>
      <c r="O39" s="476">
        <v>12.8</v>
      </c>
      <c r="P39" s="477"/>
      <c r="Q39" s="477">
        <v>34</v>
      </c>
      <c r="R39" s="478">
        <f t="shared" si="4"/>
        <v>46.8</v>
      </c>
      <c r="S39" s="560">
        <v>5</v>
      </c>
      <c r="T39" s="471"/>
      <c r="U39" s="121">
        <v>38916</v>
      </c>
      <c r="V39" s="82" t="s">
        <v>1158</v>
      </c>
      <c r="W39" s="86" t="s">
        <v>20</v>
      </c>
      <c r="X39" s="86" t="s">
        <v>12</v>
      </c>
      <c r="Y39" s="83">
        <v>19.100000000000001</v>
      </c>
      <c r="Z39" s="82" t="s">
        <v>1019</v>
      </c>
      <c r="AA39" s="86" t="s">
        <v>107</v>
      </c>
      <c r="AB39" s="86" t="s">
        <v>11</v>
      </c>
      <c r="AC39" s="86">
        <v>12.8</v>
      </c>
      <c r="AD39" s="82" t="s">
        <v>125</v>
      </c>
      <c r="AE39" s="86" t="s">
        <v>337</v>
      </c>
      <c r="AF39" s="86" t="s">
        <v>12</v>
      </c>
      <c r="AG39" s="83">
        <v>7.8</v>
      </c>
      <c r="AH39" s="86" t="s">
        <v>1018</v>
      </c>
      <c r="AI39" s="86" t="s">
        <v>945</v>
      </c>
      <c r="AJ39" s="86" t="s">
        <v>12</v>
      </c>
      <c r="AK39" s="86">
        <v>7.1</v>
      </c>
      <c r="AL39" s="82"/>
      <c r="AO39" s="83"/>
      <c r="AP39" s="82"/>
      <c r="AS39" s="83"/>
      <c r="AW39" s="83"/>
      <c r="BA39" s="84"/>
    </row>
    <row r="40" spans="1:53" s="86" customFormat="1">
      <c r="A40" s="86">
        <v>2007</v>
      </c>
      <c r="B40" s="122"/>
      <c r="C40" s="988" t="s">
        <v>1159</v>
      </c>
      <c r="D40" s="988"/>
      <c r="E40" s="86">
        <v>0</v>
      </c>
      <c r="G40" s="480">
        <v>2</v>
      </c>
      <c r="H40" s="560"/>
      <c r="I40" s="560">
        <v>12</v>
      </c>
      <c r="J40" s="482">
        <v>14</v>
      </c>
      <c r="K40" s="477">
        <f t="shared" si="0"/>
        <v>14.285714285714285</v>
      </c>
      <c r="L40" s="477">
        <f t="shared" si="1"/>
        <v>0</v>
      </c>
      <c r="M40" s="477">
        <f t="shared" si="2"/>
        <v>85.714285714285708</v>
      </c>
      <c r="N40" s="481">
        <f t="shared" si="3"/>
        <v>100</v>
      </c>
      <c r="O40" s="476">
        <v>12.8</v>
      </c>
      <c r="P40" s="477"/>
      <c r="Q40" s="477">
        <v>34</v>
      </c>
      <c r="R40" s="478">
        <f t="shared" si="4"/>
        <v>46.8</v>
      </c>
      <c r="S40" s="560">
        <v>5</v>
      </c>
      <c r="T40" s="471"/>
      <c r="U40" s="560"/>
      <c r="V40" s="82" t="s">
        <v>1158</v>
      </c>
      <c r="W40" s="86" t="s">
        <v>20</v>
      </c>
      <c r="X40" s="86" t="s">
        <v>12</v>
      </c>
      <c r="Y40" s="83">
        <v>19.100000000000001</v>
      </c>
      <c r="Z40" s="82" t="s">
        <v>1019</v>
      </c>
      <c r="AA40" s="86" t="s">
        <v>107</v>
      </c>
      <c r="AB40" s="86" t="s">
        <v>11</v>
      </c>
      <c r="AC40" s="86">
        <v>12.8</v>
      </c>
      <c r="AD40" s="82" t="s">
        <v>125</v>
      </c>
      <c r="AE40" s="86" t="s">
        <v>337</v>
      </c>
      <c r="AF40" s="86" t="s">
        <v>12</v>
      </c>
      <c r="AG40" s="83">
        <v>7.8</v>
      </c>
      <c r="AH40" s="86" t="s">
        <v>1018</v>
      </c>
      <c r="AI40" s="86" t="s">
        <v>945</v>
      </c>
      <c r="AJ40" s="86" t="s">
        <v>12</v>
      </c>
      <c r="AK40" s="86">
        <v>7.1</v>
      </c>
      <c r="AL40" s="82"/>
      <c r="AO40" s="83"/>
      <c r="AP40" s="82"/>
      <c r="AS40" s="83"/>
      <c r="AW40" s="83"/>
      <c r="BA40" s="84"/>
    </row>
    <row r="41" spans="1:53" s="86" customFormat="1">
      <c r="A41" s="86">
        <v>2007</v>
      </c>
      <c r="B41" s="122"/>
      <c r="C41" s="988" t="s">
        <v>1159</v>
      </c>
      <c r="D41" s="988"/>
      <c r="E41" s="86">
        <v>365</v>
      </c>
      <c r="G41" s="480">
        <v>2</v>
      </c>
      <c r="H41" s="560"/>
      <c r="I41" s="560">
        <v>12</v>
      </c>
      <c r="J41" s="482">
        <v>14</v>
      </c>
      <c r="K41" s="477">
        <f t="shared" si="0"/>
        <v>14.285714285714285</v>
      </c>
      <c r="L41" s="477">
        <f t="shared" si="1"/>
        <v>0</v>
      </c>
      <c r="M41" s="477">
        <f t="shared" si="2"/>
        <v>85.714285714285708</v>
      </c>
      <c r="N41" s="481">
        <f t="shared" si="3"/>
        <v>100</v>
      </c>
      <c r="O41" s="476">
        <v>12.8</v>
      </c>
      <c r="P41" s="477"/>
      <c r="Q41" s="477">
        <v>34</v>
      </c>
      <c r="R41" s="478">
        <f t="shared" si="4"/>
        <v>46.8</v>
      </c>
      <c r="S41" s="560">
        <v>5</v>
      </c>
      <c r="T41" s="471"/>
      <c r="U41" s="560"/>
      <c r="V41" s="82" t="s">
        <v>1158</v>
      </c>
      <c r="W41" s="86" t="s">
        <v>20</v>
      </c>
      <c r="X41" s="86" t="s">
        <v>12</v>
      </c>
      <c r="Y41" s="83">
        <v>19.100000000000001</v>
      </c>
      <c r="Z41" s="82" t="s">
        <v>1019</v>
      </c>
      <c r="AA41" s="86" t="s">
        <v>107</v>
      </c>
      <c r="AB41" s="86" t="s">
        <v>11</v>
      </c>
      <c r="AC41" s="86">
        <v>12.8</v>
      </c>
      <c r="AD41" s="82" t="s">
        <v>125</v>
      </c>
      <c r="AE41" s="86" t="s">
        <v>337</v>
      </c>
      <c r="AF41" s="86" t="s">
        <v>12</v>
      </c>
      <c r="AG41" s="83">
        <v>7.8</v>
      </c>
      <c r="AH41" s="86" t="s">
        <v>1018</v>
      </c>
      <c r="AI41" s="86" t="s">
        <v>945</v>
      </c>
      <c r="AJ41" s="86" t="s">
        <v>12</v>
      </c>
      <c r="AK41" s="86">
        <v>7.1</v>
      </c>
      <c r="AL41" s="82"/>
      <c r="AO41" s="83"/>
      <c r="AP41" s="82"/>
      <c r="AS41" s="83"/>
      <c r="AW41" s="83"/>
      <c r="BA41" s="84"/>
    </row>
    <row r="42" spans="1:53" s="86" customFormat="1">
      <c r="A42" s="86">
        <v>2008</v>
      </c>
      <c r="B42" s="122"/>
      <c r="C42" s="988" t="s">
        <v>1159</v>
      </c>
      <c r="D42" s="988"/>
      <c r="E42" s="86">
        <v>30</v>
      </c>
      <c r="G42" s="480">
        <v>2</v>
      </c>
      <c r="H42" s="560"/>
      <c r="I42" s="560">
        <v>12</v>
      </c>
      <c r="J42" s="482">
        <v>14</v>
      </c>
      <c r="K42" s="477">
        <f>G42/J42*100</f>
        <v>14.285714285714285</v>
      </c>
      <c r="L42" s="477">
        <f>H42/J42*100</f>
        <v>0</v>
      </c>
      <c r="M42" s="477">
        <f>I42/J42*100</f>
        <v>85.714285714285708</v>
      </c>
      <c r="N42" s="481">
        <f t="shared" si="3"/>
        <v>100</v>
      </c>
      <c r="O42" s="476">
        <v>12.8</v>
      </c>
      <c r="P42" s="477"/>
      <c r="Q42" s="477">
        <v>34</v>
      </c>
      <c r="R42" s="478">
        <f t="shared" si="4"/>
        <v>46.8</v>
      </c>
      <c r="S42" s="560">
        <v>5</v>
      </c>
      <c r="T42" s="471"/>
      <c r="U42" s="560"/>
      <c r="V42" s="82" t="s">
        <v>1158</v>
      </c>
      <c r="W42" s="86" t="s">
        <v>20</v>
      </c>
      <c r="X42" s="86" t="s">
        <v>12</v>
      </c>
      <c r="Y42" s="83">
        <v>19.100000000000001</v>
      </c>
      <c r="Z42" s="82" t="s">
        <v>1019</v>
      </c>
      <c r="AA42" s="86" t="s">
        <v>107</v>
      </c>
      <c r="AB42" s="86" t="s">
        <v>11</v>
      </c>
      <c r="AC42" s="86">
        <v>12.8</v>
      </c>
      <c r="AD42" s="82" t="s">
        <v>125</v>
      </c>
      <c r="AE42" s="86" t="s">
        <v>337</v>
      </c>
      <c r="AF42" s="86" t="s">
        <v>12</v>
      </c>
      <c r="AG42" s="83">
        <v>7.8</v>
      </c>
      <c r="AH42" s="86" t="s">
        <v>1018</v>
      </c>
      <c r="AI42" s="86" t="s">
        <v>945</v>
      </c>
      <c r="AJ42" s="86" t="s">
        <v>12</v>
      </c>
      <c r="AK42" s="86">
        <v>7.1</v>
      </c>
      <c r="AL42" s="82"/>
      <c r="AO42" s="83"/>
      <c r="AP42" s="82"/>
      <c r="AS42" s="83"/>
      <c r="AW42" s="83"/>
      <c r="BA42" s="84"/>
    </row>
    <row r="43" spans="1:53" s="334" customFormat="1">
      <c r="A43" s="334">
        <v>2008</v>
      </c>
      <c r="B43" s="361">
        <v>39478</v>
      </c>
      <c r="C43" s="992" t="s">
        <v>1160</v>
      </c>
      <c r="D43" s="992"/>
      <c r="E43" s="334">
        <v>117</v>
      </c>
      <c r="F43" s="334">
        <v>7</v>
      </c>
      <c r="G43" s="497">
        <v>2</v>
      </c>
      <c r="H43" s="561">
        <v>1</v>
      </c>
      <c r="I43" s="561">
        <v>11</v>
      </c>
      <c r="J43" s="499">
        <v>14</v>
      </c>
      <c r="K43" s="495">
        <f>G43/J43*100</f>
        <v>14.285714285714285</v>
      </c>
      <c r="L43" s="495">
        <f>H43/J43*100</f>
        <v>7.1428571428571423</v>
      </c>
      <c r="M43" s="495">
        <f>I43/J43*100</f>
        <v>78.571428571428569</v>
      </c>
      <c r="N43" s="498">
        <f t="shared" si="3"/>
        <v>100</v>
      </c>
      <c r="O43" s="494">
        <v>12.8</v>
      </c>
      <c r="P43" s="495">
        <v>7.8</v>
      </c>
      <c r="Q43" s="495">
        <v>34</v>
      </c>
      <c r="R43" s="496">
        <f t="shared" si="4"/>
        <v>54.6</v>
      </c>
      <c r="S43" s="561">
        <v>2</v>
      </c>
      <c r="T43" s="492"/>
      <c r="U43" s="361">
        <v>39478</v>
      </c>
      <c r="V43" s="343" t="s">
        <v>1158</v>
      </c>
      <c r="W43" s="334" t="s">
        <v>20</v>
      </c>
      <c r="X43" s="334" t="s">
        <v>12</v>
      </c>
      <c r="Y43" s="344">
        <v>19.100000000000001</v>
      </c>
      <c r="Z43" s="343" t="s">
        <v>1019</v>
      </c>
      <c r="AA43" s="334" t="s">
        <v>107</v>
      </c>
      <c r="AB43" s="334" t="s">
        <v>11</v>
      </c>
      <c r="AC43" s="334">
        <v>12.8</v>
      </c>
      <c r="AD43" s="343" t="s">
        <v>125</v>
      </c>
      <c r="AE43" s="334" t="s">
        <v>337</v>
      </c>
      <c r="AF43" s="334" t="s">
        <v>12</v>
      </c>
      <c r="AG43" s="344">
        <v>7.8</v>
      </c>
      <c r="AH43" s="334" t="s">
        <v>1016</v>
      </c>
      <c r="AI43" s="334" t="s">
        <v>316</v>
      </c>
      <c r="AJ43" s="334" t="s">
        <v>18</v>
      </c>
      <c r="AK43" s="334">
        <v>7.8</v>
      </c>
      <c r="AL43" s="343" t="s">
        <v>1018</v>
      </c>
      <c r="AM43" s="334" t="s">
        <v>945</v>
      </c>
      <c r="AN43" s="334" t="s">
        <v>12</v>
      </c>
      <c r="AO43" s="344">
        <v>7.1</v>
      </c>
      <c r="AP43" s="343"/>
      <c r="AS43" s="344"/>
      <c r="AW43" s="344"/>
      <c r="BA43" s="345"/>
    </row>
    <row r="44" spans="1:53" s="334" customFormat="1">
      <c r="A44" s="334">
        <v>2008</v>
      </c>
      <c r="B44" s="359">
        <v>39595</v>
      </c>
      <c r="C44" s="992" t="s">
        <v>1160</v>
      </c>
      <c r="D44" s="992"/>
      <c r="E44" s="334">
        <v>218</v>
      </c>
      <c r="F44" s="360">
        <v>0</v>
      </c>
      <c r="G44" s="497">
        <v>2</v>
      </c>
      <c r="H44" s="561">
        <v>2</v>
      </c>
      <c r="I44" s="561">
        <v>10</v>
      </c>
      <c r="J44" s="499">
        <v>14</v>
      </c>
      <c r="K44" s="495">
        <f t="shared" si="0"/>
        <v>14.285714285714285</v>
      </c>
      <c r="L44" s="495">
        <f t="shared" si="1"/>
        <v>14.285714285714285</v>
      </c>
      <c r="M44" s="495">
        <f t="shared" si="2"/>
        <v>71.428571428571431</v>
      </c>
      <c r="N44" s="498">
        <f t="shared" si="3"/>
        <v>100</v>
      </c>
      <c r="O44" s="494">
        <v>12.8</v>
      </c>
      <c r="P44" s="495">
        <v>7.8</v>
      </c>
      <c r="Q44" s="495">
        <v>34</v>
      </c>
      <c r="R44" s="496">
        <f t="shared" si="4"/>
        <v>54.6</v>
      </c>
      <c r="S44" s="561">
        <v>2</v>
      </c>
      <c r="T44" s="492"/>
      <c r="U44" s="561"/>
      <c r="V44" s="343" t="s">
        <v>1158</v>
      </c>
      <c r="W44" s="334" t="s">
        <v>20</v>
      </c>
      <c r="X44" s="334" t="s">
        <v>12</v>
      </c>
      <c r="Y44" s="344">
        <v>19.100000000000001</v>
      </c>
      <c r="Z44" s="343" t="s">
        <v>1019</v>
      </c>
      <c r="AA44" s="334" t="s">
        <v>107</v>
      </c>
      <c r="AB44" s="334" t="s">
        <v>11</v>
      </c>
      <c r="AC44" s="334">
        <v>12.8</v>
      </c>
      <c r="AD44" s="343" t="s">
        <v>125</v>
      </c>
      <c r="AE44" s="334" t="s">
        <v>337</v>
      </c>
      <c r="AF44" s="334" t="s">
        <v>12</v>
      </c>
      <c r="AG44" s="344">
        <v>7.8</v>
      </c>
      <c r="AH44" s="334" t="s">
        <v>1016</v>
      </c>
      <c r="AI44" s="334" t="s">
        <v>316</v>
      </c>
      <c r="AJ44" s="334" t="s">
        <v>18</v>
      </c>
      <c r="AK44" s="334">
        <v>7.8</v>
      </c>
      <c r="AL44" s="343" t="s">
        <v>1018</v>
      </c>
      <c r="AM44" s="334" t="s">
        <v>945</v>
      </c>
      <c r="AN44" s="334" t="s">
        <v>12</v>
      </c>
      <c r="AO44" s="344">
        <v>7.1</v>
      </c>
      <c r="AP44" s="343"/>
      <c r="AS44" s="344"/>
      <c r="AW44" s="344"/>
      <c r="BA44" s="345"/>
    </row>
    <row r="45" spans="1:53" s="86" customFormat="1">
      <c r="A45" s="86">
        <v>2008</v>
      </c>
      <c r="B45" s="121">
        <v>39813</v>
      </c>
      <c r="C45" s="988" t="s">
        <v>1161</v>
      </c>
      <c r="D45" s="988"/>
      <c r="E45" s="86">
        <f xml:space="preserve"> 366-E44-E43-E42</f>
        <v>1</v>
      </c>
      <c r="F45" s="86">
        <v>1</v>
      </c>
      <c r="G45" s="480">
        <v>15</v>
      </c>
      <c r="H45" s="560"/>
      <c r="I45" s="560"/>
      <c r="J45" s="482">
        <v>15</v>
      </c>
      <c r="K45" s="477">
        <f t="shared" si="0"/>
        <v>100</v>
      </c>
      <c r="L45" s="477">
        <f t="shared" si="1"/>
        <v>0</v>
      </c>
      <c r="M45" s="477">
        <f t="shared" si="2"/>
        <v>0</v>
      </c>
      <c r="N45" s="481">
        <f t="shared" si="3"/>
        <v>100</v>
      </c>
      <c r="O45" s="476">
        <v>56.8</v>
      </c>
      <c r="P45" s="477"/>
      <c r="Q45" s="477"/>
      <c r="R45" s="478">
        <f t="shared" si="4"/>
        <v>56.8</v>
      </c>
      <c r="S45" s="560">
        <v>3</v>
      </c>
      <c r="T45" s="479">
        <v>39733</v>
      </c>
      <c r="U45" s="121">
        <v>39813</v>
      </c>
      <c r="V45" s="82" t="s">
        <v>1020</v>
      </c>
      <c r="W45" s="86" t="s">
        <v>88</v>
      </c>
      <c r="X45" s="86" t="s">
        <v>11</v>
      </c>
      <c r="Y45" s="83">
        <v>31.9</v>
      </c>
      <c r="Z45" s="86" t="s">
        <v>1021</v>
      </c>
      <c r="AA45" s="86" t="s">
        <v>118</v>
      </c>
      <c r="AB45" s="86" t="s">
        <v>11</v>
      </c>
      <c r="AC45" s="86">
        <v>11.4</v>
      </c>
      <c r="AD45" s="82" t="s">
        <v>1022</v>
      </c>
      <c r="AE45" s="86" t="s">
        <v>906</v>
      </c>
      <c r="AF45" s="86" t="s">
        <v>11</v>
      </c>
      <c r="AG45" s="83">
        <v>7.8</v>
      </c>
      <c r="AH45" s="82" t="s">
        <v>1019</v>
      </c>
      <c r="AI45" s="86" t="s">
        <v>107</v>
      </c>
      <c r="AJ45" s="86" t="s">
        <v>11</v>
      </c>
      <c r="AK45" s="86">
        <v>5.7</v>
      </c>
      <c r="AL45" s="82"/>
      <c r="AO45" s="83"/>
      <c r="AP45" s="82"/>
      <c r="AS45" s="83"/>
      <c r="AW45" s="83"/>
      <c r="BA45" s="84"/>
    </row>
    <row r="46" spans="1:53" s="86" customFormat="1">
      <c r="A46" s="86">
        <v>2009</v>
      </c>
      <c r="B46" s="122"/>
      <c r="C46" s="988" t="s">
        <v>1161</v>
      </c>
      <c r="D46" s="988"/>
      <c r="E46" s="86">
        <v>187</v>
      </c>
      <c r="G46" s="480">
        <v>15</v>
      </c>
      <c r="H46" s="560"/>
      <c r="I46" s="560"/>
      <c r="J46" s="482">
        <v>15</v>
      </c>
      <c r="K46" s="477">
        <f t="shared" si="0"/>
        <v>100</v>
      </c>
      <c r="L46" s="477">
        <f t="shared" si="1"/>
        <v>0</v>
      </c>
      <c r="M46" s="477">
        <f t="shared" si="2"/>
        <v>0</v>
      </c>
      <c r="N46" s="481">
        <f t="shared" si="3"/>
        <v>100</v>
      </c>
      <c r="O46" s="476">
        <v>56.8</v>
      </c>
      <c r="P46" s="477"/>
      <c r="Q46" s="477"/>
      <c r="R46" s="478">
        <f t="shared" si="4"/>
        <v>56.8</v>
      </c>
      <c r="S46" s="560">
        <v>3</v>
      </c>
      <c r="T46" s="471"/>
      <c r="U46" s="560"/>
      <c r="V46" s="82" t="s">
        <v>1020</v>
      </c>
      <c r="W46" s="86" t="s">
        <v>88</v>
      </c>
      <c r="X46" s="86" t="s">
        <v>11</v>
      </c>
      <c r="Y46" s="83">
        <v>31.9</v>
      </c>
      <c r="Z46" s="86" t="s">
        <v>1021</v>
      </c>
      <c r="AA46" s="86" t="s">
        <v>118</v>
      </c>
      <c r="AB46" s="86" t="s">
        <v>11</v>
      </c>
      <c r="AC46" s="86">
        <v>11.4</v>
      </c>
      <c r="AD46" s="82" t="s">
        <v>1022</v>
      </c>
      <c r="AE46" s="86" t="s">
        <v>906</v>
      </c>
      <c r="AF46" s="86" t="s">
        <v>11</v>
      </c>
      <c r="AG46" s="83">
        <v>7.8</v>
      </c>
      <c r="AH46" s="82" t="s">
        <v>1019</v>
      </c>
      <c r="AI46" s="86" t="s">
        <v>107</v>
      </c>
      <c r="AJ46" s="86" t="s">
        <v>11</v>
      </c>
      <c r="AK46" s="86">
        <v>5.7</v>
      </c>
      <c r="AL46" s="82"/>
      <c r="AO46" s="83"/>
      <c r="AP46" s="82"/>
      <c r="AS46" s="83"/>
      <c r="AW46" s="83"/>
      <c r="BA46" s="84"/>
    </row>
    <row r="47" spans="1:53" s="86" customFormat="1">
      <c r="A47" s="86">
        <v>2009</v>
      </c>
      <c r="B47" s="156">
        <v>40001</v>
      </c>
      <c r="C47" s="988" t="s">
        <v>1161</v>
      </c>
      <c r="D47" s="988"/>
      <c r="E47" s="86">
        <f xml:space="preserve"> 365-E46</f>
        <v>178</v>
      </c>
      <c r="F47" s="129">
        <v>0</v>
      </c>
      <c r="G47" s="480">
        <v>14</v>
      </c>
      <c r="H47" s="560"/>
      <c r="I47" s="560"/>
      <c r="J47" s="482">
        <v>15</v>
      </c>
      <c r="K47" s="477">
        <f t="shared" si="0"/>
        <v>93.333333333333329</v>
      </c>
      <c r="L47" s="477">
        <f t="shared" si="1"/>
        <v>0</v>
      </c>
      <c r="M47" s="477">
        <f t="shared" si="2"/>
        <v>0</v>
      </c>
      <c r="N47" s="481">
        <f t="shared" si="3"/>
        <v>93.333333333333329</v>
      </c>
      <c r="O47" s="476">
        <v>56.8</v>
      </c>
      <c r="P47" s="477"/>
      <c r="Q47" s="477"/>
      <c r="R47" s="478">
        <f t="shared" si="4"/>
        <v>56.8</v>
      </c>
      <c r="S47" s="560">
        <v>3</v>
      </c>
      <c r="T47" s="471"/>
      <c r="U47" s="560"/>
      <c r="V47" s="82" t="s">
        <v>1020</v>
      </c>
      <c r="W47" s="86" t="s">
        <v>88</v>
      </c>
      <c r="X47" s="86" t="s">
        <v>11</v>
      </c>
      <c r="Y47" s="83">
        <v>31.9</v>
      </c>
      <c r="Z47" s="86" t="s">
        <v>1021</v>
      </c>
      <c r="AA47" s="86" t="s">
        <v>118</v>
      </c>
      <c r="AB47" s="86" t="s">
        <v>11</v>
      </c>
      <c r="AC47" s="86">
        <v>11.4</v>
      </c>
      <c r="AD47" s="82" t="s">
        <v>1022</v>
      </c>
      <c r="AE47" s="86" t="s">
        <v>906</v>
      </c>
      <c r="AF47" s="86" t="s">
        <v>11</v>
      </c>
      <c r="AG47" s="83">
        <v>7.8</v>
      </c>
      <c r="AH47" s="82" t="s">
        <v>1019</v>
      </c>
      <c r="AI47" s="86" t="s">
        <v>107</v>
      </c>
      <c r="AJ47" s="86" t="s">
        <v>11</v>
      </c>
      <c r="AK47" s="86">
        <v>5.7</v>
      </c>
      <c r="AL47" s="82"/>
      <c r="AO47" s="83"/>
      <c r="AP47" s="82"/>
      <c r="AS47" s="83"/>
      <c r="AW47" s="83"/>
      <c r="BA47" s="84"/>
    </row>
    <row r="48" spans="1:53" s="86" customFormat="1">
      <c r="A48" s="86">
        <v>2010</v>
      </c>
      <c r="B48" s="122"/>
      <c r="C48" s="988" t="s">
        <v>1161</v>
      </c>
      <c r="D48" s="988"/>
      <c r="E48" s="86">
        <v>0</v>
      </c>
      <c r="G48" s="480">
        <v>14</v>
      </c>
      <c r="H48" s="560"/>
      <c r="I48" s="560"/>
      <c r="J48" s="482">
        <v>15</v>
      </c>
      <c r="K48" s="477">
        <f t="shared" si="0"/>
        <v>93.333333333333329</v>
      </c>
      <c r="L48" s="477">
        <f t="shared" si="1"/>
        <v>0</v>
      </c>
      <c r="M48" s="477">
        <f t="shared" si="2"/>
        <v>0</v>
      </c>
      <c r="N48" s="481">
        <f t="shared" si="3"/>
        <v>93.333333333333329</v>
      </c>
      <c r="O48" s="476">
        <v>56.8</v>
      </c>
      <c r="P48" s="477"/>
      <c r="Q48" s="477"/>
      <c r="R48" s="478">
        <f t="shared" si="4"/>
        <v>56.8</v>
      </c>
      <c r="S48" s="560">
        <v>3</v>
      </c>
      <c r="T48" s="471"/>
      <c r="U48" s="560"/>
      <c r="V48" s="82" t="s">
        <v>1020</v>
      </c>
      <c r="W48" s="86" t="s">
        <v>88</v>
      </c>
      <c r="X48" s="86" t="s">
        <v>11</v>
      </c>
      <c r="Y48" s="83">
        <v>31.9</v>
      </c>
      <c r="Z48" s="86" t="s">
        <v>1021</v>
      </c>
      <c r="AA48" s="86" t="s">
        <v>118</v>
      </c>
      <c r="AB48" s="86" t="s">
        <v>11</v>
      </c>
      <c r="AC48" s="86">
        <v>11.4</v>
      </c>
      <c r="AD48" s="82" t="s">
        <v>1022</v>
      </c>
      <c r="AE48" s="86" t="s">
        <v>906</v>
      </c>
      <c r="AF48" s="86" t="s">
        <v>11</v>
      </c>
      <c r="AG48" s="83">
        <v>7.8</v>
      </c>
      <c r="AH48" s="82" t="s">
        <v>1019</v>
      </c>
      <c r="AI48" s="86" t="s">
        <v>107</v>
      </c>
      <c r="AJ48" s="86" t="s">
        <v>11</v>
      </c>
      <c r="AK48" s="86">
        <v>5.7</v>
      </c>
      <c r="AL48" s="82"/>
      <c r="AO48" s="83"/>
      <c r="AP48" s="82"/>
      <c r="AS48" s="83"/>
      <c r="AW48" s="83"/>
      <c r="BA48" s="84"/>
    </row>
    <row r="49" spans="1:53" s="86" customFormat="1">
      <c r="A49" s="86">
        <v>2010</v>
      </c>
      <c r="B49" s="122"/>
      <c r="C49" s="988" t="s">
        <v>1161</v>
      </c>
      <c r="D49" s="988"/>
      <c r="E49" s="86">
        <v>365</v>
      </c>
      <c r="G49" s="480">
        <v>14</v>
      </c>
      <c r="H49" s="560"/>
      <c r="I49" s="560"/>
      <c r="J49" s="482">
        <v>15</v>
      </c>
      <c r="K49" s="477">
        <f t="shared" si="0"/>
        <v>93.333333333333329</v>
      </c>
      <c r="L49" s="477">
        <f t="shared" si="1"/>
        <v>0</v>
      </c>
      <c r="M49" s="477">
        <f t="shared" si="2"/>
        <v>0</v>
      </c>
      <c r="N49" s="481">
        <f t="shared" si="3"/>
        <v>93.333333333333329</v>
      </c>
      <c r="O49" s="476">
        <v>56.8</v>
      </c>
      <c r="P49" s="477"/>
      <c r="Q49" s="477"/>
      <c r="R49" s="478">
        <f t="shared" si="4"/>
        <v>56.8</v>
      </c>
      <c r="S49" s="560">
        <v>3</v>
      </c>
      <c r="T49" s="471"/>
      <c r="U49" s="560"/>
      <c r="V49" s="82" t="s">
        <v>1020</v>
      </c>
      <c r="W49" s="86" t="s">
        <v>88</v>
      </c>
      <c r="X49" s="86" t="s">
        <v>11</v>
      </c>
      <c r="Y49" s="83">
        <v>31.9</v>
      </c>
      <c r="Z49" s="86" t="s">
        <v>1021</v>
      </c>
      <c r="AA49" s="86" t="s">
        <v>118</v>
      </c>
      <c r="AB49" s="86" t="s">
        <v>11</v>
      </c>
      <c r="AC49" s="86">
        <v>11.4</v>
      </c>
      <c r="AD49" s="82" t="s">
        <v>1022</v>
      </c>
      <c r="AE49" s="86" t="s">
        <v>906</v>
      </c>
      <c r="AF49" s="86" t="s">
        <v>11</v>
      </c>
      <c r="AG49" s="83">
        <v>7.8</v>
      </c>
      <c r="AH49" s="82" t="s">
        <v>1019</v>
      </c>
      <c r="AI49" s="86" t="s">
        <v>107</v>
      </c>
      <c r="AJ49" s="86" t="s">
        <v>11</v>
      </c>
      <c r="AK49" s="86">
        <v>5.7</v>
      </c>
      <c r="AL49" s="82"/>
      <c r="AO49" s="83"/>
      <c r="AP49" s="82"/>
      <c r="AS49" s="83"/>
      <c r="AW49" s="83"/>
      <c r="BA49" s="84"/>
    </row>
    <row r="50" spans="1:53" s="86" customFormat="1">
      <c r="A50" s="86">
        <v>2011</v>
      </c>
      <c r="B50" s="122"/>
      <c r="C50" s="988" t="s">
        <v>1161</v>
      </c>
      <c r="D50" s="988"/>
      <c r="E50" s="86">
        <v>0</v>
      </c>
      <c r="G50" s="480">
        <v>14</v>
      </c>
      <c r="H50" s="560"/>
      <c r="I50" s="560"/>
      <c r="J50" s="482">
        <v>15</v>
      </c>
      <c r="K50" s="477">
        <f t="shared" ref="K50:K56" si="5">G50/J50*100</f>
        <v>93.333333333333329</v>
      </c>
      <c r="L50" s="477">
        <f t="shared" ref="L50:L55" si="6">H50/J50*100</f>
        <v>0</v>
      </c>
      <c r="M50" s="477">
        <f t="shared" ref="M50:M56" si="7">I50/J50*100</f>
        <v>0</v>
      </c>
      <c r="N50" s="481">
        <f t="shared" si="3"/>
        <v>93.333333333333329</v>
      </c>
      <c r="O50" s="476">
        <v>56.8</v>
      </c>
      <c r="P50" s="477"/>
      <c r="Q50" s="477"/>
      <c r="R50" s="478">
        <f t="shared" si="4"/>
        <v>56.8</v>
      </c>
      <c r="S50" s="560">
        <v>3</v>
      </c>
      <c r="T50" s="471"/>
      <c r="U50" s="560"/>
      <c r="V50" s="82" t="s">
        <v>1020</v>
      </c>
      <c r="W50" s="86" t="s">
        <v>88</v>
      </c>
      <c r="X50" s="86" t="s">
        <v>11</v>
      </c>
      <c r="Y50" s="83">
        <v>31.9</v>
      </c>
      <c r="Z50" s="86" t="s">
        <v>1021</v>
      </c>
      <c r="AA50" s="86" t="s">
        <v>118</v>
      </c>
      <c r="AB50" s="86" t="s">
        <v>11</v>
      </c>
      <c r="AC50" s="86">
        <v>11.4</v>
      </c>
      <c r="AD50" s="82" t="s">
        <v>1022</v>
      </c>
      <c r="AE50" s="86" t="s">
        <v>906</v>
      </c>
      <c r="AF50" s="86" t="s">
        <v>11</v>
      </c>
      <c r="AG50" s="83">
        <v>7.8</v>
      </c>
      <c r="AH50" s="82" t="s">
        <v>1019</v>
      </c>
      <c r="AI50" s="86" t="s">
        <v>107</v>
      </c>
      <c r="AJ50" s="86" t="s">
        <v>11</v>
      </c>
      <c r="AK50" s="86">
        <v>5.7</v>
      </c>
      <c r="AL50" s="82"/>
      <c r="AO50" s="83"/>
      <c r="AP50" s="82"/>
      <c r="AS50" s="83"/>
      <c r="AW50" s="83"/>
      <c r="BA50" s="84"/>
    </row>
    <row r="51" spans="1:53" s="329" customFormat="1">
      <c r="A51" s="329">
        <v>2011</v>
      </c>
      <c r="B51" s="121"/>
      <c r="C51" s="988" t="s">
        <v>1161</v>
      </c>
      <c r="D51" s="988"/>
      <c r="E51" s="329">
        <v>365</v>
      </c>
      <c r="G51" s="480">
        <v>14</v>
      </c>
      <c r="H51" s="560"/>
      <c r="I51" s="560"/>
      <c r="J51" s="482">
        <v>15</v>
      </c>
      <c r="K51" s="477">
        <f t="shared" si="5"/>
        <v>93.333333333333329</v>
      </c>
      <c r="L51" s="477">
        <f t="shared" si="6"/>
        <v>0</v>
      </c>
      <c r="M51" s="477">
        <f t="shared" si="7"/>
        <v>0</v>
      </c>
      <c r="N51" s="481">
        <f t="shared" si="3"/>
        <v>93.333333333333329</v>
      </c>
      <c r="O51" s="476">
        <v>56.8</v>
      </c>
      <c r="P51" s="477"/>
      <c r="Q51" s="477"/>
      <c r="R51" s="478">
        <f t="shared" si="4"/>
        <v>56.8</v>
      </c>
      <c r="S51" s="560">
        <v>3</v>
      </c>
      <c r="T51" s="471"/>
      <c r="U51" s="121"/>
      <c r="V51" s="82" t="s">
        <v>1020</v>
      </c>
      <c r="W51" s="329" t="s">
        <v>88</v>
      </c>
      <c r="X51" s="329" t="s">
        <v>11</v>
      </c>
      <c r="Y51" s="83">
        <v>31.9</v>
      </c>
      <c r="Z51" s="329" t="s">
        <v>1021</v>
      </c>
      <c r="AA51" s="329" t="s">
        <v>118</v>
      </c>
      <c r="AB51" s="329" t="s">
        <v>11</v>
      </c>
      <c r="AC51" s="329">
        <v>11.4</v>
      </c>
      <c r="AD51" s="82" t="s">
        <v>1022</v>
      </c>
      <c r="AE51" s="329" t="s">
        <v>906</v>
      </c>
      <c r="AF51" s="329" t="s">
        <v>11</v>
      </c>
      <c r="AG51" s="83">
        <v>7.8</v>
      </c>
      <c r="AH51" s="82" t="s">
        <v>1019</v>
      </c>
      <c r="AI51" s="329" t="s">
        <v>107</v>
      </c>
      <c r="AJ51" s="329" t="s">
        <v>11</v>
      </c>
      <c r="AK51" s="329">
        <v>5.7</v>
      </c>
      <c r="AL51" s="82"/>
      <c r="AO51" s="83"/>
      <c r="AP51" s="82"/>
      <c r="AS51" s="83"/>
      <c r="AW51" s="83"/>
      <c r="BA51" s="84"/>
    </row>
    <row r="52" spans="1:53" s="329" customFormat="1">
      <c r="A52" s="329">
        <v>2012</v>
      </c>
      <c r="B52" s="122"/>
      <c r="C52" s="988" t="s">
        <v>1161</v>
      </c>
      <c r="D52" s="988"/>
      <c r="E52" s="329">
        <v>346</v>
      </c>
      <c r="G52" s="480">
        <v>14</v>
      </c>
      <c r="H52" s="560"/>
      <c r="I52" s="560"/>
      <c r="J52" s="482">
        <v>15</v>
      </c>
      <c r="K52" s="477">
        <f t="shared" si="5"/>
        <v>93.333333333333329</v>
      </c>
      <c r="L52" s="477">
        <f t="shared" si="6"/>
        <v>0</v>
      </c>
      <c r="M52" s="477">
        <f t="shared" si="7"/>
        <v>0</v>
      </c>
      <c r="N52" s="481">
        <f t="shared" si="3"/>
        <v>93.333333333333329</v>
      </c>
      <c r="O52" s="476">
        <v>56.8</v>
      </c>
      <c r="P52" s="477"/>
      <c r="Q52" s="477"/>
      <c r="R52" s="478">
        <f t="shared" si="4"/>
        <v>56.8</v>
      </c>
      <c r="S52" s="560">
        <v>3</v>
      </c>
      <c r="T52" s="471"/>
      <c r="U52" s="560"/>
      <c r="V52" s="82" t="s">
        <v>1020</v>
      </c>
      <c r="W52" s="329" t="s">
        <v>88</v>
      </c>
      <c r="X52" s="329" t="s">
        <v>11</v>
      </c>
      <c r="Y52" s="83">
        <v>31.9</v>
      </c>
      <c r="Z52" s="329" t="s">
        <v>1021</v>
      </c>
      <c r="AA52" s="329" t="s">
        <v>118</v>
      </c>
      <c r="AB52" s="329" t="s">
        <v>11</v>
      </c>
      <c r="AC52" s="329">
        <v>11.4</v>
      </c>
      <c r="AD52" s="82" t="s">
        <v>1022</v>
      </c>
      <c r="AE52" s="329" t="s">
        <v>906</v>
      </c>
      <c r="AF52" s="329" t="s">
        <v>11</v>
      </c>
      <c r="AG52" s="83">
        <v>7.8</v>
      </c>
      <c r="AH52" s="82" t="s">
        <v>1019</v>
      </c>
      <c r="AI52" s="329" t="s">
        <v>107</v>
      </c>
      <c r="AJ52" s="329" t="s">
        <v>11</v>
      </c>
      <c r="AK52" s="329">
        <v>5.7</v>
      </c>
      <c r="AL52" s="82"/>
      <c r="AO52" s="83"/>
      <c r="AP52" s="82"/>
      <c r="AS52" s="83"/>
      <c r="AW52" s="83"/>
      <c r="BA52" s="84"/>
    </row>
    <row r="53" spans="1:53" s="334" customFormat="1">
      <c r="A53" s="334">
        <v>2012</v>
      </c>
      <c r="B53" s="335">
        <v>41255</v>
      </c>
      <c r="C53" s="1025" t="s">
        <v>1162</v>
      </c>
      <c r="D53" s="1025"/>
      <c r="E53" s="334">
        <f xml:space="preserve"> 366-E52</f>
        <v>20</v>
      </c>
      <c r="F53" s="334">
        <v>1</v>
      </c>
      <c r="G53" s="497">
        <v>2</v>
      </c>
      <c r="H53" s="561">
        <v>1</v>
      </c>
      <c r="I53" s="561">
        <v>12</v>
      </c>
      <c r="J53" s="499">
        <v>15</v>
      </c>
      <c r="K53" s="495">
        <f t="shared" si="5"/>
        <v>13.333333333333334</v>
      </c>
      <c r="L53" s="495">
        <f t="shared" si="6"/>
        <v>6.666666666666667</v>
      </c>
      <c r="M53" s="495">
        <f t="shared" si="7"/>
        <v>80</v>
      </c>
      <c r="N53" s="498">
        <f t="shared" si="3"/>
        <v>100</v>
      </c>
      <c r="O53" s="494">
        <v>7.8</v>
      </c>
      <c r="P53" s="495">
        <v>5.7</v>
      </c>
      <c r="Q53" s="495">
        <v>46.8</v>
      </c>
      <c r="R53" s="496">
        <f t="shared" si="4"/>
        <v>60.3</v>
      </c>
      <c r="S53" s="561">
        <v>3</v>
      </c>
      <c r="T53" s="487">
        <v>41210</v>
      </c>
      <c r="U53" s="335">
        <v>41255</v>
      </c>
      <c r="V53" s="343" t="s">
        <v>1158</v>
      </c>
      <c r="W53" s="334" t="s">
        <v>20</v>
      </c>
      <c r="X53" s="334" t="s">
        <v>12</v>
      </c>
      <c r="Y53" s="344">
        <v>26.2</v>
      </c>
      <c r="Z53" s="343" t="s">
        <v>131</v>
      </c>
      <c r="AA53" s="334" t="s">
        <v>98</v>
      </c>
      <c r="AB53" s="334" t="s">
        <v>12</v>
      </c>
      <c r="AC53" s="334">
        <v>20.6</v>
      </c>
      <c r="AD53" s="343" t="s">
        <v>1023</v>
      </c>
      <c r="AE53" s="334" t="s">
        <v>905</v>
      </c>
      <c r="AF53" s="334" t="s">
        <v>11</v>
      </c>
      <c r="AG53" s="344">
        <v>7.8</v>
      </c>
      <c r="AH53" s="334" t="s">
        <v>1024</v>
      </c>
      <c r="AI53" s="334" t="s">
        <v>90</v>
      </c>
      <c r="AJ53" s="334" t="s">
        <v>18</v>
      </c>
      <c r="AK53" s="334">
        <v>5.7</v>
      </c>
      <c r="AL53" s="343"/>
      <c r="AO53" s="344"/>
      <c r="AP53" s="343"/>
      <c r="AS53" s="344"/>
      <c r="AW53" s="344"/>
      <c r="BA53" s="345"/>
    </row>
    <row r="54" spans="1:53" s="334" customFormat="1">
      <c r="A54" s="334">
        <v>2013</v>
      </c>
      <c r="B54" s="335"/>
      <c r="C54" s="1025" t="s">
        <v>1162</v>
      </c>
      <c r="D54" s="1025"/>
      <c r="E54" s="334">
        <v>0</v>
      </c>
      <c r="G54" s="497">
        <v>2</v>
      </c>
      <c r="H54" s="561">
        <v>1</v>
      </c>
      <c r="I54" s="561">
        <v>12</v>
      </c>
      <c r="J54" s="499">
        <v>15</v>
      </c>
      <c r="K54" s="495">
        <f t="shared" si="5"/>
        <v>13.333333333333334</v>
      </c>
      <c r="L54" s="495">
        <f t="shared" si="6"/>
        <v>6.666666666666667</v>
      </c>
      <c r="M54" s="495">
        <f t="shared" si="7"/>
        <v>80</v>
      </c>
      <c r="N54" s="498">
        <f>SUM(K54:M54)</f>
        <v>100</v>
      </c>
      <c r="O54" s="494">
        <v>7.8</v>
      </c>
      <c r="P54" s="495">
        <v>5.7</v>
      </c>
      <c r="Q54" s="495">
        <v>46.8</v>
      </c>
      <c r="R54" s="496">
        <f>SUM(O54:Q54)</f>
        <v>60.3</v>
      </c>
      <c r="S54" s="561">
        <v>3</v>
      </c>
      <c r="T54" s="487"/>
      <c r="U54" s="335"/>
      <c r="V54" s="343" t="s">
        <v>1158</v>
      </c>
      <c r="W54" s="334" t="s">
        <v>20</v>
      </c>
      <c r="X54" s="334" t="s">
        <v>12</v>
      </c>
      <c r="Y54" s="344">
        <v>26.2</v>
      </c>
      <c r="Z54" s="343" t="s">
        <v>131</v>
      </c>
      <c r="AA54" s="334" t="s">
        <v>98</v>
      </c>
      <c r="AB54" s="334" t="s">
        <v>12</v>
      </c>
      <c r="AC54" s="334">
        <v>20.6</v>
      </c>
      <c r="AD54" s="343" t="s">
        <v>1023</v>
      </c>
      <c r="AE54" s="334" t="s">
        <v>905</v>
      </c>
      <c r="AF54" s="334" t="s">
        <v>11</v>
      </c>
      <c r="AG54" s="344">
        <v>7.8</v>
      </c>
      <c r="AH54" s="334" t="s">
        <v>1024</v>
      </c>
      <c r="AI54" s="334" t="s">
        <v>90</v>
      </c>
      <c r="AJ54" s="334" t="s">
        <v>18</v>
      </c>
      <c r="AK54" s="334">
        <v>5.7</v>
      </c>
      <c r="AL54" s="343"/>
      <c r="AO54" s="344"/>
      <c r="AP54" s="343"/>
      <c r="AS54" s="344"/>
      <c r="AW54" s="344"/>
      <c r="BA54" s="345"/>
    </row>
    <row r="55" spans="1:53" s="334" customFormat="1">
      <c r="A55" s="334">
        <v>2013</v>
      </c>
      <c r="B55" s="335"/>
      <c r="C55" s="1025" t="s">
        <v>1162</v>
      </c>
      <c r="D55" s="1025"/>
      <c r="E55" s="334">
        <v>365</v>
      </c>
      <c r="G55" s="497">
        <v>2</v>
      </c>
      <c r="H55" s="561">
        <v>1</v>
      </c>
      <c r="I55" s="561">
        <v>12</v>
      </c>
      <c r="J55" s="499">
        <v>15</v>
      </c>
      <c r="K55" s="495">
        <f t="shared" si="5"/>
        <v>13.333333333333334</v>
      </c>
      <c r="L55" s="495">
        <f t="shared" si="6"/>
        <v>6.666666666666667</v>
      </c>
      <c r="M55" s="495">
        <f t="shared" si="7"/>
        <v>80</v>
      </c>
      <c r="N55" s="498">
        <f>SUM(K55:M55)</f>
        <v>100</v>
      </c>
      <c r="O55" s="494">
        <v>7.8</v>
      </c>
      <c r="P55" s="495">
        <v>5.7</v>
      </c>
      <c r="Q55" s="495">
        <v>46.8</v>
      </c>
      <c r="R55" s="496">
        <f>SUM(O55:Q55)</f>
        <v>60.3</v>
      </c>
      <c r="S55" s="561">
        <v>3</v>
      </c>
      <c r="T55" s="487"/>
      <c r="U55" s="335"/>
      <c r="V55" s="343" t="s">
        <v>1158</v>
      </c>
      <c r="W55" s="334" t="s">
        <v>20</v>
      </c>
      <c r="X55" s="334" t="s">
        <v>12</v>
      </c>
      <c r="Y55" s="344">
        <v>26.2</v>
      </c>
      <c r="Z55" s="343" t="s">
        <v>131</v>
      </c>
      <c r="AA55" s="334" t="s">
        <v>98</v>
      </c>
      <c r="AB55" s="334" t="s">
        <v>12</v>
      </c>
      <c r="AC55" s="334">
        <v>20.6</v>
      </c>
      <c r="AD55" s="343" t="s">
        <v>1023</v>
      </c>
      <c r="AE55" s="334" t="s">
        <v>905</v>
      </c>
      <c r="AF55" s="334" t="s">
        <v>11</v>
      </c>
      <c r="AG55" s="344">
        <v>7.8</v>
      </c>
      <c r="AH55" s="334" t="s">
        <v>1024</v>
      </c>
      <c r="AI55" s="334" t="s">
        <v>90</v>
      </c>
      <c r="AJ55" s="334" t="s">
        <v>18</v>
      </c>
      <c r="AK55" s="334">
        <v>5.7</v>
      </c>
      <c r="AL55" s="343"/>
      <c r="AO55" s="344"/>
      <c r="AP55" s="343"/>
      <c r="AS55" s="344"/>
      <c r="AW55" s="344"/>
      <c r="BA55" s="345"/>
    </row>
    <row r="56" spans="1:53" s="561" customFormat="1">
      <c r="A56" s="561">
        <v>2014</v>
      </c>
      <c r="B56" s="335"/>
      <c r="C56" s="1025" t="s">
        <v>1162</v>
      </c>
      <c r="D56" s="1025"/>
      <c r="E56" s="561">
        <v>267</v>
      </c>
      <c r="G56" s="497">
        <v>2</v>
      </c>
      <c r="H56" s="561">
        <v>1</v>
      </c>
      <c r="I56" s="561">
        <v>12</v>
      </c>
      <c r="J56" s="499">
        <v>15</v>
      </c>
      <c r="K56" s="495">
        <f t="shared" si="5"/>
        <v>13.333333333333334</v>
      </c>
      <c r="L56" s="495">
        <f>H56/J56*100</f>
        <v>6.666666666666667</v>
      </c>
      <c r="M56" s="495">
        <f t="shared" si="7"/>
        <v>80</v>
      </c>
      <c r="N56" s="498">
        <f>SUM(K56:M56)</f>
        <v>100</v>
      </c>
      <c r="O56" s="494">
        <v>7.8</v>
      </c>
      <c r="P56" s="495">
        <v>5.7</v>
      </c>
      <c r="Q56" s="495">
        <v>46.8</v>
      </c>
      <c r="R56" s="496">
        <f>SUM(O56:Q56)</f>
        <v>60.3</v>
      </c>
      <c r="S56" s="561">
        <v>3</v>
      </c>
      <c r="T56" s="487"/>
      <c r="U56" s="335"/>
      <c r="V56" s="488" t="s">
        <v>1158</v>
      </c>
      <c r="W56" s="561" t="s">
        <v>20</v>
      </c>
      <c r="X56" s="561" t="s">
        <v>12</v>
      </c>
      <c r="Y56" s="489">
        <v>26.2</v>
      </c>
      <c r="Z56" s="488" t="s">
        <v>131</v>
      </c>
      <c r="AA56" s="561" t="s">
        <v>98</v>
      </c>
      <c r="AB56" s="561" t="s">
        <v>12</v>
      </c>
      <c r="AC56" s="561">
        <v>20.6</v>
      </c>
      <c r="AD56" s="488" t="s">
        <v>1023</v>
      </c>
      <c r="AE56" s="561" t="s">
        <v>905</v>
      </c>
      <c r="AF56" s="561" t="s">
        <v>11</v>
      </c>
      <c r="AG56" s="489">
        <v>7.8</v>
      </c>
      <c r="AH56" s="561" t="s">
        <v>1024</v>
      </c>
      <c r="AI56" s="561" t="s">
        <v>90</v>
      </c>
      <c r="AJ56" s="561" t="s">
        <v>18</v>
      </c>
      <c r="AK56" s="561">
        <v>5.7</v>
      </c>
      <c r="AL56" s="488"/>
      <c r="AO56" s="489"/>
      <c r="AP56" s="488"/>
      <c r="AS56" s="489"/>
      <c r="AW56" s="489"/>
      <c r="BA56" s="490"/>
    </row>
    <row r="57" spans="1:53" s="734" customFormat="1">
      <c r="A57" s="734">
        <v>2014</v>
      </c>
      <c r="B57" s="122">
        <v>41907</v>
      </c>
      <c r="C57" s="988" t="s">
        <v>1307</v>
      </c>
      <c r="D57" s="988"/>
      <c r="E57" s="734">
        <v>98</v>
      </c>
      <c r="F57" s="734">
        <v>4</v>
      </c>
      <c r="G57" s="596">
        <v>2</v>
      </c>
      <c r="I57" s="734">
        <v>13</v>
      </c>
      <c r="J57" s="598">
        <v>15</v>
      </c>
      <c r="K57" s="593">
        <f t="shared" ref="K57:K61" si="8">G57/J57*100</f>
        <v>13.333333333333334</v>
      </c>
      <c r="L57" s="593">
        <f t="shared" ref="L57:L61" si="9">H57/J57*100</f>
        <v>0</v>
      </c>
      <c r="M57" s="593">
        <f t="shared" ref="M57:M61" si="10">I57/J57*100</f>
        <v>86.666666666666671</v>
      </c>
      <c r="N57" s="597">
        <f t="shared" ref="N57:N61" si="11">SUM(K57:M57)</f>
        <v>100</v>
      </c>
      <c r="O57" s="592">
        <v>8.6</v>
      </c>
      <c r="P57" s="593"/>
      <c r="Q57" s="593">
        <v>47.8</v>
      </c>
      <c r="R57" s="594">
        <f>SUM(O57:Q57)</f>
        <v>56.4</v>
      </c>
      <c r="S57" s="734">
        <v>2</v>
      </c>
      <c r="T57" s="575"/>
      <c r="U57" s="121">
        <v>41907</v>
      </c>
      <c r="V57" s="588" t="s">
        <v>1158</v>
      </c>
      <c r="W57" s="734" t="s">
        <v>20</v>
      </c>
      <c r="X57" s="734" t="s">
        <v>12</v>
      </c>
      <c r="Y57" s="589">
        <v>27.1</v>
      </c>
      <c r="Z57" s="734" t="s">
        <v>131</v>
      </c>
      <c r="AA57" s="734" t="s">
        <v>98</v>
      </c>
      <c r="AB57" s="734" t="s">
        <v>12</v>
      </c>
      <c r="AC57" s="734">
        <v>20.7</v>
      </c>
      <c r="AD57" s="588" t="s">
        <v>1023</v>
      </c>
      <c r="AE57" s="734" t="s">
        <v>905</v>
      </c>
      <c r="AF57" s="734" t="s">
        <v>11</v>
      </c>
      <c r="AG57" s="589">
        <v>8.6</v>
      </c>
      <c r="AH57" s="588"/>
      <c r="AL57" s="588"/>
      <c r="AO57" s="589"/>
      <c r="AP57" s="588"/>
      <c r="AS57" s="589"/>
      <c r="AW57" s="589"/>
      <c r="BA57" s="590"/>
    </row>
    <row r="58" spans="1:53" s="734" customFormat="1">
      <c r="A58" s="734">
        <v>2015</v>
      </c>
      <c r="B58" s="121"/>
      <c r="C58" s="988" t="s">
        <v>1307</v>
      </c>
      <c r="D58" s="988"/>
      <c r="E58" s="734">
        <v>0</v>
      </c>
      <c r="G58" s="596">
        <v>2</v>
      </c>
      <c r="I58" s="734">
        <v>13</v>
      </c>
      <c r="J58" s="598">
        <v>15</v>
      </c>
      <c r="K58" s="593">
        <f t="shared" si="8"/>
        <v>13.333333333333334</v>
      </c>
      <c r="L58" s="593">
        <f t="shared" si="9"/>
        <v>0</v>
      </c>
      <c r="M58" s="593">
        <f t="shared" si="10"/>
        <v>86.666666666666671</v>
      </c>
      <c r="N58" s="597">
        <f t="shared" si="11"/>
        <v>100</v>
      </c>
      <c r="O58" s="592">
        <v>8.6</v>
      </c>
      <c r="P58" s="593"/>
      <c r="Q58" s="593">
        <v>47.8</v>
      </c>
      <c r="R58" s="594">
        <f t="shared" ref="R58:R61" si="12">SUM(O58:Q58)</f>
        <v>56.4</v>
      </c>
      <c r="S58" s="734">
        <v>2</v>
      </c>
      <c r="T58" s="575"/>
      <c r="U58" s="121"/>
      <c r="V58" s="588" t="s">
        <v>1158</v>
      </c>
      <c r="W58" s="734" t="s">
        <v>20</v>
      </c>
      <c r="X58" s="734" t="s">
        <v>12</v>
      </c>
      <c r="Y58" s="589">
        <v>27.1</v>
      </c>
      <c r="Z58" s="734" t="s">
        <v>131</v>
      </c>
      <c r="AA58" s="734" t="s">
        <v>98</v>
      </c>
      <c r="AB58" s="734" t="s">
        <v>12</v>
      </c>
      <c r="AC58" s="734">
        <v>20.7</v>
      </c>
      <c r="AD58" s="588" t="s">
        <v>1023</v>
      </c>
      <c r="AE58" s="734" t="s">
        <v>905</v>
      </c>
      <c r="AF58" s="734" t="s">
        <v>11</v>
      </c>
      <c r="AG58" s="589">
        <v>8.6</v>
      </c>
      <c r="AH58" s="588"/>
      <c r="AL58" s="588"/>
      <c r="AO58" s="589"/>
      <c r="AP58" s="588"/>
      <c r="AS58" s="589"/>
      <c r="AW58" s="589"/>
      <c r="BA58" s="590"/>
    </row>
    <row r="59" spans="1:53" s="734" customFormat="1">
      <c r="A59" s="734">
        <v>2015</v>
      </c>
      <c r="B59" s="122"/>
      <c r="C59" s="988" t="s">
        <v>1307</v>
      </c>
      <c r="D59" s="988"/>
      <c r="E59" s="734">
        <v>365</v>
      </c>
      <c r="G59" s="596">
        <v>2</v>
      </c>
      <c r="I59" s="734">
        <v>13</v>
      </c>
      <c r="J59" s="598">
        <v>15</v>
      </c>
      <c r="K59" s="593">
        <f t="shared" si="8"/>
        <v>13.333333333333334</v>
      </c>
      <c r="L59" s="593">
        <f t="shared" si="9"/>
        <v>0</v>
      </c>
      <c r="M59" s="593">
        <f t="shared" si="10"/>
        <v>86.666666666666671</v>
      </c>
      <c r="N59" s="597">
        <f t="shared" si="11"/>
        <v>100</v>
      </c>
      <c r="O59" s="592">
        <v>8.6</v>
      </c>
      <c r="P59" s="593"/>
      <c r="Q59" s="593">
        <v>47.8</v>
      </c>
      <c r="R59" s="594">
        <f t="shared" si="12"/>
        <v>56.4</v>
      </c>
      <c r="S59" s="734">
        <v>2</v>
      </c>
      <c r="T59" s="575"/>
      <c r="V59" s="588" t="s">
        <v>1158</v>
      </c>
      <c r="W59" s="734" t="s">
        <v>20</v>
      </c>
      <c r="X59" s="734" t="s">
        <v>12</v>
      </c>
      <c r="Y59" s="589">
        <v>27.1</v>
      </c>
      <c r="Z59" s="734" t="s">
        <v>131</v>
      </c>
      <c r="AA59" s="734" t="s">
        <v>98</v>
      </c>
      <c r="AB59" s="734" t="s">
        <v>12</v>
      </c>
      <c r="AC59" s="734">
        <v>20.7</v>
      </c>
      <c r="AD59" s="588" t="s">
        <v>1023</v>
      </c>
      <c r="AE59" s="734" t="s">
        <v>905</v>
      </c>
      <c r="AF59" s="734" t="s">
        <v>11</v>
      </c>
      <c r="AG59" s="589">
        <v>8.6</v>
      </c>
      <c r="AH59" s="588"/>
      <c r="AL59" s="588"/>
      <c r="AO59" s="589"/>
      <c r="AP59" s="588"/>
      <c r="AS59" s="589"/>
      <c r="AW59" s="589"/>
      <c r="BA59" s="590"/>
    </row>
    <row r="60" spans="1:53" s="830" customFormat="1">
      <c r="A60" s="830">
        <v>2016</v>
      </c>
      <c r="B60" s="122"/>
      <c r="C60" s="988" t="s">
        <v>1307</v>
      </c>
      <c r="D60" s="988"/>
      <c r="E60" s="830">
        <v>347</v>
      </c>
      <c r="G60" s="596">
        <v>2</v>
      </c>
      <c r="I60" s="830">
        <v>13</v>
      </c>
      <c r="J60" s="598">
        <v>15</v>
      </c>
      <c r="K60" s="593">
        <f t="shared" si="8"/>
        <v>13.333333333333334</v>
      </c>
      <c r="L60" s="593">
        <f t="shared" si="9"/>
        <v>0</v>
      </c>
      <c r="M60" s="593">
        <f t="shared" si="10"/>
        <v>86.666666666666671</v>
      </c>
      <c r="N60" s="597">
        <f t="shared" si="11"/>
        <v>100</v>
      </c>
      <c r="O60" s="592">
        <v>8.6</v>
      </c>
      <c r="P60" s="593"/>
      <c r="Q60" s="593">
        <v>47.8</v>
      </c>
      <c r="R60" s="594">
        <f t="shared" si="12"/>
        <v>56.4</v>
      </c>
      <c r="S60" s="830">
        <v>2</v>
      </c>
      <c r="T60" s="575"/>
      <c r="V60" s="588" t="s">
        <v>1158</v>
      </c>
      <c r="W60" s="830" t="s">
        <v>20</v>
      </c>
      <c r="X60" s="830" t="s">
        <v>12</v>
      </c>
      <c r="Y60" s="589">
        <v>27.1</v>
      </c>
      <c r="Z60" s="830" t="s">
        <v>131</v>
      </c>
      <c r="AA60" s="830" t="s">
        <v>98</v>
      </c>
      <c r="AB60" s="830" t="s">
        <v>12</v>
      </c>
      <c r="AC60" s="830">
        <v>20.7</v>
      </c>
      <c r="AD60" s="588" t="s">
        <v>1023</v>
      </c>
      <c r="AE60" s="830" t="s">
        <v>905</v>
      </c>
      <c r="AF60" s="830" t="s">
        <v>11</v>
      </c>
      <c r="AG60" s="589">
        <v>8.6</v>
      </c>
      <c r="AH60" s="588"/>
      <c r="AL60" s="588"/>
      <c r="AO60" s="589"/>
      <c r="AP60" s="588"/>
      <c r="AS60" s="589"/>
      <c r="AW60" s="589"/>
      <c r="BA60" s="590"/>
    </row>
    <row r="61" spans="1:53" s="861" customFormat="1">
      <c r="A61" s="861">
        <v>2016</v>
      </c>
      <c r="B61" s="335">
        <v>42717</v>
      </c>
      <c r="C61" s="992" t="s">
        <v>1361</v>
      </c>
      <c r="D61" s="992"/>
      <c r="E61" s="861">
        <v>19</v>
      </c>
      <c r="F61" s="861">
        <v>1</v>
      </c>
      <c r="G61" s="642"/>
      <c r="I61" s="861">
        <v>15</v>
      </c>
      <c r="J61" s="644">
        <v>15</v>
      </c>
      <c r="K61" s="640">
        <f t="shared" si="8"/>
        <v>0</v>
      </c>
      <c r="L61" s="640">
        <f t="shared" si="9"/>
        <v>0</v>
      </c>
      <c r="M61" s="640">
        <f t="shared" si="10"/>
        <v>100</v>
      </c>
      <c r="N61" s="643">
        <f t="shared" si="11"/>
        <v>100</v>
      </c>
      <c r="O61" s="639"/>
      <c r="P61" s="640"/>
      <c r="Q61" s="640">
        <v>51.8</v>
      </c>
      <c r="R61" s="641">
        <f t="shared" si="12"/>
        <v>51.8</v>
      </c>
      <c r="S61" s="861">
        <v>2</v>
      </c>
      <c r="T61" s="487">
        <v>42666</v>
      </c>
      <c r="U61" s="857">
        <v>42717</v>
      </c>
      <c r="V61" s="634" t="s">
        <v>1362</v>
      </c>
      <c r="W61" s="861" t="s">
        <v>945</v>
      </c>
      <c r="X61" s="861" t="s">
        <v>12</v>
      </c>
      <c r="Y61" s="635">
        <v>39.700000000000003</v>
      </c>
      <c r="Z61" s="861" t="s">
        <v>131</v>
      </c>
      <c r="AA61" s="861" t="s">
        <v>98</v>
      </c>
      <c r="AB61" s="861" t="s">
        <v>12</v>
      </c>
      <c r="AC61" s="861">
        <v>12.1</v>
      </c>
      <c r="AD61" s="634"/>
      <c r="AG61" s="635"/>
      <c r="AH61" s="634"/>
      <c r="AL61" s="634"/>
      <c r="AO61" s="635"/>
      <c r="AP61" s="634"/>
      <c r="AS61" s="635"/>
      <c r="AW61" s="635"/>
      <c r="BA61" s="636"/>
    </row>
    <row r="62" spans="1:53" s="895" customFormat="1">
      <c r="A62" s="895">
        <v>2017</v>
      </c>
      <c r="B62" s="335"/>
      <c r="C62" s="992" t="s">
        <v>1361</v>
      </c>
      <c r="D62" s="992"/>
      <c r="E62" s="895">
        <v>267</v>
      </c>
      <c r="G62" s="642"/>
      <c r="I62" s="895">
        <v>15</v>
      </c>
      <c r="J62" s="644">
        <v>15</v>
      </c>
      <c r="K62" s="640">
        <f t="shared" ref="K62:K63" si="13">G62/J62*100</f>
        <v>0</v>
      </c>
      <c r="L62" s="640">
        <f t="shared" ref="L62:L63" si="14">H62/J62*100</f>
        <v>0</v>
      </c>
      <c r="M62" s="640">
        <f t="shared" ref="M62:M63" si="15">I62/J62*100</f>
        <v>100</v>
      </c>
      <c r="N62" s="643">
        <f t="shared" ref="N62:N63" si="16">SUM(K62:M62)</f>
        <v>100</v>
      </c>
      <c r="O62" s="639"/>
      <c r="P62" s="640"/>
      <c r="Q62" s="640">
        <v>51.8</v>
      </c>
      <c r="R62" s="641">
        <f t="shared" ref="R62:R63" si="17">SUM(O62:Q62)</f>
        <v>51.8</v>
      </c>
      <c r="S62" s="895">
        <v>2</v>
      </c>
      <c r="T62" s="487"/>
      <c r="U62" s="893"/>
      <c r="V62" s="634" t="s">
        <v>1362</v>
      </c>
      <c r="W62" s="895" t="s">
        <v>945</v>
      </c>
      <c r="X62" s="895" t="s">
        <v>12</v>
      </c>
      <c r="Y62" s="635">
        <v>39.700000000000003</v>
      </c>
      <c r="Z62" s="895" t="s">
        <v>131</v>
      </c>
      <c r="AA62" s="895" t="s">
        <v>98</v>
      </c>
      <c r="AB62" s="895" t="s">
        <v>12</v>
      </c>
      <c r="AC62" s="895">
        <v>12.1</v>
      </c>
      <c r="AD62" s="634"/>
      <c r="AG62" s="635"/>
      <c r="AH62" s="634"/>
      <c r="AL62" s="634"/>
      <c r="AO62" s="635"/>
      <c r="AP62" s="634"/>
      <c r="AS62" s="635"/>
      <c r="AW62" s="635"/>
      <c r="BA62" s="636"/>
    </row>
    <row r="63" spans="1:53" s="895" customFormat="1">
      <c r="A63" s="895">
        <v>2017</v>
      </c>
      <c r="B63" s="359">
        <v>43003</v>
      </c>
      <c r="C63" s="992" t="s">
        <v>1361</v>
      </c>
      <c r="D63" s="992"/>
      <c r="E63" s="895">
        <v>98</v>
      </c>
      <c r="F63" s="493">
        <v>0</v>
      </c>
      <c r="G63" s="642"/>
      <c r="I63" s="895">
        <v>15</v>
      </c>
      <c r="J63" s="644">
        <v>15</v>
      </c>
      <c r="K63" s="640">
        <f t="shared" si="13"/>
        <v>0</v>
      </c>
      <c r="L63" s="640">
        <f t="shared" si="14"/>
        <v>0</v>
      </c>
      <c r="M63" s="640">
        <f t="shared" si="15"/>
        <v>100</v>
      </c>
      <c r="N63" s="643">
        <f t="shared" si="16"/>
        <v>100</v>
      </c>
      <c r="O63" s="639"/>
      <c r="P63" s="640"/>
      <c r="Q63" s="640">
        <v>51.8</v>
      </c>
      <c r="R63" s="641">
        <f t="shared" si="17"/>
        <v>51.8</v>
      </c>
      <c r="S63" s="895">
        <v>2</v>
      </c>
      <c r="T63" s="487"/>
      <c r="U63" s="893"/>
      <c r="V63" s="634" t="s">
        <v>1362</v>
      </c>
      <c r="W63" s="895" t="s">
        <v>945</v>
      </c>
      <c r="X63" s="895" t="s">
        <v>12</v>
      </c>
      <c r="Y63" s="635">
        <v>39.700000000000003</v>
      </c>
      <c r="Z63" s="895" t="s">
        <v>131</v>
      </c>
      <c r="AA63" s="895" t="s">
        <v>98</v>
      </c>
      <c r="AB63" s="895" t="s">
        <v>12</v>
      </c>
      <c r="AC63" s="895">
        <v>12.1</v>
      </c>
      <c r="AD63" s="634"/>
      <c r="AG63" s="635"/>
      <c r="AH63" s="634"/>
      <c r="AL63" s="634"/>
      <c r="AO63" s="635"/>
      <c r="AP63" s="634"/>
      <c r="AS63" s="635"/>
      <c r="AW63" s="635"/>
      <c r="BA63" s="636"/>
    </row>
    <row r="64" spans="1:53" s="945" customFormat="1">
      <c r="A64" s="945">
        <v>2018</v>
      </c>
      <c r="B64" s="359"/>
      <c r="C64" s="992" t="s">
        <v>1361</v>
      </c>
      <c r="D64" s="992"/>
      <c r="E64" s="945">
        <v>336</v>
      </c>
      <c r="F64" s="493"/>
      <c r="G64" s="642"/>
      <c r="I64" s="945">
        <v>15</v>
      </c>
      <c r="J64" s="644">
        <v>15</v>
      </c>
      <c r="K64" s="640">
        <f t="shared" ref="K64:K65" si="18">G64/J64*100</f>
        <v>0</v>
      </c>
      <c r="L64" s="640">
        <f t="shared" ref="L64:L65" si="19">H64/J64*100</f>
        <v>0</v>
      </c>
      <c r="M64" s="640">
        <f t="shared" ref="M64:M65" si="20">I64/J64*100</f>
        <v>100</v>
      </c>
      <c r="N64" s="643">
        <f t="shared" ref="N64:N65" si="21">SUM(K64:M64)</f>
        <v>100</v>
      </c>
      <c r="O64" s="639"/>
      <c r="P64" s="640"/>
      <c r="Q64" s="640">
        <v>52.8</v>
      </c>
      <c r="R64" s="641">
        <f t="shared" ref="R64:R65" si="22">SUM(O64:Q64)</f>
        <v>52.8</v>
      </c>
      <c r="S64" s="945">
        <v>2</v>
      </c>
      <c r="T64" s="487"/>
      <c r="U64" s="944"/>
      <c r="V64" s="634" t="s">
        <v>1362</v>
      </c>
      <c r="W64" s="945" t="s">
        <v>945</v>
      </c>
      <c r="X64" s="945" t="s">
        <v>12</v>
      </c>
      <c r="Y64" s="635">
        <v>39.700000000000003</v>
      </c>
      <c r="Z64" s="945" t="s">
        <v>131</v>
      </c>
      <c r="AA64" s="945" t="s">
        <v>98</v>
      </c>
      <c r="AB64" s="945" t="s">
        <v>12</v>
      </c>
      <c r="AC64" s="945">
        <v>12.1</v>
      </c>
      <c r="AD64" s="634"/>
      <c r="AG64" s="635"/>
      <c r="AH64" s="634"/>
      <c r="AL64" s="634"/>
      <c r="AO64" s="635"/>
      <c r="AP64" s="634"/>
      <c r="AS64" s="635"/>
      <c r="AW64" s="635"/>
      <c r="BA64" s="636"/>
    </row>
    <row r="65" spans="1:53" s="945" customFormat="1">
      <c r="A65" s="945">
        <v>2018</v>
      </c>
      <c r="B65" s="359">
        <v>43437</v>
      </c>
      <c r="C65" s="992" t="s">
        <v>1361</v>
      </c>
      <c r="D65" s="992"/>
      <c r="E65" s="945">
        <v>29</v>
      </c>
      <c r="F65" s="493">
        <v>0</v>
      </c>
      <c r="G65" s="642"/>
      <c r="I65" s="945">
        <v>13</v>
      </c>
      <c r="J65" s="644">
        <v>13</v>
      </c>
      <c r="K65" s="640">
        <f t="shared" si="18"/>
        <v>0</v>
      </c>
      <c r="L65" s="640">
        <f t="shared" si="19"/>
        <v>0</v>
      </c>
      <c r="M65" s="640">
        <f t="shared" si="20"/>
        <v>100</v>
      </c>
      <c r="N65" s="643">
        <f t="shared" si="21"/>
        <v>100</v>
      </c>
      <c r="O65" s="639"/>
      <c r="P65" s="640"/>
      <c r="Q65" s="640">
        <v>53.8</v>
      </c>
      <c r="R65" s="641">
        <f t="shared" si="22"/>
        <v>53.8</v>
      </c>
      <c r="S65" s="945">
        <v>2</v>
      </c>
      <c r="T65" s="487"/>
      <c r="U65" s="944"/>
      <c r="V65" s="634" t="s">
        <v>1362</v>
      </c>
      <c r="W65" s="945" t="s">
        <v>945</v>
      </c>
      <c r="X65" s="945" t="s">
        <v>12</v>
      </c>
      <c r="Y65" s="635">
        <v>39.700000000000003</v>
      </c>
      <c r="Z65" s="945" t="s">
        <v>131</v>
      </c>
      <c r="AA65" s="945" t="s">
        <v>98</v>
      </c>
      <c r="AB65" s="945" t="s">
        <v>12</v>
      </c>
      <c r="AC65" s="945">
        <v>12.1</v>
      </c>
      <c r="AD65" s="634"/>
      <c r="AG65" s="635"/>
      <c r="AH65" s="634"/>
      <c r="AL65" s="634"/>
      <c r="AO65" s="635"/>
      <c r="AP65" s="634"/>
      <c r="AS65" s="635"/>
      <c r="AW65" s="635"/>
      <c r="BA65" s="636"/>
    </row>
    <row r="66" spans="1:53">
      <c r="B66" s="2"/>
      <c r="C66" s="2"/>
      <c r="D66" s="2"/>
      <c r="E66" s="2"/>
      <c r="F66" s="2"/>
      <c r="G66" s="2"/>
      <c r="H66" s="2"/>
      <c r="I66" s="2"/>
      <c r="J66" s="2"/>
      <c r="K66" s="2"/>
      <c r="L66" s="2"/>
      <c r="M66" s="2"/>
      <c r="N66" s="2"/>
    </row>
    <row r="67" spans="1:53" s="2" customFormat="1" ht="18" customHeight="1">
      <c r="B67" s="22" t="s">
        <v>1278</v>
      </c>
    </row>
    <row r="68" spans="1:53" s="2" customFormat="1" ht="9" customHeight="1"/>
    <row r="69" spans="1:53" s="364" customFormat="1" ht="9" customHeight="1">
      <c r="A69" s="362"/>
      <c r="B69" s="363" t="s">
        <v>1229</v>
      </c>
      <c r="C69" s="363"/>
      <c r="D69" s="363"/>
      <c r="E69" s="363"/>
      <c r="F69" s="363"/>
      <c r="G69" s="363" t="s">
        <v>1230</v>
      </c>
      <c r="H69" s="363"/>
      <c r="I69" s="363"/>
      <c r="J69" s="363"/>
      <c r="K69" s="363"/>
      <c r="L69" s="363"/>
      <c r="M69" s="363"/>
      <c r="N69" s="363"/>
      <c r="R69" s="982" t="s">
        <v>1231</v>
      </c>
      <c r="S69" s="982"/>
      <c r="T69" s="982"/>
      <c r="U69" s="982"/>
      <c r="V69" s="982"/>
      <c r="W69" s="982"/>
      <c r="X69" s="365"/>
      <c r="Y69" s="365"/>
      <c r="AA69" s="365"/>
      <c r="AB69" s="365"/>
      <c r="AC69" s="365"/>
      <c r="AD69" s="365"/>
    </row>
    <row r="70" spans="1:53" s="369" customFormat="1" ht="9" customHeight="1">
      <c r="A70" s="366"/>
      <c r="B70" s="367" t="s">
        <v>1233</v>
      </c>
      <c r="C70" s="368"/>
      <c r="D70" s="368"/>
      <c r="E70" s="368"/>
      <c r="F70" s="368"/>
      <c r="G70" s="367" t="s">
        <v>1232</v>
      </c>
      <c r="H70" s="368"/>
      <c r="I70" s="368"/>
      <c r="J70" s="368"/>
      <c r="K70" s="368"/>
      <c r="L70" s="368"/>
      <c r="M70" s="368"/>
      <c r="N70" s="368"/>
      <c r="R70" s="370" t="s">
        <v>1234</v>
      </c>
      <c r="S70" s="371"/>
      <c r="T70" s="372"/>
      <c r="U70" s="372"/>
      <c r="V70" s="372"/>
      <c r="W70" s="370" t="s">
        <v>1235</v>
      </c>
      <c r="X70" s="372"/>
      <c r="Y70" s="372"/>
      <c r="AA70" s="372"/>
      <c r="AB70" s="372"/>
      <c r="AC70" s="372"/>
      <c r="AD70" s="372"/>
    </row>
    <row r="71" spans="1:53" s="351" customFormat="1" ht="12" customHeight="1">
      <c r="A71" s="373" t="s">
        <v>3</v>
      </c>
      <c r="B71" s="374" t="s">
        <v>8</v>
      </c>
      <c r="C71" s="374" t="s">
        <v>9</v>
      </c>
      <c r="D71" s="374" t="s">
        <v>10</v>
      </c>
      <c r="E71" s="375" t="s">
        <v>1209</v>
      </c>
      <c r="F71" s="374"/>
      <c r="G71" s="351" t="s">
        <v>3</v>
      </c>
      <c r="H71" s="983" t="s">
        <v>0</v>
      </c>
      <c r="I71" s="983"/>
      <c r="J71" s="983" t="s">
        <v>1</v>
      </c>
      <c r="K71" s="983"/>
      <c r="L71" s="983" t="s">
        <v>2</v>
      </c>
      <c r="M71" s="983"/>
      <c r="N71" s="984" t="s">
        <v>1209</v>
      </c>
      <c r="O71" s="984"/>
      <c r="P71" s="376"/>
      <c r="Q71" s="376"/>
      <c r="R71" s="377" t="s">
        <v>3</v>
      </c>
      <c r="S71" s="378" t="s">
        <v>136</v>
      </c>
      <c r="T71" s="376" t="s">
        <v>134</v>
      </c>
      <c r="U71" s="374" t="s">
        <v>135</v>
      </c>
      <c r="V71" s="376"/>
      <c r="W71" s="379" t="s">
        <v>26</v>
      </c>
    </row>
    <row r="72" spans="1:53" s="16" customFormat="1" ht="9" customHeight="1">
      <c r="A72" s="44">
        <v>1990</v>
      </c>
      <c r="B72" s="196"/>
      <c r="C72" s="196"/>
      <c r="D72" s="196"/>
      <c r="E72" s="70"/>
      <c r="F72" s="196"/>
      <c r="G72" s="16">
        <v>1990</v>
      </c>
      <c r="H72" s="196"/>
      <c r="I72" s="196"/>
      <c r="J72" s="196"/>
      <c r="K72" s="196"/>
      <c r="L72" s="196"/>
      <c r="M72" s="196"/>
      <c r="N72" s="70"/>
      <c r="O72" s="70"/>
      <c r="P72" s="197"/>
      <c r="Q72" s="197"/>
      <c r="R72" s="203">
        <v>1990</v>
      </c>
      <c r="S72" s="197"/>
      <c r="T72" s="197"/>
      <c r="U72" s="196"/>
      <c r="V72" s="197"/>
      <c r="W72" s="198"/>
    </row>
    <row r="73" spans="1:53" s="16" customFormat="1" ht="9" customHeight="1">
      <c r="A73" s="44">
        <v>1991</v>
      </c>
      <c r="B73" s="196"/>
      <c r="C73" s="196"/>
      <c r="D73" s="196"/>
      <c r="E73" s="70"/>
      <c r="F73" s="196"/>
      <c r="G73" s="16">
        <v>1991</v>
      </c>
      <c r="H73" s="196"/>
      <c r="I73" s="196"/>
      <c r="J73" s="196"/>
      <c r="K73" s="196"/>
      <c r="L73" s="196"/>
      <c r="M73" s="196"/>
      <c r="N73" s="70"/>
      <c r="O73" s="70"/>
      <c r="P73" s="197"/>
      <c r="Q73" s="197"/>
      <c r="R73" s="203">
        <v>1991</v>
      </c>
      <c r="S73" s="197"/>
      <c r="T73" s="197"/>
      <c r="U73" s="196"/>
      <c r="V73" s="197"/>
      <c r="W73" s="198"/>
    </row>
    <row r="74" spans="1:53" ht="9" customHeight="1">
      <c r="A74" s="1">
        <v>1992</v>
      </c>
      <c r="B74" s="8">
        <f>(K7*($E7/22))</f>
        <v>0</v>
      </c>
      <c r="C74" s="8">
        <f>(L7*($E7/22))</f>
        <v>0</v>
      </c>
      <c r="D74" s="8">
        <f>(M7*($E7/22))</f>
        <v>100</v>
      </c>
      <c r="E74" s="52">
        <f t="shared" ref="E74:E94" si="23">SUM(B74:D74)</f>
        <v>100</v>
      </c>
      <c r="G74" s="1">
        <v>1992</v>
      </c>
      <c r="H74" s="989">
        <f>(O7/$R7*100*($E7/22))</f>
        <v>0</v>
      </c>
      <c r="I74" s="989"/>
      <c r="J74" s="989">
        <f>(P7/$R7*100*($E7/22))</f>
        <v>0</v>
      </c>
      <c r="K74" s="989"/>
      <c r="L74" s="989">
        <f>(Q7/$R7*100*($E7/22))</f>
        <v>100</v>
      </c>
      <c r="M74" s="989"/>
      <c r="N74" s="1011">
        <f t="shared" ref="N74:N94" si="24">H74+J74+L74</f>
        <v>100</v>
      </c>
      <c r="O74" s="1011"/>
      <c r="R74" s="1">
        <v>1992</v>
      </c>
      <c r="S74" s="8">
        <f>(O7*($E7/22))</f>
        <v>0</v>
      </c>
      <c r="T74" s="8">
        <f>(P7*($E7/22))</f>
        <v>0</v>
      </c>
      <c r="U74" s="8">
        <f>(Q7*($E7/22))</f>
        <v>51.8</v>
      </c>
      <c r="W74" s="7">
        <f t="shared" ref="W74:W94" si="25">S74+T74+U74</f>
        <v>51.8</v>
      </c>
      <c r="X74" s="66"/>
      <c r="Y74" s="71" t="s">
        <v>1239</v>
      </c>
      <c r="Z74" s="66"/>
      <c r="AA74" s="66"/>
      <c r="AB74" s="67"/>
    </row>
    <row r="75" spans="1:53" ht="9" customHeight="1">
      <c r="A75" s="1">
        <v>1993</v>
      </c>
      <c r="B75" s="8">
        <f>(K8*($E8/365))+(K9*($E9/365))</f>
        <v>0</v>
      </c>
      <c r="C75" s="8">
        <f>(L8*($E8/365))+(L9*($E9/365))</f>
        <v>0</v>
      </c>
      <c r="D75" s="8">
        <f>(M8*($E8/365))+(M9*($E9/365))</f>
        <v>100</v>
      </c>
      <c r="E75" s="52">
        <f t="shared" si="23"/>
        <v>100</v>
      </c>
      <c r="G75" s="1">
        <v>1993</v>
      </c>
      <c r="H75" s="1001">
        <f>(O8/$R8*100*($E8/365))+(O9/$R9*100*($E9/365))</f>
        <v>0</v>
      </c>
      <c r="I75" s="1001"/>
      <c r="J75" s="1001">
        <f>(P8/$R8*100*($E8/365))+(P9/$R9*100*($E9/365))</f>
        <v>0</v>
      </c>
      <c r="K75" s="1001"/>
      <c r="L75" s="1001">
        <f>(Q8/$R8*100*($E8/365))+(Q9/$R9*100*($E9/365))</f>
        <v>100</v>
      </c>
      <c r="M75" s="1001"/>
      <c r="N75" s="1011">
        <f t="shared" si="24"/>
        <v>100</v>
      </c>
      <c r="O75" s="1011"/>
      <c r="R75" s="1">
        <v>1993</v>
      </c>
      <c r="S75" s="8">
        <f>(O8*($E8/365))+(O9*($E9/365))</f>
        <v>0</v>
      </c>
      <c r="T75" s="8">
        <f>(P8*($E8/365))+(P9*($E9/365))</f>
        <v>0</v>
      </c>
      <c r="U75" s="8">
        <f>(Q8*($E8/365))+(Q9*($E9/365))</f>
        <v>51.79999999999999</v>
      </c>
      <c r="W75" s="7">
        <f t="shared" si="25"/>
        <v>51.79999999999999</v>
      </c>
    </row>
    <row r="76" spans="1:53" ht="9" customHeight="1">
      <c r="A76" s="1">
        <v>1994</v>
      </c>
      <c r="B76" s="8">
        <f>(K10*($E10/365))+(K11*($E11/365))</f>
        <v>0</v>
      </c>
      <c r="C76" s="8">
        <f>(L10*($E10/365))+(L11*($E11/365))</f>
        <v>0</v>
      </c>
      <c r="D76" s="8">
        <f>(M10*($E10/365))+(M11*($E11/365))</f>
        <v>100</v>
      </c>
      <c r="E76" s="52">
        <f t="shared" si="23"/>
        <v>100</v>
      </c>
      <c r="G76" s="1">
        <v>1994</v>
      </c>
      <c r="H76" s="1001">
        <f>(O10/$R10*100*($E10/365))+(O11/$R11*100*($E11/365))</f>
        <v>0</v>
      </c>
      <c r="I76" s="1001"/>
      <c r="J76" s="1001">
        <f>(P10/$R10*100*($E10/365))+(P11/$R11*100*($E11/365))</f>
        <v>0</v>
      </c>
      <c r="K76" s="1001"/>
      <c r="L76" s="1001">
        <f>(Q10/$R10*100*($E10/365))+(Q11/$R11*100*($E11/365))</f>
        <v>100</v>
      </c>
      <c r="M76" s="1001"/>
      <c r="N76" s="1011">
        <f t="shared" si="24"/>
        <v>100</v>
      </c>
      <c r="O76" s="1011"/>
      <c r="R76" s="1">
        <v>1994</v>
      </c>
      <c r="S76" s="8">
        <f>(O10*($E10/365))+(O11*($E11/365))</f>
        <v>0</v>
      </c>
      <c r="T76" s="8">
        <f>(P10*($E10/365))+(P11*($E11/365))</f>
        <v>0</v>
      </c>
      <c r="U76" s="8">
        <f>(Q10*($E10/365))+(Q11*($E11/365))</f>
        <v>51.8</v>
      </c>
      <c r="W76" s="7">
        <f t="shared" si="25"/>
        <v>51.8</v>
      </c>
    </row>
    <row r="77" spans="1:53" ht="9" customHeight="1">
      <c r="A77" s="1">
        <v>1995</v>
      </c>
      <c r="B77" s="8">
        <f>(K12*($E12/365))+(K13*($E13/365))</f>
        <v>0</v>
      </c>
      <c r="C77" s="8">
        <f>(L12*($E12/365))+(L13*($E13/365))</f>
        <v>0</v>
      </c>
      <c r="D77" s="8">
        <f>(M12*($E12/365))+(M13*($E13/365))</f>
        <v>100</v>
      </c>
      <c r="E77" s="52">
        <f t="shared" si="23"/>
        <v>100</v>
      </c>
      <c r="G77" s="1">
        <v>1995</v>
      </c>
      <c r="H77" s="1001">
        <f>(O12/$R12*100*($E12/365))+(O13/$R13*100*($E13/365))</f>
        <v>0</v>
      </c>
      <c r="I77" s="1001"/>
      <c r="J77" s="1001">
        <f>(P12/$R12*100*($E12/365))+(P13/$R13*100*($E13/365))</f>
        <v>0</v>
      </c>
      <c r="K77" s="1001"/>
      <c r="L77" s="1001">
        <f>(Q12/$R12*100*($E12/365))+(Q13/$R13*100*($E13/365))</f>
        <v>100</v>
      </c>
      <c r="M77" s="1001"/>
      <c r="N77" s="1011">
        <f t="shared" si="24"/>
        <v>100</v>
      </c>
      <c r="O77" s="1011"/>
      <c r="R77" s="1">
        <v>1995</v>
      </c>
      <c r="S77" s="8">
        <f>(O12*($E12/365))+(O13*($E13/365))</f>
        <v>0</v>
      </c>
      <c r="T77" s="8">
        <f>(P12*($E12/365))+(P13*($E13/365))</f>
        <v>0</v>
      </c>
      <c r="U77" s="8">
        <f>(Q12*($E12/365))+(Q13*($E13/365))</f>
        <v>51.8</v>
      </c>
      <c r="W77" s="7">
        <f t="shared" si="25"/>
        <v>51.8</v>
      </c>
    </row>
    <row r="78" spans="1:53" ht="9" customHeight="1">
      <c r="A78" s="1">
        <v>1996</v>
      </c>
      <c r="B78" s="8">
        <f>(K14*($E14/366))+(K15*($E15/366))+(K16*($E16/366))</f>
        <v>7.3127611700417869</v>
      </c>
      <c r="C78" s="8">
        <f>(L14*($E14/366))+(L15*($E15/366))+(L16*($E16/366))</f>
        <v>1.6875602700096433</v>
      </c>
      <c r="D78" s="8">
        <f>(M14*($E14/366))+(M15*($E15/366))+(M16*($E16/366))</f>
        <v>90.437158469945345</v>
      </c>
      <c r="E78" s="52">
        <f t="shared" si="23"/>
        <v>99.437479909996767</v>
      </c>
      <c r="G78" s="1">
        <v>1996</v>
      </c>
      <c r="H78" s="1001">
        <f>(O14/$R14*100*($E14/366))+(O15/$R15*100*($E15/366))+(O16/$R16*100*($E16/366))</f>
        <v>8.0153277554814863</v>
      </c>
      <c r="I78" s="1001"/>
      <c r="J78" s="1001">
        <f>(P14/$R14*100*($E14/366))+(P15/$R15*100*($E15/366))+(P16/$R16*100*($E16/366))</f>
        <v>1.5475137745731582</v>
      </c>
      <c r="K78" s="1001"/>
      <c r="L78" s="1001">
        <f>(Q14/$R14*100*($E14/366))+(Q15/$R15*100*($E15/366))+(Q16/$R16*100*($E16/366))</f>
        <v>90.437158469945345</v>
      </c>
      <c r="M78" s="1001"/>
      <c r="N78" s="1011">
        <f t="shared" si="24"/>
        <v>99.999999999999986</v>
      </c>
      <c r="O78" s="1011"/>
      <c r="R78" s="1">
        <v>1996</v>
      </c>
      <c r="S78" s="8">
        <f>(O14*($E14/366))+(O15*($E15/366))+(O16*($E16/366))</f>
        <v>5.7950819672131146</v>
      </c>
      <c r="T78" s="8">
        <f>(P14*($E14/366))+(P15*($E15/366))+(P16*($E16/366))</f>
        <v>1.1188524590163933</v>
      </c>
      <c r="U78" s="8">
        <f>(Q14*($E14/366))+(Q15*($E15/366))+(Q16*($E16/366))</f>
        <v>46.846448087431689</v>
      </c>
      <c r="W78" s="7">
        <f t="shared" si="25"/>
        <v>53.760382513661199</v>
      </c>
    </row>
    <row r="79" spans="1:53" ht="9" customHeight="1">
      <c r="A79" s="1">
        <v>1997</v>
      </c>
      <c r="B79" s="8">
        <f>(K17*($E17/365))+(K18*($E18/365))</f>
        <v>76.470588235294116</v>
      </c>
      <c r="C79" s="8">
        <f>(L17*($E17/365))+(L18*($E18/365))</f>
        <v>17.647058823529413</v>
      </c>
      <c r="D79" s="8">
        <f>(M17*($E17/365))+(M18*($E18/365))</f>
        <v>0</v>
      </c>
      <c r="E79" s="52">
        <f t="shared" si="23"/>
        <v>94.117647058823536</v>
      </c>
      <c r="G79" s="1">
        <v>1997</v>
      </c>
      <c r="H79" s="1001">
        <f>(O17/$R17*100*($E17/365))+(O18/$R18*100*($E18/365))</f>
        <v>83.817427385892117</v>
      </c>
      <c r="I79" s="1001"/>
      <c r="J79" s="1001">
        <f>(P17/$R17*100*($E17/365))+(P18/$R18*100*($E18/365))</f>
        <v>16.182572614107883</v>
      </c>
      <c r="K79" s="1001"/>
      <c r="L79" s="1001">
        <f>(Q17/$R17*100*($E17/365))+(Q18/$R18*100*($E18/365))</f>
        <v>0</v>
      </c>
      <c r="M79" s="1001"/>
      <c r="N79" s="1011">
        <f t="shared" si="24"/>
        <v>100</v>
      </c>
      <c r="O79" s="1011"/>
      <c r="R79" s="1">
        <v>1997</v>
      </c>
      <c r="S79" s="8">
        <f>(O17*($E17/365))+(O18*($E18/365))</f>
        <v>60.6</v>
      </c>
      <c r="T79" s="8">
        <f>(P17*($E17/365))+(P18*($E18/365))</f>
        <v>11.7</v>
      </c>
      <c r="U79" s="8">
        <f>(Q17*($E17/365))+(Q18*($E18/365))</f>
        <v>0</v>
      </c>
      <c r="W79" s="7">
        <f t="shared" si="25"/>
        <v>72.3</v>
      </c>
    </row>
    <row r="80" spans="1:53" ht="9" customHeight="1">
      <c r="A80" s="1">
        <v>1998</v>
      </c>
      <c r="B80" s="8">
        <f>(K19*($E19/365))+(K20*($E20/365))</f>
        <v>68.89605157131345</v>
      </c>
      <c r="C80" s="8">
        <f>(L19*($E19/365))+(L20*($E20/365))</f>
        <v>14.314262691377921</v>
      </c>
      <c r="D80" s="8">
        <f>(M19*($E19/365))+(M20*($E20/365))</f>
        <v>0</v>
      </c>
      <c r="E80" s="52">
        <f t="shared" si="23"/>
        <v>83.210314262691369</v>
      </c>
      <c r="G80" s="1">
        <v>1998</v>
      </c>
      <c r="H80" s="1001">
        <f>(O19/$R19*100*($E19/365))+(O20/$R20*100*($E20/365))</f>
        <v>83.817427385892131</v>
      </c>
      <c r="I80" s="1001"/>
      <c r="J80" s="1001">
        <f>(P19/$R19*100*($E19/365))+(P20/$R20*100*($E20/365))</f>
        <v>16.182572614107883</v>
      </c>
      <c r="K80" s="1001"/>
      <c r="L80" s="1001">
        <f>(Q19/$R19*100*($E19/365))+(Q20/$R20*100*($E20/365))</f>
        <v>0</v>
      </c>
      <c r="M80" s="1001"/>
      <c r="N80" s="1011">
        <f t="shared" si="24"/>
        <v>100.00000000000001</v>
      </c>
      <c r="O80" s="1011"/>
      <c r="R80" s="1">
        <v>1998</v>
      </c>
      <c r="S80" s="8">
        <f>(O19*($E19/365))+(O20*($E20/365))</f>
        <v>60.600000000000009</v>
      </c>
      <c r="T80" s="8">
        <f>(P19*($E19/365))+(P20*($E20/365))</f>
        <v>11.7</v>
      </c>
      <c r="U80" s="8">
        <f>(Q19*($E19/365))+(Q20*($E20/365))</f>
        <v>0</v>
      </c>
      <c r="W80" s="7">
        <f t="shared" si="25"/>
        <v>72.300000000000011</v>
      </c>
    </row>
    <row r="81" spans="1:23" ht="9" customHeight="1">
      <c r="A81" s="1">
        <v>1999</v>
      </c>
      <c r="B81" s="8">
        <f>(K21*($E21/365))+(K22*($E22/365))+(K23*($E23/365))</f>
        <v>59.465101108936722</v>
      </c>
      <c r="C81" s="8">
        <f>(L21*($E21/365))+(L22*($E22/365))+(L23*($E23/365))</f>
        <v>13.928245270711024</v>
      </c>
      <c r="D81" s="8">
        <f>(M21*($E21/365))+(M22*($E22/365))+(M23*($E23/365))</f>
        <v>0</v>
      </c>
      <c r="E81" s="52">
        <f t="shared" si="23"/>
        <v>73.393346379647738</v>
      </c>
      <c r="G81" s="1">
        <v>1999</v>
      </c>
      <c r="H81" s="1001">
        <f>(O21/$R21*100*($E21/365))+(O22/$R22*100*($E22/365))+(O23/$R23*100*($E23/365))</f>
        <v>83.817427385892117</v>
      </c>
      <c r="I81" s="1001"/>
      <c r="J81" s="1001">
        <f>(P21/$R21*100*($E21/365))+(P22/$R22*100*($E22/365))+(P23/$R23*100*($E23/365))</f>
        <v>16.182572614107883</v>
      </c>
      <c r="K81" s="1001"/>
      <c r="L81" s="1001">
        <f>(Q21/$R21*100*($E21/365))+(Q22/$R22*100*($E22/365))+(Q23/$R23*100*($E23/365))</f>
        <v>0</v>
      </c>
      <c r="M81" s="1001"/>
      <c r="N81" s="1011">
        <f t="shared" si="24"/>
        <v>100</v>
      </c>
      <c r="O81" s="1011"/>
      <c r="R81" s="1">
        <v>1999</v>
      </c>
      <c r="S81" s="8">
        <f>(O21*($E21/365))+(O22*($E22/365))+(O23*($E23/365))</f>
        <v>60.599999999999994</v>
      </c>
      <c r="T81" s="8">
        <f>(P21*($E21/365))+(P22*($E22/365))+(P23*($E23/365))</f>
        <v>11.7</v>
      </c>
      <c r="U81" s="8">
        <f>(Q21*($E21/365))+(Q22*($E22/365))+(Q23*($E23/365))</f>
        <v>0</v>
      </c>
      <c r="W81" s="7">
        <f t="shared" si="25"/>
        <v>72.3</v>
      </c>
    </row>
    <row r="82" spans="1:23" ht="9" customHeight="1">
      <c r="A82" s="1">
        <v>2000</v>
      </c>
      <c r="B82" s="8">
        <f>(K24*($E24/366))+(K25*($E25/366))</f>
        <v>50</v>
      </c>
      <c r="C82" s="8">
        <f>(L24*($E24/366))+(L25*($E25/366))</f>
        <v>19.437939110070257</v>
      </c>
      <c r="D82" s="8">
        <f>(M24*($E24/366))+(M25*($E25/366))</f>
        <v>0</v>
      </c>
      <c r="E82" s="52">
        <f t="shared" si="23"/>
        <v>69.437939110070261</v>
      </c>
      <c r="G82" s="1">
        <v>2000</v>
      </c>
      <c r="H82" s="1001">
        <f>(O24/$R24*100*($E24/366))+(O25/$R25*100*($E25/366))</f>
        <v>78.448010559367148</v>
      </c>
      <c r="I82" s="1001"/>
      <c r="J82" s="1001">
        <f>(P24/$R24*100*($E24/366))+(P25/$R25*100*($E25/366))</f>
        <v>21.551989440632859</v>
      </c>
      <c r="K82" s="1001"/>
      <c r="L82" s="1001">
        <f>(Q24/$R24*100*($E24/366))+(Q25/$R25*100*($E25/366))</f>
        <v>0</v>
      </c>
      <c r="M82" s="1001"/>
      <c r="N82" s="1011">
        <f t="shared" si="24"/>
        <v>100</v>
      </c>
      <c r="O82" s="1011"/>
      <c r="R82" s="1">
        <v>2000</v>
      </c>
      <c r="S82" s="8">
        <f>(O24*($E24/366))+(O25*($E25/366))</f>
        <v>53.891803278688528</v>
      </c>
      <c r="T82" s="8">
        <f>(P24*($E24/366))+(P25*($E25/366))</f>
        <v>13.178688524590164</v>
      </c>
      <c r="U82" s="8">
        <f>(Q24*($E24/366))+(Q25*($E25/366))</f>
        <v>0</v>
      </c>
      <c r="W82" s="7">
        <f t="shared" si="25"/>
        <v>67.070491803278685</v>
      </c>
    </row>
    <row r="83" spans="1:23" ht="9" customHeight="1">
      <c r="A83" s="1">
        <v>2001</v>
      </c>
      <c r="B83" s="8">
        <f xml:space="preserve"> (K26*($E26/365))+(K27*($E27/365))</f>
        <v>25.342465753424658</v>
      </c>
      <c r="C83" s="8">
        <f xml:space="preserve"> (L26*($E26/365))+(L27*($E27/365))</f>
        <v>42.857142857142854</v>
      </c>
      <c r="D83" s="8">
        <f xml:space="preserve"> (M26*($E26/365))+(M27*($E27/365))</f>
        <v>14.090019569471622</v>
      </c>
      <c r="E83" s="52">
        <f t="shared" si="23"/>
        <v>82.289628180039131</v>
      </c>
      <c r="G83" s="1">
        <v>2001</v>
      </c>
      <c r="H83" s="1001">
        <f>(O26/$R26*100*($E26/365))+(O27/$R27*100*($E27/365))</f>
        <v>27.390932962131039</v>
      </c>
      <c r="I83" s="1001"/>
      <c r="J83" s="1001">
        <f>(P26/$R26*100*($E26/365))+(P27/$R27*100*($E27/365))</f>
        <v>41.501231624749792</v>
      </c>
      <c r="K83" s="1001"/>
      <c r="L83" s="1001">
        <f>(Q26/$R26*100*($E26/365))+(Q27/$R27*100*($E27/365))</f>
        <v>31.107835413119169</v>
      </c>
      <c r="M83" s="1001"/>
      <c r="N83" s="1011">
        <f t="shared" si="24"/>
        <v>100</v>
      </c>
      <c r="O83" s="1011"/>
      <c r="R83" s="1">
        <v>2001</v>
      </c>
      <c r="S83" s="8">
        <f xml:space="preserve"> (O26*($E26/365))+(O27*($E27/365))</f>
        <v>11.860273972602739</v>
      </c>
      <c r="T83" s="8">
        <f xml:space="preserve"> (P26*($E26/365))+(P27*($E27/365))</f>
        <v>19.899999999999999</v>
      </c>
      <c r="U83" s="8">
        <f xml:space="preserve"> (Q26*($E26/365))+(Q27*($E27/365))</f>
        <v>16.767123287671232</v>
      </c>
      <c r="W83" s="7">
        <f t="shared" si="25"/>
        <v>48.527397260273972</v>
      </c>
    </row>
    <row r="84" spans="1:23" ht="9" customHeight="1">
      <c r="A84" s="1">
        <v>2002</v>
      </c>
      <c r="B84" s="8">
        <f xml:space="preserve"> (K28*($E28/365))+(K29*($E29/365))</f>
        <v>0</v>
      </c>
      <c r="C84" s="8">
        <f xml:space="preserve"> (L28*($E28/365))+(L29*($E29/365))</f>
        <v>42.857142857142854</v>
      </c>
      <c r="D84" s="8">
        <f xml:space="preserve"> (M28*($E28/365))+(M29*($E29/365))</f>
        <v>28.571428571428569</v>
      </c>
      <c r="E84" s="52">
        <f t="shared" si="23"/>
        <v>71.428571428571416</v>
      </c>
      <c r="G84" s="1">
        <v>2002</v>
      </c>
      <c r="H84" s="1001">
        <f>(O28/$R28*100*($E28/365))+(O29/$R29*100*($E29/365))</f>
        <v>0</v>
      </c>
      <c r="I84" s="1001"/>
      <c r="J84" s="1001">
        <f>(P28/$R28*100*($E28/365))+(P29/$R29*100*($E29/365))</f>
        <v>36.920222634508349</v>
      </c>
      <c r="K84" s="1001"/>
      <c r="L84" s="1001">
        <f>(Q28/$R28*100*($E28/365))+(Q29/$R29*100*($E29/365))</f>
        <v>63.079777365491651</v>
      </c>
      <c r="M84" s="1001"/>
      <c r="N84" s="1011">
        <f t="shared" si="24"/>
        <v>100</v>
      </c>
      <c r="O84" s="1011"/>
      <c r="R84" s="1">
        <v>2002</v>
      </c>
      <c r="S84" s="8">
        <f xml:space="preserve"> (O28*($E28/365))+(O29*($E29/365))</f>
        <v>0</v>
      </c>
      <c r="T84" s="8">
        <f xml:space="preserve"> (P28*($E28/365))+(P29*($E29/365))</f>
        <v>19.899999999999999</v>
      </c>
      <c r="U84" s="8">
        <f xml:space="preserve"> (Q28*($E28/365))+(Q29*($E29/365))</f>
        <v>34</v>
      </c>
      <c r="W84" s="7">
        <f t="shared" si="25"/>
        <v>53.9</v>
      </c>
    </row>
    <row r="85" spans="1:23" ht="9" customHeight="1">
      <c r="A85" s="1">
        <v>2003</v>
      </c>
      <c r="B85" s="8">
        <f xml:space="preserve"> (K30*($E30/365))+(K31*($E31/365))</f>
        <v>0</v>
      </c>
      <c r="C85" s="8">
        <f xml:space="preserve"> (L30*($E30/365))+(L31*($E31/365))</f>
        <v>36.966731898238748</v>
      </c>
      <c r="D85" s="8">
        <f xml:space="preserve"> (M30*($E30/365))+(M31*($E31/365))</f>
        <v>34.461839530332682</v>
      </c>
      <c r="E85" s="52">
        <f t="shared" si="23"/>
        <v>71.428571428571431</v>
      </c>
      <c r="G85" s="1">
        <v>2003</v>
      </c>
      <c r="H85" s="1001">
        <f>(O30/$R30*100*($E30/365))+(O31/$R31*100*($E31/365))</f>
        <v>0</v>
      </c>
      <c r="I85" s="1001"/>
      <c r="J85" s="1001">
        <f>(P30/$R30*100*($E30/365))+(P31/$R31*100*($E31/365))</f>
        <v>36.920222634508349</v>
      </c>
      <c r="K85" s="1001"/>
      <c r="L85" s="1001">
        <f>(Q30/$R30*100*($E30/365))+(Q31/$R31*100*($E31/365))</f>
        <v>63.079777365491658</v>
      </c>
      <c r="M85" s="1001"/>
      <c r="N85" s="1011">
        <f t="shared" si="24"/>
        <v>100</v>
      </c>
      <c r="O85" s="1011"/>
      <c r="R85" s="1">
        <v>2003</v>
      </c>
      <c r="S85" s="8">
        <f xml:space="preserve"> (O30*($E30/365))+(O31*($E31/365))</f>
        <v>0</v>
      </c>
      <c r="T85" s="8">
        <f xml:space="preserve"> (P30*($E30/365))+(P31*($E31/365))</f>
        <v>19.900000000000002</v>
      </c>
      <c r="U85" s="8">
        <f xml:space="preserve"> (Q30*($E30/365))+(Q31*($E31/365))</f>
        <v>34</v>
      </c>
      <c r="W85" s="7">
        <f t="shared" si="25"/>
        <v>53.900000000000006</v>
      </c>
    </row>
    <row r="86" spans="1:23" ht="9" customHeight="1">
      <c r="A86" s="1">
        <v>2004</v>
      </c>
      <c r="B86" s="8">
        <f xml:space="preserve"> (K32*($E32/366))+(K33*($E33/366))+(K34*($E34/366))</f>
        <v>0</v>
      </c>
      <c r="C86" s="8">
        <f xml:space="preserve"> (L32*($E32/366))+(L33*($E33/366))+(L34*($E34/366))</f>
        <v>34.660421545667447</v>
      </c>
      <c r="D86" s="8">
        <f xml:space="preserve"> (M32*($E32/366))+(M33*($E33/366))+(M34*($E34/366))</f>
        <v>42.544886807181889</v>
      </c>
      <c r="E86" s="52">
        <f t="shared" si="23"/>
        <v>77.205308352849329</v>
      </c>
      <c r="G86" s="1">
        <v>2004</v>
      </c>
      <c r="H86" s="1001">
        <f>(O32/$R32*100*($E32/366))+(O33/$R33*100*($E33/366))+(O34/$R34*100*($E34/366))</f>
        <v>0</v>
      </c>
      <c r="I86" s="1001"/>
      <c r="J86" s="1001">
        <f>(P32/$R32*100*($E32/366))+(P33/$R33*100*($E33/366))+(P34/$R34*100*($E34/366))</f>
        <v>35.779837637706159</v>
      </c>
      <c r="K86" s="1001"/>
      <c r="L86" s="1001">
        <f>(Q32/$R32*100*($E32/366))+(Q33/$R33*100*($E33/366))+(Q34/$R34*100*($E34/366))</f>
        <v>64.220162362293848</v>
      </c>
      <c r="M86" s="1001"/>
      <c r="N86" s="1011">
        <f t="shared" si="24"/>
        <v>100</v>
      </c>
      <c r="O86" s="1011"/>
      <c r="R86" s="1">
        <v>2004</v>
      </c>
      <c r="S86" s="8">
        <f xml:space="preserve"> (O32*($E32/366))+(O33*($E33/366))+(O34*($E34/366))</f>
        <v>0</v>
      </c>
      <c r="T86" s="8">
        <f xml:space="preserve"> (P32*($E32/366))+(P33*($E33/366))+(P34*($E34/366))</f>
        <v>19.304918032786883</v>
      </c>
      <c r="U86" s="8">
        <f xml:space="preserve"> (Q32*($E32/366))+(Q33*($E33/366))+(Q34*($E34/366))</f>
        <v>34.73770491803279</v>
      </c>
      <c r="W86" s="7">
        <f t="shared" si="25"/>
        <v>54.042622950819677</v>
      </c>
    </row>
    <row r="87" spans="1:23" ht="9" customHeight="1">
      <c r="A87" s="1">
        <v>2005</v>
      </c>
      <c r="B87" s="8">
        <f xml:space="preserve"> (K35*($E35/365))+(K36*($E36/365))</f>
        <v>0</v>
      </c>
      <c r="C87" s="8">
        <f xml:space="preserve"> (L35*($E35/365))+(L36*($E36/365))</f>
        <v>14.285714285714285</v>
      </c>
      <c r="D87" s="8">
        <f xml:space="preserve"> (M35*($E35/365))+(M36*($E36/365))</f>
        <v>85.714285714285708</v>
      </c>
      <c r="E87" s="52">
        <f t="shared" si="23"/>
        <v>100</v>
      </c>
      <c r="G87" s="1">
        <v>2005</v>
      </c>
      <c r="H87" s="1001">
        <f>(O35/$R35*100*($E35/365))+(O36/$R36*100*($E36/365))</f>
        <v>0</v>
      </c>
      <c r="I87" s="1001"/>
      <c r="J87" s="1001">
        <f>(P35/$R35*100*($E35/365))+(P36/$R36*100*($E36/365))</f>
        <v>13.732394366197184</v>
      </c>
      <c r="K87" s="1001"/>
      <c r="L87" s="1001">
        <f>(Q35/$R35*100*($E35/365))+(Q36/$R36*100*($E36/365))</f>
        <v>86.26760563380283</v>
      </c>
      <c r="M87" s="1001"/>
      <c r="N87" s="1011">
        <f t="shared" si="24"/>
        <v>100.00000000000001</v>
      </c>
      <c r="O87" s="1011"/>
      <c r="R87" s="1">
        <v>2005</v>
      </c>
      <c r="S87" s="8">
        <f xml:space="preserve"> (O35*($E35/365))+(O36*($E36/365))</f>
        <v>0</v>
      </c>
      <c r="T87" s="8">
        <f xml:space="preserve"> (P35*($E35/365))+(P36*($E36/365))</f>
        <v>7.8</v>
      </c>
      <c r="U87" s="8">
        <f xml:space="preserve"> (Q35*($E35/365))+(Q36*($E36/365))</f>
        <v>49</v>
      </c>
      <c r="W87" s="7">
        <f t="shared" si="25"/>
        <v>56.8</v>
      </c>
    </row>
    <row r="88" spans="1:23" ht="9" customHeight="1">
      <c r="A88" s="1">
        <v>2006</v>
      </c>
      <c r="B88" s="8">
        <f xml:space="preserve"> (K37*($E37/365))+(K38*($E38/365))+(K39*($E39/365))</f>
        <v>6.5362035225048922</v>
      </c>
      <c r="C88" s="8">
        <f xml:space="preserve"> (L37*($E37/365))+(L38*($E38/365))+(L39*($E39/365))</f>
        <v>6.2230919765166339</v>
      </c>
      <c r="D88" s="8">
        <f xml:space="preserve"> (M37*($E37/365))+(M38*($E38/365))+(M39*($E39/365))</f>
        <v>87.240704500978467</v>
      </c>
      <c r="E88" s="52">
        <f t="shared" si="23"/>
        <v>100</v>
      </c>
      <c r="G88" s="1">
        <v>2006</v>
      </c>
      <c r="H88" s="1001">
        <f>(O37/$R37*100*($E37/365))+(O38/$R38*100*($E38/365))+(O39/$R39*100*($E39/365))</f>
        <v>12.513757171291418</v>
      </c>
      <c r="I88" s="1001"/>
      <c r="J88" s="1001">
        <f>(P37/$R37*100*($E37/365))+(P38/$R38*100*($E38/365))+(P39/$R39*100*($E39/365))</f>
        <v>7.4493536561836775</v>
      </c>
      <c r="K88" s="1001"/>
      <c r="L88" s="1001">
        <f>(Q37/$R37*100*($E37/365))+(Q38/$R38*100*($E38/365))+(Q39/$R39*100*($E39/365))</f>
        <v>80.036889172524923</v>
      </c>
      <c r="M88" s="1001"/>
      <c r="N88" s="1011">
        <f t="shared" si="24"/>
        <v>100.00000000000001</v>
      </c>
      <c r="O88" s="1011"/>
      <c r="R88" s="1">
        <v>2006</v>
      </c>
      <c r="S88" s="8">
        <f xml:space="preserve"> (O37*($E37/365))+(O38*($E38/365))+(O39*($E39/365))</f>
        <v>5.856438356164384</v>
      </c>
      <c r="T88" s="8">
        <f xml:space="preserve"> (P37*($E37/365))+(P38*($E38/365))+(P39*($E39/365))</f>
        <v>4.231232876712328</v>
      </c>
      <c r="U88" s="8">
        <f xml:space="preserve"> (Q37*($E37/365))+(Q38*($E38/365))+(Q39*($E39/365))</f>
        <v>42.136986301369866</v>
      </c>
      <c r="W88" s="7">
        <f t="shared" si="25"/>
        <v>52.224657534246575</v>
      </c>
    </row>
    <row r="89" spans="1:23" ht="9" customHeight="1">
      <c r="A89" s="1">
        <v>2007</v>
      </c>
      <c r="B89" s="8">
        <f xml:space="preserve"> (K40*($E40/365))+(K41*($E41/365))</f>
        <v>14.285714285714285</v>
      </c>
      <c r="C89" s="8">
        <f xml:space="preserve"> (L40*($E40/365))+(L41*($E41/365))</f>
        <v>0</v>
      </c>
      <c r="D89" s="8">
        <f xml:space="preserve"> (M40*($E40/365))+(M41*($E41/365))</f>
        <v>85.714285714285708</v>
      </c>
      <c r="E89" s="52">
        <f t="shared" si="23"/>
        <v>100</v>
      </c>
      <c r="G89" s="1">
        <v>2007</v>
      </c>
      <c r="H89" s="1001">
        <f>(O40/$R40*100*($E40/365))+(O41/$R41*100*($E41/365))</f>
        <v>27.350427350427353</v>
      </c>
      <c r="I89" s="1001"/>
      <c r="J89" s="1001">
        <f>(P40/$R40*100*($E40/365))+(P41/$R41*100*($E41/365))</f>
        <v>0</v>
      </c>
      <c r="K89" s="1001"/>
      <c r="L89" s="1001">
        <f>(Q40/$R40*100*($E40/365))+(Q41/$R41*100*($E41/365))</f>
        <v>72.649572649572661</v>
      </c>
      <c r="M89" s="1001"/>
      <c r="N89" s="1011">
        <f t="shared" si="24"/>
        <v>100.00000000000001</v>
      </c>
      <c r="O89" s="1011"/>
      <c r="R89" s="1">
        <v>2007</v>
      </c>
      <c r="S89" s="8">
        <f xml:space="preserve"> (O40*($E40/365))+(O41*($E41/365))</f>
        <v>12.8</v>
      </c>
      <c r="T89" s="8">
        <f xml:space="preserve"> (P40*($E40/365))+(P41*($E41/365))</f>
        <v>0</v>
      </c>
      <c r="U89" s="8">
        <f xml:space="preserve"> (Q40*($E40/365))+(Q41*($E41/365))</f>
        <v>34</v>
      </c>
      <c r="W89" s="7">
        <f t="shared" si="25"/>
        <v>46.8</v>
      </c>
    </row>
    <row r="90" spans="1:23" ht="9" customHeight="1">
      <c r="A90" s="1">
        <v>2008</v>
      </c>
      <c r="B90" s="8">
        <f xml:space="preserve"> (K42*($E42/366))+(K43*($E43/366))+(K44*($E44/366))+(K45*($E45/366))</f>
        <v>14.519906323185012</v>
      </c>
      <c r="C90" s="8">
        <f xml:space="preserve"> (L42*($E42/366))+(L43*($E43/366))+(L44*($E44/366))+(L45*($E45/366))</f>
        <v>10.792349726775956</v>
      </c>
      <c r="D90" s="8">
        <f xml:space="preserve"> (M42*($E42/366))+(M43*($E43/366))+(M44*($E44/366))+(M45*($E45/366))</f>
        <v>74.687743950039021</v>
      </c>
      <c r="E90" s="52">
        <f t="shared" si="23"/>
        <v>99.999999999999986</v>
      </c>
      <c r="G90" s="1">
        <v>2008</v>
      </c>
      <c r="H90" s="1001">
        <f>(O42/$R42*100*($E42/366))+(O43/$R43*100*($E43/366))+(O44/$R44*100*($E44/366))+(O45/$R45*100*($E45/366))</f>
        <v>23.972657579214957</v>
      </c>
      <c r="I90" s="1001"/>
      <c r="J90" s="1001">
        <f>(P42/$R42*100*($E42/366))+(P43/$R43*100*($E43/366))+(P44/$R44*100*($E44/366))+(P45/$R45*100*($E45/366))</f>
        <v>13.075722092115534</v>
      </c>
      <c r="K90" s="1001"/>
      <c r="L90" s="1001">
        <f>(Q42/$R42*100*($E42/366))+(Q43/$R43*100*($E43/366))+(Q44/$R44*100*($E44/366))+(Q45/$R45*100*($E45/366))</f>
        <v>62.951620328669506</v>
      </c>
      <c r="M90" s="1001"/>
      <c r="N90" s="1011">
        <f t="shared" si="24"/>
        <v>100</v>
      </c>
      <c r="O90" s="1011"/>
      <c r="R90" s="1">
        <v>2008</v>
      </c>
      <c r="S90" s="8">
        <f xml:space="preserve"> (O42*($E42/366))+(O43*($E43/366))+(O44*($E44/366))+(O45*($E45/366))</f>
        <v>12.920218579234973</v>
      </c>
      <c r="T90" s="8">
        <f xml:space="preserve"> (P42*($E42/366))+(P43*($E43/366))+(P44*($E44/366))+(P45*($E45/366))</f>
        <v>7.139344262295082</v>
      </c>
      <c r="U90" s="8">
        <f xml:space="preserve"> (Q42*($E42/366))+(Q43*($E43/366))+(Q44*($E44/366))+(Q45*($E45/366))</f>
        <v>33.907103825136616</v>
      </c>
      <c r="W90" s="7">
        <f t="shared" si="25"/>
        <v>53.966666666666669</v>
      </c>
    </row>
    <row r="91" spans="1:23" ht="9" customHeight="1">
      <c r="A91" s="1">
        <v>2009</v>
      </c>
      <c r="B91" s="8">
        <f xml:space="preserve"> (K46*($E46/365))+(K47*($E47/365))</f>
        <v>96.748858447488573</v>
      </c>
      <c r="C91" s="8">
        <f xml:space="preserve"> (L46*($E46/365))+(L47*($E47/365))</f>
        <v>0</v>
      </c>
      <c r="D91" s="8">
        <f xml:space="preserve"> (M46*($E46/365))+(M47*($E47/365))</f>
        <v>0</v>
      </c>
      <c r="E91" s="52">
        <f t="shared" si="23"/>
        <v>96.748858447488573</v>
      </c>
      <c r="G91" s="1">
        <v>2009</v>
      </c>
      <c r="H91" s="1001">
        <f>(O46/$R46*100*($E46/365))+(O47/$R47*100*($E47/365))</f>
        <v>100</v>
      </c>
      <c r="I91" s="1001"/>
      <c r="J91" s="1001">
        <f>(P46/$R46*100*($E46/365))+(P47/$R47*100*($E47/365))</f>
        <v>0</v>
      </c>
      <c r="K91" s="1001"/>
      <c r="L91" s="1001">
        <f>(Q46/$R46*100*($E46/365))+(Q47/$R47*100*($E47/365))</f>
        <v>0</v>
      </c>
      <c r="M91" s="1001"/>
      <c r="N91" s="1011">
        <f t="shared" si="24"/>
        <v>100</v>
      </c>
      <c r="O91" s="1011"/>
      <c r="R91" s="1">
        <v>2009</v>
      </c>
      <c r="S91" s="8">
        <f xml:space="preserve"> (O46*($E46/365))+(O47*($E47/365))</f>
        <v>56.8</v>
      </c>
      <c r="T91" s="8">
        <f xml:space="preserve"> (P46*($E46/365))+(P47*($E47/365))</f>
        <v>0</v>
      </c>
      <c r="U91" s="8">
        <f xml:space="preserve"> (Q46*($E46/365))+(Q47*($E47/365))</f>
        <v>0</v>
      </c>
      <c r="W91" s="7">
        <f t="shared" si="25"/>
        <v>56.8</v>
      </c>
    </row>
    <row r="92" spans="1:23" ht="9" customHeight="1">
      <c r="A92" s="1">
        <v>2010</v>
      </c>
      <c r="B92" s="8">
        <f xml:space="preserve"> (K48*($E48/365))+(K49*($E49/365))</f>
        <v>93.333333333333329</v>
      </c>
      <c r="C92" s="8">
        <f xml:space="preserve"> (L48*($E48/365))+(L49*($E49/365))</f>
        <v>0</v>
      </c>
      <c r="D92" s="8">
        <f xml:space="preserve"> (M48*($E48/365))+(M49*($E49/365))</f>
        <v>0</v>
      </c>
      <c r="E92" s="52">
        <f t="shared" si="23"/>
        <v>93.333333333333329</v>
      </c>
      <c r="G92" s="1">
        <v>2010</v>
      </c>
      <c r="H92" s="1001">
        <f>(O48/$R48*100*($E48/365))+(O49/$R49*100*($E49/365))</f>
        <v>100</v>
      </c>
      <c r="I92" s="1001"/>
      <c r="J92" s="1001">
        <f>(P48/$R48*100*($E48/365))+(P49/$R49*100*($E49/365))</f>
        <v>0</v>
      </c>
      <c r="K92" s="1001"/>
      <c r="L92" s="1001">
        <f>(Q48/$R48*100*($E48/365))+(Q49/$R49*100*($E49/365))</f>
        <v>0</v>
      </c>
      <c r="M92" s="1001"/>
      <c r="N92" s="1011">
        <f t="shared" si="24"/>
        <v>100</v>
      </c>
      <c r="O92" s="1011"/>
      <c r="R92" s="1">
        <v>2010</v>
      </c>
      <c r="S92" s="8">
        <f xml:space="preserve"> (O48*($E48/365))+(O49*($E49/365))</f>
        <v>56.8</v>
      </c>
      <c r="T92" s="8">
        <f xml:space="preserve"> (P48*($E48/365))+(P49*($E49/365))</f>
        <v>0</v>
      </c>
      <c r="U92" s="8">
        <f xml:space="preserve"> (Q48*($E48/365))+(Q49*($E49/365))</f>
        <v>0</v>
      </c>
      <c r="W92" s="7">
        <f t="shared" si="25"/>
        <v>56.8</v>
      </c>
    </row>
    <row r="93" spans="1:23" ht="9" customHeight="1">
      <c r="A93" s="1">
        <v>2011</v>
      </c>
      <c r="B93" s="8">
        <f xml:space="preserve"> (K50*($E50/365))+(K51*($E51/365))</f>
        <v>93.333333333333329</v>
      </c>
      <c r="C93" s="8">
        <f xml:space="preserve"> (L50*($E50/365))+(L51*($E51/365))</f>
        <v>0</v>
      </c>
      <c r="D93" s="8">
        <f xml:space="preserve"> (M50*($E50/365))+(M51*($E51/365))</f>
        <v>0</v>
      </c>
      <c r="E93" s="52">
        <f t="shared" si="23"/>
        <v>93.333333333333329</v>
      </c>
      <c r="G93" s="1">
        <v>2011</v>
      </c>
      <c r="H93" s="1001">
        <f>(O50/$R50*100*($E50/365))+(O51/$R51*100*($E51/365))</f>
        <v>100</v>
      </c>
      <c r="I93" s="1001"/>
      <c r="J93" s="1001">
        <f>(P50/$R50*100*($E50/365))+(P51/$R51*100*($E51/365))</f>
        <v>0</v>
      </c>
      <c r="K93" s="1001"/>
      <c r="L93" s="1001">
        <f>(Q50/$R50*100*($E50/365))+(Q51/$R51*100*($E51/365))</f>
        <v>0</v>
      </c>
      <c r="M93" s="1001"/>
      <c r="N93" s="1011">
        <f t="shared" si="24"/>
        <v>100</v>
      </c>
      <c r="O93" s="1011"/>
      <c r="R93" s="1">
        <v>2011</v>
      </c>
      <c r="S93" s="8">
        <f xml:space="preserve"> (O50*($E50/365))+(O51*($E51/365))</f>
        <v>56.8</v>
      </c>
      <c r="T93" s="8">
        <f xml:space="preserve"> (P50*($E50/365))+(P51*($E51/365))</f>
        <v>0</v>
      </c>
      <c r="U93" s="8">
        <f xml:space="preserve"> (Q50*($E50/365))+(Q51*($E51/365))</f>
        <v>0</v>
      </c>
      <c r="W93" s="7">
        <f t="shared" si="25"/>
        <v>56.8</v>
      </c>
    </row>
    <row r="94" spans="1:23" ht="9" customHeight="1">
      <c r="A94" s="1">
        <v>2012</v>
      </c>
      <c r="B94" s="8">
        <f xml:space="preserve"> (K52*($E52/366))+(K53*($E53/366))</f>
        <v>88.961748633879793</v>
      </c>
      <c r="C94" s="8">
        <f xml:space="preserve"> (L52*($E52/366))+(L53*($E53/366))</f>
        <v>0.36429872495446264</v>
      </c>
      <c r="D94" s="8">
        <f xml:space="preserve"> (M52*($E52/366))+(M53*($E53/366))</f>
        <v>4.3715846994535514</v>
      </c>
      <c r="E94" s="52">
        <f t="shared" si="23"/>
        <v>93.697632058287809</v>
      </c>
      <c r="G94" s="1">
        <v>2012</v>
      </c>
      <c r="H94" s="1001">
        <f>(O52/$R52*100*($E52/366))+(O53/$R53*100*($E53/366))</f>
        <v>95.242367397982775</v>
      </c>
      <c r="I94" s="1001"/>
      <c r="J94" s="1001">
        <f>(P52/$R52*100*($E52/366))+(P53/$R53*100*($E53/366))</f>
        <v>0.51654296821901424</v>
      </c>
      <c r="K94" s="1001"/>
      <c r="L94" s="1001">
        <f>(Q52/$R52*100*($E52/366))+(Q53/$R53*100*($E53/366))</f>
        <v>4.2410896337982216</v>
      </c>
      <c r="M94" s="1001"/>
      <c r="N94" s="1011">
        <f t="shared" si="24"/>
        <v>100.00000000000001</v>
      </c>
      <c r="O94" s="1011"/>
      <c r="R94" s="1">
        <v>2012</v>
      </c>
      <c r="S94" s="8">
        <f xml:space="preserve"> (O52*($E52/366))+(O53*($E53/366))</f>
        <v>54.1224043715847</v>
      </c>
      <c r="T94" s="8">
        <f xml:space="preserve"> (P52*($E52/366))+(P53*($E53/366))</f>
        <v>0.31147540983606559</v>
      </c>
      <c r="U94" s="8">
        <f xml:space="preserve"> (Q52*($E52/366))+(Q53*($E53/366))</f>
        <v>2.5573770491803276</v>
      </c>
      <c r="W94" s="7">
        <f t="shared" si="25"/>
        <v>56.991256830601088</v>
      </c>
    </row>
    <row r="95" spans="1:23" ht="9" customHeight="1">
      <c r="A95" s="1">
        <v>2013</v>
      </c>
      <c r="B95" s="8">
        <f xml:space="preserve"> (K54*($E54/365))+(K55*($E55/365))</f>
        <v>13.333333333333334</v>
      </c>
      <c r="C95" s="8">
        <f xml:space="preserve"> (L54*($E54/365))+(L55*($E55/365))</f>
        <v>6.666666666666667</v>
      </c>
      <c r="D95" s="8">
        <f xml:space="preserve"> (M54*($E54/365))+(M55*($E55/365))</f>
        <v>80</v>
      </c>
      <c r="E95" s="52">
        <f>SUM(B95:D95)</f>
        <v>100</v>
      </c>
      <c r="G95" s="1">
        <v>2013</v>
      </c>
      <c r="H95" s="1001">
        <f>(O54/$R54*100*($E54/365))+(O55/$R55*100*($E55/365))</f>
        <v>12.935323383084576</v>
      </c>
      <c r="I95" s="1001"/>
      <c r="J95" s="1001">
        <f>(P54/$R54*100*($E54/365))+(P55/$R55*100*($E55/365))</f>
        <v>9.4527363184079611</v>
      </c>
      <c r="K95" s="1001"/>
      <c r="L95" s="1001">
        <f>(Q54/$R54*100*($E54/365))+(Q55/$R55*100*($E55/365))</f>
        <v>77.611940298507463</v>
      </c>
      <c r="M95" s="1001"/>
      <c r="N95" s="1011">
        <f>H95+J95+L95</f>
        <v>100</v>
      </c>
      <c r="O95" s="1011"/>
      <c r="R95" s="1">
        <v>2013</v>
      </c>
      <c r="S95" s="8">
        <f xml:space="preserve"> (O54*($E54/365))+(O55*($E55/365))</f>
        <v>7.8</v>
      </c>
      <c r="T95" s="8">
        <f xml:space="preserve"> (P54*($E54/365))+(P55*($E55/365))</f>
        <v>5.7</v>
      </c>
      <c r="U95" s="8">
        <f xml:space="preserve"> (Q54*($E54/365))+(Q55*($E55/365))</f>
        <v>46.8</v>
      </c>
      <c r="W95" s="7">
        <f>S95+T95+U95</f>
        <v>60.3</v>
      </c>
    </row>
    <row r="96" spans="1:23" ht="9" customHeight="1">
      <c r="A96" s="1">
        <v>2014</v>
      </c>
      <c r="B96" s="8">
        <f xml:space="preserve"> (K56*($E56/365))+(K57*($E57/365))</f>
        <v>13.333333333333334</v>
      </c>
      <c r="C96" s="8">
        <f xml:space="preserve"> (L56*($E56/365))+(L57*($E57/365))</f>
        <v>4.8767123287671232</v>
      </c>
      <c r="D96" s="8">
        <f xml:space="preserve"> (M56*($E56/365))+(M57*($E57/365))</f>
        <v>81.789954337899545</v>
      </c>
      <c r="E96" s="52">
        <f>SUM(B96:D96)</f>
        <v>100</v>
      </c>
      <c r="G96" s="1">
        <v>2014</v>
      </c>
      <c r="H96" s="1001">
        <f>(O56/$R56*100*($E56/365))+(O57/$R57*100*($E57/365))</f>
        <v>13.556322149091324</v>
      </c>
      <c r="I96" s="1001"/>
      <c r="J96" s="1001">
        <f>(P56/$R56*100*($E56/365))+(P57/$R57*100*($E57/365))</f>
        <v>6.9147413616847277</v>
      </c>
      <c r="K96" s="1001"/>
      <c r="L96" s="1001">
        <f>(Q56/$R56*100*($E56/365))+(Q57/$R57*100*($E57/365))</f>
        <v>79.528936489223952</v>
      </c>
      <c r="M96" s="1001"/>
      <c r="N96" s="1011">
        <f>H96+J96+L96</f>
        <v>100</v>
      </c>
      <c r="O96" s="1011"/>
      <c r="R96" s="1">
        <v>2014</v>
      </c>
      <c r="S96" s="8">
        <f xml:space="preserve"> (O56*($E56/365))+(O57*($E57/365))</f>
        <v>8.0147945205479445</v>
      </c>
      <c r="T96" s="8">
        <f xml:space="preserve"> (P56*($E56/365))+(P57*($E57/365))</f>
        <v>4.1695890410958905</v>
      </c>
      <c r="U96" s="8">
        <f xml:space="preserve"> (Q56*($E56/365))+(Q57*($E57/365))</f>
        <v>47.06849315068493</v>
      </c>
      <c r="W96" s="7">
        <f>S96+T96+U96</f>
        <v>59.252876712328764</v>
      </c>
    </row>
    <row r="97" spans="1:23" s="738" customFormat="1" ht="9" customHeight="1">
      <c r="A97" s="738">
        <v>2015</v>
      </c>
      <c r="B97" s="732">
        <f xml:space="preserve"> (K58*($E58/365))+(K59*($E59/365))</f>
        <v>13.333333333333334</v>
      </c>
      <c r="C97" s="732">
        <f xml:space="preserve"> (L58*($E58/365))+(L59*($E59/365))</f>
        <v>0</v>
      </c>
      <c r="D97" s="732">
        <f xml:space="preserve"> (M58*($E58/365))+(M59*($E59/365))</f>
        <v>86.666666666666671</v>
      </c>
      <c r="E97" s="52">
        <f>SUM(B97:D97)</f>
        <v>100</v>
      </c>
      <c r="G97" s="738">
        <v>2015</v>
      </c>
      <c r="H97" s="1001">
        <f>(O58/$R58*100*($E58/365))+(O59/$R59*100*($E59/365))</f>
        <v>15.24822695035461</v>
      </c>
      <c r="I97" s="1001"/>
      <c r="J97" s="1001">
        <f>(P58/$R58*100*($E58/365))+(P59/$R59*100*($E59/365))</f>
        <v>0</v>
      </c>
      <c r="K97" s="1001"/>
      <c r="L97" s="1001">
        <f>(Q58/$R58*100*($E58/365))+(Q59/$R59*100*($E59/365))</f>
        <v>84.751773049645379</v>
      </c>
      <c r="M97" s="1001"/>
      <c r="N97" s="1011">
        <f>H97+J97+L97</f>
        <v>99.999999999999986</v>
      </c>
      <c r="O97" s="1011"/>
      <c r="R97" s="738">
        <v>2015</v>
      </c>
      <c r="S97" s="732">
        <f xml:space="preserve"> (O58*($E58/365))+(O59*($E59/365))</f>
        <v>8.6</v>
      </c>
      <c r="T97" s="732">
        <f xml:space="preserve"> (P58*($E58/365))+(P59*($E59/365))</f>
        <v>0</v>
      </c>
      <c r="U97" s="732">
        <f xml:space="preserve"> (Q58*($E58/365))+(Q59*($E59/365))</f>
        <v>47.8</v>
      </c>
      <c r="W97" s="737">
        <f>S97+T97+U97</f>
        <v>56.4</v>
      </c>
    </row>
    <row r="98" spans="1:23" s="738" customFormat="1" ht="9" customHeight="1">
      <c r="A98" s="834">
        <v>2016</v>
      </c>
      <c r="B98" s="831">
        <f xml:space="preserve"> (K60*($E60/366))+(K61*($E61/366))</f>
        <v>12.641165755919856</v>
      </c>
      <c r="C98" s="831">
        <f xml:space="preserve"> (L60*($E60/366))+(L61*($E61/366))</f>
        <v>0</v>
      </c>
      <c r="D98" s="831">
        <f xml:space="preserve"> (M60*($E60/366))+(M61*($E61/366))</f>
        <v>87.358834244080157</v>
      </c>
      <c r="E98" s="52">
        <f>SUM(B98:D98)</f>
        <v>100.00000000000001</v>
      </c>
      <c r="F98" s="834"/>
      <c r="G98" s="834">
        <v>2016</v>
      </c>
      <c r="H98" s="1001">
        <f>(O60/$R60*100*($E60/366))+(O61/$R61*100*($E61/366))</f>
        <v>14.45665232724877</v>
      </c>
      <c r="I98" s="1001"/>
      <c r="J98" s="1001">
        <f>(P60/$R60*100*($E60/366))+(P61/$R61*100*($E61/366))</f>
        <v>0</v>
      </c>
      <c r="K98" s="1001"/>
      <c r="L98" s="1001">
        <f>(Q60/$R60*100*($E60/366))+(Q61/$R61*100*($E61/366))</f>
        <v>85.543347672751224</v>
      </c>
      <c r="M98" s="1001"/>
      <c r="N98" s="1011">
        <f>H98+J98+L98</f>
        <v>100</v>
      </c>
      <c r="O98" s="1011"/>
      <c r="P98" s="834"/>
      <c r="Q98" s="834"/>
      <c r="R98" s="834">
        <v>2016</v>
      </c>
      <c r="S98" s="831">
        <f xml:space="preserve"> (O60*($E60/366))+(O61*($E61/366))</f>
        <v>8.1535519125683056</v>
      </c>
      <c r="T98" s="831">
        <f xml:space="preserve"> (P60*($E60/366))+(P61*($E61/366))</f>
        <v>0</v>
      </c>
      <c r="U98" s="831">
        <f xml:space="preserve"> (Q60*($E60/366))+(Q61*($E61/366))</f>
        <v>48.007650273224037</v>
      </c>
      <c r="V98" s="834"/>
      <c r="W98" s="833">
        <f>S98+T98+U98</f>
        <v>56.161202185792341</v>
      </c>
    </row>
    <row r="99" spans="1:23" s="920" customFormat="1">
      <c r="A99" s="920">
        <v>2017</v>
      </c>
      <c r="B99" s="915">
        <f xml:space="preserve"> (K62*($E62/365))+(K63*($E63/365))</f>
        <v>0</v>
      </c>
      <c r="C99" s="915">
        <f xml:space="preserve"> (L62*($E62/365))+(L63*($E63/365))</f>
        <v>0</v>
      </c>
      <c r="D99" s="915">
        <f xml:space="preserve"> (M62*($E62/365))+(M63*($E63/365))</f>
        <v>100</v>
      </c>
      <c r="E99" s="52">
        <f>SUM(B99:D99)</f>
        <v>100</v>
      </c>
      <c r="G99" s="920">
        <v>2017</v>
      </c>
      <c r="H99" s="1001">
        <f>(O62/$R62*100*($E62/365))+(O63/$R63*100*($E63/365))</f>
        <v>0</v>
      </c>
      <c r="I99" s="1001"/>
      <c r="J99" s="1001">
        <f>(P62/$R62*100*($E62/365))+(P63/$R63*100*($E63/365))</f>
        <v>0</v>
      </c>
      <c r="K99" s="1001"/>
      <c r="L99" s="1001">
        <f>(Q62/$R62*100*($E62/365))+(Q63/$R63*100*($E63/365))</f>
        <v>100</v>
      </c>
      <c r="M99" s="1001"/>
      <c r="N99" s="1011">
        <f>H99+J99+L99</f>
        <v>100</v>
      </c>
      <c r="O99" s="1011"/>
      <c r="R99" s="920">
        <v>2017</v>
      </c>
      <c r="S99" s="915">
        <f xml:space="preserve"> (O62*($E62/365))+(O63*($E63/365))</f>
        <v>0</v>
      </c>
      <c r="T99" s="915">
        <f xml:space="preserve"> (P62*($E62/365))+(P63*($E63/365))</f>
        <v>0</v>
      </c>
      <c r="U99" s="915">
        <f xml:space="preserve"> (Q62*($E62/365))+(Q63*($E63/365))</f>
        <v>51.8</v>
      </c>
      <c r="W99" s="917">
        <f>S99+T99+U99</f>
        <v>51.8</v>
      </c>
    </row>
    <row r="100" spans="1:23">
      <c r="A100" s="950">
        <v>2018</v>
      </c>
      <c r="B100" s="947">
        <f xml:space="preserve"> (K64*($E64/365))+(K65*($E65/365))</f>
        <v>0</v>
      </c>
      <c r="C100" s="947">
        <f xml:space="preserve"> (L64*($E64/365))+(L65*($E65/365))</f>
        <v>0</v>
      </c>
      <c r="D100" s="947">
        <f xml:space="preserve"> (M64*($E64/365))+(M65*($E65/365))</f>
        <v>100</v>
      </c>
      <c r="E100" s="52">
        <f t="shared" ref="E100" si="26">SUM(B100:D100)</f>
        <v>100</v>
      </c>
      <c r="F100" s="950"/>
      <c r="G100" s="950">
        <v>2018</v>
      </c>
      <c r="H100" s="1001">
        <f>(O64/$R64*100*($E64/365))+(O65/$R65*100*($E65/365))</f>
        <v>0</v>
      </c>
      <c r="I100" s="1001"/>
      <c r="J100" s="1001">
        <f>(P64/$R64*100*($E64/365))+(P65/$R65*100*($E65/365))</f>
        <v>0</v>
      </c>
      <c r="K100" s="1001"/>
      <c r="L100" s="1001">
        <f>(Q64/$R64*100*($E64/365))+(Q65/$R65*100*($E65/365))</f>
        <v>100</v>
      </c>
      <c r="M100" s="1001"/>
      <c r="N100" s="1011">
        <f t="shared" ref="N100" si="27">H100+J100+L100</f>
        <v>100</v>
      </c>
      <c r="O100" s="1011"/>
      <c r="P100" s="950"/>
      <c r="Q100" s="950"/>
      <c r="R100" s="950">
        <v>2018</v>
      </c>
      <c r="S100" s="947">
        <f xml:space="preserve"> (O64*($E64/365))+(O65*($E65/365))</f>
        <v>0</v>
      </c>
      <c r="T100" s="947">
        <f xml:space="preserve"> (P64*($E64/365))+(P65*($E65/365))</f>
        <v>0</v>
      </c>
      <c r="U100" s="947">
        <f xml:space="preserve"> (Q64*($E64/365))+(Q65*($E65/365))</f>
        <v>52.87945205479452</v>
      </c>
      <c r="V100" s="950"/>
      <c r="W100" s="949">
        <f t="shared" ref="W100" si="28">S100+T100+U100</f>
        <v>52.87945205479452</v>
      </c>
    </row>
  </sheetData>
  <mergeCells count="194">
    <mergeCell ref="H100:I100"/>
    <mergeCell ref="J100:K100"/>
    <mergeCell ref="L100:M100"/>
    <mergeCell ref="N100:O100"/>
    <mergeCell ref="H98:I98"/>
    <mergeCell ref="J98:K98"/>
    <mergeCell ref="L98:M98"/>
    <mergeCell ref="N98:O98"/>
    <mergeCell ref="AT4:AW4"/>
    <mergeCell ref="N78:O78"/>
    <mergeCell ref="L78:M78"/>
    <mergeCell ref="J78:K78"/>
    <mergeCell ref="N84:O84"/>
    <mergeCell ref="J82:K82"/>
    <mergeCell ref="J79:K79"/>
    <mergeCell ref="J80:K80"/>
    <mergeCell ref="H78:I78"/>
    <mergeCell ref="N79:O79"/>
    <mergeCell ref="N80:O80"/>
    <mergeCell ref="N81:O81"/>
    <mergeCell ref="L82:M82"/>
    <mergeCell ref="N83:O83"/>
    <mergeCell ref="L84:M84"/>
    <mergeCell ref="H80:I80"/>
    <mergeCell ref="AX4:BA4"/>
    <mergeCell ref="L76:M76"/>
    <mergeCell ref="L77:M77"/>
    <mergeCell ref="AL4:AO4"/>
    <mergeCell ref="AP4:AS4"/>
    <mergeCell ref="N76:O76"/>
    <mergeCell ref="N77:O77"/>
    <mergeCell ref="S4:S5"/>
    <mergeCell ref="T4:T5"/>
    <mergeCell ref="L74:M74"/>
    <mergeCell ref="L75:M75"/>
    <mergeCell ref="AH4:AK4"/>
    <mergeCell ref="Z4:AC4"/>
    <mergeCell ref="AD4:AG4"/>
    <mergeCell ref="R69:W69"/>
    <mergeCell ref="L71:M71"/>
    <mergeCell ref="U4:U5"/>
    <mergeCell ref="V4:Y4"/>
    <mergeCell ref="O4:R4"/>
    <mergeCell ref="N74:O74"/>
    <mergeCell ref="N75:O75"/>
    <mergeCell ref="N71:O71"/>
    <mergeCell ref="A4:A5"/>
    <mergeCell ref="B4:B5"/>
    <mergeCell ref="C4:D5"/>
    <mergeCell ref="E4:E5"/>
    <mergeCell ref="C9:D9"/>
    <mergeCell ref="C10:D10"/>
    <mergeCell ref="K4:N4"/>
    <mergeCell ref="F4:F5"/>
    <mergeCell ref="G4:J4"/>
    <mergeCell ref="C6:D6"/>
    <mergeCell ref="C7:D7"/>
    <mergeCell ref="C8:D8"/>
    <mergeCell ref="G3:M3"/>
    <mergeCell ref="O3:Q3"/>
    <mergeCell ref="H71:I71"/>
    <mergeCell ref="J71:K71"/>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C36:D36"/>
    <mergeCell ref="C42:D42"/>
    <mergeCell ref="C43:D43"/>
    <mergeCell ref="C38:D38"/>
    <mergeCell ref="C22:D22"/>
    <mergeCell ref="C24:D24"/>
    <mergeCell ref="C23:D23"/>
    <mergeCell ref="C57:D57"/>
    <mergeCell ref="L80:M80"/>
    <mergeCell ref="C40:D40"/>
    <mergeCell ref="C41:D41"/>
    <mergeCell ref="C44:D44"/>
    <mergeCell ref="C45:D45"/>
    <mergeCell ref="C31:D31"/>
    <mergeCell ref="C33:D33"/>
    <mergeCell ref="C34:D34"/>
    <mergeCell ref="C35:D35"/>
    <mergeCell ref="C60:D60"/>
    <mergeCell ref="C61:D61"/>
    <mergeCell ref="C63:D63"/>
    <mergeCell ref="C59:D59"/>
    <mergeCell ref="C64:D64"/>
    <mergeCell ref="C65:D65"/>
    <mergeCell ref="C52:D52"/>
    <mergeCell ref="C46:D46"/>
    <mergeCell ref="C47:D47"/>
    <mergeCell ref="C48:D48"/>
    <mergeCell ref="C49:D49"/>
    <mergeCell ref="C50:D50"/>
    <mergeCell ref="C51:D51"/>
    <mergeCell ref="C55:D55"/>
    <mergeCell ref="C56:D56"/>
    <mergeCell ref="J74:K74"/>
    <mergeCell ref="C58:D58"/>
    <mergeCell ref="C62:D62"/>
    <mergeCell ref="C54:D54"/>
    <mergeCell ref="H74:I74"/>
    <mergeCell ref="H75:I75"/>
    <mergeCell ref="H84:I84"/>
    <mergeCell ref="H76:I76"/>
    <mergeCell ref="H77:I77"/>
    <mergeCell ref="L79:M79"/>
    <mergeCell ref="C53:D53"/>
    <mergeCell ref="J76:K76"/>
    <mergeCell ref="J77:K77"/>
    <mergeCell ref="J75:K75"/>
    <mergeCell ref="L83:M83"/>
    <mergeCell ref="N82:O82"/>
    <mergeCell ref="H79:I79"/>
    <mergeCell ref="N88:O88"/>
    <mergeCell ref="N85:O85"/>
    <mergeCell ref="N86:O86"/>
    <mergeCell ref="N87:O87"/>
    <mergeCell ref="N89:O89"/>
    <mergeCell ref="L91:M91"/>
    <mergeCell ref="H90:I90"/>
    <mergeCell ref="N91:O91"/>
    <mergeCell ref="N90:O90"/>
    <mergeCell ref="L90:M90"/>
    <mergeCell ref="J89:K89"/>
    <mergeCell ref="J85:K85"/>
    <mergeCell ref="L89:M89"/>
    <mergeCell ref="L86:M86"/>
    <mergeCell ref="J87:K87"/>
    <mergeCell ref="L88:M88"/>
    <mergeCell ref="J86:K86"/>
    <mergeCell ref="L85:M85"/>
    <mergeCell ref="H86:I86"/>
    <mergeCell ref="H87:I87"/>
    <mergeCell ref="J90:K90"/>
    <mergeCell ref="H88:I88"/>
    <mergeCell ref="L87:M87"/>
    <mergeCell ref="L81:M81"/>
    <mergeCell ref="H99:I99"/>
    <mergeCell ref="J99:K99"/>
    <mergeCell ref="L99:M99"/>
    <mergeCell ref="H91:I91"/>
    <mergeCell ref="J91:K91"/>
    <mergeCell ref="L93:M93"/>
    <mergeCell ref="H85:I85"/>
    <mergeCell ref="H89:I89"/>
    <mergeCell ref="J88:K88"/>
    <mergeCell ref="J83:K83"/>
    <mergeCell ref="J84:K84"/>
    <mergeCell ref="J81:K81"/>
    <mergeCell ref="H81:I81"/>
    <mergeCell ref="H82:I82"/>
    <mergeCell ref="H83:I83"/>
    <mergeCell ref="N99:O99"/>
    <mergeCell ref="N97:O97"/>
    <mergeCell ref="L96:M96"/>
    <mergeCell ref="N96:O96"/>
    <mergeCell ref="H92:I92"/>
    <mergeCell ref="H93:I93"/>
    <mergeCell ref="H94:I94"/>
    <mergeCell ref="N94:O94"/>
    <mergeCell ref="H95:I95"/>
    <mergeCell ref="J95:K95"/>
    <mergeCell ref="L95:M95"/>
    <mergeCell ref="N95:O95"/>
    <mergeCell ref="H96:I96"/>
    <mergeCell ref="J96:K96"/>
    <mergeCell ref="J93:K93"/>
    <mergeCell ref="L94:M94"/>
    <mergeCell ref="N92:O92"/>
    <mergeCell ref="J94:K94"/>
    <mergeCell ref="J92:K92"/>
    <mergeCell ref="N93:O93"/>
    <mergeCell ref="L92:M92"/>
    <mergeCell ref="H97:I97"/>
    <mergeCell ref="J97:K97"/>
    <mergeCell ref="L97:M97"/>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192"/>
  <sheetViews>
    <sheetView zoomScale="115" zoomScaleNormal="120" workbookViewId="0">
      <pane xSplit="1" ySplit="5" topLeftCell="B110" activePane="bottomRight" state="frozen"/>
      <selection pane="topRight" activeCell="B1" sqref="B1"/>
      <selection pane="bottomLeft" activeCell="A6" sqref="A6"/>
      <selection pane="bottomRight" activeCell="W191" sqref="W19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29" width="5.6640625" style="1" customWidth="1"/>
    <col min="30" max="30" width="6.1640625" style="1" customWidth="1"/>
    <col min="31" max="53" width="5.6640625" style="1" customWidth="1"/>
    <col min="54" max="16384" width="10.6640625" style="1"/>
  </cols>
  <sheetData>
    <row r="1" spans="1:53" s="2" customFormat="1" ht="15" customHeight="1">
      <c r="B1" s="22" t="s">
        <v>14</v>
      </c>
    </row>
    <row r="2" spans="1:53" s="2" customFormat="1" ht="15" customHeight="1">
      <c r="B2" s="22" t="s">
        <v>61</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1246</v>
      </c>
      <c r="D6" s="995"/>
      <c r="E6" s="257">
        <v>55</v>
      </c>
      <c r="G6" s="265"/>
      <c r="H6" s="257">
        <v>4</v>
      </c>
      <c r="I6" s="257">
        <v>4</v>
      </c>
      <c r="J6" s="272">
        <v>8</v>
      </c>
      <c r="K6" s="248">
        <f t="shared" ref="K6:M8" si="0">G6/$J6*100</f>
        <v>0</v>
      </c>
      <c r="L6" s="248">
        <f t="shared" si="0"/>
        <v>50</v>
      </c>
      <c r="M6" s="248">
        <f t="shared" si="0"/>
        <v>50</v>
      </c>
      <c r="N6" s="267">
        <f>K6+L6+M6</f>
        <v>100</v>
      </c>
      <c r="O6" s="247"/>
      <c r="P6" s="248">
        <v>50</v>
      </c>
      <c r="Q6" s="248">
        <v>23.7</v>
      </c>
      <c r="R6" s="249">
        <f>O6+P6+Q6</f>
        <v>73.7</v>
      </c>
      <c r="S6" s="257">
        <v>2</v>
      </c>
      <c r="T6" s="278"/>
      <c r="V6" s="256" t="s">
        <v>502</v>
      </c>
      <c r="W6" s="257" t="s">
        <v>17</v>
      </c>
      <c r="X6" s="257" t="s">
        <v>333</v>
      </c>
      <c r="Y6" s="258">
        <v>50</v>
      </c>
      <c r="Z6" s="257" t="s">
        <v>503</v>
      </c>
      <c r="AA6" s="257" t="s">
        <v>20</v>
      </c>
      <c r="AB6" s="257" t="s">
        <v>12</v>
      </c>
      <c r="AC6" s="257">
        <v>32.700000000000003</v>
      </c>
      <c r="AD6" s="256"/>
      <c r="AG6" s="258"/>
      <c r="AL6" s="256"/>
      <c r="AO6" s="258"/>
      <c r="AP6" s="256"/>
      <c r="AS6" s="258"/>
      <c r="AW6" s="258"/>
      <c r="BA6" s="259"/>
    </row>
    <row r="7" spans="1:53" s="257" customFormat="1">
      <c r="A7" s="263">
        <v>1959</v>
      </c>
      <c r="B7" s="252">
        <v>21606</v>
      </c>
      <c r="C7" s="995" t="s">
        <v>681</v>
      </c>
      <c r="D7" s="995"/>
      <c r="E7" s="257">
        <f xml:space="preserve"> 365-55</f>
        <v>310</v>
      </c>
      <c r="F7" s="257">
        <v>4</v>
      </c>
      <c r="G7" s="265">
        <v>3</v>
      </c>
      <c r="H7" s="257">
        <v>4</v>
      </c>
      <c r="J7" s="272">
        <v>7</v>
      </c>
      <c r="K7" s="248">
        <f t="shared" si="0"/>
        <v>42.857142857142854</v>
      </c>
      <c r="L7" s="248">
        <f t="shared" si="0"/>
        <v>57.142857142857139</v>
      </c>
      <c r="M7" s="248">
        <f t="shared" si="0"/>
        <v>0</v>
      </c>
      <c r="N7" s="267">
        <f>K7+L7+M7</f>
        <v>100</v>
      </c>
      <c r="O7" s="247">
        <v>21.2</v>
      </c>
      <c r="P7" s="248">
        <v>40.4</v>
      </c>
      <c r="Q7" s="248"/>
      <c r="R7" s="249">
        <f>O7+P7+Q7</f>
        <v>61.599999999999994</v>
      </c>
      <c r="S7" s="257">
        <v>2</v>
      </c>
      <c r="T7" s="278"/>
      <c r="U7" s="252">
        <v>21606</v>
      </c>
      <c r="V7" s="256" t="s">
        <v>502</v>
      </c>
      <c r="W7" s="257" t="s">
        <v>17</v>
      </c>
      <c r="X7" s="257" t="s">
        <v>333</v>
      </c>
      <c r="Y7" s="258">
        <v>40.4</v>
      </c>
      <c r="Z7" s="257" t="s">
        <v>131</v>
      </c>
      <c r="AA7" s="257" t="s">
        <v>22</v>
      </c>
      <c r="AB7" s="257" t="s">
        <v>11</v>
      </c>
      <c r="AC7" s="257">
        <v>21.2</v>
      </c>
      <c r="AD7" s="256"/>
      <c r="AG7" s="258"/>
      <c r="AL7" s="256"/>
      <c r="AO7" s="258"/>
      <c r="AP7" s="256"/>
      <c r="AS7" s="258"/>
      <c r="AW7" s="258"/>
      <c r="BA7" s="259"/>
    </row>
    <row r="8" spans="1:53" s="208" customFormat="1">
      <c r="A8" s="102">
        <v>1960</v>
      </c>
      <c r="B8" s="207"/>
      <c r="C8" s="988" t="s">
        <v>681</v>
      </c>
      <c r="D8" s="988"/>
      <c r="E8" s="208">
        <v>0</v>
      </c>
      <c r="G8" s="123">
        <v>3</v>
      </c>
      <c r="H8" s="208">
        <v>4</v>
      </c>
      <c r="J8" s="134">
        <v>7</v>
      </c>
      <c r="K8" s="92">
        <f t="shared" si="0"/>
        <v>42.857142857142854</v>
      </c>
      <c r="L8" s="92">
        <f t="shared" si="0"/>
        <v>57.142857142857139</v>
      </c>
      <c r="M8" s="92">
        <f t="shared" si="0"/>
        <v>0</v>
      </c>
      <c r="N8" s="125">
        <f>K8+L8+M8</f>
        <v>100</v>
      </c>
      <c r="O8" s="91">
        <v>21.2</v>
      </c>
      <c r="P8" s="92">
        <v>40.4</v>
      </c>
      <c r="Q8" s="92"/>
      <c r="R8" s="93">
        <f>O8+P8+Q8</f>
        <v>61.599999999999994</v>
      </c>
      <c r="S8" s="208">
        <v>2</v>
      </c>
      <c r="T8" s="81"/>
      <c r="V8" s="82" t="s">
        <v>502</v>
      </c>
      <c r="W8" s="208" t="s">
        <v>17</v>
      </c>
      <c r="X8" s="208" t="s">
        <v>333</v>
      </c>
      <c r="Y8" s="83">
        <v>40.4</v>
      </c>
      <c r="Z8" s="208" t="s">
        <v>131</v>
      </c>
      <c r="AA8" s="208" t="s">
        <v>22</v>
      </c>
      <c r="AB8" s="208" t="s">
        <v>11</v>
      </c>
      <c r="AC8" s="208">
        <v>21.2</v>
      </c>
      <c r="AD8" s="82"/>
      <c r="AG8" s="83"/>
      <c r="AL8" s="82"/>
      <c r="AO8" s="83"/>
      <c r="AP8" s="82"/>
      <c r="AS8" s="83"/>
      <c r="AW8" s="83"/>
      <c r="BA8" s="84"/>
    </row>
    <row r="9" spans="1:53" s="208" customFormat="1">
      <c r="A9" s="102">
        <v>1960</v>
      </c>
      <c r="B9" s="207"/>
      <c r="C9" s="988" t="s">
        <v>681</v>
      </c>
      <c r="D9" s="988"/>
      <c r="E9" s="208">
        <v>366</v>
      </c>
      <c r="G9" s="123">
        <v>3</v>
      </c>
      <c r="H9" s="208">
        <v>4</v>
      </c>
      <c r="J9" s="134">
        <v>7</v>
      </c>
      <c r="K9" s="92">
        <f t="shared" ref="K9:M72" si="1">G9/$J9*100</f>
        <v>42.857142857142854</v>
      </c>
      <c r="L9" s="92">
        <f t="shared" si="1"/>
        <v>57.142857142857139</v>
      </c>
      <c r="M9" s="92">
        <f t="shared" si="1"/>
        <v>0</v>
      </c>
      <c r="N9" s="125">
        <f t="shared" ref="N9:N72" si="2">K9+L9+M9</f>
        <v>100</v>
      </c>
      <c r="O9" s="91">
        <v>21.2</v>
      </c>
      <c r="P9" s="92">
        <v>40.4</v>
      </c>
      <c r="Q9" s="92"/>
      <c r="R9" s="93">
        <f t="shared" ref="R9:R72" si="3">O9+P9+Q9</f>
        <v>61.599999999999994</v>
      </c>
      <c r="S9" s="208">
        <v>2</v>
      </c>
      <c r="T9" s="81"/>
      <c r="V9" s="82" t="s">
        <v>502</v>
      </c>
      <c r="W9" s="208" t="s">
        <v>17</v>
      </c>
      <c r="X9" s="208" t="s">
        <v>333</v>
      </c>
      <c r="Y9" s="83">
        <v>40.4</v>
      </c>
      <c r="Z9" s="208" t="s">
        <v>131</v>
      </c>
      <c r="AA9" s="208" t="s">
        <v>22</v>
      </c>
      <c r="AB9" s="208" t="s">
        <v>11</v>
      </c>
      <c r="AC9" s="208">
        <v>21.2</v>
      </c>
      <c r="AD9" s="82"/>
      <c r="AG9" s="83"/>
      <c r="AL9" s="82"/>
      <c r="AO9" s="83"/>
      <c r="AP9" s="82"/>
      <c r="AS9" s="83"/>
      <c r="AW9" s="83"/>
      <c r="BA9" s="84"/>
    </row>
    <row r="10" spans="1:53" s="208" customFormat="1">
      <c r="A10" s="102">
        <v>1961</v>
      </c>
      <c r="B10" s="207"/>
      <c r="C10" s="988" t="s">
        <v>681</v>
      </c>
      <c r="D10" s="988"/>
      <c r="E10" s="208">
        <v>0</v>
      </c>
      <c r="G10" s="123">
        <v>3</v>
      </c>
      <c r="H10" s="208">
        <v>4</v>
      </c>
      <c r="J10" s="134">
        <v>7</v>
      </c>
      <c r="K10" s="92">
        <f t="shared" si="1"/>
        <v>42.857142857142854</v>
      </c>
      <c r="L10" s="92">
        <f t="shared" si="1"/>
        <v>57.142857142857139</v>
      </c>
      <c r="M10" s="92">
        <f t="shared" si="1"/>
        <v>0</v>
      </c>
      <c r="N10" s="125">
        <f t="shared" si="2"/>
        <v>100</v>
      </c>
      <c r="O10" s="91">
        <v>21.2</v>
      </c>
      <c r="P10" s="92">
        <v>40.4</v>
      </c>
      <c r="Q10" s="92"/>
      <c r="R10" s="93">
        <f t="shared" si="3"/>
        <v>61.599999999999994</v>
      </c>
      <c r="S10" s="208">
        <v>2</v>
      </c>
      <c r="T10" s="81"/>
      <c r="V10" s="82" t="s">
        <v>502</v>
      </c>
      <c r="W10" s="208" t="s">
        <v>17</v>
      </c>
      <c r="X10" s="208" t="s">
        <v>333</v>
      </c>
      <c r="Y10" s="83">
        <v>40.4</v>
      </c>
      <c r="Z10" s="208" t="s">
        <v>131</v>
      </c>
      <c r="AA10" s="208" t="s">
        <v>22</v>
      </c>
      <c r="AB10" s="208" t="s">
        <v>11</v>
      </c>
      <c r="AC10" s="208">
        <v>21.2</v>
      </c>
      <c r="AD10" s="82"/>
      <c r="AG10" s="83"/>
      <c r="AL10" s="82"/>
      <c r="AO10" s="83"/>
      <c r="AP10" s="82"/>
      <c r="AS10" s="83"/>
      <c r="AW10" s="83"/>
      <c r="BA10" s="84"/>
    </row>
    <row r="11" spans="1:53" s="208" customFormat="1">
      <c r="A11" s="102">
        <v>1961</v>
      </c>
      <c r="B11" s="207"/>
      <c r="C11" s="988" t="s">
        <v>681</v>
      </c>
      <c r="D11" s="988"/>
      <c r="E11" s="208">
        <v>365</v>
      </c>
      <c r="G11" s="123">
        <v>3</v>
      </c>
      <c r="H11" s="208">
        <v>4</v>
      </c>
      <c r="J11" s="134">
        <v>7</v>
      </c>
      <c r="K11" s="92">
        <f t="shared" si="1"/>
        <v>42.857142857142854</v>
      </c>
      <c r="L11" s="92">
        <f t="shared" si="1"/>
        <v>57.142857142857139</v>
      </c>
      <c r="M11" s="92">
        <f t="shared" si="1"/>
        <v>0</v>
      </c>
      <c r="N11" s="125">
        <f t="shared" si="2"/>
        <v>100</v>
      </c>
      <c r="O11" s="91">
        <v>21.2</v>
      </c>
      <c r="P11" s="92">
        <v>40.4</v>
      </c>
      <c r="Q11" s="92"/>
      <c r="R11" s="93">
        <f t="shared" si="3"/>
        <v>61.599999999999994</v>
      </c>
      <c r="S11" s="208">
        <v>2</v>
      </c>
      <c r="T11" s="81"/>
      <c r="V11" s="82" t="s">
        <v>502</v>
      </c>
      <c r="W11" s="208" t="s">
        <v>17</v>
      </c>
      <c r="X11" s="208" t="s">
        <v>333</v>
      </c>
      <c r="Y11" s="83">
        <v>40.4</v>
      </c>
      <c r="Z11" s="208" t="s">
        <v>131</v>
      </c>
      <c r="AA11" s="208" t="s">
        <v>22</v>
      </c>
      <c r="AB11" s="208" t="s">
        <v>11</v>
      </c>
      <c r="AC11" s="208">
        <v>21.2</v>
      </c>
      <c r="AD11" s="82"/>
      <c r="AG11" s="83"/>
      <c r="AL11" s="82"/>
      <c r="AO11" s="83"/>
      <c r="AP11" s="82"/>
      <c r="AS11" s="83"/>
      <c r="AW11" s="83"/>
      <c r="BA11" s="84"/>
    </row>
    <row r="12" spans="1:53" s="208" customFormat="1">
      <c r="A12" s="102">
        <v>1962</v>
      </c>
      <c r="B12" s="207"/>
      <c r="C12" s="988" t="s">
        <v>681</v>
      </c>
      <c r="D12" s="988"/>
      <c r="E12" s="208">
        <v>0</v>
      </c>
      <c r="G12" s="123">
        <v>3</v>
      </c>
      <c r="H12" s="208">
        <v>4</v>
      </c>
      <c r="J12" s="134">
        <v>7</v>
      </c>
      <c r="K12" s="92">
        <f t="shared" si="1"/>
        <v>42.857142857142854</v>
      </c>
      <c r="L12" s="92">
        <f t="shared" si="1"/>
        <v>57.142857142857139</v>
      </c>
      <c r="M12" s="92">
        <f t="shared" si="1"/>
        <v>0</v>
      </c>
      <c r="N12" s="125">
        <f t="shared" si="2"/>
        <v>100</v>
      </c>
      <c r="O12" s="91">
        <v>21.2</v>
      </c>
      <c r="P12" s="92">
        <v>40.4</v>
      </c>
      <c r="Q12" s="92"/>
      <c r="R12" s="93">
        <f t="shared" si="3"/>
        <v>61.599999999999994</v>
      </c>
      <c r="S12" s="208">
        <v>2</v>
      </c>
      <c r="T12" s="81"/>
      <c r="V12" s="82" t="s">
        <v>502</v>
      </c>
      <c r="W12" s="208" t="s">
        <v>17</v>
      </c>
      <c r="X12" s="208" t="s">
        <v>333</v>
      </c>
      <c r="Y12" s="83">
        <v>40.4</v>
      </c>
      <c r="Z12" s="208" t="s">
        <v>131</v>
      </c>
      <c r="AA12" s="208" t="s">
        <v>22</v>
      </c>
      <c r="AB12" s="208" t="s">
        <v>11</v>
      </c>
      <c r="AC12" s="208">
        <v>21.2</v>
      </c>
      <c r="AD12" s="82"/>
      <c r="AG12" s="83"/>
      <c r="AL12" s="82"/>
      <c r="AO12" s="83"/>
      <c r="AP12" s="82"/>
      <c r="AS12" s="83"/>
      <c r="AW12" s="83"/>
      <c r="BA12" s="84"/>
    </row>
    <row r="13" spans="1:53" s="208" customFormat="1">
      <c r="A13" s="102">
        <v>1962</v>
      </c>
      <c r="B13" s="207"/>
      <c r="C13" s="988" t="s">
        <v>681</v>
      </c>
      <c r="D13" s="988"/>
      <c r="E13" s="208">
        <v>365</v>
      </c>
      <c r="G13" s="123">
        <v>3</v>
      </c>
      <c r="H13" s="208">
        <v>4</v>
      </c>
      <c r="J13" s="134">
        <v>7</v>
      </c>
      <c r="K13" s="92">
        <f t="shared" si="1"/>
        <v>42.857142857142854</v>
      </c>
      <c r="L13" s="92">
        <f t="shared" si="1"/>
        <v>57.142857142857139</v>
      </c>
      <c r="M13" s="92">
        <f t="shared" si="1"/>
        <v>0</v>
      </c>
      <c r="N13" s="125">
        <f t="shared" si="2"/>
        <v>100</v>
      </c>
      <c r="O13" s="91">
        <v>21.2</v>
      </c>
      <c r="P13" s="92">
        <v>40.4</v>
      </c>
      <c r="Q13" s="92"/>
      <c r="R13" s="93">
        <f t="shared" si="3"/>
        <v>61.599999999999994</v>
      </c>
      <c r="S13" s="208">
        <v>2</v>
      </c>
      <c r="T13" s="81"/>
      <c r="V13" s="82" t="s">
        <v>502</v>
      </c>
      <c r="W13" s="208" t="s">
        <v>17</v>
      </c>
      <c r="X13" s="208" t="s">
        <v>333</v>
      </c>
      <c r="Y13" s="83">
        <v>40.4</v>
      </c>
      <c r="Z13" s="208" t="s">
        <v>131</v>
      </c>
      <c r="AA13" s="208" t="s">
        <v>22</v>
      </c>
      <c r="AB13" s="208" t="s">
        <v>11</v>
      </c>
      <c r="AC13" s="208">
        <v>21.2</v>
      </c>
      <c r="AD13" s="82"/>
      <c r="AG13" s="83"/>
      <c r="AL13" s="82"/>
      <c r="AO13" s="83"/>
      <c r="AP13" s="82"/>
      <c r="AS13" s="83"/>
      <c r="AW13" s="83"/>
      <c r="BA13" s="84"/>
    </row>
    <row r="14" spans="1:53" s="208" customFormat="1">
      <c r="A14" s="102">
        <v>1962.6</v>
      </c>
      <c r="B14" s="207"/>
      <c r="C14" s="988" t="s">
        <v>681</v>
      </c>
      <c r="D14" s="988"/>
      <c r="E14" s="208">
        <v>0</v>
      </c>
      <c r="G14" s="123">
        <v>3</v>
      </c>
      <c r="H14" s="208">
        <v>4</v>
      </c>
      <c r="J14" s="134">
        <v>7</v>
      </c>
      <c r="K14" s="92">
        <f t="shared" si="1"/>
        <v>42.857142857142854</v>
      </c>
      <c r="L14" s="92">
        <f t="shared" si="1"/>
        <v>57.142857142857139</v>
      </c>
      <c r="M14" s="92">
        <f t="shared" si="1"/>
        <v>0</v>
      </c>
      <c r="N14" s="125">
        <f t="shared" si="2"/>
        <v>100</v>
      </c>
      <c r="O14" s="91">
        <v>21.2</v>
      </c>
      <c r="P14" s="92">
        <v>40.4</v>
      </c>
      <c r="Q14" s="92"/>
      <c r="R14" s="93">
        <f t="shared" si="3"/>
        <v>61.599999999999994</v>
      </c>
      <c r="S14" s="208">
        <v>2</v>
      </c>
      <c r="T14" s="81"/>
      <c r="V14" s="82" t="s">
        <v>502</v>
      </c>
      <c r="W14" s="208" t="s">
        <v>17</v>
      </c>
      <c r="X14" s="208" t="s">
        <v>333</v>
      </c>
      <c r="Y14" s="83">
        <v>40.4</v>
      </c>
      <c r="Z14" s="208" t="s">
        <v>131</v>
      </c>
      <c r="AA14" s="208" t="s">
        <v>22</v>
      </c>
      <c r="AB14" s="208" t="s">
        <v>11</v>
      </c>
      <c r="AC14" s="208">
        <v>21.2</v>
      </c>
      <c r="AD14" s="82"/>
      <c r="AG14" s="83"/>
      <c r="AL14" s="82"/>
      <c r="AO14" s="83"/>
      <c r="AP14" s="82"/>
      <c r="AS14" s="83"/>
      <c r="AW14" s="83"/>
      <c r="BA14" s="84"/>
    </row>
    <row r="15" spans="1:53" s="208" customFormat="1">
      <c r="A15" s="102">
        <v>1963.05714285714</v>
      </c>
      <c r="B15" s="207"/>
      <c r="C15" s="988" t="s">
        <v>681</v>
      </c>
      <c r="D15" s="988"/>
      <c r="E15" s="208">
        <v>365</v>
      </c>
      <c r="G15" s="123">
        <v>3</v>
      </c>
      <c r="H15" s="208">
        <v>4</v>
      </c>
      <c r="J15" s="134">
        <v>7</v>
      </c>
      <c r="K15" s="92">
        <f t="shared" si="1"/>
        <v>42.857142857142854</v>
      </c>
      <c r="L15" s="92">
        <f t="shared" si="1"/>
        <v>57.142857142857139</v>
      </c>
      <c r="M15" s="92">
        <f t="shared" si="1"/>
        <v>0</v>
      </c>
      <c r="N15" s="125">
        <f t="shared" si="2"/>
        <v>100</v>
      </c>
      <c r="O15" s="91">
        <v>21.2</v>
      </c>
      <c r="P15" s="92">
        <v>40.4</v>
      </c>
      <c r="Q15" s="92"/>
      <c r="R15" s="93">
        <f t="shared" si="3"/>
        <v>61.599999999999994</v>
      </c>
      <c r="S15" s="208">
        <v>2</v>
      </c>
      <c r="T15" s="81"/>
      <c r="V15" s="82" t="s">
        <v>502</v>
      </c>
      <c r="W15" s="208" t="s">
        <v>17</v>
      </c>
      <c r="X15" s="208" t="s">
        <v>333</v>
      </c>
      <c r="Y15" s="83">
        <v>40.4</v>
      </c>
      <c r="Z15" s="208" t="s">
        <v>131</v>
      </c>
      <c r="AA15" s="208" t="s">
        <v>22</v>
      </c>
      <c r="AB15" s="208" t="s">
        <v>11</v>
      </c>
      <c r="AC15" s="208">
        <v>21.2</v>
      </c>
      <c r="AD15" s="82"/>
      <c r="AG15" s="83"/>
      <c r="AL15" s="82"/>
      <c r="AO15" s="83"/>
      <c r="AP15" s="82"/>
      <c r="AS15" s="83"/>
      <c r="AW15" s="83"/>
      <c r="BA15" s="84"/>
    </row>
    <row r="16" spans="1:53" s="208" customFormat="1">
      <c r="A16" s="102">
        <v>1963.5142857142901</v>
      </c>
      <c r="B16" s="207"/>
      <c r="C16" s="988" t="s">
        <v>681</v>
      </c>
      <c r="D16" s="988"/>
      <c r="E16" s="208">
        <v>199</v>
      </c>
      <c r="G16" s="123">
        <v>3</v>
      </c>
      <c r="H16" s="208">
        <v>4</v>
      </c>
      <c r="J16" s="134">
        <v>7</v>
      </c>
      <c r="K16" s="92">
        <f t="shared" si="1"/>
        <v>42.857142857142854</v>
      </c>
      <c r="L16" s="92">
        <f t="shared" si="1"/>
        <v>57.142857142857139</v>
      </c>
      <c r="M16" s="92">
        <f t="shared" si="1"/>
        <v>0</v>
      </c>
      <c r="N16" s="125">
        <f t="shared" si="2"/>
        <v>100</v>
      </c>
      <c r="O16" s="91">
        <v>21.2</v>
      </c>
      <c r="P16" s="92">
        <v>40.4</v>
      </c>
      <c r="Q16" s="92"/>
      <c r="R16" s="93">
        <f t="shared" si="3"/>
        <v>61.599999999999994</v>
      </c>
      <c r="S16" s="208">
        <v>2</v>
      </c>
      <c r="T16" s="81"/>
      <c r="V16" s="82" t="s">
        <v>502</v>
      </c>
      <c r="W16" s="208" t="s">
        <v>17</v>
      </c>
      <c r="X16" s="208" t="s">
        <v>333</v>
      </c>
      <c r="Y16" s="83">
        <v>40.4</v>
      </c>
      <c r="Z16" s="208" t="s">
        <v>131</v>
      </c>
      <c r="AA16" s="208" t="s">
        <v>22</v>
      </c>
      <c r="AB16" s="208" t="s">
        <v>11</v>
      </c>
      <c r="AC16" s="208">
        <v>21.2</v>
      </c>
      <c r="AD16" s="82"/>
      <c r="AG16" s="83"/>
      <c r="AL16" s="82"/>
      <c r="AO16" s="83"/>
      <c r="AP16" s="82"/>
      <c r="AS16" s="83"/>
      <c r="AW16" s="83"/>
      <c r="BA16" s="84"/>
    </row>
    <row r="17" spans="1:53" s="334" customFormat="1">
      <c r="A17" s="386">
        <v>1963.9714285714299</v>
      </c>
      <c r="B17" s="355">
        <v>23576</v>
      </c>
      <c r="C17" s="992" t="s">
        <v>682</v>
      </c>
      <c r="D17" s="992"/>
      <c r="E17" s="334">
        <f>366-E16</f>
        <v>167</v>
      </c>
      <c r="F17" s="334">
        <v>1</v>
      </c>
      <c r="G17" s="419"/>
      <c r="H17" s="334">
        <v>4</v>
      </c>
      <c r="I17" s="334">
        <v>4</v>
      </c>
      <c r="J17" s="435">
        <v>8</v>
      </c>
      <c r="K17" s="384">
        <f t="shared" si="1"/>
        <v>0</v>
      </c>
      <c r="L17" s="384">
        <f t="shared" si="1"/>
        <v>50</v>
      </c>
      <c r="M17" s="384">
        <f t="shared" si="1"/>
        <v>50</v>
      </c>
      <c r="N17" s="421">
        <f t="shared" si="2"/>
        <v>100</v>
      </c>
      <c r="O17" s="383"/>
      <c r="P17" s="384">
        <v>39.299999999999997</v>
      </c>
      <c r="Q17" s="384">
        <v>37.5</v>
      </c>
      <c r="R17" s="385">
        <f t="shared" si="3"/>
        <v>76.8</v>
      </c>
      <c r="S17" s="334">
        <v>2</v>
      </c>
      <c r="T17" s="342">
        <v>23535</v>
      </c>
      <c r="U17" s="355">
        <v>23576</v>
      </c>
      <c r="V17" s="343" t="s">
        <v>502</v>
      </c>
      <c r="W17" s="334" t="s">
        <v>17</v>
      </c>
      <c r="X17" s="334" t="s">
        <v>333</v>
      </c>
      <c r="Y17" s="344">
        <v>39.299999999999997</v>
      </c>
      <c r="Z17" s="334" t="s">
        <v>503</v>
      </c>
      <c r="AA17" s="334" t="s">
        <v>20</v>
      </c>
      <c r="AB17" s="334" t="s">
        <v>12</v>
      </c>
      <c r="AC17" s="334">
        <v>37.5</v>
      </c>
      <c r="AD17" s="343"/>
      <c r="AG17" s="344"/>
      <c r="AL17" s="343"/>
      <c r="AO17" s="344"/>
      <c r="AP17" s="343"/>
      <c r="AS17" s="344"/>
      <c r="AW17" s="344"/>
      <c r="BA17" s="345"/>
    </row>
    <row r="18" spans="1:53" s="334" customFormat="1">
      <c r="A18" s="386">
        <v>1965</v>
      </c>
      <c r="B18" s="355"/>
      <c r="C18" s="992" t="s">
        <v>682</v>
      </c>
      <c r="D18" s="992"/>
      <c r="E18" s="334">
        <v>0</v>
      </c>
      <c r="G18" s="419"/>
      <c r="H18" s="334">
        <v>4</v>
      </c>
      <c r="I18" s="334">
        <v>4</v>
      </c>
      <c r="J18" s="435">
        <v>8</v>
      </c>
      <c r="K18" s="384">
        <f t="shared" si="1"/>
        <v>0</v>
      </c>
      <c r="L18" s="384">
        <f t="shared" si="1"/>
        <v>50</v>
      </c>
      <c r="M18" s="384">
        <f t="shared" si="1"/>
        <v>50</v>
      </c>
      <c r="N18" s="421">
        <f t="shared" si="2"/>
        <v>100</v>
      </c>
      <c r="O18" s="383"/>
      <c r="P18" s="384">
        <v>39.299999999999997</v>
      </c>
      <c r="Q18" s="384">
        <v>37.5</v>
      </c>
      <c r="R18" s="385">
        <f t="shared" si="3"/>
        <v>76.8</v>
      </c>
      <c r="S18" s="334">
        <v>2</v>
      </c>
      <c r="T18" s="357"/>
      <c r="V18" s="343" t="s">
        <v>502</v>
      </c>
      <c r="W18" s="334" t="s">
        <v>17</v>
      </c>
      <c r="X18" s="334" t="s">
        <v>333</v>
      </c>
      <c r="Y18" s="344">
        <v>39.299999999999997</v>
      </c>
      <c r="Z18" s="334" t="s">
        <v>503</v>
      </c>
      <c r="AA18" s="334" t="s">
        <v>20</v>
      </c>
      <c r="AB18" s="334" t="s">
        <v>12</v>
      </c>
      <c r="AC18" s="334">
        <v>37.5</v>
      </c>
      <c r="AD18" s="343"/>
      <c r="AG18" s="344"/>
      <c r="AL18" s="343"/>
      <c r="AO18" s="344"/>
      <c r="AP18" s="343"/>
      <c r="AS18" s="344"/>
      <c r="AW18" s="344"/>
      <c r="BA18" s="345"/>
    </row>
    <row r="19" spans="1:53" s="334" customFormat="1">
      <c r="A19" s="386">
        <v>1964.88571428572</v>
      </c>
      <c r="B19" s="355"/>
      <c r="C19" s="992" t="s">
        <v>682</v>
      </c>
      <c r="D19" s="992"/>
      <c r="E19" s="334">
        <v>365</v>
      </c>
      <c r="G19" s="419"/>
      <c r="H19" s="334">
        <v>4</v>
      </c>
      <c r="I19" s="334">
        <v>4</v>
      </c>
      <c r="J19" s="435">
        <v>8</v>
      </c>
      <c r="K19" s="384">
        <f t="shared" si="1"/>
        <v>0</v>
      </c>
      <c r="L19" s="384">
        <f t="shared" si="1"/>
        <v>50</v>
      </c>
      <c r="M19" s="384">
        <f t="shared" si="1"/>
        <v>50</v>
      </c>
      <c r="N19" s="421">
        <f t="shared" si="2"/>
        <v>100</v>
      </c>
      <c r="O19" s="383"/>
      <c r="P19" s="384">
        <v>39.299999999999997</v>
      </c>
      <c r="Q19" s="384">
        <v>37.5</v>
      </c>
      <c r="R19" s="385">
        <f t="shared" si="3"/>
        <v>76.8</v>
      </c>
      <c r="S19" s="334">
        <v>2</v>
      </c>
      <c r="T19" s="357"/>
      <c r="V19" s="343" t="s">
        <v>502</v>
      </c>
      <c r="W19" s="334" t="s">
        <v>17</v>
      </c>
      <c r="X19" s="334" t="s">
        <v>333</v>
      </c>
      <c r="Y19" s="344">
        <v>39.299999999999997</v>
      </c>
      <c r="Z19" s="334" t="s">
        <v>503</v>
      </c>
      <c r="AA19" s="334" t="s">
        <v>20</v>
      </c>
      <c r="AB19" s="334" t="s">
        <v>12</v>
      </c>
      <c r="AC19" s="334">
        <v>37.5</v>
      </c>
      <c r="AD19" s="343"/>
      <c r="AG19" s="344"/>
      <c r="AL19" s="343"/>
      <c r="AO19" s="344"/>
      <c r="AP19" s="343"/>
      <c r="AS19" s="344"/>
      <c r="AW19" s="344"/>
      <c r="BA19" s="345"/>
    </row>
    <row r="20" spans="1:53" s="334" customFormat="1">
      <c r="A20" s="386">
        <v>1966</v>
      </c>
      <c r="B20" s="355"/>
      <c r="C20" s="992" t="s">
        <v>682</v>
      </c>
      <c r="D20" s="992"/>
      <c r="E20" s="334">
        <v>0</v>
      </c>
      <c r="G20" s="419"/>
      <c r="H20" s="334">
        <v>4</v>
      </c>
      <c r="I20" s="334">
        <v>4</v>
      </c>
      <c r="J20" s="435">
        <v>8</v>
      </c>
      <c r="K20" s="384">
        <f t="shared" si="1"/>
        <v>0</v>
      </c>
      <c r="L20" s="384">
        <f t="shared" si="1"/>
        <v>50</v>
      </c>
      <c r="M20" s="384">
        <f t="shared" si="1"/>
        <v>50</v>
      </c>
      <c r="N20" s="421">
        <f t="shared" si="2"/>
        <v>100</v>
      </c>
      <c r="O20" s="383"/>
      <c r="P20" s="384">
        <v>39.299999999999997</v>
      </c>
      <c r="Q20" s="384">
        <v>37.5</v>
      </c>
      <c r="R20" s="385">
        <f t="shared" si="3"/>
        <v>76.8</v>
      </c>
      <c r="S20" s="334">
        <v>2</v>
      </c>
      <c r="T20" s="357"/>
      <c r="V20" s="343" t="s">
        <v>502</v>
      </c>
      <c r="W20" s="334" t="s">
        <v>17</v>
      </c>
      <c r="X20" s="334" t="s">
        <v>333</v>
      </c>
      <c r="Y20" s="344">
        <v>39.299999999999997</v>
      </c>
      <c r="Z20" s="334" t="s">
        <v>503</v>
      </c>
      <c r="AA20" s="334" t="s">
        <v>20</v>
      </c>
      <c r="AB20" s="334" t="s">
        <v>12</v>
      </c>
      <c r="AC20" s="334">
        <v>37.5</v>
      </c>
      <c r="AD20" s="343"/>
      <c r="AG20" s="344"/>
      <c r="AL20" s="343"/>
      <c r="AO20" s="344"/>
      <c r="AP20" s="343"/>
      <c r="AS20" s="344"/>
      <c r="AW20" s="344"/>
      <c r="BA20" s="345"/>
    </row>
    <row r="21" spans="1:53" s="334" customFormat="1">
      <c r="A21" s="386">
        <v>1965.8</v>
      </c>
      <c r="B21" s="355"/>
      <c r="C21" s="992" t="s">
        <v>682</v>
      </c>
      <c r="D21" s="992"/>
      <c r="E21" s="334">
        <v>365</v>
      </c>
      <c r="G21" s="419"/>
      <c r="H21" s="334">
        <v>4</v>
      </c>
      <c r="I21" s="334">
        <v>4</v>
      </c>
      <c r="J21" s="435">
        <v>8</v>
      </c>
      <c r="K21" s="384">
        <f t="shared" si="1"/>
        <v>0</v>
      </c>
      <c r="L21" s="384">
        <f t="shared" si="1"/>
        <v>50</v>
      </c>
      <c r="M21" s="384">
        <f t="shared" si="1"/>
        <v>50</v>
      </c>
      <c r="N21" s="421">
        <f t="shared" si="2"/>
        <v>100</v>
      </c>
      <c r="O21" s="383"/>
      <c r="P21" s="384">
        <v>39.299999999999997</v>
      </c>
      <c r="Q21" s="384">
        <v>37.5</v>
      </c>
      <c r="R21" s="385">
        <f t="shared" si="3"/>
        <v>76.8</v>
      </c>
      <c r="S21" s="334">
        <v>2</v>
      </c>
      <c r="T21" s="357"/>
      <c r="V21" s="343" t="s">
        <v>502</v>
      </c>
      <c r="W21" s="334" t="s">
        <v>17</v>
      </c>
      <c r="X21" s="334" t="s">
        <v>333</v>
      </c>
      <c r="Y21" s="344">
        <v>39.299999999999997</v>
      </c>
      <c r="Z21" s="334" t="s">
        <v>503</v>
      </c>
      <c r="AA21" s="334" t="s">
        <v>20</v>
      </c>
      <c r="AB21" s="334" t="s">
        <v>12</v>
      </c>
      <c r="AC21" s="334">
        <v>37.5</v>
      </c>
      <c r="AD21" s="343"/>
      <c r="AG21" s="344"/>
      <c r="AL21" s="343"/>
      <c r="AO21" s="344"/>
      <c r="AP21" s="343"/>
      <c r="AS21" s="344"/>
      <c r="AW21" s="344"/>
      <c r="BA21" s="345"/>
    </row>
    <row r="22" spans="1:53" s="334" customFormat="1">
      <c r="A22" s="386">
        <v>1967</v>
      </c>
      <c r="B22" s="355"/>
      <c r="C22" s="992" t="s">
        <v>682</v>
      </c>
      <c r="D22" s="992"/>
      <c r="E22" s="334">
        <v>3</v>
      </c>
      <c r="G22" s="419"/>
      <c r="H22" s="334">
        <v>4</v>
      </c>
      <c r="I22" s="334">
        <v>4</v>
      </c>
      <c r="J22" s="435">
        <v>8</v>
      </c>
      <c r="K22" s="384">
        <f t="shared" si="1"/>
        <v>0</v>
      </c>
      <c r="L22" s="384">
        <f t="shared" si="1"/>
        <v>50</v>
      </c>
      <c r="M22" s="384">
        <f t="shared" si="1"/>
        <v>50</v>
      </c>
      <c r="N22" s="421">
        <f t="shared" si="2"/>
        <v>100</v>
      </c>
      <c r="O22" s="383"/>
      <c r="P22" s="384">
        <v>39.299999999999997</v>
      </c>
      <c r="Q22" s="384">
        <v>37.5</v>
      </c>
      <c r="R22" s="385">
        <f t="shared" si="3"/>
        <v>76.8</v>
      </c>
      <c r="S22" s="334">
        <v>2</v>
      </c>
      <c r="T22" s="357"/>
      <c r="V22" s="343" t="s">
        <v>502</v>
      </c>
      <c r="W22" s="334" t="s">
        <v>17</v>
      </c>
      <c r="X22" s="334" t="s">
        <v>333</v>
      </c>
      <c r="Y22" s="344">
        <v>39.299999999999997</v>
      </c>
      <c r="Z22" s="334" t="s">
        <v>503</v>
      </c>
      <c r="AA22" s="334" t="s">
        <v>20</v>
      </c>
      <c r="AB22" s="334" t="s">
        <v>12</v>
      </c>
      <c r="AC22" s="334">
        <v>37.5</v>
      </c>
      <c r="AD22" s="343"/>
      <c r="AG22" s="344"/>
      <c r="AL22" s="343"/>
      <c r="AO22" s="344"/>
      <c r="AP22" s="343"/>
      <c r="AS22" s="344"/>
      <c r="AW22" s="344"/>
      <c r="BA22" s="345"/>
    </row>
    <row r="23" spans="1:53" s="208" customFormat="1">
      <c r="A23" s="102">
        <v>1966.7142857142901</v>
      </c>
      <c r="B23" s="207">
        <v>24476</v>
      </c>
      <c r="C23" s="988" t="s">
        <v>683</v>
      </c>
      <c r="D23" s="988"/>
      <c r="E23" s="208">
        <f>365-E22</f>
        <v>362</v>
      </c>
      <c r="F23" s="208">
        <v>5</v>
      </c>
      <c r="G23" s="123"/>
      <c r="H23" s="208">
        <v>4</v>
      </c>
      <c r="I23" s="208">
        <v>4</v>
      </c>
      <c r="J23" s="134">
        <v>8</v>
      </c>
      <c r="K23" s="92">
        <f t="shared" si="1"/>
        <v>0</v>
      </c>
      <c r="L23" s="92">
        <f t="shared" si="1"/>
        <v>50</v>
      </c>
      <c r="M23" s="92">
        <f t="shared" si="1"/>
        <v>50</v>
      </c>
      <c r="N23" s="125">
        <f t="shared" si="2"/>
        <v>100</v>
      </c>
      <c r="O23" s="91"/>
      <c r="P23" s="92">
        <v>39.299999999999997</v>
      </c>
      <c r="Q23" s="92">
        <v>37.5</v>
      </c>
      <c r="R23" s="93">
        <f t="shared" si="3"/>
        <v>76.8</v>
      </c>
      <c r="S23" s="208">
        <v>2</v>
      </c>
      <c r="T23" s="81"/>
      <c r="U23" s="207">
        <v>24476</v>
      </c>
      <c r="V23" s="82" t="s">
        <v>502</v>
      </c>
      <c r="W23" s="208" t="s">
        <v>17</v>
      </c>
      <c r="X23" s="208" t="s">
        <v>333</v>
      </c>
      <c r="Y23" s="83">
        <v>39.299999999999997</v>
      </c>
      <c r="Z23" s="208" t="s">
        <v>503</v>
      </c>
      <c r="AA23" s="208" t="s">
        <v>20</v>
      </c>
      <c r="AB23" s="208" t="s">
        <v>12</v>
      </c>
      <c r="AC23" s="208">
        <v>37.5</v>
      </c>
      <c r="AD23" s="82"/>
      <c r="AG23" s="83"/>
      <c r="AL23" s="82"/>
      <c r="AO23" s="83"/>
      <c r="AP23" s="82"/>
      <c r="AS23" s="83"/>
      <c r="AW23" s="83"/>
      <c r="BA23" s="84"/>
    </row>
    <row r="24" spans="1:53" s="208" customFormat="1">
      <c r="A24" s="102">
        <v>1968</v>
      </c>
      <c r="B24" s="207"/>
      <c r="C24" s="988" t="s">
        <v>683</v>
      </c>
      <c r="D24" s="988"/>
      <c r="E24" s="208">
        <v>0</v>
      </c>
      <c r="G24" s="123"/>
      <c r="H24" s="208">
        <v>4</v>
      </c>
      <c r="I24" s="208">
        <v>4</v>
      </c>
      <c r="J24" s="134">
        <v>8</v>
      </c>
      <c r="K24" s="92">
        <f t="shared" si="1"/>
        <v>0</v>
      </c>
      <c r="L24" s="92">
        <f t="shared" si="1"/>
        <v>50</v>
      </c>
      <c r="M24" s="92">
        <f t="shared" si="1"/>
        <v>50</v>
      </c>
      <c r="N24" s="125">
        <f t="shared" si="2"/>
        <v>100</v>
      </c>
      <c r="O24" s="91"/>
      <c r="P24" s="92">
        <v>39.299999999999997</v>
      </c>
      <c r="Q24" s="92">
        <v>37.5</v>
      </c>
      <c r="R24" s="93">
        <f t="shared" si="3"/>
        <v>76.8</v>
      </c>
      <c r="S24" s="208">
        <v>2</v>
      </c>
      <c r="T24" s="81"/>
      <c r="V24" s="82" t="s">
        <v>502</v>
      </c>
      <c r="W24" s="208" t="s">
        <v>17</v>
      </c>
      <c r="X24" s="208" t="s">
        <v>333</v>
      </c>
      <c r="Y24" s="83">
        <v>39.299999999999997</v>
      </c>
      <c r="Z24" s="208" t="s">
        <v>503</v>
      </c>
      <c r="AA24" s="208" t="s">
        <v>20</v>
      </c>
      <c r="AB24" s="208" t="s">
        <v>12</v>
      </c>
      <c r="AC24" s="208">
        <v>37.5</v>
      </c>
      <c r="AD24" s="82"/>
      <c r="AG24" s="83"/>
      <c r="AL24" s="82"/>
      <c r="AO24" s="83"/>
      <c r="AP24" s="82"/>
      <c r="AS24" s="83"/>
      <c r="AW24" s="83"/>
      <c r="BA24" s="84"/>
    </row>
    <row r="25" spans="1:53" s="208" customFormat="1">
      <c r="A25" s="102">
        <v>1967.62857142857</v>
      </c>
      <c r="B25" s="207"/>
      <c r="C25" s="988" t="s">
        <v>683</v>
      </c>
      <c r="D25" s="988"/>
      <c r="E25" s="208">
        <v>366</v>
      </c>
      <c r="G25" s="123"/>
      <c r="H25" s="208">
        <v>4</v>
      </c>
      <c r="I25" s="208">
        <v>4</v>
      </c>
      <c r="J25" s="134">
        <v>8</v>
      </c>
      <c r="K25" s="92">
        <f t="shared" si="1"/>
        <v>0</v>
      </c>
      <c r="L25" s="92">
        <f t="shared" si="1"/>
        <v>50</v>
      </c>
      <c r="M25" s="92">
        <f t="shared" si="1"/>
        <v>50</v>
      </c>
      <c r="N25" s="125">
        <f t="shared" si="2"/>
        <v>100</v>
      </c>
      <c r="O25" s="91"/>
      <c r="P25" s="92">
        <v>39.299999999999997</v>
      </c>
      <c r="Q25" s="92">
        <v>37.5</v>
      </c>
      <c r="R25" s="93">
        <f t="shared" si="3"/>
        <v>76.8</v>
      </c>
      <c r="S25" s="208">
        <v>2</v>
      </c>
      <c r="T25" s="95">
        <v>25187</v>
      </c>
      <c r="V25" s="82" t="s">
        <v>502</v>
      </c>
      <c r="W25" s="208" t="s">
        <v>17</v>
      </c>
      <c r="X25" s="208" t="s">
        <v>333</v>
      </c>
      <c r="Y25" s="83">
        <v>39.299999999999997</v>
      </c>
      <c r="Z25" s="208" t="s">
        <v>503</v>
      </c>
      <c r="AA25" s="208" t="s">
        <v>20</v>
      </c>
      <c r="AB25" s="208" t="s">
        <v>12</v>
      </c>
      <c r="AC25" s="208">
        <v>37.5</v>
      </c>
      <c r="AD25" s="82"/>
      <c r="AG25" s="83"/>
      <c r="AL25" s="82"/>
      <c r="AO25" s="83"/>
      <c r="AP25" s="82"/>
      <c r="AS25" s="83"/>
      <c r="AW25" s="83"/>
      <c r="BA25" s="84"/>
    </row>
    <row r="26" spans="1:53" s="208" customFormat="1">
      <c r="A26" s="102">
        <v>1969</v>
      </c>
      <c r="B26" s="207"/>
      <c r="C26" s="988" t="s">
        <v>683</v>
      </c>
      <c r="D26" s="988"/>
      <c r="E26" s="208">
        <v>30</v>
      </c>
      <c r="G26" s="123"/>
      <c r="H26" s="208">
        <v>4</v>
      </c>
      <c r="I26" s="208">
        <v>4</v>
      </c>
      <c r="J26" s="134">
        <v>8</v>
      </c>
      <c r="K26" s="92">
        <f t="shared" si="1"/>
        <v>0</v>
      </c>
      <c r="L26" s="92">
        <f t="shared" si="1"/>
        <v>50</v>
      </c>
      <c r="M26" s="92">
        <f t="shared" si="1"/>
        <v>50</v>
      </c>
      <c r="N26" s="125">
        <f t="shared" si="2"/>
        <v>100</v>
      </c>
      <c r="O26" s="91"/>
      <c r="P26" s="92">
        <v>39.299999999999997</v>
      </c>
      <c r="Q26" s="92">
        <v>37.5</v>
      </c>
      <c r="R26" s="93">
        <f t="shared" si="3"/>
        <v>76.8</v>
      </c>
      <c r="S26" s="208">
        <v>2</v>
      </c>
      <c r="T26" s="81"/>
      <c r="V26" s="82" t="s">
        <v>502</v>
      </c>
      <c r="W26" s="208" t="s">
        <v>17</v>
      </c>
      <c r="X26" s="208" t="s">
        <v>333</v>
      </c>
      <c r="Y26" s="83">
        <v>39.299999999999997</v>
      </c>
      <c r="Z26" s="208" t="s">
        <v>503</v>
      </c>
      <c r="AA26" s="208" t="s">
        <v>20</v>
      </c>
      <c r="AB26" s="208" t="s">
        <v>12</v>
      </c>
      <c r="AC26" s="208">
        <v>37.5</v>
      </c>
      <c r="AD26" s="82"/>
      <c r="AG26" s="83"/>
      <c r="AL26" s="82"/>
      <c r="AO26" s="83"/>
      <c r="AP26" s="82"/>
      <c r="AS26" s="83"/>
      <c r="AW26" s="83"/>
      <c r="BA26" s="84"/>
    </row>
    <row r="27" spans="1:53" s="334" customFormat="1">
      <c r="A27" s="386">
        <v>1968.5428571428599</v>
      </c>
      <c r="B27" s="355">
        <v>25234</v>
      </c>
      <c r="C27" s="992" t="s">
        <v>684</v>
      </c>
      <c r="D27" s="992"/>
      <c r="E27" s="334">
        <f>365-E26</f>
        <v>335</v>
      </c>
      <c r="F27" s="334">
        <v>4</v>
      </c>
      <c r="G27" s="419">
        <v>3</v>
      </c>
      <c r="H27" s="334">
        <v>4</v>
      </c>
      <c r="J27" s="435">
        <v>7</v>
      </c>
      <c r="K27" s="384">
        <f t="shared" si="1"/>
        <v>42.857142857142854</v>
      </c>
      <c r="L27" s="384">
        <f t="shared" si="1"/>
        <v>57.142857142857139</v>
      </c>
      <c r="M27" s="384">
        <f t="shared" si="1"/>
        <v>0</v>
      </c>
      <c r="N27" s="421">
        <f t="shared" si="2"/>
        <v>100</v>
      </c>
      <c r="O27" s="383">
        <v>19.600000000000001</v>
      </c>
      <c r="P27" s="384">
        <v>37.5</v>
      </c>
      <c r="Q27" s="384"/>
      <c r="R27" s="385">
        <f t="shared" si="3"/>
        <v>57.1</v>
      </c>
      <c r="S27" s="334">
        <v>2</v>
      </c>
      <c r="T27" s="357"/>
      <c r="U27" s="355">
        <v>25234</v>
      </c>
      <c r="V27" s="343" t="s">
        <v>502</v>
      </c>
      <c r="W27" s="334" t="s">
        <v>17</v>
      </c>
      <c r="X27" s="334" t="s">
        <v>333</v>
      </c>
      <c r="Y27" s="344">
        <v>37.5</v>
      </c>
      <c r="Z27" s="334" t="s">
        <v>131</v>
      </c>
      <c r="AA27" s="334" t="s">
        <v>22</v>
      </c>
      <c r="AB27" s="334" t="s">
        <v>11</v>
      </c>
      <c r="AC27" s="334">
        <v>19.600000000000001</v>
      </c>
      <c r="AD27" s="343"/>
      <c r="AG27" s="344"/>
      <c r="AL27" s="343"/>
      <c r="AO27" s="344"/>
      <c r="AP27" s="343"/>
      <c r="AS27" s="344"/>
      <c r="AW27" s="344"/>
      <c r="BA27" s="345"/>
    </row>
    <row r="28" spans="1:53" s="334" customFormat="1">
      <c r="A28" s="386">
        <v>1970</v>
      </c>
      <c r="B28" s="355"/>
      <c r="C28" s="992" t="s">
        <v>684</v>
      </c>
      <c r="D28" s="992"/>
      <c r="E28" s="334">
        <v>0</v>
      </c>
      <c r="G28" s="419">
        <v>3</v>
      </c>
      <c r="H28" s="334">
        <v>4</v>
      </c>
      <c r="J28" s="435">
        <v>7</v>
      </c>
      <c r="K28" s="384">
        <f t="shared" si="1"/>
        <v>42.857142857142854</v>
      </c>
      <c r="L28" s="384">
        <f t="shared" si="1"/>
        <v>57.142857142857139</v>
      </c>
      <c r="M28" s="384">
        <f t="shared" si="1"/>
        <v>0</v>
      </c>
      <c r="N28" s="421">
        <f t="shared" si="2"/>
        <v>100</v>
      </c>
      <c r="O28" s="383">
        <v>19.600000000000001</v>
      </c>
      <c r="P28" s="384">
        <v>37.5</v>
      </c>
      <c r="Q28" s="384"/>
      <c r="R28" s="385">
        <f t="shared" si="3"/>
        <v>57.1</v>
      </c>
      <c r="S28" s="334">
        <v>2</v>
      </c>
      <c r="T28" s="357"/>
      <c r="V28" s="343" t="s">
        <v>502</v>
      </c>
      <c r="W28" s="334" t="s">
        <v>17</v>
      </c>
      <c r="X28" s="334" t="s">
        <v>333</v>
      </c>
      <c r="Y28" s="344">
        <v>37.5</v>
      </c>
      <c r="Z28" s="334" t="s">
        <v>131</v>
      </c>
      <c r="AA28" s="334" t="s">
        <v>22</v>
      </c>
      <c r="AB28" s="334" t="s">
        <v>11</v>
      </c>
      <c r="AC28" s="334">
        <v>19.600000000000001</v>
      </c>
      <c r="AD28" s="343"/>
      <c r="AG28" s="344"/>
      <c r="AL28" s="343"/>
      <c r="AO28" s="344"/>
      <c r="AP28" s="343"/>
      <c r="AS28" s="344"/>
      <c r="AW28" s="344"/>
      <c r="BA28" s="345"/>
    </row>
    <row r="29" spans="1:53" s="334" customFormat="1">
      <c r="A29" s="386">
        <v>1970</v>
      </c>
      <c r="B29" s="355"/>
      <c r="C29" s="992" t="s">
        <v>684</v>
      </c>
      <c r="D29" s="992"/>
      <c r="E29" s="334">
        <v>365</v>
      </c>
      <c r="G29" s="419">
        <v>3</v>
      </c>
      <c r="H29" s="334">
        <v>4</v>
      </c>
      <c r="J29" s="435">
        <v>7</v>
      </c>
      <c r="K29" s="384">
        <f t="shared" si="1"/>
        <v>42.857142857142854</v>
      </c>
      <c r="L29" s="384">
        <f t="shared" si="1"/>
        <v>57.142857142857139</v>
      </c>
      <c r="M29" s="384">
        <f t="shared" si="1"/>
        <v>0</v>
      </c>
      <c r="N29" s="421">
        <f t="shared" si="2"/>
        <v>100</v>
      </c>
      <c r="O29" s="383">
        <v>19.600000000000001</v>
      </c>
      <c r="P29" s="384">
        <v>37.5</v>
      </c>
      <c r="Q29" s="384"/>
      <c r="R29" s="385">
        <f t="shared" si="3"/>
        <v>57.1</v>
      </c>
      <c r="S29" s="334">
        <v>2</v>
      </c>
      <c r="T29" s="357"/>
      <c r="V29" s="343" t="s">
        <v>502</v>
      </c>
      <c r="W29" s="334" t="s">
        <v>17</v>
      </c>
      <c r="X29" s="334" t="s">
        <v>333</v>
      </c>
      <c r="Y29" s="344">
        <v>37.5</v>
      </c>
      <c r="Z29" s="334" t="s">
        <v>131</v>
      </c>
      <c r="AA29" s="334" t="s">
        <v>22</v>
      </c>
      <c r="AB29" s="334" t="s">
        <v>11</v>
      </c>
      <c r="AC29" s="334">
        <v>19.600000000000001</v>
      </c>
      <c r="AD29" s="343"/>
      <c r="AG29" s="344"/>
      <c r="AL29" s="343"/>
      <c r="AO29" s="344"/>
      <c r="AP29" s="343"/>
      <c r="AS29" s="344"/>
      <c r="AW29" s="344"/>
      <c r="BA29" s="345"/>
    </row>
    <row r="30" spans="1:53" s="334" customFormat="1">
      <c r="A30" s="386">
        <v>1971</v>
      </c>
      <c r="B30" s="355"/>
      <c r="C30" s="992" t="s">
        <v>684</v>
      </c>
      <c r="D30" s="992"/>
      <c r="E30" s="334">
        <v>0</v>
      </c>
      <c r="G30" s="419">
        <v>3</v>
      </c>
      <c r="H30" s="334">
        <v>4</v>
      </c>
      <c r="J30" s="435">
        <v>7</v>
      </c>
      <c r="K30" s="384">
        <f t="shared" si="1"/>
        <v>42.857142857142854</v>
      </c>
      <c r="L30" s="384">
        <f t="shared" si="1"/>
        <v>57.142857142857139</v>
      </c>
      <c r="M30" s="384">
        <f t="shared" si="1"/>
        <v>0</v>
      </c>
      <c r="N30" s="421">
        <f t="shared" si="2"/>
        <v>100</v>
      </c>
      <c r="O30" s="383">
        <v>19.600000000000001</v>
      </c>
      <c r="P30" s="384">
        <v>37.5</v>
      </c>
      <c r="Q30" s="384"/>
      <c r="R30" s="385">
        <f t="shared" si="3"/>
        <v>57.1</v>
      </c>
      <c r="S30" s="334">
        <v>2</v>
      </c>
      <c r="T30" s="357"/>
      <c r="V30" s="343" t="s">
        <v>502</v>
      </c>
      <c r="W30" s="334" t="s">
        <v>17</v>
      </c>
      <c r="X30" s="334" t="s">
        <v>333</v>
      </c>
      <c r="Y30" s="344">
        <v>37.5</v>
      </c>
      <c r="Z30" s="334" t="s">
        <v>131</v>
      </c>
      <c r="AA30" s="334" t="s">
        <v>22</v>
      </c>
      <c r="AB30" s="334" t="s">
        <v>11</v>
      </c>
      <c r="AC30" s="334">
        <v>19.600000000000001</v>
      </c>
      <c r="AD30" s="343"/>
      <c r="AG30" s="344"/>
      <c r="AL30" s="343"/>
      <c r="AO30" s="344"/>
      <c r="AP30" s="343"/>
      <c r="AS30" s="344"/>
      <c r="AW30" s="344"/>
      <c r="BA30" s="345"/>
    </row>
    <row r="31" spans="1:53" s="334" customFormat="1">
      <c r="A31" s="386">
        <v>1971</v>
      </c>
      <c r="B31" s="355"/>
      <c r="C31" s="992" t="s">
        <v>684</v>
      </c>
      <c r="D31" s="992"/>
      <c r="E31" s="334">
        <v>365</v>
      </c>
      <c r="G31" s="419">
        <v>3</v>
      </c>
      <c r="H31" s="334">
        <v>4</v>
      </c>
      <c r="J31" s="435">
        <v>7</v>
      </c>
      <c r="K31" s="384">
        <f t="shared" si="1"/>
        <v>42.857142857142854</v>
      </c>
      <c r="L31" s="384">
        <f t="shared" si="1"/>
        <v>57.142857142857139</v>
      </c>
      <c r="M31" s="384">
        <f t="shared" si="1"/>
        <v>0</v>
      </c>
      <c r="N31" s="421">
        <f t="shared" si="2"/>
        <v>100</v>
      </c>
      <c r="O31" s="383">
        <v>19.600000000000001</v>
      </c>
      <c r="P31" s="384">
        <v>37.5</v>
      </c>
      <c r="Q31" s="384"/>
      <c r="R31" s="385">
        <f t="shared" si="3"/>
        <v>57.1</v>
      </c>
      <c r="S31" s="334">
        <v>2</v>
      </c>
      <c r="T31" s="357"/>
      <c r="V31" s="343" t="s">
        <v>502</v>
      </c>
      <c r="W31" s="334" t="s">
        <v>17</v>
      </c>
      <c r="X31" s="334" t="s">
        <v>333</v>
      </c>
      <c r="Y31" s="344">
        <v>37.5</v>
      </c>
      <c r="Z31" s="334" t="s">
        <v>131</v>
      </c>
      <c r="AA31" s="334" t="s">
        <v>22</v>
      </c>
      <c r="AB31" s="334" t="s">
        <v>11</v>
      </c>
      <c r="AC31" s="334">
        <v>19.600000000000001</v>
      </c>
      <c r="AD31" s="343"/>
      <c r="AG31" s="344"/>
      <c r="AL31" s="343"/>
      <c r="AO31" s="344"/>
      <c r="AP31" s="343"/>
      <c r="AS31" s="344"/>
      <c r="AW31" s="344"/>
      <c r="BA31" s="345"/>
    </row>
    <row r="32" spans="1:53" s="334" customFormat="1">
      <c r="A32" s="386">
        <v>1972</v>
      </c>
      <c r="B32" s="355"/>
      <c r="C32" s="992" t="s">
        <v>684</v>
      </c>
      <c r="D32" s="992"/>
      <c r="E32" s="334">
        <v>0</v>
      </c>
      <c r="G32" s="419">
        <v>3</v>
      </c>
      <c r="H32" s="334">
        <v>4</v>
      </c>
      <c r="J32" s="435">
        <v>7</v>
      </c>
      <c r="K32" s="384">
        <f t="shared" si="1"/>
        <v>42.857142857142854</v>
      </c>
      <c r="L32" s="384">
        <f t="shared" si="1"/>
        <v>57.142857142857139</v>
      </c>
      <c r="M32" s="384">
        <f t="shared" si="1"/>
        <v>0</v>
      </c>
      <c r="N32" s="421">
        <f t="shared" si="2"/>
        <v>100</v>
      </c>
      <c r="O32" s="383">
        <v>19.600000000000001</v>
      </c>
      <c r="P32" s="384">
        <v>37.5</v>
      </c>
      <c r="Q32" s="384"/>
      <c r="R32" s="385">
        <f t="shared" si="3"/>
        <v>57.1</v>
      </c>
      <c r="S32" s="334">
        <v>2</v>
      </c>
      <c r="T32" s="357"/>
      <c r="V32" s="343" t="s">
        <v>502</v>
      </c>
      <c r="W32" s="334" t="s">
        <v>17</v>
      </c>
      <c r="X32" s="334" t="s">
        <v>333</v>
      </c>
      <c r="Y32" s="344">
        <v>37.5</v>
      </c>
      <c r="Z32" s="334" t="s">
        <v>131</v>
      </c>
      <c r="AA32" s="334" t="s">
        <v>22</v>
      </c>
      <c r="AB32" s="334" t="s">
        <v>11</v>
      </c>
      <c r="AC32" s="334">
        <v>19.600000000000001</v>
      </c>
      <c r="AD32" s="343"/>
      <c r="AG32" s="344"/>
      <c r="AL32" s="343"/>
      <c r="AO32" s="344"/>
      <c r="AP32" s="343"/>
      <c r="AS32" s="344"/>
      <c r="AW32" s="344"/>
      <c r="BA32" s="345"/>
    </row>
    <row r="33" spans="1:53" s="334" customFormat="1">
      <c r="A33" s="386">
        <v>1972</v>
      </c>
      <c r="B33" s="355"/>
      <c r="C33" s="992" t="s">
        <v>684</v>
      </c>
      <c r="D33" s="992"/>
      <c r="E33" s="334">
        <v>366</v>
      </c>
      <c r="G33" s="419">
        <v>3</v>
      </c>
      <c r="H33" s="334">
        <v>4</v>
      </c>
      <c r="J33" s="435">
        <v>7</v>
      </c>
      <c r="K33" s="384">
        <f t="shared" si="1"/>
        <v>42.857142857142854</v>
      </c>
      <c r="L33" s="384">
        <f t="shared" si="1"/>
        <v>57.142857142857139</v>
      </c>
      <c r="M33" s="384">
        <f t="shared" si="1"/>
        <v>0</v>
      </c>
      <c r="N33" s="421">
        <f t="shared" si="2"/>
        <v>100</v>
      </c>
      <c r="O33" s="383">
        <v>19.600000000000001</v>
      </c>
      <c r="P33" s="384">
        <v>37.5</v>
      </c>
      <c r="Q33" s="384"/>
      <c r="R33" s="385">
        <f t="shared" si="3"/>
        <v>57.1</v>
      </c>
      <c r="S33" s="334">
        <v>2</v>
      </c>
      <c r="T33" s="357"/>
      <c r="V33" s="343" t="s">
        <v>502</v>
      </c>
      <c r="W33" s="334" t="s">
        <v>17</v>
      </c>
      <c r="X33" s="334" t="s">
        <v>333</v>
      </c>
      <c r="Y33" s="344">
        <v>37.5</v>
      </c>
      <c r="Z33" s="334" t="s">
        <v>131</v>
      </c>
      <c r="AA33" s="334" t="s">
        <v>22</v>
      </c>
      <c r="AB33" s="334" t="s">
        <v>11</v>
      </c>
      <c r="AC33" s="334">
        <v>19.600000000000001</v>
      </c>
      <c r="AD33" s="343"/>
      <c r="AG33" s="344"/>
      <c r="AL33" s="343"/>
      <c r="AO33" s="344"/>
      <c r="AP33" s="343"/>
      <c r="AS33" s="344"/>
      <c r="AW33" s="344"/>
      <c r="BA33" s="345"/>
    </row>
    <row r="34" spans="1:53" s="334" customFormat="1">
      <c r="A34" s="386">
        <v>1973</v>
      </c>
      <c r="B34" s="355"/>
      <c r="C34" s="992" t="s">
        <v>684</v>
      </c>
      <c r="D34" s="992"/>
      <c r="E34" s="334">
        <v>0</v>
      </c>
      <c r="G34" s="419">
        <v>3</v>
      </c>
      <c r="H34" s="334">
        <v>4</v>
      </c>
      <c r="J34" s="435">
        <v>7</v>
      </c>
      <c r="K34" s="384">
        <f t="shared" si="1"/>
        <v>42.857142857142854</v>
      </c>
      <c r="L34" s="384">
        <f t="shared" si="1"/>
        <v>57.142857142857139</v>
      </c>
      <c r="M34" s="384">
        <f t="shared" si="1"/>
        <v>0</v>
      </c>
      <c r="N34" s="421">
        <f t="shared" si="2"/>
        <v>100</v>
      </c>
      <c r="O34" s="383">
        <v>19.600000000000001</v>
      </c>
      <c r="P34" s="384">
        <v>37.5</v>
      </c>
      <c r="Q34" s="384"/>
      <c r="R34" s="385">
        <f t="shared" si="3"/>
        <v>57.1</v>
      </c>
      <c r="S34" s="334">
        <v>2</v>
      </c>
      <c r="T34" s="357"/>
      <c r="V34" s="343" t="s">
        <v>502</v>
      </c>
      <c r="W34" s="334" t="s">
        <v>17</v>
      </c>
      <c r="X34" s="334" t="s">
        <v>333</v>
      </c>
      <c r="Y34" s="344">
        <v>37.5</v>
      </c>
      <c r="Z34" s="334" t="s">
        <v>131</v>
      </c>
      <c r="AA34" s="334" t="s">
        <v>22</v>
      </c>
      <c r="AB34" s="334" t="s">
        <v>11</v>
      </c>
      <c r="AC34" s="334">
        <v>19.600000000000001</v>
      </c>
      <c r="AD34" s="343"/>
      <c r="AG34" s="344"/>
      <c r="AL34" s="343"/>
      <c r="AO34" s="344"/>
      <c r="AP34" s="343"/>
      <c r="AS34" s="344"/>
      <c r="AW34" s="344"/>
      <c r="BA34" s="345"/>
    </row>
    <row r="35" spans="1:53" s="334" customFormat="1">
      <c r="A35" s="386">
        <v>1973</v>
      </c>
      <c r="B35" s="355"/>
      <c r="C35" s="992" t="s">
        <v>684</v>
      </c>
      <c r="D35" s="992"/>
      <c r="E35" s="334">
        <v>365</v>
      </c>
      <c r="G35" s="419">
        <v>3</v>
      </c>
      <c r="H35" s="334">
        <v>4</v>
      </c>
      <c r="J35" s="435">
        <v>7</v>
      </c>
      <c r="K35" s="384">
        <f t="shared" si="1"/>
        <v>42.857142857142854</v>
      </c>
      <c r="L35" s="384">
        <f t="shared" si="1"/>
        <v>57.142857142857139</v>
      </c>
      <c r="M35" s="384">
        <f t="shared" si="1"/>
        <v>0</v>
      </c>
      <c r="N35" s="421">
        <f t="shared" si="2"/>
        <v>100</v>
      </c>
      <c r="O35" s="383">
        <v>19.600000000000001</v>
      </c>
      <c r="P35" s="384">
        <v>37.5</v>
      </c>
      <c r="Q35" s="384"/>
      <c r="R35" s="385">
        <f t="shared" si="3"/>
        <v>57.1</v>
      </c>
      <c r="S35" s="334">
        <v>2</v>
      </c>
      <c r="T35" s="357"/>
      <c r="V35" s="343" t="s">
        <v>502</v>
      </c>
      <c r="W35" s="334" t="s">
        <v>17</v>
      </c>
      <c r="X35" s="334" t="s">
        <v>333</v>
      </c>
      <c r="Y35" s="344">
        <v>37.5</v>
      </c>
      <c r="Z35" s="334" t="s">
        <v>131</v>
      </c>
      <c r="AA35" s="334" t="s">
        <v>22</v>
      </c>
      <c r="AB35" s="334" t="s">
        <v>11</v>
      </c>
      <c r="AC35" s="334">
        <v>19.600000000000001</v>
      </c>
      <c r="AD35" s="343"/>
      <c r="AG35" s="344"/>
      <c r="AL35" s="343"/>
      <c r="AO35" s="344"/>
      <c r="AP35" s="343"/>
      <c r="AS35" s="344"/>
      <c r="AW35" s="344"/>
      <c r="BA35" s="345"/>
    </row>
    <row r="36" spans="1:53" s="334" customFormat="1">
      <c r="A36" s="386">
        <v>1974</v>
      </c>
      <c r="B36" s="355"/>
      <c r="C36" s="992" t="s">
        <v>684</v>
      </c>
      <c r="D36" s="992"/>
      <c r="E36" s="334">
        <v>165</v>
      </c>
      <c r="G36" s="419">
        <v>3</v>
      </c>
      <c r="H36" s="334">
        <v>4</v>
      </c>
      <c r="J36" s="435">
        <v>7</v>
      </c>
      <c r="K36" s="384">
        <f t="shared" si="1"/>
        <v>42.857142857142854</v>
      </c>
      <c r="L36" s="384">
        <f t="shared" si="1"/>
        <v>57.142857142857139</v>
      </c>
      <c r="M36" s="384">
        <f t="shared" si="1"/>
        <v>0</v>
      </c>
      <c r="N36" s="421">
        <f t="shared" si="2"/>
        <v>100</v>
      </c>
      <c r="O36" s="383">
        <v>19.600000000000001</v>
      </c>
      <c r="P36" s="384">
        <v>37.5</v>
      </c>
      <c r="Q36" s="384"/>
      <c r="R36" s="385">
        <f t="shared" si="3"/>
        <v>57.1</v>
      </c>
      <c r="S36" s="334">
        <v>2</v>
      </c>
      <c r="T36" s="357"/>
      <c r="V36" s="343" t="s">
        <v>502</v>
      </c>
      <c r="W36" s="334" t="s">
        <v>17</v>
      </c>
      <c r="X36" s="334" t="s">
        <v>333</v>
      </c>
      <c r="Y36" s="344">
        <v>37.5</v>
      </c>
      <c r="Z36" s="334" t="s">
        <v>131</v>
      </c>
      <c r="AA36" s="334" t="s">
        <v>22</v>
      </c>
      <c r="AB36" s="334" t="s">
        <v>11</v>
      </c>
      <c r="AC36" s="334">
        <v>19.600000000000001</v>
      </c>
      <c r="AD36" s="343"/>
      <c r="AG36" s="344"/>
      <c r="AL36" s="343"/>
      <c r="AO36" s="344"/>
      <c r="AP36" s="343"/>
      <c r="AS36" s="344"/>
      <c r="AW36" s="344"/>
      <c r="BA36" s="345"/>
    </row>
    <row r="37" spans="1:53" s="208" customFormat="1">
      <c r="A37" s="102">
        <v>1974</v>
      </c>
      <c r="B37" s="207">
        <v>27195</v>
      </c>
      <c r="C37" s="988" t="s">
        <v>685</v>
      </c>
      <c r="D37" s="988"/>
      <c r="E37" s="208">
        <f>365-E36</f>
        <v>200</v>
      </c>
      <c r="F37" s="208">
        <v>1</v>
      </c>
      <c r="G37" s="123">
        <v>4</v>
      </c>
      <c r="I37" s="208">
        <v>4</v>
      </c>
      <c r="J37" s="134">
        <v>8</v>
      </c>
      <c r="K37" s="92">
        <f t="shared" si="1"/>
        <v>50</v>
      </c>
      <c r="L37" s="92">
        <f t="shared" si="1"/>
        <v>0</v>
      </c>
      <c r="M37" s="92">
        <f t="shared" si="1"/>
        <v>50</v>
      </c>
      <c r="N37" s="125">
        <f t="shared" si="2"/>
        <v>100</v>
      </c>
      <c r="O37" s="91">
        <v>23.7</v>
      </c>
      <c r="P37" s="92"/>
      <c r="Q37" s="92">
        <v>28.8</v>
      </c>
      <c r="R37" s="93">
        <f t="shared" si="3"/>
        <v>52.5</v>
      </c>
      <c r="S37" s="208">
        <v>2</v>
      </c>
      <c r="T37" s="95">
        <v>27175</v>
      </c>
      <c r="U37" s="207">
        <v>27195</v>
      </c>
      <c r="V37" s="82" t="s">
        <v>131</v>
      </c>
      <c r="W37" s="208" t="s">
        <v>22</v>
      </c>
      <c r="X37" s="208" t="s">
        <v>11</v>
      </c>
      <c r="Y37" s="83">
        <v>23.7</v>
      </c>
      <c r="Z37" s="208" t="s">
        <v>503</v>
      </c>
      <c r="AA37" s="208" t="s">
        <v>20</v>
      </c>
      <c r="AB37" s="208" t="s">
        <v>12</v>
      </c>
      <c r="AC37" s="208">
        <v>28.8</v>
      </c>
      <c r="AD37" s="82"/>
      <c r="AG37" s="83"/>
      <c r="AL37" s="82"/>
      <c r="AO37" s="83"/>
      <c r="AP37" s="82"/>
      <c r="AS37" s="83"/>
      <c r="AW37" s="83"/>
      <c r="BA37" s="84"/>
    </row>
    <row r="38" spans="1:53" s="208" customFormat="1">
      <c r="A38" s="102">
        <v>1975</v>
      </c>
      <c r="B38" s="207"/>
      <c r="C38" s="988" t="s">
        <v>685</v>
      </c>
      <c r="D38" s="988"/>
      <c r="E38" s="208">
        <v>0</v>
      </c>
      <c r="G38" s="123">
        <v>4</v>
      </c>
      <c r="I38" s="208">
        <v>4</v>
      </c>
      <c r="J38" s="134">
        <v>8</v>
      </c>
      <c r="K38" s="92">
        <f t="shared" si="1"/>
        <v>50</v>
      </c>
      <c r="L38" s="92">
        <f t="shared" si="1"/>
        <v>0</v>
      </c>
      <c r="M38" s="92">
        <f t="shared" si="1"/>
        <v>50</v>
      </c>
      <c r="N38" s="125">
        <f t="shared" si="2"/>
        <v>100</v>
      </c>
      <c r="O38" s="91">
        <v>23.7</v>
      </c>
      <c r="P38" s="92"/>
      <c r="Q38" s="92">
        <v>28.8</v>
      </c>
      <c r="R38" s="93">
        <f t="shared" si="3"/>
        <v>52.5</v>
      </c>
      <c r="S38" s="208">
        <v>2</v>
      </c>
      <c r="T38" s="81"/>
      <c r="V38" s="82" t="s">
        <v>131</v>
      </c>
      <c r="W38" s="208" t="s">
        <v>22</v>
      </c>
      <c r="X38" s="208" t="s">
        <v>11</v>
      </c>
      <c r="Y38" s="83">
        <v>23.7</v>
      </c>
      <c r="Z38" s="208" t="s">
        <v>503</v>
      </c>
      <c r="AA38" s="208" t="s">
        <v>20</v>
      </c>
      <c r="AB38" s="208" t="s">
        <v>12</v>
      </c>
      <c r="AC38" s="208">
        <v>28.8</v>
      </c>
      <c r="AD38" s="82"/>
      <c r="AG38" s="83"/>
      <c r="AL38" s="82"/>
      <c r="AO38" s="83"/>
      <c r="AP38" s="82"/>
      <c r="AS38" s="83"/>
      <c r="AW38" s="83"/>
      <c r="BA38" s="84"/>
    </row>
    <row r="39" spans="1:53" s="208" customFormat="1">
      <c r="A39" s="102">
        <v>1975</v>
      </c>
      <c r="B39" s="207"/>
      <c r="C39" s="988" t="s">
        <v>685</v>
      </c>
      <c r="D39" s="988"/>
      <c r="E39" s="208">
        <v>365</v>
      </c>
      <c r="G39" s="123">
        <v>4</v>
      </c>
      <c r="I39" s="208">
        <v>4</v>
      </c>
      <c r="J39" s="134">
        <v>8</v>
      </c>
      <c r="K39" s="92">
        <f t="shared" si="1"/>
        <v>50</v>
      </c>
      <c r="L39" s="92">
        <f t="shared" si="1"/>
        <v>0</v>
      </c>
      <c r="M39" s="92">
        <f t="shared" si="1"/>
        <v>50</v>
      </c>
      <c r="N39" s="125">
        <f t="shared" si="2"/>
        <v>100</v>
      </c>
      <c r="O39" s="91">
        <v>23.7</v>
      </c>
      <c r="P39" s="92"/>
      <c r="Q39" s="92">
        <v>28.8</v>
      </c>
      <c r="R39" s="93">
        <f t="shared" si="3"/>
        <v>52.5</v>
      </c>
      <c r="S39" s="208">
        <v>2</v>
      </c>
      <c r="T39" s="81"/>
      <c r="V39" s="82" t="s">
        <v>131</v>
      </c>
      <c r="W39" s="208" t="s">
        <v>22</v>
      </c>
      <c r="X39" s="208" t="s">
        <v>11</v>
      </c>
      <c r="Y39" s="83">
        <v>23.7</v>
      </c>
      <c r="Z39" s="208" t="s">
        <v>503</v>
      </c>
      <c r="AA39" s="208" t="s">
        <v>20</v>
      </c>
      <c r="AB39" s="208" t="s">
        <v>12</v>
      </c>
      <c r="AC39" s="208">
        <v>28.8</v>
      </c>
      <c r="AD39" s="82"/>
      <c r="AG39" s="83"/>
      <c r="AL39" s="82"/>
      <c r="AO39" s="83"/>
      <c r="AP39" s="82"/>
      <c r="AS39" s="83"/>
      <c r="AW39" s="83"/>
      <c r="BA39" s="84"/>
    </row>
    <row r="40" spans="1:53" s="208" customFormat="1">
      <c r="A40" s="102">
        <v>1976</v>
      </c>
      <c r="B40" s="207"/>
      <c r="C40" s="988" t="s">
        <v>685</v>
      </c>
      <c r="D40" s="988"/>
      <c r="E40" s="208">
        <v>0</v>
      </c>
      <c r="G40" s="123">
        <v>4</v>
      </c>
      <c r="I40" s="208">
        <v>4</v>
      </c>
      <c r="J40" s="134">
        <v>8</v>
      </c>
      <c r="K40" s="92">
        <f t="shared" si="1"/>
        <v>50</v>
      </c>
      <c r="L40" s="92">
        <f t="shared" si="1"/>
        <v>0</v>
      </c>
      <c r="M40" s="92">
        <f t="shared" si="1"/>
        <v>50</v>
      </c>
      <c r="N40" s="125">
        <f t="shared" si="2"/>
        <v>100</v>
      </c>
      <c r="O40" s="91">
        <v>23.7</v>
      </c>
      <c r="P40" s="92"/>
      <c r="Q40" s="92">
        <v>28.8</v>
      </c>
      <c r="R40" s="93">
        <f t="shared" si="3"/>
        <v>52.5</v>
      </c>
      <c r="S40" s="208">
        <v>2</v>
      </c>
      <c r="T40" s="81"/>
      <c r="V40" s="82" t="s">
        <v>131</v>
      </c>
      <c r="W40" s="208" t="s">
        <v>22</v>
      </c>
      <c r="X40" s="208" t="s">
        <v>11</v>
      </c>
      <c r="Y40" s="83">
        <v>23.7</v>
      </c>
      <c r="Z40" s="208" t="s">
        <v>503</v>
      </c>
      <c r="AA40" s="208" t="s">
        <v>20</v>
      </c>
      <c r="AB40" s="208" t="s">
        <v>12</v>
      </c>
      <c r="AC40" s="208">
        <v>28.8</v>
      </c>
      <c r="AD40" s="82"/>
      <c r="AG40" s="83"/>
      <c r="AL40" s="82"/>
      <c r="AO40" s="83"/>
      <c r="AP40" s="82"/>
      <c r="AS40" s="83"/>
      <c r="AW40" s="83"/>
      <c r="BA40" s="84"/>
    </row>
    <row r="41" spans="1:53" s="208" customFormat="1">
      <c r="A41" s="102">
        <v>1976</v>
      </c>
      <c r="B41" s="207"/>
      <c r="C41" s="988" t="s">
        <v>685</v>
      </c>
      <c r="D41" s="988"/>
      <c r="E41" s="208">
        <v>366</v>
      </c>
      <c r="G41" s="123">
        <v>4</v>
      </c>
      <c r="I41" s="208">
        <v>4</v>
      </c>
      <c r="J41" s="134">
        <v>8</v>
      </c>
      <c r="K41" s="92">
        <f t="shared" si="1"/>
        <v>50</v>
      </c>
      <c r="L41" s="92">
        <f t="shared" si="1"/>
        <v>0</v>
      </c>
      <c r="M41" s="92">
        <f t="shared" si="1"/>
        <v>50</v>
      </c>
      <c r="N41" s="125">
        <f t="shared" si="2"/>
        <v>100</v>
      </c>
      <c r="O41" s="91">
        <v>23.7</v>
      </c>
      <c r="P41" s="92"/>
      <c r="Q41" s="92">
        <v>28.8</v>
      </c>
      <c r="R41" s="93">
        <f t="shared" si="3"/>
        <v>52.5</v>
      </c>
      <c r="S41" s="208">
        <v>2</v>
      </c>
      <c r="T41" s="81"/>
      <c r="V41" s="82" t="s">
        <v>131</v>
      </c>
      <c r="W41" s="208" t="s">
        <v>22</v>
      </c>
      <c r="X41" s="208" t="s">
        <v>11</v>
      </c>
      <c r="Y41" s="83">
        <v>23.7</v>
      </c>
      <c r="Z41" s="208" t="s">
        <v>503</v>
      </c>
      <c r="AA41" s="208" t="s">
        <v>20</v>
      </c>
      <c r="AB41" s="208" t="s">
        <v>12</v>
      </c>
      <c r="AC41" s="208">
        <v>28.8</v>
      </c>
      <c r="AD41" s="82"/>
      <c r="AG41" s="83"/>
      <c r="AL41" s="82"/>
      <c r="AO41" s="83"/>
      <c r="AP41" s="82"/>
      <c r="AS41" s="83"/>
      <c r="AW41" s="83"/>
      <c r="BA41" s="84"/>
    </row>
    <row r="42" spans="1:53" s="208" customFormat="1">
      <c r="A42" s="102">
        <v>1977</v>
      </c>
      <c r="B42" s="207"/>
      <c r="C42" s="988" t="s">
        <v>685</v>
      </c>
      <c r="D42" s="988"/>
      <c r="E42" s="208">
        <v>0</v>
      </c>
      <c r="G42" s="123">
        <v>4</v>
      </c>
      <c r="I42" s="208">
        <v>4</v>
      </c>
      <c r="J42" s="134">
        <v>8</v>
      </c>
      <c r="K42" s="92">
        <f t="shared" si="1"/>
        <v>50</v>
      </c>
      <c r="L42" s="92">
        <f t="shared" si="1"/>
        <v>0</v>
      </c>
      <c r="M42" s="92">
        <f t="shared" si="1"/>
        <v>50</v>
      </c>
      <c r="N42" s="125">
        <f t="shared" si="2"/>
        <v>100</v>
      </c>
      <c r="O42" s="91">
        <v>23.7</v>
      </c>
      <c r="P42" s="92"/>
      <c r="Q42" s="92">
        <v>28.8</v>
      </c>
      <c r="R42" s="93">
        <f t="shared" si="3"/>
        <v>52.5</v>
      </c>
      <c r="S42" s="208">
        <v>2</v>
      </c>
      <c r="T42" s="81"/>
      <c r="V42" s="82" t="s">
        <v>131</v>
      </c>
      <c r="W42" s="208" t="s">
        <v>22</v>
      </c>
      <c r="X42" s="208" t="s">
        <v>11</v>
      </c>
      <c r="Y42" s="83">
        <v>23.7</v>
      </c>
      <c r="Z42" s="208" t="s">
        <v>503</v>
      </c>
      <c r="AA42" s="208" t="s">
        <v>20</v>
      </c>
      <c r="AB42" s="208" t="s">
        <v>12</v>
      </c>
      <c r="AC42" s="208">
        <v>28.8</v>
      </c>
      <c r="AD42" s="82"/>
      <c r="AG42" s="83"/>
      <c r="AL42" s="82"/>
      <c r="AO42" s="83"/>
      <c r="AP42" s="82"/>
      <c r="AS42" s="83"/>
      <c r="AW42" s="83"/>
      <c r="BA42" s="84"/>
    </row>
    <row r="43" spans="1:53" s="208" customFormat="1">
      <c r="A43" s="102">
        <v>1977</v>
      </c>
      <c r="B43" s="207"/>
      <c r="C43" s="988" t="s">
        <v>685</v>
      </c>
      <c r="D43" s="988"/>
      <c r="E43" s="208">
        <v>365</v>
      </c>
      <c r="G43" s="123">
        <v>4</v>
      </c>
      <c r="I43" s="208">
        <v>4</v>
      </c>
      <c r="J43" s="134">
        <v>8</v>
      </c>
      <c r="K43" s="92">
        <f t="shared" si="1"/>
        <v>50</v>
      </c>
      <c r="L43" s="92">
        <f t="shared" si="1"/>
        <v>0</v>
      </c>
      <c r="M43" s="92">
        <f t="shared" si="1"/>
        <v>50</v>
      </c>
      <c r="N43" s="125">
        <f t="shared" si="2"/>
        <v>100</v>
      </c>
      <c r="O43" s="91">
        <v>23.7</v>
      </c>
      <c r="P43" s="92"/>
      <c r="Q43" s="92">
        <v>28.8</v>
      </c>
      <c r="R43" s="93">
        <f t="shared" si="3"/>
        <v>52.5</v>
      </c>
      <c r="S43" s="208">
        <v>2</v>
      </c>
      <c r="T43" s="81"/>
      <c r="V43" s="82" t="s">
        <v>131</v>
      </c>
      <c r="W43" s="208" t="s">
        <v>22</v>
      </c>
      <c r="X43" s="208" t="s">
        <v>11</v>
      </c>
      <c r="Y43" s="83">
        <v>23.7</v>
      </c>
      <c r="Z43" s="208" t="s">
        <v>503</v>
      </c>
      <c r="AA43" s="208" t="s">
        <v>20</v>
      </c>
      <c r="AB43" s="208" t="s">
        <v>12</v>
      </c>
      <c r="AC43" s="208">
        <v>28.8</v>
      </c>
      <c r="AD43" s="82"/>
      <c r="AG43" s="83"/>
      <c r="AL43" s="82"/>
      <c r="AO43" s="83"/>
      <c r="AP43" s="82"/>
      <c r="AS43" s="83"/>
      <c r="AW43" s="83"/>
      <c r="BA43" s="84"/>
    </row>
    <row r="44" spans="1:53" s="208" customFormat="1">
      <c r="A44" s="102">
        <v>1978</v>
      </c>
      <c r="B44" s="207"/>
      <c r="C44" s="988" t="s">
        <v>685</v>
      </c>
      <c r="D44" s="988"/>
      <c r="E44" s="208">
        <v>0</v>
      </c>
      <c r="G44" s="123">
        <v>4</v>
      </c>
      <c r="I44" s="208">
        <v>4</v>
      </c>
      <c r="J44" s="134">
        <v>8</v>
      </c>
      <c r="K44" s="92">
        <f t="shared" si="1"/>
        <v>50</v>
      </c>
      <c r="L44" s="92">
        <f t="shared" si="1"/>
        <v>0</v>
      </c>
      <c r="M44" s="92">
        <f t="shared" si="1"/>
        <v>50</v>
      </c>
      <c r="N44" s="125">
        <f t="shared" si="2"/>
        <v>100</v>
      </c>
      <c r="O44" s="91">
        <v>23.7</v>
      </c>
      <c r="P44" s="92"/>
      <c r="Q44" s="92">
        <v>28.8</v>
      </c>
      <c r="R44" s="93">
        <f t="shared" si="3"/>
        <v>52.5</v>
      </c>
      <c r="S44" s="208">
        <v>2</v>
      </c>
      <c r="T44" s="81"/>
      <c r="V44" s="82" t="s">
        <v>131</v>
      </c>
      <c r="W44" s="208" t="s">
        <v>22</v>
      </c>
      <c r="X44" s="208" t="s">
        <v>11</v>
      </c>
      <c r="Y44" s="83">
        <v>23.7</v>
      </c>
      <c r="Z44" s="208" t="s">
        <v>503</v>
      </c>
      <c r="AA44" s="208" t="s">
        <v>20</v>
      </c>
      <c r="AB44" s="208" t="s">
        <v>12</v>
      </c>
      <c r="AC44" s="208">
        <v>28.8</v>
      </c>
      <c r="AD44" s="82"/>
      <c r="AG44" s="83"/>
      <c r="AL44" s="82"/>
      <c r="AO44" s="83"/>
      <c r="AP44" s="82"/>
      <c r="AS44" s="83"/>
      <c r="AW44" s="83"/>
      <c r="BA44" s="84"/>
    </row>
    <row r="45" spans="1:53" s="208" customFormat="1">
      <c r="A45" s="102">
        <v>1978</v>
      </c>
      <c r="B45" s="207"/>
      <c r="C45" s="988" t="s">
        <v>685</v>
      </c>
      <c r="D45" s="988"/>
      <c r="E45" s="208">
        <v>365</v>
      </c>
      <c r="G45" s="123">
        <v>4</v>
      </c>
      <c r="I45" s="208">
        <v>4</v>
      </c>
      <c r="J45" s="134">
        <v>8</v>
      </c>
      <c r="K45" s="92">
        <f t="shared" si="1"/>
        <v>50</v>
      </c>
      <c r="L45" s="92">
        <f t="shared" si="1"/>
        <v>0</v>
      </c>
      <c r="M45" s="92">
        <f t="shared" si="1"/>
        <v>50</v>
      </c>
      <c r="N45" s="125">
        <f t="shared" si="2"/>
        <v>100</v>
      </c>
      <c r="O45" s="91">
        <v>23.7</v>
      </c>
      <c r="P45" s="92"/>
      <c r="Q45" s="92">
        <v>28.8</v>
      </c>
      <c r="R45" s="93">
        <f t="shared" si="3"/>
        <v>52.5</v>
      </c>
      <c r="S45" s="208">
        <v>2</v>
      </c>
      <c r="T45" s="81"/>
      <c r="V45" s="82" t="s">
        <v>131</v>
      </c>
      <c r="W45" s="208" t="s">
        <v>22</v>
      </c>
      <c r="X45" s="208" t="s">
        <v>11</v>
      </c>
      <c r="Y45" s="83">
        <v>23.7</v>
      </c>
      <c r="Z45" s="208" t="s">
        <v>503</v>
      </c>
      <c r="AA45" s="208" t="s">
        <v>20</v>
      </c>
      <c r="AB45" s="208" t="s">
        <v>12</v>
      </c>
      <c r="AC45" s="208">
        <v>28.8</v>
      </c>
      <c r="AD45" s="82"/>
      <c r="AG45" s="83"/>
      <c r="AL45" s="82"/>
      <c r="AO45" s="83"/>
      <c r="AP45" s="82"/>
      <c r="AS45" s="83"/>
      <c r="AW45" s="83"/>
      <c r="BA45" s="84"/>
    </row>
    <row r="46" spans="1:53" s="208" customFormat="1" ht="8.25" customHeight="1">
      <c r="A46" s="102">
        <v>1979</v>
      </c>
      <c r="B46" s="207"/>
      <c r="C46" s="988" t="s">
        <v>685</v>
      </c>
      <c r="D46" s="988"/>
      <c r="E46" s="208">
        <v>195</v>
      </c>
      <c r="G46" s="123">
        <v>4</v>
      </c>
      <c r="I46" s="208">
        <v>4</v>
      </c>
      <c r="J46" s="134">
        <v>8</v>
      </c>
      <c r="K46" s="92">
        <f t="shared" si="1"/>
        <v>50</v>
      </c>
      <c r="L46" s="92">
        <f t="shared" si="1"/>
        <v>0</v>
      </c>
      <c r="M46" s="92">
        <f t="shared" si="1"/>
        <v>50</v>
      </c>
      <c r="N46" s="125">
        <f t="shared" si="2"/>
        <v>100</v>
      </c>
      <c r="O46" s="91">
        <v>23.7</v>
      </c>
      <c r="P46" s="92"/>
      <c r="Q46" s="92">
        <v>28.8</v>
      </c>
      <c r="R46" s="93">
        <f t="shared" si="3"/>
        <v>52.5</v>
      </c>
      <c r="S46" s="208">
        <v>2</v>
      </c>
      <c r="T46" s="81"/>
      <c r="V46" s="82" t="s">
        <v>131</v>
      </c>
      <c r="W46" s="208" t="s">
        <v>22</v>
      </c>
      <c r="X46" s="208" t="s">
        <v>11</v>
      </c>
      <c r="Y46" s="83">
        <v>23.7</v>
      </c>
      <c r="Z46" s="208" t="s">
        <v>503</v>
      </c>
      <c r="AA46" s="208" t="s">
        <v>20</v>
      </c>
      <c r="AB46" s="208" t="s">
        <v>12</v>
      </c>
      <c r="AC46" s="208">
        <v>28.8</v>
      </c>
      <c r="AD46" s="82"/>
      <c r="AG46" s="83"/>
      <c r="AL46" s="82"/>
      <c r="AO46" s="83"/>
      <c r="AP46" s="82"/>
      <c r="AS46" s="83"/>
      <c r="AW46" s="83"/>
      <c r="BA46" s="84"/>
    </row>
    <row r="47" spans="1:53" s="334" customFormat="1">
      <c r="A47" s="386">
        <v>1979</v>
      </c>
      <c r="B47" s="355">
        <v>29051</v>
      </c>
      <c r="C47" s="992" t="s">
        <v>686</v>
      </c>
      <c r="D47" s="992"/>
      <c r="E47" s="334">
        <f>365-E46</f>
        <v>170</v>
      </c>
      <c r="F47" s="334">
        <v>1</v>
      </c>
      <c r="G47" s="419">
        <v>5</v>
      </c>
      <c r="H47" s="334">
        <v>4</v>
      </c>
      <c r="J47" s="435">
        <v>9</v>
      </c>
      <c r="K47" s="384">
        <f t="shared" si="1"/>
        <v>55.555555555555557</v>
      </c>
      <c r="L47" s="384">
        <f t="shared" si="1"/>
        <v>44.444444444444443</v>
      </c>
      <c r="M47" s="384">
        <f t="shared" si="1"/>
        <v>0</v>
      </c>
      <c r="N47" s="421">
        <f t="shared" si="2"/>
        <v>100</v>
      </c>
      <c r="O47" s="383">
        <v>25.4</v>
      </c>
      <c r="P47" s="384">
        <v>40.700000000000003</v>
      </c>
      <c r="Q47" s="384"/>
      <c r="R47" s="385">
        <f t="shared" si="3"/>
        <v>66.099999999999994</v>
      </c>
      <c r="S47" s="334">
        <v>2</v>
      </c>
      <c r="T47" s="342">
        <v>29016</v>
      </c>
      <c r="U47" s="355">
        <v>29051</v>
      </c>
      <c r="V47" s="343" t="s">
        <v>502</v>
      </c>
      <c r="W47" s="334" t="s">
        <v>17</v>
      </c>
      <c r="X47" s="334" t="s">
        <v>333</v>
      </c>
      <c r="Y47" s="344">
        <v>40.700000000000003</v>
      </c>
      <c r="Z47" s="334" t="s">
        <v>131</v>
      </c>
      <c r="AA47" s="334" t="s">
        <v>22</v>
      </c>
      <c r="AB47" s="334" t="s">
        <v>11</v>
      </c>
      <c r="AC47" s="334">
        <v>25.4</v>
      </c>
      <c r="AD47" s="343"/>
      <c r="AG47" s="344"/>
      <c r="AL47" s="343"/>
      <c r="AO47" s="344"/>
      <c r="AP47" s="343"/>
      <c r="AS47" s="344"/>
      <c r="AW47" s="344"/>
      <c r="BA47" s="345"/>
    </row>
    <row r="48" spans="1:53" s="334" customFormat="1">
      <c r="A48" s="386">
        <v>1980</v>
      </c>
      <c r="B48" s="355"/>
      <c r="C48" s="992" t="s">
        <v>686</v>
      </c>
      <c r="D48" s="992"/>
      <c r="E48" s="334">
        <v>0</v>
      </c>
      <c r="G48" s="419">
        <v>5</v>
      </c>
      <c r="H48" s="334">
        <v>4</v>
      </c>
      <c r="J48" s="435">
        <v>9</v>
      </c>
      <c r="K48" s="384">
        <f t="shared" si="1"/>
        <v>55.555555555555557</v>
      </c>
      <c r="L48" s="384">
        <f t="shared" si="1"/>
        <v>44.444444444444443</v>
      </c>
      <c r="M48" s="384">
        <f t="shared" si="1"/>
        <v>0</v>
      </c>
      <c r="N48" s="421">
        <f t="shared" si="2"/>
        <v>100</v>
      </c>
      <c r="O48" s="383">
        <v>25.4</v>
      </c>
      <c r="P48" s="384">
        <v>40.700000000000003</v>
      </c>
      <c r="Q48" s="384"/>
      <c r="R48" s="385">
        <f t="shared" si="3"/>
        <v>66.099999999999994</v>
      </c>
      <c r="S48" s="334">
        <v>2</v>
      </c>
      <c r="T48" s="357"/>
      <c r="V48" s="343" t="s">
        <v>502</v>
      </c>
      <c r="W48" s="334" t="s">
        <v>17</v>
      </c>
      <c r="X48" s="334" t="s">
        <v>333</v>
      </c>
      <c r="Y48" s="344">
        <v>40.700000000000003</v>
      </c>
      <c r="Z48" s="334" t="s">
        <v>131</v>
      </c>
      <c r="AA48" s="334" t="s">
        <v>22</v>
      </c>
      <c r="AB48" s="334" t="s">
        <v>11</v>
      </c>
      <c r="AC48" s="334">
        <v>25.4</v>
      </c>
      <c r="AD48" s="343"/>
      <c r="AG48" s="344"/>
      <c r="AL48" s="343"/>
      <c r="AO48" s="344"/>
      <c r="AP48" s="343"/>
      <c r="AS48" s="344"/>
      <c r="AW48" s="344"/>
      <c r="BA48" s="345"/>
    </row>
    <row r="49" spans="1:53" s="334" customFormat="1">
      <c r="A49" s="386">
        <v>1980</v>
      </c>
      <c r="B49" s="355"/>
      <c r="C49" s="992" t="s">
        <v>686</v>
      </c>
      <c r="D49" s="992"/>
      <c r="E49" s="334">
        <v>366</v>
      </c>
      <c r="G49" s="419">
        <v>5</v>
      </c>
      <c r="H49" s="334">
        <v>4</v>
      </c>
      <c r="J49" s="435">
        <v>9</v>
      </c>
      <c r="K49" s="384">
        <f t="shared" si="1"/>
        <v>55.555555555555557</v>
      </c>
      <c r="L49" s="384">
        <f t="shared" si="1"/>
        <v>44.444444444444443</v>
      </c>
      <c r="M49" s="384">
        <f t="shared" si="1"/>
        <v>0</v>
      </c>
      <c r="N49" s="421">
        <f t="shared" si="2"/>
        <v>100</v>
      </c>
      <c r="O49" s="383">
        <v>25.4</v>
      </c>
      <c r="P49" s="384">
        <v>40.700000000000003</v>
      </c>
      <c r="Q49" s="384"/>
      <c r="R49" s="385">
        <f t="shared" si="3"/>
        <v>66.099999999999994</v>
      </c>
      <c r="S49" s="334">
        <v>2</v>
      </c>
      <c r="T49" s="357"/>
      <c r="V49" s="343" t="s">
        <v>502</v>
      </c>
      <c r="W49" s="334" t="s">
        <v>17</v>
      </c>
      <c r="X49" s="334" t="s">
        <v>333</v>
      </c>
      <c r="Y49" s="344">
        <v>40.700000000000003</v>
      </c>
      <c r="Z49" s="334" t="s">
        <v>131</v>
      </c>
      <c r="AA49" s="334" t="s">
        <v>22</v>
      </c>
      <c r="AB49" s="334" t="s">
        <v>11</v>
      </c>
      <c r="AC49" s="334">
        <v>25.4</v>
      </c>
      <c r="AD49" s="343"/>
      <c r="AG49" s="344"/>
      <c r="AL49" s="343"/>
      <c r="AO49" s="344"/>
      <c r="AP49" s="343"/>
      <c r="AS49" s="344"/>
      <c r="AW49" s="344"/>
      <c r="BA49" s="345"/>
    </row>
    <row r="50" spans="1:53" s="334" customFormat="1">
      <c r="A50" s="386">
        <v>1981</v>
      </c>
      <c r="B50" s="355"/>
      <c r="C50" s="992" t="s">
        <v>686</v>
      </c>
      <c r="D50" s="992"/>
      <c r="E50" s="334">
        <v>0</v>
      </c>
      <c r="G50" s="419">
        <v>5</v>
      </c>
      <c r="H50" s="334">
        <v>4</v>
      </c>
      <c r="J50" s="435">
        <v>9</v>
      </c>
      <c r="K50" s="384">
        <f t="shared" si="1"/>
        <v>55.555555555555557</v>
      </c>
      <c r="L50" s="384">
        <f t="shared" si="1"/>
        <v>44.444444444444443</v>
      </c>
      <c r="M50" s="384">
        <f t="shared" si="1"/>
        <v>0</v>
      </c>
      <c r="N50" s="421">
        <f t="shared" si="2"/>
        <v>100</v>
      </c>
      <c r="O50" s="383">
        <v>25.4</v>
      </c>
      <c r="P50" s="384">
        <v>40.700000000000003</v>
      </c>
      <c r="Q50" s="384"/>
      <c r="R50" s="385">
        <f t="shared" si="3"/>
        <v>66.099999999999994</v>
      </c>
      <c r="S50" s="334">
        <v>2</v>
      </c>
      <c r="T50" s="357"/>
      <c r="V50" s="343" t="s">
        <v>502</v>
      </c>
      <c r="W50" s="334" t="s">
        <v>17</v>
      </c>
      <c r="X50" s="334" t="s">
        <v>333</v>
      </c>
      <c r="Y50" s="344">
        <v>40.700000000000003</v>
      </c>
      <c r="Z50" s="334" t="s">
        <v>131</v>
      </c>
      <c r="AA50" s="334" t="s">
        <v>22</v>
      </c>
      <c r="AB50" s="334" t="s">
        <v>11</v>
      </c>
      <c r="AC50" s="334">
        <v>25.4</v>
      </c>
      <c r="AD50" s="343"/>
      <c r="AG50" s="344"/>
      <c r="AL50" s="343"/>
      <c r="AO50" s="344"/>
      <c r="AP50" s="343"/>
      <c r="AS50" s="344"/>
      <c r="AW50" s="344"/>
      <c r="BA50" s="345"/>
    </row>
    <row r="51" spans="1:53" s="334" customFormat="1">
      <c r="A51" s="386">
        <v>1981</v>
      </c>
      <c r="B51" s="355"/>
      <c r="C51" s="992" t="s">
        <v>686</v>
      </c>
      <c r="D51" s="992"/>
      <c r="E51" s="334">
        <v>365</v>
      </c>
      <c r="G51" s="419">
        <v>5</v>
      </c>
      <c r="H51" s="334">
        <v>4</v>
      </c>
      <c r="J51" s="435">
        <v>9</v>
      </c>
      <c r="K51" s="384">
        <f t="shared" si="1"/>
        <v>55.555555555555557</v>
      </c>
      <c r="L51" s="384">
        <f t="shared" si="1"/>
        <v>44.444444444444443</v>
      </c>
      <c r="M51" s="384">
        <f t="shared" si="1"/>
        <v>0</v>
      </c>
      <c r="N51" s="421">
        <f t="shared" si="2"/>
        <v>100</v>
      </c>
      <c r="O51" s="383">
        <v>25.4</v>
      </c>
      <c r="P51" s="384">
        <v>40.700000000000003</v>
      </c>
      <c r="Q51" s="384"/>
      <c r="R51" s="385">
        <f t="shared" si="3"/>
        <v>66.099999999999994</v>
      </c>
      <c r="S51" s="334">
        <v>2</v>
      </c>
      <c r="T51" s="357"/>
      <c r="V51" s="343" t="s">
        <v>502</v>
      </c>
      <c r="W51" s="334" t="s">
        <v>17</v>
      </c>
      <c r="X51" s="334" t="s">
        <v>333</v>
      </c>
      <c r="Y51" s="344">
        <v>40.700000000000003</v>
      </c>
      <c r="Z51" s="334" t="s">
        <v>131</v>
      </c>
      <c r="AA51" s="334" t="s">
        <v>22</v>
      </c>
      <c r="AB51" s="334" t="s">
        <v>11</v>
      </c>
      <c r="AC51" s="334">
        <v>25.4</v>
      </c>
      <c r="AD51" s="343"/>
      <c r="AG51" s="344"/>
      <c r="AL51" s="343"/>
      <c r="AO51" s="344"/>
      <c r="AP51" s="343"/>
      <c r="AS51" s="344"/>
      <c r="AW51" s="344"/>
      <c r="BA51" s="345"/>
    </row>
    <row r="52" spans="1:53" s="334" customFormat="1">
      <c r="A52" s="386">
        <v>1982</v>
      </c>
      <c r="B52" s="355"/>
      <c r="C52" s="992" t="s">
        <v>686</v>
      </c>
      <c r="D52" s="992"/>
      <c r="E52" s="334">
        <v>0</v>
      </c>
      <c r="G52" s="419">
        <v>5</v>
      </c>
      <c r="H52" s="334">
        <v>4</v>
      </c>
      <c r="J52" s="435">
        <v>9</v>
      </c>
      <c r="K52" s="384">
        <f t="shared" si="1"/>
        <v>55.555555555555557</v>
      </c>
      <c r="L52" s="384">
        <f t="shared" si="1"/>
        <v>44.444444444444443</v>
      </c>
      <c r="M52" s="384">
        <f t="shared" si="1"/>
        <v>0</v>
      </c>
      <c r="N52" s="421">
        <f t="shared" si="2"/>
        <v>100</v>
      </c>
      <c r="O52" s="383">
        <v>25.4</v>
      </c>
      <c r="P52" s="384">
        <v>40.700000000000003</v>
      </c>
      <c r="Q52" s="384"/>
      <c r="R52" s="385">
        <f t="shared" si="3"/>
        <v>66.099999999999994</v>
      </c>
      <c r="S52" s="334">
        <v>2</v>
      </c>
      <c r="T52" s="357"/>
      <c r="V52" s="343" t="s">
        <v>502</v>
      </c>
      <c r="W52" s="334" t="s">
        <v>17</v>
      </c>
      <c r="X52" s="334" t="s">
        <v>333</v>
      </c>
      <c r="Y52" s="344">
        <v>40.700000000000003</v>
      </c>
      <c r="Z52" s="334" t="s">
        <v>131</v>
      </c>
      <c r="AA52" s="334" t="s">
        <v>22</v>
      </c>
      <c r="AB52" s="334" t="s">
        <v>11</v>
      </c>
      <c r="AC52" s="334">
        <v>25.4</v>
      </c>
      <c r="AD52" s="343"/>
      <c r="AG52" s="344"/>
      <c r="AL52" s="343"/>
      <c r="AO52" s="344"/>
      <c r="AP52" s="343"/>
      <c r="AS52" s="344"/>
      <c r="AW52" s="344"/>
      <c r="BA52" s="345"/>
    </row>
    <row r="53" spans="1:53" s="334" customFormat="1">
      <c r="A53" s="386">
        <v>1982</v>
      </c>
      <c r="B53" s="355"/>
      <c r="C53" s="992" t="s">
        <v>686</v>
      </c>
      <c r="D53" s="992"/>
      <c r="E53" s="334">
        <v>365</v>
      </c>
      <c r="G53" s="419">
        <v>5</v>
      </c>
      <c r="H53" s="334">
        <v>4</v>
      </c>
      <c r="J53" s="435">
        <v>9</v>
      </c>
      <c r="K53" s="384">
        <f t="shared" si="1"/>
        <v>55.555555555555557</v>
      </c>
      <c r="L53" s="384">
        <f t="shared" si="1"/>
        <v>44.444444444444443</v>
      </c>
      <c r="M53" s="384">
        <f t="shared" si="1"/>
        <v>0</v>
      </c>
      <c r="N53" s="421">
        <f t="shared" si="2"/>
        <v>100</v>
      </c>
      <c r="O53" s="383">
        <v>25.4</v>
      </c>
      <c r="P53" s="384">
        <v>40.700000000000003</v>
      </c>
      <c r="Q53" s="384"/>
      <c r="R53" s="385">
        <f t="shared" si="3"/>
        <v>66.099999999999994</v>
      </c>
      <c r="S53" s="334">
        <v>2</v>
      </c>
      <c r="T53" s="357"/>
      <c r="V53" s="343" t="s">
        <v>502</v>
      </c>
      <c r="W53" s="334" t="s">
        <v>17</v>
      </c>
      <c r="X53" s="334" t="s">
        <v>333</v>
      </c>
      <c r="Y53" s="344">
        <v>40.700000000000003</v>
      </c>
      <c r="Z53" s="334" t="s">
        <v>131</v>
      </c>
      <c r="AA53" s="334" t="s">
        <v>22</v>
      </c>
      <c r="AB53" s="334" t="s">
        <v>11</v>
      </c>
      <c r="AC53" s="334">
        <v>25.4</v>
      </c>
      <c r="AD53" s="343"/>
      <c r="AG53" s="344"/>
      <c r="AL53" s="343"/>
      <c r="AO53" s="344"/>
      <c r="AP53" s="343"/>
      <c r="AS53" s="344"/>
      <c r="AW53" s="344"/>
      <c r="BA53" s="345"/>
    </row>
    <row r="54" spans="1:53" s="334" customFormat="1">
      <c r="A54" s="386">
        <v>1983</v>
      </c>
      <c r="B54" s="355"/>
      <c r="C54" s="992" t="s">
        <v>686</v>
      </c>
      <c r="D54" s="992"/>
      <c r="E54" s="334">
        <v>0</v>
      </c>
      <c r="G54" s="419">
        <v>5</v>
      </c>
      <c r="H54" s="334">
        <v>4</v>
      </c>
      <c r="J54" s="435">
        <v>9</v>
      </c>
      <c r="K54" s="384">
        <f t="shared" si="1"/>
        <v>55.555555555555557</v>
      </c>
      <c r="L54" s="384">
        <f t="shared" si="1"/>
        <v>44.444444444444443</v>
      </c>
      <c r="M54" s="384">
        <f t="shared" si="1"/>
        <v>0</v>
      </c>
      <c r="N54" s="421">
        <f t="shared" si="2"/>
        <v>100</v>
      </c>
      <c r="O54" s="383">
        <v>25.4</v>
      </c>
      <c r="P54" s="384">
        <v>40.700000000000003</v>
      </c>
      <c r="Q54" s="384"/>
      <c r="R54" s="385">
        <f t="shared" si="3"/>
        <v>66.099999999999994</v>
      </c>
      <c r="S54" s="334">
        <v>2</v>
      </c>
      <c r="T54" s="357"/>
      <c r="V54" s="343" t="s">
        <v>502</v>
      </c>
      <c r="W54" s="334" t="s">
        <v>17</v>
      </c>
      <c r="X54" s="334" t="s">
        <v>333</v>
      </c>
      <c r="Y54" s="344">
        <v>40.700000000000003</v>
      </c>
      <c r="Z54" s="334" t="s">
        <v>131</v>
      </c>
      <c r="AA54" s="334" t="s">
        <v>22</v>
      </c>
      <c r="AB54" s="334" t="s">
        <v>11</v>
      </c>
      <c r="AC54" s="334">
        <v>25.4</v>
      </c>
      <c r="AD54" s="343"/>
      <c r="AG54" s="344"/>
      <c r="AL54" s="343"/>
      <c r="AO54" s="344"/>
      <c r="AP54" s="343"/>
      <c r="AS54" s="344"/>
      <c r="AW54" s="344"/>
      <c r="BA54" s="345"/>
    </row>
    <row r="55" spans="1:53" s="334" customFormat="1">
      <c r="A55" s="386">
        <v>1983</v>
      </c>
      <c r="B55" s="355"/>
      <c r="C55" s="992" t="s">
        <v>686</v>
      </c>
      <c r="D55" s="992"/>
      <c r="E55" s="334">
        <v>365</v>
      </c>
      <c r="G55" s="419">
        <v>5</v>
      </c>
      <c r="H55" s="334">
        <v>4</v>
      </c>
      <c r="J55" s="435">
        <v>9</v>
      </c>
      <c r="K55" s="384">
        <f t="shared" si="1"/>
        <v>55.555555555555557</v>
      </c>
      <c r="L55" s="384">
        <f t="shared" si="1"/>
        <v>44.444444444444443</v>
      </c>
      <c r="M55" s="384">
        <f t="shared" si="1"/>
        <v>0</v>
      </c>
      <c r="N55" s="421">
        <f t="shared" si="2"/>
        <v>100</v>
      </c>
      <c r="O55" s="383">
        <v>25.4</v>
      </c>
      <c r="P55" s="384">
        <v>40.700000000000003</v>
      </c>
      <c r="Q55" s="384"/>
      <c r="R55" s="385">
        <f t="shared" si="3"/>
        <v>66.099999999999994</v>
      </c>
      <c r="S55" s="334">
        <v>2</v>
      </c>
      <c r="T55" s="357"/>
      <c r="V55" s="343" t="s">
        <v>502</v>
      </c>
      <c r="W55" s="334" t="s">
        <v>17</v>
      </c>
      <c r="X55" s="334" t="s">
        <v>333</v>
      </c>
      <c r="Y55" s="344">
        <v>40.700000000000003</v>
      </c>
      <c r="Z55" s="334" t="s">
        <v>131</v>
      </c>
      <c r="AA55" s="334" t="s">
        <v>22</v>
      </c>
      <c r="AB55" s="334" t="s">
        <v>11</v>
      </c>
      <c r="AC55" s="334">
        <v>25.4</v>
      </c>
      <c r="AD55" s="343"/>
      <c r="AG55" s="344"/>
      <c r="AL55" s="343"/>
      <c r="AO55" s="344"/>
      <c r="AP55" s="343"/>
      <c r="AS55" s="344"/>
      <c r="AW55" s="344"/>
      <c r="BA55" s="345"/>
    </row>
    <row r="56" spans="1:53" s="334" customFormat="1">
      <c r="A56" s="386">
        <v>1984</v>
      </c>
      <c r="B56" s="355"/>
      <c r="C56" s="992" t="s">
        <v>686</v>
      </c>
      <c r="D56" s="992"/>
      <c r="E56" s="334">
        <v>201</v>
      </c>
      <c r="G56" s="419">
        <v>5</v>
      </c>
      <c r="H56" s="334">
        <v>4</v>
      </c>
      <c r="J56" s="435">
        <v>9</v>
      </c>
      <c r="K56" s="384">
        <f t="shared" si="1"/>
        <v>55.555555555555557</v>
      </c>
      <c r="L56" s="384">
        <f t="shared" si="1"/>
        <v>44.444444444444443</v>
      </c>
      <c r="M56" s="384">
        <f t="shared" si="1"/>
        <v>0</v>
      </c>
      <c r="N56" s="421">
        <f t="shared" si="2"/>
        <v>100</v>
      </c>
      <c r="O56" s="383">
        <v>25.4</v>
      </c>
      <c r="P56" s="384">
        <v>40.700000000000003</v>
      </c>
      <c r="Q56" s="384"/>
      <c r="R56" s="385">
        <f t="shared" si="3"/>
        <v>66.099999999999994</v>
      </c>
      <c r="S56" s="334">
        <v>2</v>
      </c>
      <c r="T56" s="357"/>
      <c r="V56" s="343" t="s">
        <v>502</v>
      </c>
      <c r="W56" s="334" t="s">
        <v>17</v>
      </c>
      <c r="X56" s="334" t="s">
        <v>333</v>
      </c>
      <c r="Y56" s="344">
        <v>40.700000000000003</v>
      </c>
      <c r="Z56" s="334" t="s">
        <v>131</v>
      </c>
      <c r="AA56" s="334" t="s">
        <v>22</v>
      </c>
      <c r="AB56" s="334" t="s">
        <v>11</v>
      </c>
      <c r="AC56" s="334">
        <v>25.4</v>
      </c>
      <c r="AD56" s="343"/>
      <c r="AG56" s="344"/>
      <c r="AL56" s="343"/>
      <c r="AO56" s="344"/>
      <c r="AP56" s="343"/>
      <c r="AS56" s="344"/>
      <c r="AW56" s="344"/>
      <c r="BA56" s="345"/>
    </row>
    <row r="57" spans="1:53" s="208" customFormat="1">
      <c r="A57" s="102">
        <v>1984</v>
      </c>
      <c r="B57" s="207">
        <v>30883</v>
      </c>
      <c r="C57" s="988" t="s">
        <v>687</v>
      </c>
      <c r="D57" s="988"/>
      <c r="E57" s="208">
        <f>366-E56</f>
        <v>165</v>
      </c>
      <c r="F57" s="208">
        <v>1</v>
      </c>
      <c r="G57" s="123"/>
      <c r="H57" s="208">
        <v>5</v>
      </c>
      <c r="I57" s="208">
        <v>4</v>
      </c>
      <c r="J57" s="134">
        <v>9</v>
      </c>
      <c r="K57" s="92">
        <f t="shared" si="1"/>
        <v>0</v>
      </c>
      <c r="L57" s="92">
        <f t="shared" si="1"/>
        <v>55.555555555555557</v>
      </c>
      <c r="M57" s="92">
        <f t="shared" si="1"/>
        <v>44.444444444444443</v>
      </c>
      <c r="N57" s="125">
        <f t="shared" si="2"/>
        <v>100</v>
      </c>
      <c r="O57" s="91"/>
      <c r="P57" s="92">
        <v>39.1</v>
      </c>
      <c r="Q57" s="92">
        <v>32.799999999999997</v>
      </c>
      <c r="R57" s="93">
        <f t="shared" si="3"/>
        <v>71.900000000000006</v>
      </c>
      <c r="S57" s="208">
        <v>2</v>
      </c>
      <c r="T57" s="95">
        <v>30850</v>
      </c>
      <c r="U57" s="207">
        <v>30883</v>
      </c>
      <c r="V57" s="82" t="s">
        <v>502</v>
      </c>
      <c r="W57" s="208" t="s">
        <v>17</v>
      </c>
      <c r="X57" s="208" t="s">
        <v>333</v>
      </c>
      <c r="Y57" s="83">
        <v>39.1</v>
      </c>
      <c r="Z57" s="208" t="s">
        <v>503</v>
      </c>
      <c r="AA57" s="208" t="s">
        <v>20</v>
      </c>
      <c r="AB57" s="208" t="s">
        <v>12</v>
      </c>
      <c r="AC57" s="208">
        <v>32.799999999999997</v>
      </c>
      <c r="AD57" s="82"/>
      <c r="AG57" s="83"/>
      <c r="AL57" s="82"/>
      <c r="AO57" s="83"/>
      <c r="AP57" s="82"/>
      <c r="AS57" s="83"/>
      <c r="AW57" s="83"/>
      <c r="BA57" s="84"/>
    </row>
    <row r="58" spans="1:53" s="208" customFormat="1">
      <c r="A58" s="102">
        <v>1985</v>
      </c>
      <c r="B58" s="207"/>
      <c r="C58" s="988" t="s">
        <v>687</v>
      </c>
      <c r="D58" s="988"/>
      <c r="E58" s="208">
        <v>0</v>
      </c>
      <c r="G58" s="123"/>
      <c r="H58" s="208">
        <v>5</v>
      </c>
      <c r="I58" s="208">
        <v>4</v>
      </c>
      <c r="J58" s="134">
        <v>9</v>
      </c>
      <c r="K58" s="92">
        <f t="shared" si="1"/>
        <v>0</v>
      </c>
      <c r="L58" s="92">
        <f t="shared" si="1"/>
        <v>55.555555555555557</v>
      </c>
      <c r="M58" s="92">
        <f t="shared" si="1"/>
        <v>44.444444444444443</v>
      </c>
      <c r="N58" s="125">
        <f t="shared" si="2"/>
        <v>100</v>
      </c>
      <c r="O58" s="91"/>
      <c r="P58" s="92">
        <v>39.1</v>
      </c>
      <c r="Q58" s="92">
        <v>32.799999999999997</v>
      </c>
      <c r="R58" s="93">
        <f t="shared" si="3"/>
        <v>71.900000000000006</v>
      </c>
      <c r="S58" s="208">
        <v>2</v>
      </c>
      <c r="T58" s="81"/>
      <c r="V58" s="82" t="s">
        <v>502</v>
      </c>
      <c r="W58" s="208" t="s">
        <v>17</v>
      </c>
      <c r="X58" s="208" t="s">
        <v>333</v>
      </c>
      <c r="Y58" s="83">
        <v>39.1</v>
      </c>
      <c r="Z58" s="208" t="s">
        <v>503</v>
      </c>
      <c r="AA58" s="208" t="s">
        <v>20</v>
      </c>
      <c r="AB58" s="208" t="s">
        <v>12</v>
      </c>
      <c r="AC58" s="208">
        <v>32.799999999999997</v>
      </c>
      <c r="AD58" s="82"/>
      <c r="AG58" s="83"/>
      <c r="AL58" s="82"/>
      <c r="AO58" s="83"/>
      <c r="AP58" s="82"/>
      <c r="AS58" s="83"/>
      <c r="AW58" s="83"/>
      <c r="BA58" s="84"/>
    </row>
    <row r="59" spans="1:53" s="208" customFormat="1">
      <c r="A59" s="102">
        <v>1985</v>
      </c>
      <c r="B59" s="207"/>
      <c r="C59" s="988" t="s">
        <v>687</v>
      </c>
      <c r="D59" s="988"/>
      <c r="E59" s="208">
        <v>365</v>
      </c>
      <c r="G59" s="123"/>
      <c r="H59" s="208">
        <v>5</v>
      </c>
      <c r="I59" s="208">
        <v>4</v>
      </c>
      <c r="J59" s="134">
        <v>9</v>
      </c>
      <c r="K59" s="92">
        <f t="shared" si="1"/>
        <v>0</v>
      </c>
      <c r="L59" s="92">
        <f t="shared" si="1"/>
        <v>55.555555555555557</v>
      </c>
      <c r="M59" s="92">
        <f t="shared" si="1"/>
        <v>44.444444444444443</v>
      </c>
      <c r="N59" s="125">
        <f t="shared" si="2"/>
        <v>100</v>
      </c>
      <c r="O59" s="91"/>
      <c r="P59" s="92">
        <v>39.1</v>
      </c>
      <c r="Q59" s="92">
        <v>32.799999999999997</v>
      </c>
      <c r="R59" s="93">
        <f t="shared" si="3"/>
        <v>71.900000000000006</v>
      </c>
      <c r="S59" s="208">
        <v>2</v>
      </c>
      <c r="T59" s="81"/>
      <c r="V59" s="82" t="s">
        <v>502</v>
      </c>
      <c r="W59" s="208" t="s">
        <v>17</v>
      </c>
      <c r="X59" s="208" t="s">
        <v>333</v>
      </c>
      <c r="Y59" s="83">
        <v>39.1</v>
      </c>
      <c r="Z59" s="208" t="s">
        <v>503</v>
      </c>
      <c r="AA59" s="208" t="s">
        <v>20</v>
      </c>
      <c r="AB59" s="208" t="s">
        <v>12</v>
      </c>
      <c r="AC59" s="208">
        <v>32.799999999999997</v>
      </c>
      <c r="AD59" s="82"/>
      <c r="AG59" s="83"/>
      <c r="AL59" s="82"/>
      <c r="AO59" s="83"/>
      <c r="AP59" s="82"/>
      <c r="AS59" s="83"/>
      <c r="AW59" s="83"/>
      <c r="BA59" s="84"/>
    </row>
    <row r="60" spans="1:53" s="208" customFormat="1">
      <c r="A60" s="102">
        <v>1986</v>
      </c>
      <c r="B60" s="207"/>
      <c r="C60" s="988" t="s">
        <v>687</v>
      </c>
      <c r="D60" s="988"/>
      <c r="E60" s="208">
        <v>0</v>
      </c>
      <c r="G60" s="123"/>
      <c r="H60" s="208">
        <v>5</v>
      </c>
      <c r="I60" s="208">
        <v>4</v>
      </c>
      <c r="J60" s="134">
        <v>9</v>
      </c>
      <c r="K60" s="92">
        <f t="shared" si="1"/>
        <v>0</v>
      </c>
      <c r="L60" s="92">
        <f t="shared" si="1"/>
        <v>55.555555555555557</v>
      </c>
      <c r="M60" s="92">
        <f t="shared" si="1"/>
        <v>44.444444444444443</v>
      </c>
      <c r="N60" s="125">
        <f t="shared" si="2"/>
        <v>100</v>
      </c>
      <c r="O60" s="91"/>
      <c r="P60" s="92">
        <v>39.1</v>
      </c>
      <c r="Q60" s="92">
        <v>32.799999999999997</v>
      </c>
      <c r="R60" s="93">
        <f t="shared" si="3"/>
        <v>71.900000000000006</v>
      </c>
      <c r="S60" s="208">
        <v>2</v>
      </c>
      <c r="T60" s="81"/>
      <c r="V60" s="82" t="s">
        <v>502</v>
      </c>
      <c r="W60" s="208" t="s">
        <v>17</v>
      </c>
      <c r="X60" s="208" t="s">
        <v>333</v>
      </c>
      <c r="Y60" s="83">
        <v>39.1</v>
      </c>
      <c r="Z60" s="208" t="s">
        <v>503</v>
      </c>
      <c r="AA60" s="208" t="s">
        <v>20</v>
      </c>
      <c r="AB60" s="208" t="s">
        <v>12</v>
      </c>
      <c r="AC60" s="208">
        <v>32.799999999999997</v>
      </c>
      <c r="AD60" s="82"/>
      <c r="AG60" s="83"/>
      <c r="AL60" s="82"/>
      <c r="AO60" s="83"/>
      <c r="AP60" s="82"/>
      <c r="AS60" s="83"/>
      <c r="AW60" s="83"/>
      <c r="BA60" s="84"/>
    </row>
    <row r="61" spans="1:53" s="208" customFormat="1">
      <c r="A61" s="102">
        <v>1986</v>
      </c>
      <c r="B61" s="207"/>
      <c r="C61" s="988" t="s">
        <v>687</v>
      </c>
      <c r="D61" s="988"/>
      <c r="E61" s="208">
        <v>365</v>
      </c>
      <c r="G61" s="123"/>
      <c r="H61" s="208">
        <v>5</v>
      </c>
      <c r="I61" s="208">
        <v>4</v>
      </c>
      <c r="J61" s="134">
        <v>9</v>
      </c>
      <c r="K61" s="92">
        <f t="shared" si="1"/>
        <v>0</v>
      </c>
      <c r="L61" s="92">
        <f t="shared" si="1"/>
        <v>55.555555555555557</v>
      </c>
      <c r="M61" s="92">
        <f t="shared" si="1"/>
        <v>44.444444444444443</v>
      </c>
      <c r="N61" s="125">
        <f t="shared" si="2"/>
        <v>100</v>
      </c>
      <c r="O61" s="91"/>
      <c r="P61" s="92">
        <v>39.1</v>
      </c>
      <c r="Q61" s="92">
        <v>32.799999999999997</v>
      </c>
      <c r="R61" s="93">
        <f t="shared" si="3"/>
        <v>71.900000000000006</v>
      </c>
      <c r="S61" s="208">
        <v>2</v>
      </c>
      <c r="T61" s="81"/>
      <c r="V61" s="82" t="s">
        <v>502</v>
      </c>
      <c r="W61" s="208" t="s">
        <v>17</v>
      </c>
      <c r="X61" s="208" t="s">
        <v>333</v>
      </c>
      <c r="Y61" s="83">
        <v>39.1</v>
      </c>
      <c r="Z61" s="208" t="s">
        <v>503</v>
      </c>
      <c r="AA61" s="208" t="s">
        <v>20</v>
      </c>
      <c r="AB61" s="208" t="s">
        <v>12</v>
      </c>
      <c r="AC61" s="208">
        <v>32.799999999999997</v>
      </c>
      <c r="AD61" s="82"/>
      <c r="AG61" s="83"/>
      <c r="AL61" s="82"/>
      <c r="AO61" s="83"/>
      <c r="AP61" s="82"/>
      <c r="AS61" s="83"/>
      <c r="AW61" s="83"/>
      <c r="BA61" s="84"/>
    </row>
    <row r="62" spans="1:53" s="208" customFormat="1">
      <c r="A62" s="102">
        <v>1987</v>
      </c>
      <c r="B62" s="207"/>
      <c r="C62" s="988" t="s">
        <v>687</v>
      </c>
      <c r="D62" s="988"/>
      <c r="E62" s="208">
        <v>0</v>
      </c>
      <c r="G62" s="123"/>
      <c r="H62" s="208">
        <v>5</v>
      </c>
      <c r="I62" s="208">
        <v>4</v>
      </c>
      <c r="J62" s="134">
        <v>9</v>
      </c>
      <c r="K62" s="92">
        <f t="shared" si="1"/>
        <v>0</v>
      </c>
      <c r="L62" s="92">
        <f t="shared" si="1"/>
        <v>55.555555555555557</v>
      </c>
      <c r="M62" s="92">
        <f t="shared" si="1"/>
        <v>44.444444444444443</v>
      </c>
      <c r="N62" s="125">
        <f t="shared" si="2"/>
        <v>100</v>
      </c>
      <c r="O62" s="91"/>
      <c r="P62" s="92">
        <v>39.1</v>
      </c>
      <c r="Q62" s="92">
        <v>32.799999999999997</v>
      </c>
      <c r="R62" s="93">
        <f t="shared" si="3"/>
        <v>71.900000000000006</v>
      </c>
      <c r="S62" s="208">
        <v>2</v>
      </c>
      <c r="T62" s="81"/>
      <c r="V62" s="82" t="s">
        <v>502</v>
      </c>
      <c r="W62" s="208" t="s">
        <v>17</v>
      </c>
      <c r="X62" s="208" t="s">
        <v>333</v>
      </c>
      <c r="Y62" s="83">
        <v>39.1</v>
      </c>
      <c r="Z62" s="208" t="s">
        <v>503</v>
      </c>
      <c r="AA62" s="208" t="s">
        <v>20</v>
      </c>
      <c r="AB62" s="208" t="s">
        <v>12</v>
      </c>
      <c r="AC62" s="208">
        <v>32.799999999999997</v>
      </c>
      <c r="AD62" s="82"/>
      <c r="AG62" s="83"/>
      <c r="AL62" s="82"/>
      <c r="AO62" s="83"/>
      <c r="AP62" s="82"/>
      <c r="AS62" s="83"/>
      <c r="AW62" s="83"/>
      <c r="BA62" s="84"/>
    </row>
    <row r="63" spans="1:53" s="208" customFormat="1">
      <c r="A63" s="102">
        <v>1987</v>
      </c>
      <c r="B63" s="207"/>
      <c r="C63" s="988" t="s">
        <v>687</v>
      </c>
      <c r="D63" s="988"/>
      <c r="E63" s="208">
        <v>365</v>
      </c>
      <c r="G63" s="123"/>
      <c r="H63" s="208">
        <v>5</v>
      </c>
      <c r="I63" s="208">
        <v>4</v>
      </c>
      <c r="J63" s="134">
        <v>9</v>
      </c>
      <c r="K63" s="92">
        <f t="shared" si="1"/>
        <v>0</v>
      </c>
      <c r="L63" s="92">
        <f t="shared" si="1"/>
        <v>55.555555555555557</v>
      </c>
      <c r="M63" s="92">
        <f t="shared" si="1"/>
        <v>44.444444444444443</v>
      </c>
      <c r="N63" s="125">
        <f t="shared" si="2"/>
        <v>100</v>
      </c>
      <c r="O63" s="91"/>
      <c r="P63" s="92">
        <v>39.1</v>
      </c>
      <c r="Q63" s="92">
        <v>32.799999999999997</v>
      </c>
      <c r="R63" s="93">
        <f t="shared" si="3"/>
        <v>71.900000000000006</v>
      </c>
      <c r="S63" s="208">
        <v>2</v>
      </c>
      <c r="T63" s="81"/>
      <c r="V63" s="82" t="s">
        <v>502</v>
      </c>
      <c r="W63" s="208" t="s">
        <v>17</v>
      </c>
      <c r="X63" s="208" t="s">
        <v>333</v>
      </c>
      <c r="Y63" s="83">
        <v>39.1</v>
      </c>
      <c r="Z63" s="208" t="s">
        <v>503</v>
      </c>
      <c r="AA63" s="208" t="s">
        <v>20</v>
      </c>
      <c r="AB63" s="208" t="s">
        <v>12</v>
      </c>
      <c r="AC63" s="208">
        <v>32.799999999999997</v>
      </c>
      <c r="AD63" s="82"/>
      <c r="AG63" s="83"/>
      <c r="AL63" s="82"/>
      <c r="AO63" s="83"/>
      <c r="AP63" s="82"/>
      <c r="AS63" s="83"/>
      <c r="AW63" s="83"/>
      <c r="BA63" s="84"/>
    </row>
    <row r="64" spans="1:53" s="208" customFormat="1">
      <c r="A64" s="102">
        <v>1988</v>
      </c>
      <c r="B64" s="207"/>
      <c r="C64" s="988" t="s">
        <v>687</v>
      </c>
      <c r="D64" s="988"/>
      <c r="E64" s="208">
        <v>0</v>
      </c>
      <c r="G64" s="123"/>
      <c r="H64" s="208">
        <v>5</v>
      </c>
      <c r="I64" s="208">
        <v>4</v>
      </c>
      <c r="J64" s="134">
        <v>9</v>
      </c>
      <c r="K64" s="92">
        <f t="shared" si="1"/>
        <v>0</v>
      </c>
      <c r="L64" s="92">
        <f t="shared" si="1"/>
        <v>55.555555555555557</v>
      </c>
      <c r="M64" s="92">
        <f t="shared" si="1"/>
        <v>44.444444444444443</v>
      </c>
      <c r="N64" s="125">
        <f t="shared" si="2"/>
        <v>100</v>
      </c>
      <c r="O64" s="91"/>
      <c r="P64" s="92">
        <v>39.1</v>
      </c>
      <c r="Q64" s="92">
        <v>32.799999999999997</v>
      </c>
      <c r="R64" s="93">
        <f t="shared" si="3"/>
        <v>71.900000000000006</v>
      </c>
      <c r="S64" s="208">
        <v>2</v>
      </c>
      <c r="T64" s="81"/>
      <c r="V64" s="82" t="s">
        <v>502</v>
      </c>
      <c r="W64" s="208" t="s">
        <v>17</v>
      </c>
      <c r="X64" s="208" t="s">
        <v>333</v>
      </c>
      <c r="Y64" s="83">
        <v>39.1</v>
      </c>
      <c r="Z64" s="208" t="s">
        <v>503</v>
      </c>
      <c r="AA64" s="208" t="s">
        <v>20</v>
      </c>
      <c r="AB64" s="208" t="s">
        <v>12</v>
      </c>
      <c r="AC64" s="208">
        <v>32.799999999999997</v>
      </c>
      <c r="AD64" s="82"/>
      <c r="AG64" s="83"/>
      <c r="AL64" s="82"/>
      <c r="AO64" s="83"/>
      <c r="AP64" s="82"/>
      <c r="AS64" s="83"/>
      <c r="AW64" s="83"/>
      <c r="BA64" s="84"/>
    </row>
    <row r="65" spans="1:53" s="208" customFormat="1">
      <c r="A65" s="102">
        <v>1988</v>
      </c>
      <c r="B65" s="207"/>
      <c r="C65" s="988" t="s">
        <v>687</v>
      </c>
      <c r="D65" s="988"/>
      <c r="E65" s="208">
        <v>366</v>
      </c>
      <c r="G65" s="123"/>
      <c r="H65" s="208">
        <v>5</v>
      </c>
      <c r="I65" s="208">
        <v>4</v>
      </c>
      <c r="J65" s="134">
        <v>9</v>
      </c>
      <c r="K65" s="92">
        <f t="shared" si="1"/>
        <v>0</v>
      </c>
      <c r="L65" s="92">
        <f t="shared" si="1"/>
        <v>55.555555555555557</v>
      </c>
      <c r="M65" s="92">
        <f t="shared" si="1"/>
        <v>44.444444444444443</v>
      </c>
      <c r="N65" s="125">
        <f t="shared" si="2"/>
        <v>100</v>
      </c>
      <c r="O65" s="91"/>
      <c r="P65" s="92">
        <v>39.1</v>
      </c>
      <c r="Q65" s="92">
        <v>32.799999999999997</v>
      </c>
      <c r="R65" s="93">
        <f t="shared" si="3"/>
        <v>71.900000000000006</v>
      </c>
      <c r="S65" s="208">
        <v>2</v>
      </c>
      <c r="T65" s="81"/>
      <c r="V65" s="82" t="s">
        <v>502</v>
      </c>
      <c r="W65" s="208" t="s">
        <v>17</v>
      </c>
      <c r="X65" s="208" t="s">
        <v>333</v>
      </c>
      <c r="Y65" s="83">
        <v>39.1</v>
      </c>
      <c r="Z65" s="208" t="s">
        <v>503</v>
      </c>
      <c r="AA65" s="208" t="s">
        <v>20</v>
      </c>
      <c r="AB65" s="208" t="s">
        <v>12</v>
      </c>
      <c r="AC65" s="208">
        <v>32.799999999999997</v>
      </c>
      <c r="AD65" s="82"/>
      <c r="AG65" s="83"/>
      <c r="AL65" s="82"/>
      <c r="AO65" s="83"/>
      <c r="AP65" s="82"/>
      <c r="AS65" s="83"/>
      <c r="AW65" s="83"/>
      <c r="BA65" s="84"/>
    </row>
    <row r="66" spans="1:53" s="208" customFormat="1">
      <c r="A66" s="102">
        <v>1989</v>
      </c>
      <c r="B66" s="207"/>
      <c r="C66" s="988" t="s">
        <v>687</v>
      </c>
      <c r="D66" s="988"/>
      <c r="E66" s="208">
        <v>194</v>
      </c>
      <c r="G66" s="123"/>
      <c r="H66" s="208">
        <v>5</v>
      </c>
      <c r="I66" s="208">
        <v>4</v>
      </c>
      <c r="J66" s="134">
        <v>9</v>
      </c>
      <c r="K66" s="92">
        <f t="shared" si="1"/>
        <v>0</v>
      </c>
      <c r="L66" s="92">
        <f t="shared" si="1"/>
        <v>55.555555555555557</v>
      </c>
      <c r="M66" s="92">
        <f t="shared" si="1"/>
        <v>44.444444444444443</v>
      </c>
      <c r="N66" s="125">
        <f t="shared" si="2"/>
        <v>100</v>
      </c>
      <c r="O66" s="91"/>
      <c r="P66" s="92">
        <v>39.1</v>
      </c>
      <c r="Q66" s="92">
        <v>32.799999999999997</v>
      </c>
      <c r="R66" s="93">
        <f t="shared" si="3"/>
        <v>71.900000000000006</v>
      </c>
      <c r="S66" s="208">
        <v>2</v>
      </c>
      <c r="T66" s="81"/>
      <c r="V66" s="82" t="s">
        <v>502</v>
      </c>
      <c r="W66" s="208" t="s">
        <v>17</v>
      </c>
      <c r="X66" s="208" t="s">
        <v>333</v>
      </c>
      <c r="Y66" s="83">
        <v>39.1</v>
      </c>
      <c r="Z66" s="208" t="s">
        <v>503</v>
      </c>
      <c r="AA66" s="208" t="s">
        <v>20</v>
      </c>
      <c r="AB66" s="208" t="s">
        <v>12</v>
      </c>
      <c r="AC66" s="208">
        <v>32.799999999999997</v>
      </c>
      <c r="AD66" s="82"/>
      <c r="AG66" s="83"/>
      <c r="AL66" s="82"/>
      <c r="AO66" s="83"/>
      <c r="AP66" s="82"/>
      <c r="AS66" s="83"/>
      <c r="AW66" s="83"/>
      <c r="BA66" s="84"/>
    </row>
    <row r="67" spans="1:53" s="104" customFormat="1">
      <c r="A67" s="201">
        <v>1989</v>
      </c>
      <c r="B67" s="407">
        <v>32703</v>
      </c>
      <c r="C67" s="998" t="s">
        <v>688</v>
      </c>
      <c r="D67" s="998"/>
      <c r="E67" s="104">
        <f>365-E66</f>
        <v>171</v>
      </c>
      <c r="F67" s="104">
        <v>1</v>
      </c>
      <c r="G67" s="447"/>
      <c r="H67" s="104">
        <v>6</v>
      </c>
      <c r="I67" s="104">
        <v>4</v>
      </c>
      <c r="J67" s="448">
        <v>10</v>
      </c>
      <c r="K67" s="403">
        <f t="shared" si="1"/>
        <v>0</v>
      </c>
      <c r="L67" s="404">
        <f t="shared" si="1"/>
        <v>60</v>
      </c>
      <c r="M67" s="404">
        <f t="shared" si="1"/>
        <v>40</v>
      </c>
      <c r="N67" s="426">
        <f t="shared" si="2"/>
        <v>100</v>
      </c>
      <c r="O67" s="403"/>
      <c r="P67" s="404">
        <v>36.700000000000003</v>
      </c>
      <c r="Q67" s="404">
        <v>30</v>
      </c>
      <c r="R67" s="405">
        <f t="shared" si="3"/>
        <v>66.7</v>
      </c>
      <c r="S67" s="334">
        <v>2</v>
      </c>
      <c r="T67" s="406">
        <v>32677</v>
      </c>
      <c r="U67" s="407">
        <v>32703</v>
      </c>
      <c r="V67" s="105" t="s">
        <v>502</v>
      </c>
      <c r="W67" s="104" t="s">
        <v>17</v>
      </c>
      <c r="X67" s="104" t="s">
        <v>333</v>
      </c>
      <c r="Y67" s="106">
        <v>36.700000000000003</v>
      </c>
      <c r="Z67" s="104" t="s">
        <v>503</v>
      </c>
      <c r="AA67" s="104" t="s">
        <v>20</v>
      </c>
      <c r="AB67" s="104" t="s">
        <v>12</v>
      </c>
      <c r="AC67" s="106">
        <v>30</v>
      </c>
      <c r="AD67" s="105"/>
      <c r="AG67" s="106"/>
      <c r="AL67" s="105"/>
      <c r="AO67" s="106"/>
      <c r="AP67" s="105"/>
      <c r="AS67" s="106"/>
      <c r="AW67" s="106"/>
      <c r="BA67" s="107"/>
    </row>
    <row r="68" spans="1:53" s="334" customFormat="1">
      <c r="A68" s="334">
        <v>1990</v>
      </c>
      <c r="C68" s="992" t="s">
        <v>688</v>
      </c>
      <c r="D68" s="992"/>
      <c r="E68" s="334">
        <v>0</v>
      </c>
      <c r="G68" s="419"/>
      <c r="H68" s="334">
        <v>6</v>
      </c>
      <c r="I68" s="334">
        <v>4</v>
      </c>
      <c r="J68" s="435">
        <v>10</v>
      </c>
      <c r="K68" s="384">
        <f t="shared" si="1"/>
        <v>0</v>
      </c>
      <c r="L68" s="384">
        <f t="shared" si="1"/>
        <v>60</v>
      </c>
      <c r="M68" s="384">
        <f t="shared" si="1"/>
        <v>40</v>
      </c>
      <c r="N68" s="421">
        <f t="shared" si="2"/>
        <v>100</v>
      </c>
      <c r="O68" s="383"/>
      <c r="P68" s="384">
        <v>36.700000000000003</v>
      </c>
      <c r="Q68" s="384">
        <v>30</v>
      </c>
      <c r="R68" s="385">
        <f t="shared" si="3"/>
        <v>66.7</v>
      </c>
      <c r="S68" s="457">
        <v>2</v>
      </c>
      <c r="T68" s="357"/>
      <c r="V68" s="343" t="s">
        <v>502</v>
      </c>
      <c r="W68" s="334" t="s">
        <v>17</v>
      </c>
      <c r="X68" s="334" t="s">
        <v>333</v>
      </c>
      <c r="Y68" s="344">
        <v>36.700000000000003</v>
      </c>
      <c r="Z68" s="334" t="s">
        <v>503</v>
      </c>
      <c r="AA68" s="334" t="s">
        <v>20</v>
      </c>
      <c r="AB68" s="334" t="s">
        <v>12</v>
      </c>
      <c r="AC68" s="334">
        <v>30</v>
      </c>
      <c r="AD68" s="343"/>
      <c r="AG68" s="344"/>
      <c r="AL68" s="343"/>
      <c r="AO68" s="344"/>
      <c r="AP68" s="343"/>
      <c r="AS68" s="344"/>
      <c r="AW68" s="344"/>
      <c r="BA68" s="345"/>
    </row>
    <row r="69" spans="1:53" s="334" customFormat="1">
      <c r="A69" s="334">
        <v>1990</v>
      </c>
      <c r="C69" s="992" t="s">
        <v>688</v>
      </c>
      <c r="D69" s="992"/>
      <c r="E69" s="334">
        <f>365-E68</f>
        <v>365</v>
      </c>
      <c r="G69" s="419"/>
      <c r="H69" s="334">
        <v>6</v>
      </c>
      <c r="I69" s="334">
        <v>4</v>
      </c>
      <c r="J69" s="435">
        <v>10</v>
      </c>
      <c r="K69" s="384">
        <f t="shared" si="1"/>
        <v>0</v>
      </c>
      <c r="L69" s="384">
        <f t="shared" si="1"/>
        <v>60</v>
      </c>
      <c r="M69" s="384">
        <f t="shared" si="1"/>
        <v>40</v>
      </c>
      <c r="N69" s="421">
        <f t="shared" si="2"/>
        <v>100</v>
      </c>
      <c r="O69" s="383"/>
      <c r="P69" s="384">
        <v>36.700000000000003</v>
      </c>
      <c r="Q69" s="384">
        <v>30</v>
      </c>
      <c r="R69" s="385">
        <f t="shared" si="3"/>
        <v>66.7</v>
      </c>
      <c r="S69" s="334">
        <v>2</v>
      </c>
      <c r="T69" s="357"/>
      <c r="V69" s="343" t="s">
        <v>502</v>
      </c>
      <c r="W69" s="334" t="s">
        <v>17</v>
      </c>
      <c r="X69" s="334" t="s">
        <v>333</v>
      </c>
      <c r="Y69" s="344">
        <v>36.700000000000003</v>
      </c>
      <c r="Z69" s="334" t="s">
        <v>503</v>
      </c>
      <c r="AA69" s="334" t="s">
        <v>20</v>
      </c>
      <c r="AB69" s="334" t="s">
        <v>12</v>
      </c>
      <c r="AC69" s="334">
        <v>30</v>
      </c>
      <c r="AD69" s="343"/>
      <c r="AG69" s="344"/>
      <c r="AL69" s="343"/>
      <c r="AO69" s="344"/>
      <c r="AP69" s="343"/>
      <c r="AS69" s="344"/>
      <c r="AW69" s="344"/>
      <c r="BA69" s="345"/>
    </row>
    <row r="70" spans="1:53" s="334" customFormat="1">
      <c r="A70" s="334">
        <v>1991</v>
      </c>
      <c r="C70" s="992" t="s">
        <v>688</v>
      </c>
      <c r="D70" s="992"/>
      <c r="E70" s="334">
        <v>0</v>
      </c>
      <c r="G70" s="419"/>
      <c r="H70" s="334">
        <v>6</v>
      </c>
      <c r="I70" s="334">
        <v>4</v>
      </c>
      <c r="J70" s="435">
        <v>10</v>
      </c>
      <c r="K70" s="384">
        <f t="shared" si="1"/>
        <v>0</v>
      </c>
      <c r="L70" s="384">
        <f t="shared" si="1"/>
        <v>60</v>
      </c>
      <c r="M70" s="384">
        <f t="shared" si="1"/>
        <v>40</v>
      </c>
      <c r="N70" s="421">
        <f t="shared" si="2"/>
        <v>100</v>
      </c>
      <c r="O70" s="383"/>
      <c r="P70" s="384">
        <v>36.700000000000003</v>
      </c>
      <c r="Q70" s="384">
        <v>30</v>
      </c>
      <c r="R70" s="385">
        <f t="shared" si="3"/>
        <v>66.7</v>
      </c>
      <c r="S70" s="334">
        <v>2</v>
      </c>
      <c r="T70" s="357"/>
      <c r="V70" s="343" t="s">
        <v>502</v>
      </c>
      <c r="W70" s="334" t="s">
        <v>17</v>
      </c>
      <c r="X70" s="334" t="s">
        <v>333</v>
      </c>
      <c r="Y70" s="344">
        <v>36.700000000000003</v>
      </c>
      <c r="Z70" s="334" t="s">
        <v>503</v>
      </c>
      <c r="AA70" s="334" t="s">
        <v>20</v>
      </c>
      <c r="AB70" s="334" t="s">
        <v>12</v>
      </c>
      <c r="AC70" s="334">
        <v>30</v>
      </c>
      <c r="AD70" s="343"/>
      <c r="AG70" s="344"/>
      <c r="AL70" s="343"/>
      <c r="AO70" s="344"/>
      <c r="AP70" s="343"/>
      <c r="AS70" s="344"/>
      <c r="AW70" s="344"/>
      <c r="BA70" s="345"/>
    </row>
    <row r="71" spans="1:53" s="334" customFormat="1">
      <c r="A71" s="334">
        <v>1991</v>
      </c>
      <c r="C71" s="992" t="s">
        <v>688</v>
      </c>
      <c r="D71" s="992"/>
      <c r="E71" s="334">
        <f>365-E70</f>
        <v>365</v>
      </c>
      <c r="G71" s="419"/>
      <c r="H71" s="334">
        <v>6</v>
      </c>
      <c r="I71" s="334">
        <v>4</v>
      </c>
      <c r="J71" s="435">
        <v>10</v>
      </c>
      <c r="K71" s="384">
        <f t="shared" si="1"/>
        <v>0</v>
      </c>
      <c r="L71" s="384">
        <f t="shared" si="1"/>
        <v>60</v>
      </c>
      <c r="M71" s="384">
        <f t="shared" si="1"/>
        <v>40</v>
      </c>
      <c r="N71" s="421">
        <f t="shared" si="2"/>
        <v>100</v>
      </c>
      <c r="O71" s="383"/>
      <c r="P71" s="384">
        <v>36.700000000000003</v>
      </c>
      <c r="Q71" s="384">
        <v>30</v>
      </c>
      <c r="R71" s="385">
        <f t="shared" si="3"/>
        <v>66.7</v>
      </c>
      <c r="S71" s="334">
        <v>2</v>
      </c>
      <c r="T71" s="357"/>
      <c r="V71" s="343" t="s">
        <v>502</v>
      </c>
      <c r="W71" s="334" t="s">
        <v>17</v>
      </c>
      <c r="X71" s="334" t="s">
        <v>333</v>
      </c>
      <c r="Y71" s="344">
        <v>36.700000000000003</v>
      </c>
      <c r="Z71" s="334" t="s">
        <v>503</v>
      </c>
      <c r="AA71" s="334" t="s">
        <v>20</v>
      </c>
      <c r="AB71" s="334" t="s">
        <v>12</v>
      </c>
      <c r="AC71" s="334">
        <v>30</v>
      </c>
      <c r="AD71" s="343"/>
      <c r="AG71" s="344"/>
      <c r="AL71" s="343"/>
      <c r="AO71" s="344"/>
      <c r="AP71" s="343"/>
      <c r="AS71" s="344"/>
      <c r="AW71" s="344"/>
      <c r="BA71" s="345"/>
    </row>
    <row r="72" spans="1:53" s="334" customFormat="1">
      <c r="A72" s="334">
        <v>1992</v>
      </c>
      <c r="C72" s="992" t="s">
        <v>688</v>
      </c>
      <c r="D72" s="992"/>
      <c r="E72" s="334">
        <v>0</v>
      </c>
      <c r="G72" s="419"/>
      <c r="H72" s="334">
        <v>6</v>
      </c>
      <c r="I72" s="334">
        <v>4</v>
      </c>
      <c r="J72" s="435">
        <v>10</v>
      </c>
      <c r="K72" s="384">
        <f t="shared" si="1"/>
        <v>0</v>
      </c>
      <c r="L72" s="384">
        <f t="shared" si="1"/>
        <v>60</v>
      </c>
      <c r="M72" s="384">
        <f t="shared" si="1"/>
        <v>40</v>
      </c>
      <c r="N72" s="421">
        <f t="shared" si="2"/>
        <v>100</v>
      </c>
      <c r="O72" s="383"/>
      <c r="P72" s="384">
        <v>36.700000000000003</v>
      </c>
      <c r="Q72" s="384">
        <v>30</v>
      </c>
      <c r="R72" s="385">
        <f t="shared" si="3"/>
        <v>66.7</v>
      </c>
      <c r="S72" s="334">
        <v>2</v>
      </c>
      <c r="T72" s="357"/>
      <c r="V72" s="343" t="s">
        <v>502</v>
      </c>
      <c r="W72" s="334" t="s">
        <v>17</v>
      </c>
      <c r="X72" s="334" t="s">
        <v>333</v>
      </c>
      <c r="Y72" s="344">
        <v>36.700000000000003</v>
      </c>
      <c r="Z72" s="334" t="s">
        <v>503</v>
      </c>
      <c r="AA72" s="334" t="s">
        <v>20</v>
      </c>
      <c r="AB72" s="334" t="s">
        <v>12</v>
      </c>
      <c r="AC72" s="334">
        <v>30</v>
      </c>
      <c r="AD72" s="343"/>
      <c r="AG72" s="344"/>
      <c r="AL72" s="343"/>
      <c r="AO72" s="344"/>
      <c r="AP72" s="343"/>
      <c r="AS72" s="344"/>
      <c r="AW72" s="344"/>
      <c r="BA72" s="345"/>
    </row>
    <row r="73" spans="1:53" s="334" customFormat="1">
      <c r="A73" s="334">
        <v>1992</v>
      </c>
      <c r="C73" s="992" t="s">
        <v>688</v>
      </c>
      <c r="D73" s="992"/>
      <c r="E73" s="334">
        <v>366</v>
      </c>
      <c r="G73" s="419"/>
      <c r="H73" s="334">
        <v>6</v>
      </c>
      <c r="I73" s="334">
        <v>4</v>
      </c>
      <c r="J73" s="435">
        <v>10</v>
      </c>
      <c r="K73" s="384">
        <f t="shared" ref="K73:M115" si="4">G73/$J73*100</f>
        <v>0</v>
      </c>
      <c r="L73" s="384">
        <f t="shared" si="4"/>
        <v>60</v>
      </c>
      <c r="M73" s="384">
        <f t="shared" si="4"/>
        <v>40</v>
      </c>
      <c r="N73" s="421">
        <f t="shared" ref="N73:N115" si="5">K73+L73+M73</f>
        <v>100</v>
      </c>
      <c r="O73" s="383"/>
      <c r="P73" s="384">
        <v>36.700000000000003</v>
      </c>
      <c r="Q73" s="384">
        <v>30</v>
      </c>
      <c r="R73" s="385">
        <f t="shared" ref="R73:R113" si="6">O73+P73+Q73</f>
        <v>66.7</v>
      </c>
      <c r="S73" s="334">
        <v>2</v>
      </c>
      <c r="T73" s="357"/>
      <c r="V73" s="343" t="s">
        <v>502</v>
      </c>
      <c r="W73" s="334" t="s">
        <v>17</v>
      </c>
      <c r="X73" s="334" t="s">
        <v>333</v>
      </c>
      <c r="Y73" s="344">
        <v>36.700000000000003</v>
      </c>
      <c r="Z73" s="334" t="s">
        <v>503</v>
      </c>
      <c r="AA73" s="334" t="s">
        <v>20</v>
      </c>
      <c r="AB73" s="334" t="s">
        <v>12</v>
      </c>
      <c r="AC73" s="334">
        <v>30</v>
      </c>
      <c r="AD73" s="343"/>
      <c r="AG73" s="344"/>
      <c r="AL73" s="343"/>
      <c r="AO73" s="344"/>
      <c r="AP73" s="343"/>
      <c r="AS73" s="344"/>
      <c r="AW73" s="344"/>
      <c r="BA73" s="345"/>
    </row>
    <row r="74" spans="1:53" s="334" customFormat="1">
      <c r="A74" s="334">
        <v>1993</v>
      </c>
      <c r="C74" s="992" t="s">
        <v>688</v>
      </c>
      <c r="D74" s="992"/>
      <c r="E74" s="334">
        <v>0</v>
      </c>
      <c r="G74" s="419"/>
      <c r="H74" s="334">
        <v>6</v>
      </c>
      <c r="I74" s="334">
        <v>4</v>
      </c>
      <c r="J74" s="435">
        <v>10</v>
      </c>
      <c r="K74" s="384">
        <f t="shared" si="4"/>
        <v>0</v>
      </c>
      <c r="L74" s="384">
        <f t="shared" si="4"/>
        <v>60</v>
      </c>
      <c r="M74" s="384">
        <f t="shared" si="4"/>
        <v>40</v>
      </c>
      <c r="N74" s="421">
        <f t="shared" si="5"/>
        <v>100</v>
      </c>
      <c r="O74" s="383"/>
      <c r="P74" s="384">
        <v>36.700000000000003</v>
      </c>
      <c r="Q74" s="384">
        <v>30</v>
      </c>
      <c r="R74" s="385">
        <f t="shared" si="6"/>
        <v>66.7</v>
      </c>
      <c r="S74" s="334">
        <v>2</v>
      </c>
      <c r="T74" s="357"/>
      <c r="V74" s="343" t="s">
        <v>502</v>
      </c>
      <c r="W74" s="334" t="s">
        <v>17</v>
      </c>
      <c r="X74" s="334" t="s">
        <v>333</v>
      </c>
      <c r="Y74" s="344">
        <v>36.700000000000003</v>
      </c>
      <c r="Z74" s="334" t="s">
        <v>503</v>
      </c>
      <c r="AA74" s="334" t="s">
        <v>20</v>
      </c>
      <c r="AB74" s="334" t="s">
        <v>12</v>
      </c>
      <c r="AC74" s="334">
        <v>30</v>
      </c>
      <c r="AD74" s="343"/>
      <c r="AG74" s="344"/>
      <c r="AL74" s="343"/>
      <c r="AO74" s="344"/>
      <c r="AP74" s="343"/>
      <c r="AS74" s="344"/>
      <c r="AW74" s="344"/>
      <c r="BA74" s="345"/>
    </row>
    <row r="75" spans="1:53" s="334" customFormat="1">
      <c r="A75" s="334">
        <v>1993</v>
      </c>
      <c r="C75" s="992" t="s">
        <v>688</v>
      </c>
      <c r="D75" s="992"/>
      <c r="E75" s="334">
        <f>365-E74</f>
        <v>365</v>
      </c>
      <c r="G75" s="419"/>
      <c r="H75" s="334">
        <v>6</v>
      </c>
      <c r="I75" s="334">
        <v>4</v>
      </c>
      <c r="J75" s="435">
        <v>10</v>
      </c>
      <c r="K75" s="384">
        <f t="shared" si="4"/>
        <v>0</v>
      </c>
      <c r="L75" s="384">
        <f t="shared" si="4"/>
        <v>60</v>
      </c>
      <c r="M75" s="384">
        <f t="shared" si="4"/>
        <v>40</v>
      </c>
      <c r="N75" s="421">
        <f t="shared" si="5"/>
        <v>100</v>
      </c>
      <c r="O75" s="383"/>
      <c r="P75" s="384">
        <v>36.700000000000003</v>
      </c>
      <c r="Q75" s="384">
        <v>30</v>
      </c>
      <c r="R75" s="385">
        <f t="shared" si="6"/>
        <v>66.7</v>
      </c>
      <c r="S75" s="334">
        <v>2</v>
      </c>
      <c r="T75" s="357"/>
      <c r="V75" s="343" t="s">
        <v>502</v>
      </c>
      <c r="W75" s="334" t="s">
        <v>17</v>
      </c>
      <c r="X75" s="334" t="s">
        <v>333</v>
      </c>
      <c r="Y75" s="344">
        <v>36.700000000000003</v>
      </c>
      <c r="Z75" s="334" t="s">
        <v>503</v>
      </c>
      <c r="AA75" s="334" t="s">
        <v>20</v>
      </c>
      <c r="AB75" s="334" t="s">
        <v>12</v>
      </c>
      <c r="AC75" s="334">
        <v>30</v>
      </c>
      <c r="AD75" s="343"/>
      <c r="AG75" s="344"/>
      <c r="AL75" s="343"/>
      <c r="AO75" s="344"/>
      <c r="AP75" s="343"/>
      <c r="AS75" s="344"/>
      <c r="AW75" s="344"/>
      <c r="BA75" s="345"/>
    </row>
    <row r="76" spans="1:53" s="334" customFormat="1">
      <c r="A76" s="334">
        <v>1994</v>
      </c>
      <c r="C76" s="992" t="s">
        <v>688</v>
      </c>
      <c r="D76" s="992"/>
      <c r="E76" s="334">
        <v>193</v>
      </c>
      <c r="G76" s="419"/>
      <c r="H76" s="334">
        <v>6</v>
      </c>
      <c r="I76" s="334">
        <v>4</v>
      </c>
      <c r="J76" s="435">
        <v>10</v>
      </c>
      <c r="K76" s="384">
        <f t="shared" si="4"/>
        <v>0</v>
      </c>
      <c r="L76" s="384">
        <f t="shared" si="4"/>
        <v>60</v>
      </c>
      <c r="M76" s="384">
        <f t="shared" si="4"/>
        <v>40</v>
      </c>
      <c r="N76" s="421">
        <f t="shared" si="5"/>
        <v>100</v>
      </c>
      <c r="O76" s="383"/>
      <c r="P76" s="384">
        <v>36.700000000000003</v>
      </c>
      <c r="Q76" s="384">
        <v>30</v>
      </c>
      <c r="R76" s="385">
        <f t="shared" si="6"/>
        <v>66.7</v>
      </c>
      <c r="S76" s="334">
        <v>2</v>
      </c>
      <c r="T76" s="357"/>
      <c r="V76" s="343" t="s">
        <v>502</v>
      </c>
      <c r="W76" s="334" t="s">
        <v>17</v>
      </c>
      <c r="X76" s="334" t="s">
        <v>333</v>
      </c>
      <c r="Y76" s="344">
        <v>36.700000000000003</v>
      </c>
      <c r="Z76" s="334" t="s">
        <v>503</v>
      </c>
      <c r="AA76" s="334" t="s">
        <v>20</v>
      </c>
      <c r="AB76" s="334" t="s">
        <v>12</v>
      </c>
      <c r="AC76" s="334">
        <v>30</v>
      </c>
      <c r="AD76" s="343"/>
      <c r="AG76" s="344"/>
      <c r="AL76" s="343"/>
      <c r="AO76" s="344"/>
      <c r="AP76" s="343"/>
      <c r="AS76" s="344"/>
      <c r="AW76" s="344"/>
      <c r="BA76" s="345"/>
    </row>
    <row r="77" spans="1:53" s="208" customFormat="1">
      <c r="A77" s="208">
        <v>1994</v>
      </c>
      <c r="B77" s="207">
        <v>34528</v>
      </c>
      <c r="C77" s="988" t="s">
        <v>689</v>
      </c>
      <c r="D77" s="988"/>
      <c r="E77" s="208">
        <f>365-E76</f>
        <v>172</v>
      </c>
      <c r="F77" s="208">
        <v>1</v>
      </c>
      <c r="G77" s="123"/>
      <c r="H77" s="208">
        <v>6</v>
      </c>
      <c r="I77" s="208">
        <v>6</v>
      </c>
      <c r="J77" s="134">
        <v>12</v>
      </c>
      <c r="K77" s="92">
        <f t="shared" si="4"/>
        <v>0</v>
      </c>
      <c r="L77" s="92">
        <f t="shared" si="4"/>
        <v>50</v>
      </c>
      <c r="M77" s="92">
        <f t="shared" si="4"/>
        <v>50</v>
      </c>
      <c r="N77" s="125">
        <f t="shared" si="5"/>
        <v>100</v>
      </c>
      <c r="O77" s="91"/>
      <c r="P77" s="92">
        <v>35</v>
      </c>
      <c r="Q77" s="92">
        <v>28.3</v>
      </c>
      <c r="R77" s="93">
        <f t="shared" si="6"/>
        <v>63.3</v>
      </c>
      <c r="S77" s="208">
        <v>2</v>
      </c>
      <c r="T77" s="95">
        <v>34497</v>
      </c>
      <c r="U77" s="207">
        <v>34528</v>
      </c>
      <c r="V77" s="82" t="s">
        <v>502</v>
      </c>
      <c r="W77" s="208" t="s">
        <v>17</v>
      </c>
      <c r="X77" s="208" t="s">
        <v>333</v>
      </c>
      <c r="Y77" s="83">
        <v>35</v>
      </c>
      <c r="Z77" s="208" t="s">
        <v>503</v>
      </c>
      <c r="AA77" s="208" t="s">
        <v>20</v>
      </c>
      <c r="AB77" s="208" t="s">
        <v>12</v>
      </c>
      <c r="AC77" s="208">
        <v>28.3</v>
      </c>
      <c r="AD77" s="82"/>
      <c r="AG77" s="83"/>
      <c r="AL77" s="82"/>
      <c r="AO77" s="83"/>
      <c r="AP77" s="82"/>
      <c r="AS77" s="83"/>
      <c r="AW77" s="83"/>
      <c r="BA77" s="84"/>
    </row>
    <row r="78" spans="1:53" s="208" customFormat="1">
      <c r="A78" s="208">
        <v>1995</v>
      </c>
      <c r="C78" s="988" t="s">
        <v>689</v>
      </c>
      <c r="D78" s="988"/>
      <c r="E78" s="208">
        <v>25</v>
      </c>
      <c r="G78" s="123"/>
      <c r="H78" s="208">
        <v>6</v>
      </c>
      <c r="I78" s="208">
        <v>6</v>
      </c>
      <c r="J78" s="134">
        <v>12</v>
      </c>
      <c r="K78" s="92">
        <f t="shared" si="4"/>
        <v>0</v>
      </c>
      <c r="L78" s="92">
        <f t="shared" si="4"/>
        <v>50</v>
      </c>
      <c r="M78" s="92">
        <f t="shared" si="4"/>
        <v>50</v>
      </c>
      <c r="N78" s="125">
        <f t="shared" si="5"/>
        <v>100</v>
      </c>
      <c r="O78" s="91"/>
      <c r="P78" s="92">
        <v>35</v>
      </c>
      <c r="Q78" s="92">
        <v>28.3</v>
      </c>
      <c r="R78" s="93">
        <f t="shared" si="6"/>
        <v>63.3</v>
      </c>
      <c r="S78" s="208">
        <v>2</v>
      </c>
      <c r="T78" s="81"/>
      <c r="V78" s="82" t="s">
        <v>502</v>
      </c>
      <c r="W78" s="208" t="s">
        <v>17</v>
      </c>
      <c r="X78" s="208" t="s">
        <v>333</v>
      </c>
      <c r="Y78" s="83">
        <v>35</v>
      </c>
      <c r="Z78" s="208" t="s">
        <v>503</v>
      </c>
      <c r="AA78" s="208" t="s">
        <v>20</v>
      </c>
      <c r="AB78" s="208" t="s">
        <v>12</v>
      </c>
      <c r="AC78" s="208">
        <v>28.3</v>
      </c>
      <c r="AD78" s="82"/>
      <c r="AG78" s="83"/>
      <c r="AL78" s="82"/>
      <c r="AO78" s="83"/>
      <c r="AP78" s="82"/>
      <c r="AS78" s="83"/>
      <c r="AW78" s="83"/>
      <c r="BA78" s="84"/>
    </row>
    <row r="79" spans="1:53" s="334" customFormat="1">
      <c r="A79" s="334">
        <v>1995</v>
      </c>
      <c r="B79" s="355">
        <v>34725</v>
      </c>
      <c r="C79" s="992" t="s">
        <v>690</v>
      </c>
      <c r="D79" s="992"/>
      <c r="E79" s="334">
        <f>365-E78</f>
        <v>340</v>
      </c>
      <c r="F79" s="334">
        <v>2</v>
      </c>
      <c r="G79" s="419"/>
      <c r="H79" s="334">
        <v>6</v>
      </c>
      <c r="I79" s="334">
        <v>6</v>
      </c>
      <c r="J79" s="435">
        <v>12</v>
      </c>
      <c r="K79" s="384">
        <f t="shared" si="4"/>
        <v>0</v>
      </c>
      <c r="L79" s="384">
        <f t="shared" si="4"/>
        <v>50</v>
      </c>
      <c r="M79" s="384">
        <f t="shared" si="4"/>
        <v>50</v>
      </c>
      <c r="N79" s="421">
        <f t="shared" si="5"/>
        <v>100</v>
      </c>
      <c r="O79" s="383"/>
      <c r="P79" s="384">
        <v>35</v>
      </c>
      <c r="Q79" s="384">
        <v>28.3</v>
      </c>
      <c r="R79" s="385">
        <f t="shared" si="6"/>
        <v>63.3</v>
      </c>
      <c r="S79" s="334">
        <v>2</v>
      </c>
      <c r="T79" s="357"/>
      <c r="U79" s="355">
        <v>34725</v>
      </c>
      <c r="V79" s="343" t="s">
        <v>502</v>
      </c>
      <c r="W79" s="334" t="s">
        <v>17</v>
      </c>
      <c r="X79" s="334" t="s">
        <v>333</v>
      </c>
      <c r="Y79" s="344">
        <v>35</v>
      </c>
      <c r="Z79" s="334" t="s">
        <v>503</v>
      </c>
      <c r="AA79" s="334" t="s">
        <v>20</v>
      </c>
      <c r="AB79" s="334" t="s">
        <v>12</v>
      </c>
      <c r="AC79" s="334">
        <v>28.3</v>
      </c>
      <c r="AD79" s="343"/>
      <c r="AG79" s="344"/>
      <c r="AL79" s="343"/>
      <c r="AO79" s="344"/>
      <c r="AP79" s="343"/>
      <c r="AS79" s="344"/>
      <c r="AW79" s="344"/>
      <c r="BA79" s="345"/>
    </row>
    <row r="80" spans="1:53" s="334" customFormat="1">
      <c r="A80" s="334">
        <v>1996</v>
      </c>
      <c r="C80" s="992" t="s">
        <v>690</v>
      </c>
      <c r="D80" s="992"/>
      <c r="E80" s="334">
        <v>0</v>
      </c>
      <c r="G80" s="419"/>
      <c r="H80" s="334">
        <v>6</v>
      </c>
      <c r="I80" s="334">
        <v>6</v>
      </c>
      <c r="J80" s="435">
        <v>12</v>
      </c>
      <c r="K80" s="384">
        <f t="shared" si="4"/>
        <v>0</v>
      </c>
      <c r="L80" s="384">
        <f t="shared" si="4"/>
        <v>50</v>
      </c>
      <c r="M80" s="384">
        <f t="shared" si="4"/>
        <v>50</v>
      </c>
      <c r="N80" s="421">
        <f t="shared" si="5"/>
        <v>100</v>
      </c>
      <c r="O80" s="383"/>
      <c r="P80" s="384">
        <v>35</v>
      </c>
      <c r="Q80" s="384">
        <v>28.3</v>
      </c>
      <c r="R80" s="385">
        <f t="shared" si="6"/>
        <v>63.3</v>
      </c>
      <c r="S80" s="334">
        <v>2</v>
      </c>
      <c r="T80" s="357"/>
      <c r="V80" s="343" t="s">
        <v>502</v>
      </c>
      <c r="W80" s="334" t="s">
        <v>17</v>
      </c>
      <c r="X80" s="334" t="s">
        <v>333</v>
      </c>
      <c r="Y80" s="344">
        <v>35</v>
      </c>
      <c r="Z80" s="334" t="s">
        <v>503</v>
      </c>
      <c r="AA80" s="334" t="s">
        <v>20</v>
      </c>
      <c r="AB80" s="334" t="s">
        <v>12</v>
      </c>
      <c r="AC80" s="334">
        <v>28.3</v>
      </c>
      <c r="AD80" s="343"/>
      <c r="AG80" s="344"/>
      <c r="AL80" s="343"/>
      <c r="AO80" s="344"/>
      <c r="AP80" s="343"/>
      <c r="AS80" s="344"/>
      <c r="AW80" s="344"/>
      <c r="BA80" s="345"/>
    </row>
    <row r="81" spans="1:53" s="334" customFormat="1">
      <c r="A81" s="334">
        <v>1996</v>
      </c>
      <c r="C81" s="992" t="s">
        <v>690</v>
      </c>
      <c r="D81" s="992"/>
      <c r="E81" s="334">
        <v>366</v>
      </c>
      <c r="G81" s="419"/>
      <c r="H81" s="334">
        <v>6</v>
      </c>
      <c r="I81" s="334">
        <v>6</v>
      </c>
      <c r="J81" s="435">
        <v>12</v>
      </c>
      <c r="K81" s="384">
        <f t="shared" si="4"/>
        <v>0</v>
      </c>
      <c r="L81" s="384">
        <f t="shared" si="4"/>
        <v>50</v>
      </c>
      <c r="M81" s="384">
        <f t="shared" si="4"/>
        <v>50</v>
      </c>
      <c r="N81" s="421">
        <f t="shared" si="5"/>
        <v>100</v>
      </c>
      <c r="O81" s="383"/>
      <c r="P81" s="384">
        <v>35</v>
      </c>
      <c r="Q81" s="384">
        <v>28.3</v>
      </c>
      <c r="R81" s="385">
        <f t="shared" si="6"/>
        <v>63.3</v>
      </c>
      <c r="S81" s="334">
        <v>2</v>
      </c>
      <c r="T81" s="357"/>
      <c r="V81" s="343" t="s">
        <v>502</v>
      </c>
      <c r="W81" s="334" t="s">
        <v>17</v>
      </c>
      <c r="X81" s="334" t="s">
        <v>333</v>
      </c>
      <c r="Y81" s="344">
        <v>35</v>
      </c>
      <c r="Z81" s="334" t="s">
        <v>503</v>
      </c>
      <c r="AA81" s="334" t="s">
        <v>20</v>
      </c>
      <c r="AB81" s="334" t="s">
        <v>12</v>
      </c>
      <c r="AC81" s="334">
        <v>28.3</v>
      </c>
      <c r="AD81" s="343"/>
      <c r="AG81" s="344"/>
      <c r="AL81" s="343"/>
      <c r="AO81" s="344"/>
      <c r="AP81" s="343"/>
      <c r="AS81" s="344"/>
      <c r="AW81" s="344"/>
      <c r="BA81" s="345"/>
    </row>
    <row r="82" spans="1:53" s="334" customFormat="1">
      <c r="A82" s="334">
        <v>1997</v>
      </c>
      <c r="C82" s="992" t="s">
        <v>690</v>
      </c>
      <c r="D82" s="992"/>
      <c r="E82" s="334">
        <v>0</v>
      </c>
      <c r="G82" s="419"/>
      <c r="H82" s="334">
        <v>6</v>
      </c>
      <c r="I82" s="334">
        <v>6</v>
      </c>
      <c r="J82" s="435">
        <v>12</v>
      </c>
      <c r="K82" s="384">
        <f t="shared" si="4"/>
        <v>0</v>
      </c>
      <c r="L82" s="384">
        <f t="shared" si="4"/>
        <v>50</v>
      </c>
      <c r="M82" s="384">
        <f t="shared" si="4"/>
        <v>50</v>
      </c>
      <c r="N82" s="421">
        <f t="shared" si="5"/>
        <v>100</v>
      </c>
      <c r="O82" s="383"/>
      <c r="P82" s="384">
        <v>35</v>
      </c>
      <c r="Q82" s="384">
        <v>28.3</v>
      </c>
      <c r="R82" s="385">
        <f t="shared" si="6"/>
        <v>63.3</v>
      </c>
      <c r="S82" s="334">
        <v>2</v>
      </c>
      <c r="T82" s="357"/>
      <c r="V82" s="343" t="s">
        <v>502</v>
      </c>
      <c r="W82" s="334" t="s">
        <v>17</v>
      </c>
      <c r="X82" s="334" t="s">
        <v>333</v>
      </c>
      <c r="Y82" s="344">
        <v>35</v>
      </c>
      <c r="Z82" s="334" t="s">
        <v>503</v>
      </c>
      <c r="AA82" s="334" t="s">
        <v>20</v>
      </c>
      <c r="AB82" s="334" t="s">
        <v>12</v>
      </c>
      <c r="AC82" s="334">
        <v>28.3</v>
      </c>
      <c r="AD82" s="343"/>
      <c r="AG82" s="344"/>
      <c r="AL82" s="343"/>
      <c r="AO82" s="344"/>
      <c r="AP82" s="343"/>
      <c r="AS82" s="344"/>
      <c r="AW82" s="344"/>
      <c r="BA82" s="345"/>
    </row>
    <row r="83" spans="1:53" s="334" customFormat="1">
      <c r="A83" s="334">
        <v>1997</v>
      </c>
      <c r="C83" s="992" t="s">
        <v>690</v>
      </c>
      <c r="D83" s="992"/>
      <c r="E83" s="334">
        <f>365-E82</f>
        <v>365</v>
      </c>
      <c r="G83" s="419"/>
      <c r="H83" s="334">
        <v>6</v>
      </c>
      <c r="I83" s="334">
        <v>6</v>
      </c>
      <c r="J83" s="435">
        <v>12</v>
      </c>
      <c r="K83" s="384">
        <f t="shared" si="4"/>
        <v>0</v>
      </c>
      <c r="L83" s="384">
        <f t="shared" si="4"/>
        <v>50</v>
      </c>
      <c r="M83" s="384">
        <f t="shared" si="4"/>
        <v>50</v>
      </c>
      <c r="N83" s="421">
        <f t="shared" si="5"/>
        <v>100</v>
      </c>
      <c r="O83" s="383"/>
      <c r="P83" s="384">
        <v>35</v>
      </c>
      <c r="Q83" s="384">
        <v>28.3</v>
      </c>
      <c r="R83" s="385">
        <f t="shared" si="6"/>
        <v>63.3</v>
      </c>
      <c r="S83" s="334">
        <v>2</v>
      </c>
      <c r="T83" s="357"/>
      <c r="V83" s="343" t="s">
        <v>502</v>
      </c>
      <c r="W83" s="334" t="s">
        <v>17</v>
      </c>
      <c r="X83" s="334" t="s">
        <v>333</v>
      </c>
      <c r="Y83" s="344">
        <v>35</v>
      </c>
      <c r="Z83" s="334" t="s">
        <v>503</v>
      </c>
      <c r="AA83" s="334" t="s">
        <v>20</v>
      </c>
      <c r="AB83" s="334" t="s">
        <v>12</v>
      </c>
      <c r="AC83" s="334">
        <v>28.3</v>
      </c>
      <c r="AD83" s="343"/>
      <c r="AG83" s="344"/>
      <c r="AL83" s="343"/>
      <c r="AO83" s="344"/>
      <c r="AP83" s="343"/>
      <c r="AS83" s="344"/>
      <c r="AW83" s="344"/>
      <c r="BA83" s="345"/>
    </row>
    <row r="84" spans="1:53" s="334" customFormat="1">
      <c r="A84" s="334">
        <v>1998</v>
      </c>
      <c r="C84" s="992" t="s">
        <v>690</v>
      </c>
      <c r="D84" s="992"/>
      <c r="E84" s="334">
        <v>0</v>
      </c>
      <c r="G84" s="419"/>
      <c r="H84" s="334">
        <v>6</v>
      </c>
      <c r="I84" s="334">
        <v>6</v>
      </c>
      <c r="J84" s="435">
        <v>12</v>
      </c>
      <c r="K84" s="384">
        <f t="shared" si="4"/>
        <v>0</v>
      </c>
      <c r="L84" s="384">
        <f t="shared" si="4"/>
        <v>50</v>
      </c>
      <c r="M84" s="384">
        <f t="shared" si="4"/>
        <v>50</v>
      </c>
      <c r="N84" s="421">
        <f t="shared" si="5"/>
        <v>100</v>
      </c>
      <c r="O84" s="383"/>
      <c r="P84" s="384">
        <v>35</v>
      </c>
      <c r="Q84" s="384">
        <v>28.3</v>
      </c>
      <c r="R84" s="385">
        <f t="shared" si="6"/>
        <v>63.3</v>
      </c>
      <c r="S84" s="334">
        <v>2</v>
      </c>
      <c r="T84" s="357"/>
      <c r="V84" s="343" t="s">
        <v>502</v>
      </c>
      <c r="W84" s="334" t="s">
        <v>17</v>
      </c>
      <c r="X84" s="334" t="s">
        <v>333</v>
      </c>
      <c r="Y84" s="344">
        <v>35</v>
      </c>
      <c r="Z84" s="334" t="s">
        <v>503</v>
      </c>
      <c r="AA84" s="334" t="s">
        <v>20</v>
      </c>
      <c r="AB84" s="334" t="s">
        <v>12</v>
      </c>
      <c r="AC84" s="334">
        <v>28.3</v>
      </c>
      <c r="AD84" s="343"/>
      <c r="AG84" s="344"/>
      <c r="AL84" s="343"/>
      <c r="AO84" s="344"/>
      <c r="AP84" s="343"/>
      <c r="AS84" s="344"/>
      <c r="AW84" s="344"/>
      <c r="BA84" s="345"/>
    </row>
    <row r="85" spans="1:53" s="334" customFormat="1">
      <c r="A85" s="334">
        <v>1998</v>
      </c>
      <c r="C85" s="992" t="s">
        <v>690</v>
      </c>
      <c r="D85" s="992"/>
      <c r="E85" s="334">
        <f>365-E84</f>
        <v>365</v>
      </c>
      <c r="G85" s="419"/>
      <c r="H85" s="334">
        <v>6</v>
      </c>
      <c r="I85" s="334">
        <v>6</v>
      </c>
      <c r="J85" s="435">
        <v>12</v>
      </c>
      <c r="K85" s="384">
        <f t="shared" si="4"/>
        <v>0</v>
      </c>
      <c r="L85" s="384">
        <f t="shared" si="4"/>
        <v>50</v>
      </c>
      <c r="M85" s="384">
        <f t="shared" si="4"/>
        <v>50</v>
      </c>
      <c r="N85" s="421">
        <f t="shared" si="5"/>
        <v>100</v>
      </c>
      <c r="O85" s="383"/>
      <c r="P85" s="384">
        <v>35</v>
      </c>
      <c r="Q85" s="384">
        <v>28.3</v>
      </c>
      <c r="R85" s="385">
        <f t="shared" si="6"/>
        <v>63.3</v>
      </c>
      <c r="S85" s="334">
        <v>2</v>
      </c>
      <c r="T85" s="357"/>
      <c r="V85" s="343" t="s">
        <v>502</v>
      </c>
      <c r="W85" s="334" t="s">
        <v>17</v>
      </c>
      <c r="X85" s="334" t="s">
        <v>333</v>
      </c>
      <c r="Y85" s="344">
        <v>35</v>
      </c>
      <c r="Z85" s="334" t="s">
        <v>503</v>
      </c>
      <c r="AA85" s="334" t="s">
        <v>20</v>
      </c>
      <c r="AB85" s="334" t="s">
        <v>12</v>
      </c>
      <c r="AC85" s="334">
        <v>28.3</v>
      </c>
      <c r="AD85" s="343"/>
      <c r="AG85" s="344"/>
      <c r="AL85" s="343"/>
      <c r="AO85" s="344"/>
      <c r="AP85" s="343"/>
      <c r="AS85" s="344"/>
      <c r="AW85" s="344"/>
      <c r="BA85" s="345"/>
    </row>
    <row r="86" spans="1:53" s="334" customFormat="1">
      <c r="A86" s="334">
        <v>1999</v>
      </c>
      <c r="C86" s="992" t="s">
        <v>690</v>
      </c>
      <c r="D86" s="992"/>
      <c r="E86" s="334">
        <v>249</v>
      </c>
      <c r="G86" s="419"/>
      <c r="H86" s="334">
        <v>6</v>
      </c>
      <c r="I86" s="334">
        <v>6</v>
      </c>
      <c r="J86" s="435">
        <v>12</v>
      </c>
      <c r="K86" s="384">
        <f t="shared" si="4"/>
        <v>0</v>
      </c>
      <c r="L86" s="384">
        <f t="shared" si="4"/>
        <v>50</v>
      </c>
      <c r="M86" s="384">
        <f t="shared" si="4"/>
        <v>50</v>
      </c>
      <c r="N86" s="421">
        <f t="shared" si="5"/>
        <v>100</v>
      </c>
      <c r="O86" s="383"/>
      <c r="P86" s="384">
        <v>35</v>
      </c>
      <c r="Q86" s="384">
        <v>28.3</v>
      </c>
      <c r="R86" s="385">
        <f t="shared" si="6"/>
        <v>63.3</v>
      </c>
      <c r="S86" s="334">
        <v>2</v>
      </c>
      <c r="T86" s="357"/>
      <c r="V86" s="343" t="s">
        <v>502</v>
      </c>
      <c r="W86" s="334" t="s">
        <v>17</v>
      </c>
      <c r="X86" s="334" t="s">
        <v>333</v>
      </c>
      <c r="Y86" s="344">
        <v>35</v>
      </c>
      <c r="Z86" s="334" t="s">
        <v>503</v>
      </c>
      <c r="AA86" s="334" t="s">
        <v>20</v>
      </c>
      <c r="AB86" s="334" t="s">
        <v>12</v>
      </c>
      <c r="AC86" s="334">
        <v>28.3</v>
      </c>
      <c r="AD86" s="343"/>
      <c r="AG86" s="344"/>
      <c r="AL86" s="343"/>
      <c r="AO86" s="344"/>
      <c r="AP86" s="343"/>
      <c r="AS86" s="344"/>
      <c r="AW86" s="344"/>
      <c r="BA86" s="345"/>
    </row>
    <row r="87" spans="1:53" s="208" customFormat="1">
      <c r="A87" s="208">
        <v>1999</v>
      </c>
      <c r="B87" s="207">
        <v>36410</v>
      </c>
      <c r="C87" s="988" t="s">
        <v>691</v>
      </c>
      <c r="D87" s="988"/>
      <c r="E87" s="208">
        <f>365-E86</f>
        <v>116</v>
      </c>
      <c r="F87" s="208">
        <v>1</v>
      </c>
      <c r="G87" s="123">
        <v>7</v>
      </c>
      <c r="H87" s="208">
        <v>7</v>
      </c>
      <c r="J87" s="134">
        <v>14</v>
      </c>
      <c r="K87" s="92">
        <f t="shared" si="4"/>
        <v>50</v>
      </c>
      <c r="L87" s="92">
        <f t="shared" si="4"/>
        <v>50</v>
      </c>
      <c r="M87" s="92">
        <f t="shared" si="4"/>
        <v>0</v>
      </c>
      <c r="N87" s="125">
        <f t="shared" si="5"/>
        <v>100</v>
      </c>
      <c r="O87" s="91">
        <v>25</v>
      </c>
      <c r="P87" s="92">
        <v>31.7</v>
      </c>
      <c r="Q87" s="92"/>
      <c r="R87" s="93">
        <f t="shared" si="6"/>
        <v>56.7</v>
      </c>
      <c r="S87" s="208">
        <v>2</v>
      </c>
      <c r="T87" s="95">
        <v>36324</v>
      </c>
      <c r="U87" s="207">
        <v>36410</v>
      </c>
      <c r="V87" s="82" t="s">
        <v>502</v>
      </c>
      <c r="W87" s="208" t="s">
        <v>17</v>
      </c>
      <c r="X87" s="208" t="s">
        <v>333</v>
      </c>
      <c r="Y87" s="83">
        <v>31.7</v>
      </c>
      <c r="Z87" s="208" t="s">
        <v>131</v>
      </c>
      <c r="AA87" s="208" t="s">
        <v>22</v>
      </c>
      <c r="AB87" s="208" t="s">
        <v>11</v>
      </c>
      <c r="AC87" s="208">
        <v>25</v>
      </c>
      <c r="AD87" s="82"/>
      <c r="AG87" s="83"/>
      <c r="AL87" s="82"/>
      <c r="AO87" s="83"/>
      <c r="AP87" s="82"/>
      <c r="AS87" s="83"/>
      <c r="AW87" s="83"/>
      <c r="BA87" s="84"/>
    </row>
    <row r="88" spans="1:53" s="208" customFormat="1">
      <c r="A88" s="208">
        <v>2000</v>
      </c>
      <c r="C88" s="988" t="s">
        <v>691</v>
      </c>
      <c r="D88" s="988"/>
      <c r="E88" s="208">
        <v>0</v>
      </c>
      <c r="G88" s="123">
        <v>7</v>
      </c>
      <c r="H88" s="208">
        <v>7</v>
      </c>
      <c r="J88" s="134">
        <v>14</v>
      </c>
      <c r="K88" s="92">
        <f t="shared" si="4"/>
        <v>50</v>
      </c>
      <c r="L88" s="92">
        <f t="shared" si="4"/>
        <v>50</v>
      </c>
      <c r="M88" s="92">
        <f t="shared" si="4"/>
        <v>0</v>
      </c>
      <c r="N88" s="125">
        <f t="shared" si="5"/>
        <v>100</v>
      </c>
      <c r="O88" s="91">
        <v>25</v>
      </c>
      <c r="P88" s="92">
        <v>31.7</v>
      </c>
      <c r="Q88" s="92"/>
      <c r="R88" s="93">
        <f t="shared" si="6"/>
        <v>56.7</v>
      </c>
      <c r="S88" s="208">
        <v>2</v>
      </c>
      <c r="T88" s="81"/>
      <c r="V88" s="82" t="s">
        <v>502</v>
      </c>
      <c r="W88" s="208" t="s">
        <v>17</v>
      </c>
      <c r="X88" s="208" t="s">
        <v>333</v>
      </c>
      <c r="Y88" s="83">
        <v>31.7</v>
      </c>
      <c r="Z88" s="208" t="s">
        <v>131</v>
      </c>
      <c r="AA88" s="208" t="s">
        <v>22</v>
      </c>
      <c r="AB88" s="208" t="s">
        <v>11</v>
      </c>
      <c r="AC88" s="208">
        <v>25</v>
      </c>
      <c r="AD88" s="82"/>
      <c r="AG88" s="83"/>
      <c r="AL88" s="82"/>
      <c r="AO88" s="83"/>
      <c r="AP88" s="82"/>
      <c r="AS88" s="83"/>
      <c r="AW88" s="83"/>
      <c r="BA88" s="84"/>
    </row>
    <row r="89" spans="1:53" s="208" customFormat="1">
      <c r="A89" s="208">
        <v>2000</v>
      </c>
      <c r="C89" s="988" t="s">
        <v>691</v>
      </c>
      <c r="D89" s="988"/>
      <c r="E89" s="208">
        <v>366</v>
      </c>
      <c r="G89" s="123">
        <v>7</v>
      </c>
      <c r="H89" s="208">
        <v>7</v>
      </c>
      <c r="J89" s="134">
        <v>14</v>
      </c>
      <c r="K89" s="92">
        <f t="shared" si="4"/>
        <v>50</v>
      </c>
      <c r="L89" s="92">
        <f t="shared" si="4"/>
        <v>50</v>
      </c>
      <c r="M89" s="92">
        <f t="shared" si="4"/>
        <v>0</v>
      </c>
      <c r="N89" s="125">
        <f t="shared" si="5"/>
        <v>100</v>
      </c>
      <c r="O89" s="91">
        <v>25</v>
      </c>
      <c r="P89" s="92">
        <v>31.7</v>
      </c>
      <c r="Q89" s="92"/>
      <c r="R89" s="93">
        <f t="shared" si="6"/>
        <v>56.7</v>
      </c>
      <c r="S89" s="208">
        <v>2</v>
      </c>
      <c r="T89" s="81"/>
      <c r="V89" s="82" t="s">
        <v>502</v>
      </c>
      <c r="W89" s="208" t="s">
        <v>17</v>
      </c>
      <c r="X89" s="208" t="s">
        <v>333</v>
      </c>
      <c r="Y89" s="83">
        <v>31.7</v>
      </c>
      <c r="Z89" s="208" t="s">
        <v>131</v>
      </c>
      <c r="AA89" s="208" t="s">
        <v>22</v>
      </c>
      <c r="AB89" s="208" t="s">
        <v>11</v>
      </c>
      <c r="AC89" s="208">
        <v>25</v>
      </c>
      <c r="AD89" s="82"/>
      <c r="AG89" s="83"/>
      <c r="AL89" s="82"/>
      <c r="AO89" s="83"/>
      <c r="AP89" s="82"/>
      <c r="AS89" s="83"/>
      <c r="AW89" s="83"/>
      <c r="BA89" s="84"/>
    </row>
    <row r="90" spans="1:53" s="208" customFormat="1">
      <c r="A90" s="208">
        <v>2001</v>
      </c>
      <c r="C90" s="988" t="s">
        <v>691</v>
      </c>
      <c r="D90" s="988"/>
      <c r="E90" s="208">
        <v>0</v>
      </c>
      <c r="G90" s="123">
        <v>7</v>
      </c>
      <c r="H90" s="208">
        <v>7</v>
      </c>
      <c r="J90" s="134">
        <v>14</v>
      </c>
      <c r="K90" s="92">
        <f t="shared" si="4"/>
        <v>50</v>
      </c>
      <c r="L90" s="92">
        <f t="shared" si="4"/>
        <v>50</v>
      </c>
      <c r="M90" s="92">
        <f t="shared" si="4"/>
        <v>0</v>
      </c>
      <c r="N90" s="125">
        <f t="shared" si="5"/>
        <v>100</v>
      </c>
      <c r="O90" s="91">
        <v>25</v>
      </c>
      <c r="P90" s="92">
        <v>31.7</v>
      </c>
      <c r="Q90" s="92"/>
      <c r="R90" s="93">
        <f t="shared" si="6"/>
        <v>56.7</v>
      </c>
      <c r="S90" s="208">
        <v>2</v>
      </c>
      <c r="T90" s="81"/>
      <c r="V90" s="82" t="s">
        <v>502</v>
      </c>
      <c r="W90" s="208" t="s">
        <v>17</v>
      </c>
      <c r="X90" s="208" t="s">
        <v>333</v>
      </c>
      <c r="Y90" s="83">
        <v>31.7</v>
      </c>
      <c r="Z90" s="208" t="s">
        <v>131</v>
      </c>
      <c r="AA90" s="208" t="s">
        <v>22</v>
      </c>
      <c r="AB90" s="208" t="s">
        <v>11</v>
      </c>
      <c r="AC90" s="208">
        <v>25</v>
      </c>
      <c r="AD90" s="82"/>
      <c r="AG90" s="83"/>
      <c r="AL90" s="82"/>
      <c r="AO90" s="83"/>
      <c r="AP90" s="82"/>
      <c r="AS90" s="83"/>
      <c r="AW90" s="83"/>
      <c r="BA90" s="84"/>
    </row>
    <row r="91" spans="1:53" s="208" customFormat="1">
      <c r="A91" s="208">
        <v>2001</v>
      </c>
      <c r="C91" s="988" t="s">
        <v>691</v>
      </c>
      <c r="D91" s="988"/>
      <c r="E91" s="208">
        <f>365-E90</f>
        <v>365</v>
      </c>
      <c r="G91" s="123">
        <v>7</v>
      </c>
      <c r="H91" s="208">
        <v>7</v>
      </c>
      <c r="J91" s="134">
        <v>14</v>
      </c>
      <c r="K91" s="92">
        <f t="shared" si="4"/>
        <v>50</v>
      </c>
      <c r="L91" s="92">
        <f t="shared" si="4"/>
        <v>50</v>
      </c>
      <c r="M91" s="92">
        <f t="shared" si="4"/>
        <v>0</v>
      </c>
      <c r="N91" s="125">
        <f t="shared" si="5"/>
        <v>100</v>
      </c>
      <c r="O91" s="91">
        <v>25</v>
      </c>
      <c r="P91" s="92">
        <v>31.7</v>
      </c>
      <c r="Q91" s="92"/>
      <c r="R91" s="93">
        <f t="shared" si="6"/>
        <v>56.7</v>
      </c>
      <c r="S91" s="208">
        <v>2</v>
      </c>
      <c r="T91" s="81"/>
      <c r="V91" s="82" t="s">
        <v>502</v>
      </c>
      <c r="W91" s="208" t="s">
        <v>17</v>
      </c>
      <c r="X91" s="208" t="s">
        <v>333</v>
      </c>
      <c r="Y91" s="83">
        <v>31.7</v>
      </c>
      <c r="Z91" s="208" t="s">
        <v>131</v>
      </c>
      <c r="AA91" s="208" t="s">
        <v>22</v>
      </c>
      <c r="AB91" s="208" t="s">
        <v>11</v>
      </c>
      <c r="AC91" s="208">
        <v>25</v>
      </c>
      <c r="AD91" s="82"/>
      <c r="AG91" s="83"/>
      <c r="AL91" s="82"/>
      <c r="AO91" s="83"/>
      <c r="AP91" s="82"/>
      <c r="AS91" s="83"/>
      <c r="AW91" s="83"/>
      <c r="BA91" s="84"/>
    </row>
    <row r="92" spans="1:53" s="208" customFormat="1">
      <c r="A92" s="208">
        <v>2002</v>
      </c>
      <c r="C92" s="988" t="s">
        <v>691</v>
      </c>
      <c r="D92" s="988"/>
      <c r="E92" s="208">
        <v>0</v>
      </c>
      <c r="G92" s="123">
        <v>7</v>
      </c>
      <c r="H92" s="208">
        <v>7</v>
      </c>
      <c r="J92" s="134">
        <v>14</v>
      </c>
      <c r="K92" s="92">
        <f t="shared" si="4"/>
        <v>50</v>
      </c>
      <c r="L92" s="92">
        <f t="shared" si="4"/>
        <v>50</v>
      </c>
      <c r="M92" s="92">
        <f t="shared" si="4"/>
        <v>0</v>
      </c>
      <c r="N92" s="125">
        <f t="shared" si="5"/>
        <v>100</v>
      </c>
      <c r="O92" s="91">
        <v>25</v>
      </c>
      <c r="P92" s="92">
        <v>31.7</v>
      </c>
      <c r="Q92" s="92"/>
      <c r="R92" s="93">
        <f t="shared" si="6"/>
        <v>56.7</v>
      </c>
      <c r="S92" s="208">
        <v>2</v>
      </c>
      <c r="T92" s="81"/>
      <c r="V92" s="82" t="s">
        <v>502</v>
      </c>
      <c r="W92" s="208" t="s">
        <v>17</v>
      </c>
      <c r="X92" s="208" t="s">
        <v>333</v>
      </c>
      <c r="Y92" s="83">
        <v>31.7</v>
      </c>
      <c r="Z92" s="208" t="s">
        <v>131</v>
      </c>
      <c r="AA92" s="208" t="s">
        <v>22</v>
      </c>
      <c r="AB92" s="208" t="s">
        <v>11</v>
      </c>
      <c r="AC92" s="208">
        <v>25</v>
      </c>
      <c r="AD92" s="82"/>
      <c r="AG92" s="83"/>
      <c r="AL92" s="82"/>
      <c r="AO92" s="83"/>
      <c r="AP92" s="82"/>
      <c r="AS92" s="83"/>
      <c r="AW92" s="83"/>
      <c r="BA92" s="84"/>
    </row>
    <row r="93" spans="1:53" s="208" customFormat="1">
      <c r="A93" s="208">
        <v>2002</v>
      </c>
      <c r="C93" s="988" t="s">
        <v>691</v>
      </c>
      <c r="D93" s="988"/>
      <c r="E93" s="208">
        <f>365-E92</f>
        <v>365</v>
      </c>
      <c r="G93" s="123">
        <v>7</v>
      </c>
      <c r="H93" s="208">
        <v>7</v>
      </c>
      <c r="J93" s="134">
        <v>14</v>
      </c>
      <c r="K93" s="92">
        <f t="shared" si="4"/>
        <v>50</v>
      </c>
      <c r="L93" s="92">
        <f t="shared" si="4"/>
        <v>50</v>
      </c>
      <c r="M93" s="92">
        <f t="shared" si="4"/>
        <v>0</v>
      </c>
      <c r="N93" s="125">
        <f t="shared" si="5"/>
        <v>100</v>
      </c>
      <c r="O93" s="91">
        <v>25</v>
      </c>
      <c r="P93" s="92">
        <v>31.7</v>
      </c>
      <c r="Q93" s="92"/>
      <c r="R93" s="93">
        <f t="shared" si="6"/>
        <v>56.7</v>
      </c>
      <c r="S93" s="208">
        <v>2</v>
      </c>
      <c r="T93" s="81"/>
      <c r="V93" s="82" t="s">
        <v>502</v>
      </c>
      <c r="W93" s="208" t="s">
        <v>17</v>
      </c>
      <c r="X93" s="208" t="s">
        <v>333</v>
      </c>
      <c r="Y93" s="83">
        <v>31.7</v>
      </c>
      <c r="Z93" s="208" t="s">
        <v>131</v>
      </c>
      <c r="AA93" s="208" t="s">
        <v>22</v>
      </c>
      <c r="AB93" s="208" t="s">
        <v>11</v>
      </c>
      <c r="AC93" s="208">
        <v>25</v>
      </c>
      <c r="AD93" s="82"/>
      <c r="AG93" s="83"/>
      <c r="AL93" s="82"/>
      <c r="AO93" s="83"/>
      <c r="AP93" s="82"/>
      <c r="AS93" s="83"/>
      <c r="AW93" s="83"/>
      <c r="BA93" s="84"/>
    </row>
    <row r="94" spans="1:53" s="208" customFormat="1">
      <c r="A94" s="208">
        <v>2003</v>
      </c>
      <c r="C94" s="988" t="s">
        <v>691</v>
      </c>
      <c r="D94" s="988"/>
      <c r="E94" s="208">
        <v>0</v>
      </c>
      <c r="G94" s="123">
        <v>7</v>
      </c>
      <c r="H94" s="208">
        <v>7</v>
      </c>
      <c r="J94" s="134">
        <v>14</v>
      </c>
      <c r="K94" s="92">
        <f t="shared" si="4"/>
        <v>50</v>
      </c>
      <c r="L94" s="92">
        <f t="shared" si="4"/>
        <v>50</v>
      </c>
      <c r="M94" s="92">
        <f t="shared" si="4"/>
        <v>0</v>
      </c>
      <c r="N94" s="125">
        <f t="shared" si="5"/>
        <v>100</v>
      </c>
      <c r="O94" s="91">
        <v>25</v>
      </c>
      <c r="P94" s="92">
        <v>31.7</v>
      </c>
      <c r="Q94" s="92"/>
      <c r="R94" s="93">
        <f t="shared" si="6"/>
        <v>56.7</v>
      </c>
      <c r="S94" s="208">
        <v>2</v>
      </c>
      <c r="T94" s="81"/>
      <c r="V94" s="82" t="s">
        <v>502</v>
      </c>
      <c r="W94" s="208" t="s">
        <v>17</v>
      </c>
      <c r="X94" s="208" t="s">
        <v>333</v>
      </c>
      <c r="Y94" s="83">
        <v>31.7</v>
      </c>
      <c r="Z94" s="208" t="s">
        <v>131</v>
      </c>
      <c r="AA94" s="208" t="s">
        <v>22</v>
      </c>
      <c r="AB94" s="208" t="s">
        <v>11</v>
      </c>
      <c r="AC94" s="208">
        <v>25</v>
      </c>
      <c r="AD94" s="82"/>
      <c r="AG94" s="83"/>
      <c r="AL94" s="82"/>
      <c r="AO94" s="83"/>
      <c r="AP94" s="82"/>
      <c r="AS94" s="83"/>
      <c r="AW94" s="83"/>
      <c r="BA94" s="84"/>
    </row>
    <row r="95" spans="1:53" s="208" customFormat="1">
      <c r="A95" s="208">
        <v>2003</v>
      </c>
      <c r="C95" s="988" t="s">
        <v>691</v>
      </c>
      <c r="D95" s="988"/>
      <c r="E95" s="208">
        <f>365-E94</f>
        <v>365</v>
      </c>
      <c r="G95" s="123">
        <v>7</v>
      </c>
      <c r="H95" s="208">
        <v>7</v>
      </c>
      <c r="J95" s="134">
        <v>14</v>
      </c>
      <c r="K95" s="92">
        <f t="shared" si="4"/>
        <v>50</v>
      </c>
      <c r="L95" s="92">
        <f t="shared" si="4"/>
        <v>50</v>
      </c>
      <c r="M95" s="92">
        <f t="shared" si="4"/>
        <v>0</v>
      </c>
      <c r="N95" s="125">
        <f t="shared" si="5"/>
        <v>100</v>
      </c>
      <c r="O95" s="91">
        <v>25</v>
      </c>
      <c r="P95" s="92">
        <v>31.7</v>
      </c>
      <c r="Q95" s="92"/>
      <c r="R95" s="93">
        <f t="shared" si="6"/>
        <v>56.7</v>
      </c>
      <c r="S95" s="208">
        <v>2</v>
      </c>
      <c r="T95" s="81"/>
      <c r="V95" s="82" t="s">
        <v>502</v>
      </c>
      <c r="W95" s="208" t="s">
        <v>17</v>
      </c>
      <c r="X95" s="208" t="s">
        <v>333</v>
      </c>
      <c r="Y95" s="83">
        <v>31.7</v>
      </c>
      <c r="Z95" s="208" t="s">
        <v>131</v>
      </c>
      <c r="AA95" s="208" t="s">
        <v>22</v>
      </c>
      <c r="AB95" s="208" t="s">
        <v>11</v>
      </c>
      <c r="AC95" s="208">
        <v>25</v>
      </c>
      <c r="AD95" s="82"/>
      <c r="AG95" s="83"/>
      <c r="AL95" s="82"/>
      <c r="AO95" s="83"/>
      <c r="AP95" s="82"/>
      <c r="AS95" s="83"/>
      <c r="AW95" s="83"/>
      <c r="BA95" s="84"/>
    </row>
    <row r="96" spans="1:53" s="208" customFormat="1">
      <c r="A96" s="208">
        <v>2004</v>
      </c>
      <c r="C96" s="988" t="s">
        <v>691</v>
      </c>
      <c r="D96" s="988"/>
      <c r="E96" s="208">
        <v>212</v>
      </c>
      <c r="G96" s="123">
        <v>7</v>
      </c>
      <c r="H96" s="208">
        <v>7</v>
      </c>
      <c r="J96" s="134">
        <v>14</v>
      </c>
      <c r="K96" s="92">
        <f t="shared" si="4"/>
        <v>50</v>
      </c>
      <c r="L96" s="92">
        <f t="shared" si="4"/>
        <v>50</v>
      </c>
      <c r="M96" s="92">
        <f t="shared" si="4"/>
        <v>0</v>
      </c>
      <c r="N96" s="125">
        <f t="shared" si="5"/>
        <v>100</v>
      </c>
      <c r="O96" s="91">
        <v>25</v>
      </c>
      <c r="P96" s="92">
        <v>31.7</v>
      </c>
      <c r="Q96" s="92"/>
      <c r="R96" s="93">
        <f t="shared" si="6"/>
        <v>56.7</v>
      </c>
      <c r="S96" s="208">
        <v>2</v>
      </c>
      <c r="T96" s="81"/>
      <c r="V96" s="82" t="s">
        <v>502</v>
      </c>
      <c r="W96" s="208" t="s">
        <v>17</v>
      </c>
      <c r="X96" s="208" t="s">
        <v>333</v>
      </c>
      <c r="Y96" s="83">
        <v>31.7</v>
      </c>
      <c r="Z96" s="208" t="s">
        <v>131</v>
      </c>
      <c r="AA96" s="208" t="s">
        <v>22</v>
      </c>
      <c r="AB96" s="208" t="s">
        <v>11</v>
      </c>
      <c r="AC96" s="208">
        <v>25</v>
      </c>
      <c r="AD96" s="82"/>
      <c r="AG96" s="83"/>
      <c r="AL96" s="82"/>
      <c r="AO96" s="83"/>
      <c r="AP96" s="82"/>
      <c r="AS96" s="83"/>
      <c r="AW96" s="83"/>
      <c r="BA96" s="84"/>
    </row>
    <row r="97" spans="1:53" s="334" customFormat="1">
      <c r="A97" s="334">
        <v>2004</v>
      </c>
      <c r="B97" s="355">
        <v>38199</v>
      </c>
      <c r="C97" s="992" t="s">
        <v>692</v>
      </c>
      <c r="D97" s="992"/>
      <c r="E97" s="334">
        <f>366-E96</f>
        <v>154</v>
      </c>
      <c r="F97" s="334">
        <v>1</v>
      </c>
      <c r="G97" s="419"/>
      <c r="H97" s="334">
        <v>9</v>
      </c>
      <c r="I97" s="334">
        <v>6</v>
      </c>
      <c r="J97" s="435">
        <v>15</v>
      </c>
      <c r="K97" s="384">
        <f t="shared" si="4"/>
        <v>0</v>
      </c>
      <c r="L97" s="384">
        <f t="shared" si="4"/>
        <v>60</v>
      </c>
      <c r="M97" s="384">
        <f t="shared" si="4"/>
        <v>40</v>
      </c>
      <c r="N97" s="421">
        <f t="shared" si="5"/>
        <v>100</v>
      </c>
      <c r="O97" s="383"/>
      <c r="P97" s="384">
        <v>40</v>
      </c>
      <c r="Q97" s="384">
        <v>23.3</v>
      </c>
      <c r="R97" s="385">
        <f t="shared" si="6"/>
        <v>63.3</v>
      </c>
      <c r="S97" s="334">
        <v>2</v>
      </c>
      <c r="T97" s="342">
        <v>38151</v>
      </c>
      <c r="U97" s="355">
        <v>38199</v>
      </c>
      <c r="V97" s="343" t="s">
        <v>502</v>
      </c>
      <c r="W97" s="334" t="s">
        <v>17</v>
      </c>
      <c r="X97" s="334" t="s">
        <v>333</v>
      </c>
      <c r="Y97" s="344">
        <v>40</v>
      </c>
      <c r="Z97" s="334" t="s">
        <v>503</v>
      </c>
      <c r="AA97" s="334" t="s">
        <v>20</v>
      </c>
      <c r="AB97" s="334" t="s">
        <v>12</v>
      </c>
      <c r="AC97" s="334">
        <v>23.3</v>
      </c>
      <c r="AD97" s="343"/>
      <c r="AG97" s="344"/>
      <c r="AL97" s="343"/>
      <c r="AO97" s="344"/>
      <c r="AP97" s="343"/>
      <c r="AS97" s="344"/>
      <c r="AW97" s="344"/>
      <c r="BA97" s="345"/>
    </row>
    <row r="98" spans="1:53" s="334" customFormat="1">
      <c r="A98" s="334">
        <v>2005</v>
      </c>
      <c r="C98" s="992" t="s">
        <v>692</v>
      </c>
      <c r="D98" s="992"/>
      <c r="E98" s="334">
        <v>0</v>
      </c>
      <c r="G98" s="419"/>
      <c r="H98" s="334">
        <v>9</v>
      </c>
      <c r="I98" s="334">
        <v>6</v>
      </c>
      <c r="J98" s="435">
        <v>15</v>
      </c>
      <c r="K98" s="384">
        <f t="shared" si="4"/>
        <v>0</v>
      </c>
      <c r="L98" s="384">
        <f t="shared" si="4"/>
        <v>60</v>
      </c>
      <c r="M98" s="384">
        <f t="shared" si="4"/>
        <v>40</v>
      </c>
      <c r="N98" s="421">
        <f t="shared" si="5"/>
        <v>100</v>
      </c>
      <c r="O98" s="383"/>
      <c r="P98" s="384">
        <v>40</v>
      </c>
      <c r="Q98" s="384">
        <v>23.3</v>
      </c>
      <c r="R98" s="385">
        <f t="shared" si="6"/>
        <v>63.3</v>
      </c>
      <c r="S98" s="334">
        <v>2</v>
      </c>
      <c r="T98" s="357"/>
      <c r="V98" s="343" t="s">
        <v>502</v>
      </c>
      <c r="W98" s="334" t="s">
        <v>17</v>
      </c>
      <c r="X98" s="334" t="s">
        <v>333</v>
      </c>
      <c r="Y98" s="344">
        <v>40</v>
      </c>
      <c r="Z98" s="334" t="s">
        <v>503</v>
      </c>
      <c r="AA98" s="334" t="s">
        <v>20</v>
      </c>
      <c r="AB98" s="334" t="s">
        <v>12</v>
      </c>
      <c r="AC98" s="334">
        <v>23.3</v>
      </c>
      <c r="AD98" s="343"/>
      <c r="AG98" s="344"/>
      <c r="AL98" s="343"/>
      <c r="AO98" s="344"/>
      <c r="AP98" s="343"/>
      <c r="AS98" s="344"/>
      <c r="AW98" s="344"/>
      <c r="BA98" s="345"/>
    </row>
    <row r="99" spans="1:53" s="334" customFormat="1">
      <c r="A99" s="334">
        <v>2005</v>
      </c>
      <c r="C99" s="992" t="s">
        <v>692</v>
      </c>
      <c r="D99" s="992"/>
      <c r="E99" s="334">
        <f>365-E98</f>
        <v>365</v>
      </c>
      <c r="G99" s="419"/>
      <c r="H99" s="334">
        <v>9</v>
      </c>
      <c r="I99" s="334">
        <v>6</v>
      </c>
      <c r="J99" s="435">
        <v>15</v>
      </c>
      <c r="K99" s="384">
        <f t="shared" si="4"/>
        <v>0</v>
      </c>
      <c r="L99" s="384">
        <f t="shared" si="4"/>
        <v>60</v>
      </c>
      <c r="M99" s="384">
        <f t="shared" si="4"/>
        <v>40</v>
      </c>
      <c r="N99" s="421">
        <f t="shared" si="5"/>
        <v>100</v>
      </c>
      <c r="O99" s="383"/>
      <c r="P99" s="384">
        <v>40</v>
      </c>
      <c r="Q99" s="384">
        <v>23.3</v>
      </c>
      <c r="R99" s="385">
        <f t="shared" si="6"/>
        <v>63.3</v>
      </c>
      <c r="S99" s="334">
        <v>2</v>
      </c>
      <c r="T99" s="357"/>
      <c r="V99" s="343" t="s">
        <v>502</v>
      </c>
      <c r="W99" s="334" t="s">
        <v>17</v>
      </c>
      <c r="X99" s="334" t="s">
        <v>333</v>
      </c>
      <c r="Y99" s="344">
        <v>40</v>
      </c>
      <c r="Z99" s="334" t="s">
        <v>503</v>
      </c>
      <c r="AA99" s="334" t="s">
        <v>20</v>
      </c>
      <c r="AB99" s="334" t="s">
        <v>12</v>
      </c>
      <c r="AC99" s="334">
        <v>23.3</v>
      </c>
      <c r="AD99" s="343"/>
      <c r="AG99" s="344"/>
      <c r="AL99" s="343"/>
      <c r="AO99" s="344"/>
      <c r="AP99" s="343"/>
      <c r="AS99" s="344"/>
      <c r="AW99" s="344"/>
      <c r="BA99" s="345"/>
    </row>
    <row r="100" spans="1:53" s="334" customFormat="1">
      <c r="A100" s="334">
        <v>2006</v>
      </c>
      <c r="C100" s="992" t="s">
        <v>692</v>
      </c>
      <c r="D100" s="992"/>
      <c r="E100" s="334">
        <v>0</v>
      </c>
      <c r="G100" s="419"/>
      <c r="H100" s="334">
        <v>9</v>
      </c>
      <c r="I100" s="334">
        <v>6</v>
      </c>
      <c r="J100" s="435">
        <v>15</v>
      </c>
      <c r="K100" s="384">
        <f t="shared" si="4"/>
        <v>0</v>
      </c>
      <c r="L100" s="384">
        <f t="shared" si="4"/>
        <v>60</v>
      </c>
      <c r="M100" s="384">
        <f t="shared" si="4"/>
        <v>40</v>
      </c>
      <c r="N100" s="421">
        <f t="shared" si="5"/>
        <v>100</v>
      </c>
      <c r="O100" s="383"/>
      <c r="P100" s="384">
        <v>40</v>
      </c>
      <c r="Q100" s="384">
        <v>23.3</v>
      </c>
      <c r="R100" s="385">
        <f t="shared" si="6"/>
        <v>63.3</v>
      </c>
      <c r="S100" s="334">
        <v>2</v>
      </c>
      <c r="T100" s="357"/>
      <c r="V100" s="343" t="s">
        <v>502</v>
      </c>
      <c r="W100" s="334" t="s">
        <v>17</v>
      </c>
      <c r="X100" s="334" t="s">
        <v>333</v>
      </c>
      <c r="Y100" s="344">
        <v>40</v>
      </c>
      <c r="Z100" s="334" t="s">
        <v>503</v>
      </c>
      <c r="AA100" s="334" t="s">
        <v>20</v>
      </c>
      <c r="AB100" s="334" t="s">
        <v>12</v>
      </c>
      <c r="AC100" s="334">
        <v>23.3</v>
      </c>
      <c r="AD100" s="343"/>
      <c r="AG100" s="344"/>
      <c r="AL100" s="343"/>
      <c r="AO100" s="344"/>
      <c r="AP100" s="343"/>
      <c r="AS100" s="344"/>
      <c r="AW100" s="344"/>
      <c r="BA100" s="345"/>
    </row>
    <row r="101" spans="1:53" s="334" customFormat="1">
      <c r="A101" s="334">
        <v>2006</v>
      </c>
      <c r="C101" s="992" t="s">
        <v>692</v>
      </c>
      <c r="D101" s="992"/>
      <c r="E101" s="334">
        <f>365-E100</f>
        <v>365</v>
      </c>
      <c r="G101" s="419"/>
      <c r="H101" s="334">
        <v>9</v>
      </c>
      <c r="I101" s="334">
        <v>6</v>
      </c>
      <c r="J101" s="435">
        <v>15</v>
      </c>
      <c r="K101" s="384">
        <f t="shared" si="4"/>
        <v>0</v>
      </c>
      <c r="L101" s="384">
        <f t="shared" si="4"/>
        <v>60</v>
      </c>
      <c r="M101" s="384">
        <f t="shared" si="4"/>
        <v>40</v>
      </c>
      <c r="N101" s="421">
        <f t="shared" si="5"/>
        <v>100</v>
      </c>
      <c r="O101" s="383"/>
      <c r="P101" s="384">
        <v>40</v>
      </c>
      <c r="Q101" s="384">
        <v>23.3</v>
      </c>
      <c r="R101" s="385">
        <f t="shared" si="6"/>
        <v>63.3</v>
      </c>
      <c r="S101" s="334">
        <v>2</v>
      </c>
      <c r="T101" s="357"/>
      <c r="V101" s="343" t="s">
        <v>502</v>
      </c>
      <c r="W101" s="334" t="s">
        <v>17</v>
      </c>
      <c r="X101" s="334" t="s">
        <v>333</v>
      </c>
      <c r="Y101" s="344">
        <v>40</v>
      </c>
      <c r="Z101" s="334" t="s">
        <v>503</v>
      </c>
      <c r="AA101" s="334" t="s">
        <v>20</v>
      </c>
      <c r="AB101" s="334" t="s">
        <v>12</v>
      </c>
      <c r="AC101" s="334">
        <v>23.3</v>
      </c>
      <c r="AD101" s="343"/>
      <c r="AG101" s="344"/>
      <c r="AL101" s="343"/>
      <c r="AO101" s="344"/>
      <c r="AP101" s="343"/>
      <c r="AS101" s="344"/>
      <c r="AW101" s="344"/>
      <c r="BA101" s="345"/>
    </row>
    <row r="102" spans="1:53" s="334" customFormat="1">
      <c r="A102" s="334">
        <v>2007</v>
      </c>
      <c r="C102" s="992" t="s">
        <v>692</v>
      </c>
      <c r="D102" s="992"/>
      <c r="E102" s="334">
        <v>0</v>
      </c>
      <c r="G102" s="419"/>
      <c r="H102" s="334">
        <v>9</v>
      </c>
      <c r="I102" s="334">
        <v>6</v>
      </c>
      <c r="J102" s="435">
        <v>15</v>
      </c>
      <c r="K102" s="384">
        <f t="shared" si="4"/>
        <v>0</v>
      </c>
      <c r="L102" s="384">
        <f t="shared" si="4"/>
        <v>60</v>
      </c>
      <c r="M102" s="384">
        <f t="shared" si="4"/>
        <v>40</v>
      </c>
      <c r="N102" s="421">
        <f t="shared" si="5"/>
        <v>100</v>
      </c>
      <c r="O102" s="383"/>
      <c r="P102" s="384">
        <v>40</v>
      </c>
      <c r="Q102" s="384">
        <v>23.3</v>
      </c>
      <c r="R102" s="385">
        <f t="shared" si="6"/>
        <v>63.3</v>
      </c>
      <c r="S102" s="334">
        <v>2</v>
      </c>
      <c r="T102" s="357"/>
      <c r="V102" s="343" t="s">
        <v>502</v>
      </c>
      <c r="W102" s="334" t="s">
        <v>17</v>
      </c>
      <c r="X102" s="334" t="s">
        <v>333</v>
      </c>
      <c r="Y102" s="344">
        <v>40</v>
      </c>
      <c r="Z102" s="334" t="s">
        <v>503</v>
      </c>
      <c r="AA102" s="334" t="s">
        <v>20</v>
      </c>
      <c r="AB102" s="334" t="s">
        <v>12</v>
      </c>
      <c r="AC102" s="334">
        <v>23.3</v>
      </c>
      <c r="AD102" s="343"/>
      <c r="AG102" s="344"/>
      <c r="AL102" s="343"/>
      <c r="AO102" s="344"/>
      <c r="AP102" s="343"/>
      <c r="AS102" s="344"/>
      <c r="AW102" s="344"/>
      <c r="BA102" s="345"/>
    </row>
    <row r="103" spans="1:53" s="334" customFormat="1">
      <c r="A103" s="334">
        <v>2007</v>
      </c>
      <c r="C103" s="992" t="s">
        <v>692</v>
      </c>
      <c r="D103" s="992"/>
      <c r="E103" s="334">
        <v>365</v>
      </c>
      <c r="G103" s="419"/>
      <c r="H103" s="334">
        <v>9</v>
      </c>
      <c r="I103" s="334">
        <v>6</v>
      </c>
      <c r="J103" s="435">
        <v>15</v>
      </c>
      <c r="K103" s="384">
        <f t="shared" si="4"/>
        <v>0</v>
      </c>
      <c r="L103" s="384">
        <f t="shared" si="4"/>
        <v>60</v>
      </c>
      <c r="M103" s="384">
        <f t="shared" si="4"/>
        <v>40</v>
      </c>
      <c r="N103" s="421">
        <f t="shared" si="5"/>
        <v>100</v>
      </c>
      <c r="O103" s="383"/>
      <c r="P103" s="384">
        <v>40</v>
      </c>
      <c r="Q103" s="384">
        <v>23.3</v>
      </c>
      <c r="R103" s="385">
        <f t="shared" si="6"/>
        <v>63.3</v>
      </c>
      <c r="S103" s="334">
        <v>2</v>
      </c>
      <c r="T103" s="357"/>
      <c r="V103" s="343" t="s">
        <v>502</v>
      </c>
      <c r="W103" s="334" t="s">
        <v>17</v>
      </c>
      <c r="X103" s="334" t="s">
        <v>333</v>
      </c>
      <c r="Y103" s="344">
        <v>40</v>
      </c>
      <c r="Z103" s="334" t="s">
        <v>503</v>
      </c>
      <c r="AA103" s="334" t="s">
        <v>20</v>
      </c>
      <c r="AB103" s="334" t="s">
        <v>12</v>
      </c>
      <c r="AC103" s="334">
        <v>23.3</v>
      </c>
      <c r="AD103" s="343"/>
      <c r="AG103" s="344"/>
      <c r="AL103" s="343"/>
      <c r="AO103" s="344"/>
      <c r="AP103" s="343"/>
      <c r="AS103" s="344"/>
      <c r="AW103" s="344"/>
      <c r="BA103" s="345"/>
    </row>
    <row r="104" spans="1:53" s="334" customFormat="1">
      <c r="A104" s="334">
        <v>2008</v>
      </c>
      <c r="C104" s="992" t="s">
        <v>692</v>
      </c>
      <c r="D104" s="992"/>
      <c r="E104" s="334">
        <v>0</v>
      </c>
      <c r="G104" s="419"/>
      <c r="H104" s="334">
        <v>9</v>
      </c>
      <c r="I104" s="334">
        <v>6</v>
      </c>
      <c r="J104" s="435">
        <v>15</v>
      </c>
      <c r="K104" s="384">
        <f t="shared" si="4"/>
        <v>0</v>
      </c>
      <c r="L104" s="384">
        <f t="shared" si="4"/>
        <v>60</v>
      </c>
      <c r="M104" s="384">
        <f t="shared" si="4"/>
        <v>40</v>
      </c>
      <c r="N104" s="421">
        <f t="shared" si="5"/>
        <v>100</v>
      </c>
      <c r="O104" s="383"/>
      <c r="P104" s="384">
        <v>40</v>
      </c>
      <c r="Q104" s="384">
        <v>23.3</v>
      </c>
      <c r="R104" s="385">
        <f t="shared" si="6"/>
        <v>63.3</v>
      </c>
      <c r="S104" s="334">
        <v>2</v>
      </c>
      <c r="T104" s="357"/>
      <c r="V104" s="343" t="s">
        <v>502</v>
      </c>
      <c r="W104" s="334" t="s">
        <v>17</v>
      </c>
      <c r="X104" s="334" t="s">
        <v>333</v>
      </c>
      <c r="Y104" s="344">
        <v>40</v>
      </c>
      <c r="Z104" s="334" t="s">
        <v>503</v>
      </c>
      <c r="AA104" s="334" t="s">
        <v>20</v>
      </c>
      <c r="AB104" s="334" t="s">
        <v>12</v>
      </c>
      <c r="AC104" s="334">
        <v>23.3</v>
      </c>
      <c r="AD104" s="343"/>
      <c r="AG104" s="344"/>
      <c r="AL104" s="343"/>
      <c r="AO104" s="344"/>
      <c r="AP104" s="343"/>
      <c r="AS104" s="344"/>
      <c r="AW104" s="344"/>
      <c r="BA104" s="345"/>
    </row>
    <row r="105" spans="1:53" s="334" customFormat="1">
      <c r="A105" s="334">
        <v>2008</v>
      </c>
      <c r="C105" s="992" t="s">
        <v>692</v>
      </c>
      <c r="D105" s="992"/>
      <c r="E105" s="334">
        <v>366</v>
      </c>
      <c r="G105" s="419"/>
      <c r="H105" s="334">
        <v>9</v>
      </c>
      <c r="I105" s="334">
        <v>6</v>
      </c>
      <c r="J105" s="435">
        <v>15</v>
      </c>
      <c r="K105" s="384">
        <f t="shared" si="4"/>
        <v>0</v>
      </c>
      <c r="L105" s="384">
        <f t="shared" si="4"/>
        <v>60</v>
      </c>
      <c r="M105" s="384">
        <f t="shared" si="4"/>
        <v>40</v>
      </c>
      <c r="N105" s="421">
        <f t="shared" si="5"/>
        <v>100</v>
      </c>
      <c r="O105" s="383"/>
      <c r="P105" s="384">
        <v>40</v>
      </c>
      <c r="Q105" s="384">
        <v>23.3</v>
      </c>
      <c r="R105" s="385">
        <f t="shared" si="6"/>
        <v>63.3</v>
      </c>
      <c r="S105" s="334">
        <v>2</v>
      </c>
      <c r="T105" s="357"/>
      <c r="V105" s="343" t="s">
        <v>502</v>
      </c>
      <c r="W105" s="334" t="s">
        <v>17</v>
      </c>
      <c r="X105" s="334" t="s">
        <v>333</v>
      </c>
      <c r="Y105" s="344">
        <v>40</v>
      </c>
      <c r="Z105" s="334" t="s">
        <v>503</v>
      </c>
      <c r="AA105" s="334" t="s">
        <v>20</v>
      </c>
      <c r="AB105" s="334" t="s">
        <v>12</v>
      </c>
      <c r="AC105" s="334">
        <v>23.3</v>
      </c>
      <c r="AD105" s="343"/>
      <c r="AG105" s="344"/>
      <c r="AL105" s="343"/>
      <c r="AO105" s="344"/>
      <c r="AP105" s="343"/>
      <c r="AS105" s="344"/>
      <c r="AW105" s="344"/>
      <c r="BA105" s="345"/>
    </row>
    <row r="106" spans="1:53" s="334" customFormat="1">
      <c r="A106" s="334">
        <v>2009</v>
      </c>
      <c r="C106" s="992" t="s">
        <v>692</v>
      </c>
      <c r="D106" s="992"/>
      <c r="E106" s="334">
        <v>203</v>
      </c>
      <c r="G106" s="419"/>
      <c r="H106" s="334">
        <v>9</v>
      </c>
      <c r="I106" s="334">
        <v>6</v>
      </c>
      <c r="J106" s="435">
        <v>15</v>
      </c>
      <c r="K106" s="384">
        <f t="shared" si="4"/>
        <v>0</v>
      </c>
      <c r="L106" s="384">
        <f t="shared" si="4"/>
        <v>60</v>
      </c>
      <c r="M106" s="384">
        <f t="shared" si="4"/>
        <v>40</v>
      </c>
      <c r="N106" s="421">
        <f t="shared" si="5"/>
        <v>100</v>
      </c>
      <c r="O106" s="383"/>
      <c r="P106" s="384">
        <v>40</v>
      </c>
      <c r="Q106" s="384">
        <v>23.3</v>
      </c>
      <c r="R106" s="385">
        <f t="shared" si="6"/>
        <v>63.3</v>
      </c>
      <c r="S106" s="334">
        <v>2</v>
      </c>
      <c r="T106" s="357"/>
      <c r="V106" s="343" t="s">
        <v>502</v>
      </c>
      <c r="W106" s="334" t="s">
        <v>17</v>
      </c>
      <c r="X106" s="334" t="s">
        <v>333</v>
      </c>
      <c r="Y106" s="344">
        <v>40</v>
      </c>
      <c r="Z106" s="334" t="s">
        <v>503</v>
      </c>
      <c r="AA106" s="334" t="s">
        <v>20</v>
      </c>
      <c r="AB106" s="334" t="s">
        <v>12</v>
      </c>
      <c r="AC106" s="334">
        <v>23.3</v>
      </c>
      <c r="AD106" s="343"/>
      <c r="AG106" s="344"/>
      <c r="AL106" s="343"/>
      <c r="AO106" s="344"/>
      <c r="AP106" s="343"/>
      <c r="AS106" s="344"/>
      <c r="AW106" s="344"/>
      <c r="BA106" s="345"/>
    </row>
    <row r="107" spans="1:53" s="208" customFormat="1">
      <c r="A107" s="208">
        <v>2009</v>
      </c>
      <c r="B107" s="207">
        <v>40017</v>
      </c>
      <c r="C107" s="988" t="s">
        <v>693</v>
      </c>
      <c r="D107" s="988"/>
      <c r="E107" s="208">
        <f>365-E106</f>
        <v>162</v>
      </c>
      <c r="F107" s="208">
        <v>1</v>
      </c>
      <c r="G107" s="123"/>
      <c r="H107" s="208">
        <v>9</v>
      </c>
      <c r="I107" s="208">
        <v>6</v>
      </c>
      <c r="J107" s="134">
        <v>15</v>
      </c>
      <c r="K107" s="92">
        <f t="shared" si="4"/>
        <v>0</v>
      </c>
      <c r="L107" s="92">
        <f t="shared" si="4"/>
        <v>60</v>
      </c>
      <c r="M107" s="92">
        <f t="shared" si="4"/>
        <v>40</v>
      </c>
      <c r="N107" s="125">
        <f t="shared" si="5"/>
        <v>100</v>
      </c>
      <c r="O107" s="91"/>
      <c r="P107" s="92">
        <v>43.3</v>
      </c>
      <c r="Q107" s="92">
        <v>21.7</v>
      </c>
      <c r="R107" s="93">
        <f t="shared" si="6"/>
        <v>65</v>
      </c>
      <c r="S107" s="208">
        <v>2</v>
      </c>
      <c r="T107" s="95">
        <v>39971</v>
      </c>
      <c r="U107" s="207">
        <v>40017</v>
      </c>
      <c r="V107" s="82" t="s">
        <v>502</v>
      </c>
      <c r="W107" s="208" t="s">
        <v>17</v>
      </c>
      <c r="X107" s="208" t="s">
        <v>333</v>
      </c>
      <c r="Y107" s="83">
        <v>43.3</v>
      </c>
      <c r="Z107" s="208" t="s">
        <v>503</v>
      </c>
      <c r="AA107" s="208" t="s">
        <v>20</v>
      </c>
      <c r="AB107" s="208" t="s">
        <v>12</v>
      </c>
      <c r="AC107" s="208">
        <v>21.7</v>
      </c>
      <c r="AD107" s="82"/>
      <c r="AG107" s="83"/>
      <c r="AL107" s="82"/>
      <c r="AO107" s="83"/>
      <c r="AP107" s="82"/>
      <c r="AS107" s="83"/>
      <c r="AW107" s="83"/>
      <c r="BA107" s="84"/>
    </row>
    <row r="108" spans="1:53" s="208" customFormat="1">
      <c r="A108" s="208">
        <v>2010</v>
      </c>
      <c r="C108" s="988" t="s">
        <v>693</v>
      </c>
      <c r="D108" s="988"/>
      <c r="E108" s="208">
        <v>0</v>
      </c>
      <c r="G108" s="123"/>
      <c r="H108" s="208">
        <v>9</v>
      </c>
      <c r="I108" s="208">
        <v>6</v>
      </c>
      <c r="J108" s="134">
        <v>15</v>
      </c>
      <c r="K108" s="92">
        <f t="shared" si="4"/>
        <v>0</v>
      </c>
      <c r="L108" s="92">
        <f t="shared" si="4"/>
        <v>60</v>
      </c>
      <c r="M108" s="92">
        <f t="shared" si="4"/>
        <v>40</v>
      </c>
      <c r="N108" s="125">
        <f t="shared" si="5"/>
        <v>100</v>
      </c>
      <c r="O108" s="91"/>
      <c r="P108" s="92">
        <v>43.3</v>
      </c>
      <c r="Q108" s="92">
        <v>21.7</v>
      </c>
      <c r="R108" s="93">
        <f t="shared" si="6"/>
        <v>65</v>
      </c>
      <c r="S108" s="208">
        <v>2</v>
      </c>
      <c r="T108" s="81"/>
      <c r="V108" s="82" t="s">
        <v>502</v>
      </c>
      <c r="W108" s="208" t="s">
        <v>17</v>
      </c>
      <c r="X108" s="208" t="s">
        <v>333</v>
      </c>
      <c r="Y108" s="83">
        <v>43.3</v>
      </c>
      <c r="Z108" s="208" t="s">
        <v>503</v>
      </c>
      <c r="AA108" s="208" t="s">
        <v>20</v>
      </c>
      <c r="AB108" s="208" t="s">
        <v>12</v>
      </c>
      <c r="AC108" s="208">
        <v>21.7</v>
      </c>
      <c r="AD108" s="82"/>
      <c r="AG108" s="83"/>
      <c r="AL108" s="82"/>
      <c r="AO108" s="83"/>
      <c r="AP108" s="82"/>
      <c r="AS108" s="83"/>
      <c r="AW108" s="83"/>
      <c r="BA108" s="84"/>
    </row>
    <row r="109" spans="1:53" s="208" customFormat="1">
      <c r="A109" s="208">
        <v>2010</v>
      </c>
      <c r="C109" s="988" t="s">
        <v>693</v>
      </c>
      <c r="D109" s="988"/>
      <c r="E109" s="208">
        <v>365</v>
      </c>
      <c r="G109" s="123"/>
      <c r="H109" s="208">
        <v>9</v>
      </c>
      <c r="I109" s="208">
        <v>6</v>
      </c>
      <c r="J109" s="134">
        <v>15</v>
      </c>
      <c r="K109" s="92">
        <f t="shared" si="4"/>
        <v>0</v>
      </c>
      <c r="L109" s="92">
        <f t="shared" si="4"/>
        <v>60</v>
      </c>
      <c r="M109" s="92">
        <f t="shared" si="4"/>
        <v>40</v>
      </c>
      <c r="N109" s="125">
        <f t="shared" si="5"/>
        <v>100</v>
      </c>
      <c r="O109" s="91"/>
      <c r="P109" s="92">
        <v>43.3</v>
      </c>
      <c r="Q109" s="92">
        <v>21.7</v>
      </c>
      <c r="R109" s="93">
        <f t="shared" si="6"/>
        <v>65</v>
      </c>
      <c r="S109" s="208">
        <v>2</v>
      </c>
      <c r="T109" s="81"/>
      <c r="V109" s="82" t="s">
        <v>502</v>
      </c>
      <c r="W109" s="208" t="s">
        <v>17</v>
      </c>
      <c r="X109" s="208" t="s">
        <v>333</v>
      </c>
      <c r="Y109" s="83">
        <v>43.3</v>
      </c>
      <c r="Z109" s="208" t="s">
        <v>503</v>
      </c>
      <c r="AA109" s="208" t="s">
        <v>20</v>
      </c>
      <c r="AB109" s="208" t="s">
        <v>12</v>
      </c>
      <c r="AC109" s="208">
        <v>21.7</v>
      </c>
      <c r="AD109" s="82"/>
      <c r="AG109" s="83"/>
      <c r="AL109" s="82"/>
      <c r="AO109" s="83"/>
      <c r="AP109" s="82"/>
      <c r="AS109" s="83"/>
      <c r="AW109" s="83"/>
      <c r="BA109" s="84"/>
    </row>
    <row r="110" spans="1:53" s="208" customFormat="1">
      <c r="A110" s="208">
        <v>2011</v>
      </c>
      <c r="C110" s="988" t="s">
        <v>693</v>
      </c>
      <c r="D110" s="988"/>
      <c r="E110" s="208">
        <v>0</v>
      </c>
      <c r="G110" s="123"/>
      <c r="H110" s="208">
        <v>9</v>
      </c>
      <c r="I110" s="208">
        <v>6</v>
      </c>
      <c r="J110" s="134">
        <v>15</v>
      </c>
      <c r="K110" s="92">
        <f t="shared" si="4"/>
        <v>0</v>
      </c>
      <c r="L110" s="92">
        <f t="shared" si="4"/>
        <v>60</v>
      </c>
      <c r="M110" s="92">
        <f t="shared" si="4"/>
        <v>40</v>
      </c>
      <c r="N110" s="125">
        <f t="shared" si="5"/>
        <v>100</v>
      </c>
      <c r="O110" s="91"/>
      <c r="P110" s="92">
        <v>43.3</v>
      </c>
      <c r="Q110" s="92">
        <v>21.7</v>
      </c>
      <c r="R110" s="93">
        <f t="shared" si="6"/>
        <v>65</v>
      </c>
      <c r="S110" s="208">
        <v>2</v>
      </c>
      <c r="T110" s="81"/>
      <c r="V110" s="82" t="s">
        <v>502</v>
      </c>
      <c r="W110" s="208" t="s">
        <v>17</v>
      </c>
      <c r="X110" s="208" t="s">
        <v>333</v>
      </c>
      <c r="Y110" s="83">
        <v>43.3</v>
      </c>
      <c r="Z110" s="208" t="s">
        <v>503</v>
      </c>
      <c r="AA110" s="208" t="s">
        <v>20</v>
      </c>
      <c r="AB110" s="208" t="s">
        <v>12</v>
      </c>
      <c r="AC110" s="208">
        <v>21.7</v>
      </c>
      <c r="AD110" s="82"/>
      <c r="AG110" s="83"/>
      <c r="AL110" s="82"/>
      <c r="AO110" s="83"/>
      <c r="AP110" s="82"/>
      <c r="AS110" s="83"/>
      <c r="AW110" s="83"/>
      <c r="BA110" s="84"/>
    </row>
    <row r="111" spans="1:53" s="208" customFormat="1">
      <c r="A111" s="208">
        <v>2011</v>
      </c>
      <c r="C111" s="988" t="s">
        <v>693</v>
      </c>
      <c r="D111" s="988"/>
      <c r="E111" s="208">
        <v>365</v>
      </c>
      <c r="G111" s="123"/>
      <c r="H111" s="208">
        <v>9</v>
      </c>
      <c r="I111" s="208">
        <v>6</v>
      </c>
      <c r="J111" s="134">
        <v>15</v>
      </c>
      <c r="K111" s="92">
        <f t="shared" si="4"/>
        <v>0</v>
      </c>
      <c r="L111" s="92">
        <f t="shared" si="4"/>
        <v>60</v>
      </c>
      <c r="M111" s="92">
        <f t="shared" si="4"/>
        <v>40</v>
      </c>
      <c r="N111" s="125">
        <f t="shared" si="5"/>
        <v>100</v>
      </c>
      <c r="O111" s="91"/>
      <c r="P111" s="92">
        <v>43.3</v>
      </c>
      <c r="Q111" s="92">
        <v>21.7</v>
      </c>
      <c r="R111" s="93">
        <f t="shared" si="6"/>
        <v>65</v>
      </c>
      <c r="S111" s="208">
        <v>2</v>
      </c>
      <c r="T111" s="81"/>
      <c r="V111" s="82" t="s">
        <v>502</v>
      </c>
      <c r="W111" s="208" t="s">
        <v>17</v>
      </c>
      <c r="X111" s="208" t="s">
        <v>333</v>
      </c>
      <c r="Y111" s="83">
        <v>43.3</v>
      </c>
      <c r="Z111" s="208" t="s">
        <v>503</v>
      </c>
      <c r="AA111" s="208" t="s">
        <v>20</v>
      </c>
      <c r="AB111" s="208" t="s">
        <v>12</v>
      </c>
      <c r="AC111" s="208">
        <v>21.7</v>
      </c>
      <c r="AD111" s="82"/>
      <c r="AG111" s="83"/>
      <c r="AL111" s="82"/>
      <c r="AO111" s="83"/>
      <c r="AP111" s="82"/>
      <c r="AS111" s="83"/>
      <c r="AW111" s="83"/>
      <c r="BA111" s="84"/>
    </row>
    <row r="112" spans="1:53" s="208" customFormat="1">
      <c r="A112" s="208">
        <v>2012</v>
      </c>
      <c r="C112" s="988" t="s">
        <v>693</v>
      </c>
      <c r="D112" s="988"/>
      <c r="E112" s="208">
        <v>0</v>
      </c>
      <c r="G112" s="123"/>
      <c r="H112" s="208">
        <v>9</v>
      </c>
      <c r="I112" s="208">
        <v>6</v>
      </c>
      <c r="J112" s="134">
        <v>15</v>
      </c>
      <c r="K112" s="92">
        <f t="shared" si="4"/>
        <v>0</v>
      </c>
      <c r="L112" s="92">
        <f t="shared" si="4"/>
        <v>60</v>
      </c>
      <c r="M112" s="92">
        <f t="shared" si="4"/>
        <v>40</v>
      </c>
      <c r="N112" s="125">
        <f t="shared" si="5"/>
        <v>100</v>
      </c>
      <c r="O112" s="91"/>
      <c r="P112" s="92">
        <v>43.3</v>
      </c>
      <c r="Q112" s="92">
        <v>21.7</v>
      </c>
      <c r="R112" s="93">
        <f t="shared" si="6"/>
        <v>65</v>
      </c>
      <c r="S112" s="208">
        <v>2</v>
      </c>
      <c r="T112" s="81"/>
      <c r="V112" s="82" t="s">
        <v>502</v>
      </c>
      <c r="W112" s="208" t="s">
        <v>17</v>
      </c>
      <c r="X112" s="208" t="s">
        <v>333</v>
      </c>
      <c r="Y112" s="83">
        <v>43.3</v>
      </c>
      <c r="Z112" s="208" t="s">
        <v>503</v>
      </c>
      <c r="AA112" s="208" t="s">
        <v>20</v>
      </c>
      <c r="AB112" s="208" t="s">
        <v>12</v>
      </c>
      <c r="AC112" s="208">
        <v>21.7</v>
      </c>
      <c r="AD112" s="82"/>
      <c r="AG112" s="83"/>
      <c r="AL112" s="82"/>
      <c r="AO112" s="83"/>
      <c r="AP112" s="82"/>
      <c r="AS112" s="83"/>
      <c r="AW112" s="83"/>
      <c r="BA112" s="84"/>
    </row>
    <row r="113" spans="1:53" s="208" customFormat="1">
      <c r="A113" s="208">
        <v>2012</v>
      </c>
      <c r="C113" s="988" t="s">
        <v>693</v>
      </c>
      <c r="D113" s="988"/>
      <c r="E113" s="208">
        <v>366</v>
      </c>
      <c r="G113" s="123"/>
      <c r="H113" s="208">
        <v>9</v>
      </c>
      <c r="I113" s="208">
        <v>6</v>
      </c>
      <c r="J113" s="134">
        <v>15</v>
      </c>
      <c r="K113" s="92">
        <f t="shared" si="4"/>
        <v>0</v>
      </c>
      <c r="L113" s="92">
        <f t="shared" si="4"/>
        <v>60</v>
      </c>
      <c r="M113" s="92">
        <f t="shared" si="4"/>
        <v>40</v>
      </c>
      <c r="N113" s="125">
        <f t="shared" si="5"/>
        <v>100</v>
      </c>
      <c r="O113" s="91"/>
      <c r="P113" s="92">
        <v>43.3</v>
      </c>
      <c r="Q113" s="92">
        <v>21.7</v>
      </c>
      <c r="R113" s="93">
        <f t="shared" si="6"/>
        <v>65</v>
      </c>
      <c r="S113" s="208">
        <v>2</v>
      </c>
      <c r="T113" s="81"/>
      <c r="V113" s="82" t="s">
        <v>502</v>
      </c>
      <c r="W113" s="208" t="s">
        <v>17</v>
      </c>
      <c r="X113" s="208" t="s">
        <v>333</v>
      </c>
      <c r="Y113" s="83">
        <v>43.3</v>
      </c>
      <c r="Z113" s="208" t="s">
        <v>503</v>
      </c>
      <c r="AA113" s="208" t="s">
        <v>20</v>
      </c>
      <c r="AB113" s="208" t="s">
        <v>12</v>
      </c>
      <c r="AC113" s="208">
        <v>21.7</v>
      </c>
      <c r="AD113" s="82"/>
      <c r="AG113" s="83"/>
      <c r="AL113" s="82"/>
      <c r="AO113" s="83"/>
      <c r="AP113" s="82"/>
      <c r="AS113" s="83"/>
      <c r="AW113" s="83"/>
      <c r="BA113" s="84"/>
    </row>
    <row r="114" spans="1:53" s="305" customFormat="1">
      <c r="A114" s="305">
        <v>2013</v>
      </c>
      <c r="C114" s="988" t="s">
        <v>693</v>
      </c>
      <c r="D114" s="988"/>
      <c r="E114" s="305">
        <v>337</v>
      </c>
      <c r="G114" s="123"/>
      <c r="H114" s="305">
        <v>9</v>
      </c>
      <c r="I114" s="305">
        <v>6</v>
      </c>
      <c r="J114" s="134">
        <v>15</v>
      </c>
      <c r="K114" s="92">
        <f t="shared" si="4"/>
        <v>0</v>
      </c>
      <c r="L114" s="92">
        <f t="shared" si="4"/>
        <v>60</v>
      </c>
      <c r="M114" s="92">
        <f t="shared" si="4"/>
        <v>40</v>
      </c>
      <c r="N114" s="125">
        <f t="shared" si="5"/>
        <v>100</v>
      </c>
      <c r="O114" s="91"/>
      <c r="P114" s="92">
        <v>43.3</v>
      </c>
      <c r="Q114" s="92">
        <v>21.7</v>
      </c>
      <c r="R114" s="93">
        <f>O114+P114+Q114</f>
        <v>65</v>
      </c>
      <c r="S114" s="305">
        <v>2</v>
      </c>
      <c r="T114" s="81"/>
      <c r="V114" s="82" t="s">
        <v>502</v>
      </c>
      <c r="W114" s="305" t="s">
        <v>17</v>
      </c>
      <c r="X114" s="305" t="s">
        <v>333</v>
      </c>
      <c r="Y114" s="83">
        <v>43.3</v>
      </c>
      <c r="Z114" s="305" t="s">
        <v>503</v>
      </c>
      <c r="AA114" s="305" t="s">
        <v>20</v>
      </c>
      <c r="AB114" s="305" t="s">
        <v>12</v>
      </c>
      <c r="AC114" s="305">
        <v>21.7</v>
      </c>
      <c r="AD114" s="82"/>
      <c r="AG114" s="83"/>
      <c r="AL114" s="82"/>
      <c r="AO114" s="83"/>
      <c r="AP114" s="82"/>
      <c r="AS114" s="83"/>
      <c r="AW114" s="83"/>
      <c r="BA114" s="84"/>
    </row>
    <row r="115" spans="1:53" s="334" customFormat="1">
      <c r="A115" s="334">
        <v>2013</v>
      </c>
      <c r="B115" s="355">
        <v>41612</v>
      </c>
      <c r="C115" s="992" t="s">
        <v>1257</v>
      </c>
      <c r="D115" s="992"/>
      <c r="E115" s="334">
        <f>365-E114</f>
        <v>28</v>
      </c>
      <c r="F115" s="334">
        <v>1</v>
      </c>
      <c r="G115" s="419">
        <v>7</v>
      </c>
      <c r="I115" s="334">
        <v>11</v>
      </c>
      <c r="J115" s="435">
        <v>18</v>
      </c>
      <c r="K115" s="384">
        <f>G115/$J115*100</f>
        <v>38.888888888888893</v>
      </c>
      <c r="L115" s="384">
        <f t="shared" si="4"/>
        <v>0</v>
      </c>
      <c r="M115" s="384">
        <f t="shared" si="4"/>
        <v>61.111111111111114</v>
      </c>
      <c r="N115" s="421">
        <f t="shared" si="5"/>
        <v>100</v>
      </c>
      <c r="O115" s="383">
        <v>21.7</v>
      </c>
      <c r="P115" s="384"/>
      <c r="Q115" s="384">
        <v>31.7</v>
      </c>
      <c r="R115" s="385">
        <f>O115+P115+Q115</f>
        <v>53.4</v>
      </c>
      <c r="S115" s="334">
        <v>2</v>
      </c>
      <c r="T115" s="342">
        <v>41567</v>
      </c>
      <c r="U115" s="355">
        <v>41612</v>
      </c>
      <c r="V115" s="343" t="s">
        <v>131</v>
      </c>
      <c r="W115" s="334" t="s">
        <v>22</v>
      </c>
      <c r="X115" s="334" t="s">
        <v>11</v>
      </c>
      <c r="Y115" s="344">
        <v>21.7</v>
      </c>
      <c r="Z115" s="334" t="s">
        <v>503</v>
      </c>
      <c r="AA115" s="334" t="s">
        <v>20</v>
      </c>
      <c r="AB115" s="334" t="s">
        <v>12</v>
      </c>
      <c r="AC115" s="334">
        <v>21.7</v>
      </c>
      <c r="AD115" s="343" t="s">
        <v>1272</v>
      </c>
      <c r="AE115" s="334" t="s">
        <v>1258</v>
      </c>
      <c r="AF115" s="334" t="s">
        <v>12</v>
      </c>
      <c r="AG115" s="344">
        <v>10</v>
      </c>
      <c r="AL115" s="343"/>
      <c r="AO115" s="344"/>
      <c r="AP115" s="343"/>
      <c r="AS115" s="344"/>
      <c r="AW115" s="344"/>
      <c r="BA115" s="345"/>
    </row>
    <row r="116" spans="1:53" s="561" customFormat="1">
      <c r="A116" s="561">
        <v>2014</v>
      </c>
      <c r="B116" s="558"/>
      <c r="C116" s="992" t="s">
        <v>1257</v>
      </c>
      <c r="D116" s="992"/>
      <c r="E116" s="561">
        <v>0</v>
      </c>
      <c r="G116" s="497">
        <v>7</v>
      </c>
      <c r="I116" s="561">
        <v>11</v>
      </c>
      <c r="J116" s="499">
        <v>18</v>
      </c>
      <c r="K116" s="495">
        <f>G116/$J116*100</f>
        <v>38.888888888888893</v>
      </c>
      <c r="L116" s="495">
        <f>H116/$J116*100</f>
        <v>0</v>
      </c>
      <c r="M116" s="495">
        <f>I116/$J116*100</f>
        <v>61.111111111111114</v>
      </c>
      <c r="N116" s="498">
        <f>K116+L116+M116</f>
        <v>100</v>
      </c>
      <c r="O116" s="494">
        <v>21.7</v>
      </c>
      <c r="P116" s="495"/>
      <c r="Q116" s="495">
        <v>31.7</v>
      </c>
      <c r="R116" s="496">
        <f>O116+P116+Q116</f>
        <v>53.4</v>
      </c>
      <c r="S116" s="561">
        <v>2</v>
      </c>
      <c r="T116" s="487"/>
      <c r="U116" s="558"/>
      <c r="V116" s="488" t="s">
        <v>131</v>
      </c>
      <c r="W116" s="561" t="s">
        <v>22</v>
      </c>
      <c r="X116" s="561" t="s">
        <v>11</v>
      </c>
      <c r="Y116" s="489">
        <v>21.7</v>
      </c>
      <c r="Z116" s="561" t="s">
        <v>503</v>
      </c>
      <c r="AA116" s="561" t="s">
        <v>20</v>
      </c>
      <c r="AB116" s="561" t="s">
        <v>12</v>
      </c>
      <c r="AC116" s="561">
        <v>21.7</v>
      </c>
      <c r="AD116" s="488" t="s">
        <v>1272</v>
      </c>
      <c r="AE116" s="561" t="s">
        <v>1258</v>
      </c>
      <c r="AF116" s="561" t="s">
        <v>12</v>
      </c>
      <c r="AG116" s="489">
        <v>10</v>
      </c>
      <c r="AL116" s="488"/>
      <c r="AO116" s="489"/>
      <c r="AP116" s="488"/>
      <c r="AS116" s="489"/>
      <c r="AW116" s="489"/>
      <c r="BA116" s="490"/>
    </row>
    <row r="117" spans="1:53" s="561" customFormat="1">
      <c r="A117" s="561">
        <v>2014</v>
      </c>
      <c r="B117" s="558"/>
      <c r="C117" s="992" t="s">
        <v>1257</v>
      </c>
      <c r="D117" s="992"/>
      <c r="E117" s="561">
        <v>365</v>
      </c>
      <c r="G117" s="497">
        <v>7</v>
      </c>
      <c r="I117" s="561">
        <v>11</v>
      </c>
      <c r="J117" s="499">
        <v>18</v>
      </c>
      <c r="K117" s="495">
        <f>G117/$J117*100</f>
        <v>38.888888888888893</v>
      </c>
      <c r="L117" s="495">
        <f>H117/$J117*100</f>
        <v>0</v>
      </c>
      <c r="M117" s="495">
        <f>I117/$J117*100</f>
        <v>61.111111111111114</v>
      </c>
      <c r="N117" s="498">
        <f>K117+L117+M117</f>
        <v>100</v>
      </c>
      <c r="O117" s="494">
        <v>21.7</v>
      </c>
      <c r="P117" s="495"/>
      <c r="Q117" s="495">
        <v>31.7</v>
      </c>
      <c r="R117" s="496">
        <f>O117+P117+Q117</f>
        <v>53.4</v>
      </c>
      <c r="S117" s="561">
        <v>2</v>
      </c>
      <c r="T117" s="487"/>
      <c r="U117" s="558"/>
      <c r="V117" s="488" t="s">
        <v>131</v>
      </c>
      <c r="W117" s="561" t="s">
        <v>22</v>
      </c>
      <c r="X117" s="561" t="s">
        <v>11</v>
      </c>
      <c r="Y117" s="489">
        <v>21.7</v>
      </c>
      <c r="Z117" s="561" t="s">
        <v>503</v>
      </c>
      <c r="AA117" s="561" t="s">
        <v>20</v>
      </c>
      <c r="AB117" s="561" t="s">
        <v>12</v>
      </c>
      <c r="AC117" s="561">
        <v>21.7</v>
      </c>
      <c r="AD117" s="488" t="s">
        <v>1272</v>
      </c>
      <c r="AE117" s="561" t="s">
        <v>1258</v>
      </c>
      <c r="AF117" s="561" t="s">
        <v>12</v>
      </c>
      <c r="AG117" s="489">
        <v>10</v>
      </c>
      <c r="AL117" s="488"/>
      <c r="AO117" s="489"/>
      <c r="AP117" s="488"/>
      <c r="AS117" s="489"/>
      <c r="AW117" s="489"/>
      <c r="BA117" s="490"/>
    </row>
    <row r="118" spans="1:53" s="735" customFormat="1">
      <c r="A118" s="735">
        <v>2015</v>
      </c>
      <c r="B118" s="730"/>
      <c r="C118" s="992" t="s">
        <v>1257</v>
      </c>
      <c r="D118" s="992"/>
      <c r="E118" s="735">
        <v>0</v>
      </c>
      <c r="G118" s="642">
        <v>7</v>
      </c>
      <c r="I118" s="735">
        <v>11</v>
      </c>
      <c r="J118" s="644">
        <v>18</v>
      </c>
      <c r="K118" s="640">
        <f t="shared" ref="K118:K119" si="7">G118/$J118*100</f>
        <v>38.888888888888893</v>
      </c>
      <c r="L118" s="640">
        <f t="shared" ref="L118:L119" si="8">H118/$J118*100</f>
        <v>0</v>
      </c>
      <c r="M118" s="640">
        <f t="shared" ref="M118:M119" si="9">I118/$J118*100</f>
        <v>61.111111111111114</v>
      </c>
      <c r="N118" s="643">
        <f t="shared" ref="N118:N119" si="10">K118+L118+M118</f>
        <v>100</v>
      </c>
      <c r="O118" s="639">
        <v>21.7</v>
      </c>
      <c r="P118" s="640"/>
      <c r="Q118" s="640">
        <v>31.7</v>
      </c>
      <c r="R118" s="641">
        <f>O118+P118+Q118</f>
        <v>53.4</v>
      </c>
      <c r="S118" s="735">
        <v>2</v>
      </c>
      <c r="T118" s="487"/>
      <c r="U118" s="730"/>
      <c r="V118" s="634" t="s">
        <v>131</v>
      </c>
      <c r="W118" s="735" t="s">
        <v>22</v>
      </c>
      <c r="X118" s="735" t="s">
        <v>11</v>
      </c>
      <c r="Y118" s="635">
        <v>21.7</v>
      </c>
      <c r="Z118" s="735" t="s">
        <v>503</v>
      </c>
      <c r="AA118" s="735" t="s">
        <v>20</v>
      </c>
      <c r="AB118" s="735" t="s">
        <v>12</v>
      </c>
      <c r="AC118" s="735">
        <v>21.7</v>
      </c>
      <c r="AD118" s="634" t="s">
        <v>1272</v>
      </c>
      <c r="AE118" s="735" t="s">
        <v>1258</v>
      </c>
      <c r="AF118" s="735" t="s">
        <v>12</v>
      </c>
      <c r="AG118" s="635">
        <v>10</v>
      </c>
      <c r="AL118" s="634"/>
      <c r="AO118" s="635"/>
      <c r="AP118" s="634"/>
      <c r="AS118" s="635"/>
      <c r="AW118" s="635"/>
      <c r="BA118" s="636"/>
    </row>
    <row r="119" spans="1:53" s="735" customFormat="1">
      <c r="A119" s="735">
        <v>2015</v>
      </c>
      <c r="B119" s="730"/>
      <c r="C119" s="992" t="s">
        <v>1257</v>
      </c>
      <c r="D119" s="992"/>
      <c r="E119" s="735">
        <v>365</v>
      </c>
      <c r="G119" s="642">
        <v>7</v>
      </c>
      <c r="I119" s="735">
        <v>11</v>
      </c>
      <c r="J119" s="644">
        <v>18</v>
      </c>
      <c r="K119" s="640">
        <f t="shared" si="7"/>
        <v>38.888888888888893</v>
      </c>
      <c r="L119" s="640">
        <f t="shared" si="8"/>
        <v>0</v>
      </c>
      <c r="M119" s="640">
        <f t="shared" si="9"/>
        <v>61.111111111111114</v>
      </c>
      <c r="N119" s="643">
        <f t="shared" si="10"/>
        <v>100</v>
      </c>
      <c r="O119" s="639">
        <v>21.7</v>
      </c>
      <c r="P119" s="640"/>
      <c r="Q119" s="640">
        <v>31.7</v>
      </c>
      <c r="R119" s="641">
        <f t="shared" ref="R119" si="11">O119+P119+Q119</f>
        <v>53.4</v>
      </c>
      <c r="S119" s="735">
        <v>2</v>
      </c>
      <c r="T119" s="487"/>
      <c r="U119" s="730"/>
      <c r="V119" s="634" t="s">
        <v>131</v>
      </c>
      <c r="W119" s="735" t="s">
        <v>22</v>
      </c>
      <c r="X119" s="735" t="s">
        <v>11</v>
      </c>
      <c r="Y119" s="635">
        <v>21.7</v>
      </c>
      <c r="Z119" s="735" t="s">
        <v>503</v>
      </c>
      <c r="AA119" s="735" t="s">
        <v>20</v>
      </c>
      <c r="AB119" s="735" t="s">
        <v>12</v>
      </c>
      <c r="AC119" s="735">
        <v>21.7</v>
      </c>
      <c r="AD119" s="634" t="s">
        <v>1272</v>
      </c>
      <c r="AE119" s="735" t="s">
        <v>1258</v>
      </c>
      <c r="AF119" s="735" t="s">
        <v>12</v>
      </c>
      <c r="AG119" s="635">
        <v>10</v>
      </c>
      <c r="AL119" s="634"/>
      <c r="AO119" s="635"/>
      <c r="AP119" s="634"/>
      <c r="AS119" s="635"/>
      <c r="AW119" s="635"/>
      <c r="BA119" s="636"/>
    </row>
    <row r="120" spans="1:53" s="841" customFormat="1">
      <c r="A120" s="841">
        <v>2016</v>
      </c>
      <c r="B120" s="836"/>
      <c r="C120" s="992" t="s">
        <v>1257</v>
      </c>
      <c r="D120" s="992"/>
      <c r="E120" s="841">
        <v>0</v>
      </c>
      <c r="G120" s="642">
        <v>7</v>
      </c>
      <c r="I120" s="841">
        <v>11</v>
      </c>
      <c r="J120" s="644">
        <v>18</v>
      </c>
      <c r="K120" s="640">
        <f t="shared" ref="K120:K122" si="12">G120/$J120*100</f>
        <v>38.888888888888893</v>
      </c>
      <c r="L120" s="640">
        <f t="shared" ref="L120:L122" si="13">H120/$J120*100</f>
        <v>0</v>
      </c>
      <c r="M120" s="640">
        <f t="shared" ref="M120:M122" si="14">I120/$J120*100</f>
        <v>61.111111111111114</v>
      </c>
      <c r="N120" s="643">
        <f t="shared" ref="N120:N122" si="15">K120+L120+M120</f>
        <v>100</v>
      </c>
      <c r="O120" s="639">
        <v>21.7</v>
      </c>
      <c r="P120" s="640"/>
      <c r="Q120" s="640">
        <v>31.7</v>
      </c>
      <c r="R120" s="641">
        <f t="shared" ref="R120:R121" si="16">O120+P120+Q120</f>
        <v>53.4</v>
      </c>
      <c r="S120" s="841">
        <v>2</v>
      </c>
      <c r="T120" s="487"/>
      <c r="U120" s="836"/>
      <c r="V120" s="634" t="s">
        <v>131</v>
      </c>
      <c r="W120" s="841" t="s">
        <v>22</v>
      </c>
      <c r="X120" s="841" t="s">
        <v>11</v>
      </c>
      <c r="Y120" s="635">
        <v>21.7</v>
      </c>
      <c r="Z120" s="841" t="s">
        <v>503</v>
      </c>
      <c r="AA120" s="841" t="s">
        <v>20</v>
      </c>
      <c r="AB120" s="841" t="s">
        <v>12</v>
      </c>
      <c r="AC120" s="841">
        <v>21.7</v>
      </c>
      <c r="AD120" s="634" t="s">
        <v>1272</v>
      </c>
      <c r="AE120" s="841" t="s">
        <v>1258</v>
      </c>
      <c r="AF120" s="841" t="s">
        <v>12</v>
      </c>
      <c r="AG120" s="635">
        <v>10</v>
      </c>
      <c r="AL120" s="634"/>
      <c r="AO120" s="635"/>
      <c r="AP120" s="634"/>
      <c r="AS120" s="635"/>
      <c r="AW120" s="635"/>
      <c r="BA120" s="636"/>
    </row>
    <row r="121" spans="1:53" s="841" customFormat="1">
      <c r="A121" s="841">
        <v>2016</v>
      </c>
      <c r="B121" s="836"/>
      <c r="C121" s="992" t="s">
        <v>1257</v>
      </c>
      <c r="D121" s="992"/>
      <c r="E121" s="841">
        <v>366</v>
      </c>
      <c r="G121" s="642">
        <v>7</v>
      </c>
      <c r="I121" s="841">
        <v>11</v>
      </c>
      <c r="J121" s="644">
        <v>18</v>
      </c>
      <c r="K121" s="640">
        <f t="shared" si="12"/>
        <v>38.888888888888893</v>
      </c>
      <c r="L121" s="640">
        <f t="shared" si="13"/>
        <v>0</v>
      </c>
      <c r="M121" s="640">
        <f t="shared" si="14"/>
        <v>61.111111111111114</v>
      </c>
      <c r="N121" s="643">
        <f t="shared" si="15"/>
        <v>100</v>
      </c>
      <c r="O121" s="639">
        <v>21.7</v>
      </c>
      <c r="P121" s="640"/>
      <c r="Q121" s="640">
        <v>31.7</v>
      </c>
      <c r="R121" s="641">
        <f t="shared" si="16"/>
        <v>53.4</v>
      </c>
      <c r="S121" s="841">
        <v>2</v>
      </c>
      <c r="T121" s="487"/>
      <c r="U121" s="836"/>
      <c r="V121" s="634" t="s">
        <v>131</v>
      </c>
      <c r="W121" s="841" t="s">
        <v>22</v>
      </c>
      <c r="X121" s="841" t="s">
        <v>11</v>
      </c>
      <c r="Y121" s="635">
        <v>21.7</v>
      </c>
      <c r="Z121" s="841" t="s">
        <v>503</v>
      </c>
      <c r="AA121" s="841" t="s">
        <v>20</v>
      </c>
      <c r="AB121" s="841" t="s">
        <v>12</v>
      </c>
      <c r="AC121" s="841">
        <v>21.7</v>
      </c>
      <c r="AD121" s="634" t="s">
        <v>1272</v>
      </c>
      <c r="AE121" s="841" t="s">
        <v>1258</v>
      </c>
      <c r="AF121" s="841" t="s">
        <v>12</v>
      </c>
      <c r="AG121" s="635">
        <v>10</v>
      </c>
      <c r="AL121" s="634"/>
      <c r="AO121" s="635"/>
      <c r="AP121" s="634"/>
      <c r="AS121" s="635"/>
      <c r="AW121" s="635"/>
      <c r="BA121" s="636"/>
    </row>
    <row r="122" spans="1:53" s="895" customFormat="1">
      <c r="A122" s="895">
        <v>2017</v>
      </c>
      <c r="B122" s="893"/>
      <c r="C122" s="992" t="s">
        <v>1257</v>
      </c>
      <c r="D122" s="992"/>
      <c r="E122" s="895">
        <v>0</v>
      </c>
      <c r="G122" s="642">
        <v>7</v>
      </c>
      <c r="I122" s="895">
        <v>11</v>
      </c>
      <c r="J122" s="644">
        <v>18</v>
      </c>
      <c r="K122" s="640">
        <f t="shared" si="12"/>
        <v>38.888888888888893</v>
      </c>
      <c r="L122" s="640">
        <f t="shared" si="13"/>
        <v>0</v>
      </c>
      <c r="M122" s="640">
        <f t="shared" si="14"/>
        <v>61.111111111111114</v>
      </c>
      <c r="N122" s="643">
        <f t="shared" si="15"/>
        <v>100</v>
      </c>
      <c r="O122" s="639">
        <v>21.7</v>
      </c>
      <c r="P122" s="640"/>
      <c r="Q122" s="640">
        <v>31.7</v>
      </c>
      <c r="R122" s="641">
        <f t="shared" ref="R122:R123" si="17">O122+P122+Q122</f>
        <v>53.4</v>
      </c>
      <c r="S122" s="895">
        <v>2</v>
      </c>
      <c r="T122" s="487"/>
      <c r="U122" s="893"/>
      <c r="V122" s="634" t="s">
        <v>131</v>
      </c>
      <c r="W122" s="895" t="s">
        <v>22</v>
      </c>
      <c r="X122" s="895" t="s">
        <v>11</v>
      </c>
      <c r="Y122" s="635">
        <v>21.7</v>
      </c>
      <c r="Z122" s="895" t="s">
        <v>503</v>
      </c>
      <c r="AA122" s="895" t="s">
        <v>20</v>
      </c>
      <c r="AB122" s="895" t="s">
        <v>12</v>
      </c>
      <c r="AC122" s="895">
        <v>21.7</v>
      </c>
      <c r="AD122" s="634" t="s">
        <v>1272</v>
      </c>
      <c r="AE122" s="895" t="s">
        <v>1258</v>
      </c>
      <c r="AF122" s="895" t="s">
        <v>12</v>
      </c>
      <c r="AG122" s="635">
        <v>10</v>
      </c>
      <c r="AL122" s="634"/>
      <c r="AO122" s="635"/>
      <c r="AP122" s="634"/>
      <c r="AS122" s="635"/>
      <c r="AW122" s="635"/>
      <c r="BA122" s="636"/>
    </row>
    <row r="123" spans="1:53" s="895" customFormat="1">
      <c r="A123" s="895">
        <v>2017</v>
      </c>
      <c r="B123" s="893"/>
      <c r="C123" s="992" t="s">
        <v>1257</v>
      </c>
      <c r="D123" s="992"/>
      <c r="E123" s="895">
        <v>365</v>
      </c>
      <c r="G123" s="642">
        <v>7</v>
      </c>
      <c r="I123" s="895">
        <v>11</v>
      </c>
      <c r="J123" s="644">
        <v>18</v>
      </c>
      <c r="K123" s="640">
        <f t="shared" ref="K123" si="18">G123/$J123*100</f>
        <v>38.888888888888893</v>
      </c>
      <c r="L123" s="640">
        <f t="shared" ref="L123" si="19">H123/$J123*100</f>
        <v>0</v>
      </c>
      <c r="M123" s="640">
        <f t="shared" ref="M123" si="20">I123/$J123*100</f>
        <v>61.111111111111114</v>
      </c>
      <c r="N123" s="643">
        <f t="shared" ref="N123" si="21">K123+L123+M123</f>
        <v>100</v>
      </c>
      <c r="O123" s="639">
        <v>21.7</v>
      </c>
      <c r="P123" s="640"/>
      <c r="Q123" s="640">
        <v>31.7</v>
      </c>
      <c r="R123" s="641">
        <f t="shared" si="17"/>
        <v>53.4</v>
      </c>
      <c r="S123" s="895">
        <v>2</v>
      </c>
      <c r="T123" s="487"/>
      <c r="U123" s="893"/>
      <c r="V123" s="634" t="s">
        <v>131</v>
      </c>
      <c r="W123" s="895" t="s">
        <v>22</v>
      </c>
      <c r="X123" s="895" t="s">
        <v>11</v>
      </c>
      <c r="Y123" s="635">
        <v>21.7</v>
      </c>
      <c r="Z123" s="895" t="s">
        <v>503</v>
      </c>
      <c r="AA123" s="895" t="s">
        <v>20</v>
      </c>
      <c r="AB123" s="895" t="s">
        <v>12</v>
      </c>
      <c r="AC123" s="895">
        <v>21.7</v>
      </c>
      <c r="AD123" s="634" t="s">
        <v>1272</v>
      </c>
      <c r="AE123" s="895" t="s">
        <v>1258</v>
      </c>
      <c r="AF123" s="895" t="s">
        <v>12</v>
      </c>
      <c r="AG123" s="635">
        <v>10</v>
      </c>
      <c r="AL123" s="634"/>
      <c r="AO123" s="635"/>
      <c r="AP123" s="634"/>
      <c r="AS123" s="635"/>
      <c r="AW123" s="635"/>
      <c r="BA123" s="636"/>
    </row>
    <row r="124" spans="1:53" s="945" customFormat="1">
      <c r="A124" s="945">
        <v>2018</v>
      </c>
      <c r="B124" s="944"/>
      <c r="C124" s="992" t="s">
        <v>1257</v>
      </c>
      <c r="D124" s="992"/>
      <c r="E124" s="945">
        <v>338</v>
      </c>
      <c r="G124" s="642">
        <v>7</v>
      </c>
      <c r="I124" s="945">
        <v>11</v>
      </c>
      <c r="J124" s="644">
        <v>18</v>
      </c>
      <c r="K124" s="640">
        <f t="shared" ref="K124:K125" si="22">G124/$J124*100</f>
        <v>38.888888888888893</v>
      </c>
      <c r="L124" s="640">
        <f t="shared" ref="L124:L125" si="23">H124/$J124*100</f>
        <v>0</v>
      </c>
      <c r="M124" s="640">
        <f t="shared" ref="M124:M125" si="24">I124/$J124*100</f>
        <v>61.111111111111114</v>
      </c>
      <c r="N124" s="643">
        <f t="shared" ref="N124:N125" si="25">K124+L124+M124</f>
        <v>100</v>
      </c>
      <c r="O124" s="639">
        <v>21.7</v>
      </c>
      <c r="P124" s="640"/>
      <c r="Q124" s="640">
        <v>31.7</v>
      </c>
      <c r="R124" s="641">
        <f t="shared" ref="R124:R125" si="26">O124+P124+Q124</f>
        <v>53.4</v>
      </c>
      <c r="S124" s="945">
        <v>2</v>
      </c>
      <c r="T124" s="487"/>
      <c r="U124" s="944"/>
      <c r="V124" s="634" t="s">
        <v>131</v>
      </c>
      <c r="W124" s="945" t="s">
        <v>22</v>
      </c>
      <c r="X124" s="945" t="s">
        <v>11</v>
      </c>
      <c r="Y124" s="635">
        <v>21.7</v>
      </c>
      <c r="Z124" s="945" t="s">
        <v>503</v>
      </c>
      <c r="AA124" s="945" t="s">
        <v>20</v>
      </c>
      <c r="AB124" s="945" t="s">
        <v>12</v>
      </c>
      <c r="AC124" s="945">
        <v>21.7</v>
      </c>
      <c r="AD124" s="634" t="s">
        <v>1272</v>
      </c>
      <c r="AE124" s="945" t="s">
        <v>1258</v>
      </c>
      <c r="AF124" s="945" t="s">
        <v>12</v>
      </c>
      <c r="AG124" s="635">
        <v>10</v>
      </c>
      <c r="AL124" s="634"/>
      <c r="AO124" s="635"/>
      <c r="AP124" s="634"/>
      <c r="AS124" s="635"/>
      <c r="AW124" s="635"/>
      <c r="BA124" s="636"/>
    </row>
    <row r="125" spans="1:53" s="946" customFormat="1">
      <c r="A125" s="946">
        <v>2018</v>
      </c>
      <c r="B125" s="953" t="s">
        <v>1417</v>
      </c>
      <c r="C125" s="988" t="s">
        <v>1416</v>
      </c>
      <c r="D125" s="988"/>
      <c r="E125" s="946">
        <v>27</v>
      </c>
      <c r="F125" s="946">
        <v>1</v>
      </c>
      <c r="G125" s="596">
        <v>6</v>
      </c>
      <c r="I125" s="946">
        <v>11</v>
      </c>
      <c r="J125" s="598">
        <v>17</v>
      </c>
      <c r="K125" s="593">
        <f t="shared" si="22"/>
        <v>35.294117647058826</v>
      </c>
      <c r="L125" s="593">
        <f t="shared" si="23"/>
        <v>0</v>
      </c>
      <c r="M125" s="593">
        <f t="shared" si="24"/>
        <v>64.705882352941174</v>
      </c>
      <c r="N125" s="597">
        <f t="shared" si="25"/>
        <v>100</v>
      </c>
      <c r="O125" s="592">
        <v>20</v>
      </c>
      <c r="P125" s="593"/>
      <c r="Q125" s="593">
        <v>31.6</v>
      </c>
      <c r="R125" s="597">
        <f t="shared" si="26"/>
        <v>51.6</v>
      </c>
      <c r="S125" s="575">
        <v>2</v>
      </c>
      <c r="T125" s="595">
        <v>43387</v>
      </c>
      <c r="U125" s="943">
        <v>43439</v>
      </c>
      <c r="V125" s="588" t="s">
        <v>131</v>
      </c>
      <c r="W125" s="946" t="s">
        <v>22</v>
      </c>
      <c r="X125" s="946" t="s">
        <v>11</v>
      </c>
      <c r="Y125" s="589">
        <v>20</v>
      </c>
      <c r="Z125" s="946" t="s">
        <v>503</v>
      </c>
      <c r="AA125" s="946" t="s">
        <v>20</v>
      </c>
      <c r="AB125" s="946" t="s">
        <v>12</v>
      </c>
      <c r="AC125" s="946">
        <v>16.600000000000001</v>
      </c>
      <c r="AD125" s="588" t="s">
        <v>1272</v>
      </c>
      <c r="AE125" s="946" t="s">
        <v>1258</v>
      </c>
      <c r="AF125" s="946" t="s">
        <v>12</v>
      </c>
      <c r="AG125" s="589">
        <v>15</v>
      </c>
      <c r="AL125" s="588"/>
      <c r="AO125" s="589"/>
      <c r="AP125" s="588"/>
      <c r="AS125" s="589"/>
      <c r="AW125" s="589"/>
      <c r="BA125" s="590"/>
    </row>
    <row r="127" spans="1:53" s="2" customFormat="1" ht="18" customHeight="1">
      <c r="B127" s="22" t="s">
        <v>1278</v>
      </c>
      <c r="H127" s="6"/>
    </row>
    <row r="128" spans="1:53" s="2" customFormat="1" ht="9" customHeight="1">
      <c r="H128" s="6"/>
    </row>
    <row r="129" spans="1:30" s="364" customFormat="1" ht="9" customHeight="1">
      <c r="A129" s="362"/>
      <c r="B129" s="363" t="s">
        <v>1229</v>
      </c>
      <c r="C129" s="363"/>
      <c r="D129" s="363"/>
      <c r="E129" s="363"/>
      <c r="F129" s="363"/>
      <c r="G129" s="363" t="s">
        <v>1230</v>
      </c>
      <c r="H129" s="363"/>
      <c r="I129" s="363"/>
      <c r="J129" s="363"/>
      <c r="K129" s="363"/>
      <c r="L129" s="363"/>
      <c r="M129" s="363"/>
      <c r="N129" s="363"/>
      <c r="R129" s="982" t="s">
        <v>1231</v>
      </c>
      <c r="S129" s="982"/>
      <c r="T129" s="982"/>
      <c r="U129" s="982"/>
      <c r="V129" s="982"/>
      <c r="W129" s="982"/>
      <c r="X129" s="365"/>
      <c r="Y129" s="365"/>
      <c r="AA129" s="365"/>
      <c r="AB129" s="365"/>
      <c r="AC129" s="365"/>
      <c r="AD129" s="365"/>
    </row>
    <row r="130" spans="1:30" s="369" customFormat="1" ht="9" customHeight="1">
      <c r="A130" s="366"/>
      <c r="B130" s="367" t="s">
        <v>1233</v>
      </c>
      <c r="C130" s="368"/>
      <c r="D130" s="368"/>
      <c r="E130" s="368"/>
      <c r="F130" s="368"/>
      <c r="G130" s="367" t="s">
        <v>1232</v>
      </c>
      <c r="H130" s="368"/>
      <c r="I130" s="368"/>
      <c r="J130" s="368"/>
      <c r="K130" s="368"/>
      <c r="L130" s="368"/>
      <c r="M130" s="368"/>
      <c r="N130" s="368"/>
      <c r="R130" s="370" t="s">
        <v>1234</v>
      </c>
      <c r="S130" s="371"/>
      <c r="T130" s="372"/>
      <c r="U130" s="372"/>
      <c r="V130" s="372"/>
      <c r="W130" s="370" t="s">
        <v>1235</v>
      </c>
      <c r="X130" s="372"/>
      <c r="Y130" s="372"/>
      <c r="AA130" s="372"/>
      <c r="AB130" s="372"/>
      <c r="AC130" s="372"/>
      <c r="AD130" s="372"/>
    </row>
    <row r="131" spans="1:30" s="351" customFormat="1" ht="12" customHeight="1">
      <c r="A131" s="373" t="s">
        <v>3</v>
      </c>
      <c r="B131" s="374" t="s">
        <v>8</v>
      </c>
      <c r="C131" s="374" t="s">
        <v>9</v>
      </c>
      <c r="D131" s="374" t="s">
        <v>10</v>
      </c>
      <c r="E131" s="375" t="s">
        <v>1209</v>
      </c>
      <c r="F131" s="374"/>
      <c r="G131" s="351" t="s">
        <v>3</v>
      </c>
      <c r="H131" s="983" t="s">
        <v>0</v>
      </c>
      <c r="I131" s="983"/>
      <c r="J131" s="983" t="s">
        <v>1</v>
      </c>
      <c r="K131" s="983"/>
      <c r="L131" s="983" t="s">
        <v>2</v>
      </c>
      <c r="M131" s="983"/>
      <c r="N131" s="984" t="s">
        <v>1209</v>
      </c>
      <c r="O131" s="984"/>
      <c r="P131" s="376"/>
      <c r="Q131" s="376"/>
      <c r="R131" s="377" t="s">
        <v>3</v>
      </c>
      <c r="S131" s="378" t="s">
        <v>136</v>
      </c>
      <c r="T131" s="376" t="s">
        <v>134</v>
      </c>
      <c r="U131" s="374" t="s">
        <v>135</v>
      </c>
      <c r="V131" s="376"/>
      <c r="W131" s="379" t="s">
        <v>26</v>
      </c>
    </row>
    <row r="132" spans="1:30" s="273" customFormat="1">
      <c r="A132" s="273">
        <v>1959</v>
      </c>
      <c r="B132" s="260">
        <f>(K6*($E6/365)) + (K7*($E7/365))</f>
        <v>36.399217221135025</v>
      </c>
      <c r="C132" s="260">
        <f>(L6*($E6/365)) + (L7*($E7/365))</f>
        <v>56.066536203522496</v>
      </c>
      <c r="D132" s="260">
        <f>(M6*($E6/365)) + (M7*($E7/365))</f>
        <v>7.5342465753424657</v>
      </c>
      <c r="E132" s="261">
        <f>B132+C132+D132</f>
        <v>99.999999999999986</v>
      </c>
      <c r="G132" s="273">
        <v>1959</v>
      </c>
      <c r="H132" s="991">
        <f>(O6/$R6*100*($E6/365))+(O7/$R7*100*($E7/365))</f>
        <v>29.229674435153889</v>
      </c>
      <c r="I132" s="991"/>
      <c r="J132" s="991">
        <f>(P6/$R6*100*($E6/365))+(P7/$R7*100*($E7/365))</f>
        <v>65.924690725344988</v>
      </c>
      <c r="K132" s="991"/>
      <c r="L132" s="991">
        <f>(Q6/$R6*100*($E6/365))+(Q7/$R7*100*($E7/365))</f>
        <v>4.8456348395011242</v>
      </c>
      <c r="M132" s="991"/>
      <c r="N132" s="993">
        <f>H132+J132+L132</f>
        <v>100.00000000000001</v>
      </c>
      <c r="O132" s="993"/>
      <c r="R132" s="273">
        <v>1959</v>
      </c>
      <c r="S132" s="260">
        <f>(O6*($E6/365)) + (O7*($E7/365))</f>
        <v>18.005479452054793</v>
      </c>
      <c r="T132" s="260">
        <f>(P6*($E6/365)) + (P7*($E7/365))</f>
        <v>41.846575342465748</v>
      </c>
      <c r="U132" s="260">
        <f>(Q6*($E6/365)) + (Q7*($E7/365))</f>
        <v>3.5712328767123283</v>
      </c>
      <c r="V132" s="274"/>
      <c r="W132" s="274">
        <f>S132+T132+U132</f>
        <v>63.42328767123287</v>
      </c>
    </row>
    <row r="133" spans="1:30">
      <c r="A133" s="1">
        <v>1960</v>
      </c>
      <c r="B133" s="8">
        <f>(K8*($E8/366))+(K9*($E9/366))</f>
        <v>42.857142857142854</v>
      </c>
      <c r="C133" s="8">
        <f>(L8*($E8/366))+(L9*($E9/366))</f>
        <v>57.142857142857139</v>
      </c>
      <c r="D133" s="8">
        <f>(M8*($E8/366))+(M9*($E9/366))</f>
        <v>0</v>
      </c>
      <c r="E133" s="48">
        <f>B133+C133+D133</f>
        <v>100</v>
      </c>
      <c r="G133" s="1">
        <v>1960</v>
      </c>
      <c r="H133" s="989">
        <f>(O8/$R8*100*($E8/366))+(O9/$R9*100*($E9/366))</f>
        <v>34.415584415584419</v>
      </c>
      <c r="I133" s="989"/>
      <c r="J133" s="989">
        <f>(P8/$R8*100*($E8/366))+(P9/$R9*100*($E9/366))</f>
        <v>65.584415584415595</v>
      </c>
      <c r="K133" s="989"/>
      <c r="L133" s="989">
        <f>(Q8/$R8*100*($E8/366))+(Q9/$R9*100*($E9/366))</f>
        <v>0</v>
      </c>
      <c r="M133" s="989"/>
      <c r="N133" s="990">
        <f>H133+J133+L133</f>
        <v>100.00000000000001</v>
      </c>
      <c r="O133" s="990"/>
      <c r="R133" s="1">
        <v>1960</v>
      </c>
      <c r="S133" s="8">
        <f>(O8*($E8/366))+(O9*($E9/366))</f>
        <v>21.2</v>
      </c>
      <c r="T133" s="8">
        <f>(P8*($E8/366))+(P9*($E9/366))</f>
        <v>40.4</v>
      </c>
      <c r="U133" s="8">
        <f>(Q8*($E8/366))+(Q9*($E9/366))</f>
        <v>0</v>
      </c>
      <c r="V133" s="7"/>
      <c r="W133" s="7">
        <f>S133+T133+U133</f>
        <v>61.599999999999994</v>
      </c>
    </row>
    <row r="134" spans="1:30">
      <c r="A134" s="1">
        <v>1961</v>
      </c>
      <c r="B134" s="8">
        <f>(K10*($E10/365))+(K11*($E11/365))</f>
        <v>42.857142857142854</v>
      </c>
      <c r="C134" s="8">
        <f>(L10*($E10/365))+(L11*($E11/365))</f>
        <v>57.142857142857139</v>
      </c>
      <c r="D134" s="8">
        <f>(M10*($E10/365))+(M11*($E11/365))</f>
        <v>0</v>
      </c>
      <c r="E134" s="48">
        <f t="shared" ref="E134:E186" si="27">B134+C134+D134</f>
        <v>100</v>
      </c>
      <c r="G134" s="1">
        <v>1961</v>
      </c>
      <c r="H134" s="989">
        <f>(O10/$R10*100*($E10/365))+(O11/$R11*100*($E11/365))</f>
        <v>34.415584415584419</v>
      </c>
      <c r="I134" s="989"/>
      <c r="J134" s="989">
        <f>(P10/$R10*100*($E10/365))+(P11/$R11*100*($E11/365))</f>
        <v>65.584415584415595</v>
      </c>
      <c r="K134" s="989"/>
      <c r="L134" s="989">
        <f>(Q10/$R10*100*($E10/365))+(Q11/$R11*100*($E11/365))</f>
        <v>0</v>
      </c>
      <c r="M134" s="989"/>
      <c r="N134" s="959">
        <f t="shared" ref="N134:N185" si="28">H134+J134+L134</f>
        <v>100.00000000000001</v>
      </c>
      <c r="O134" s="959"/>
      <c r="R134" s="1">
        <v>1961</v>
      </c>
      <c r="S134" s="8">
        <f>(O10*($E10/365))+(O11*($E11/365))</f>
        <v>21.2</v>
      </c>
      <c r="T134" s="8">
        <f>(P10*($E10/365))+(P11*($E11/365))</f>
        <v>40.4</v>
      </c>
      <c r="U134" s="8">
        <f>(Q10*($E10/365))+(Q11*($E11/365))</f>
        <v>0</v>
      </c>
      <c r="V134" s="7"/>
      <c r="W134" s="7">
        <f t="shared" ref="W134:W186" si="29">S134+T134+U134</f>
        <v>61.599999999999994</v>
      </c>
    </row>
    <row r="135" spans="1:30">
      <c r="A135" s="1">
        <v>1962</v>
      </c>
      <c r="B135" s="8">
        <f>(K12*($E12/365))+(K13*($E13/365))</f>
        <v>42.857142857142854</v>
      </c>
      <c r="C135" s="8">
        <f>(L12*($E12/365))+(L13*($E13/365))</f>
        <v>57.142857142857139</v>
      </c>
      <c r="D135" s="8">
        <f>(M12*($E12/365))+(M13*($E13/365))</f>
        <v>0</v>
      </c>
      <c r="E135" s="48">
        <f t="shared" si="27"/>
        <v>100</v>
      </c>
      <c r="G135" s="1">
        <v>1962</v>
      </c>
      <c r="H135" s="989">
        <f>(O12/$R12*100*($E12/365))+(O13/$R13*100*($E13/365))</f>
        <v>34.415584415584419</v>
      </c>
      <c r="I135" s="989"/>
      <c r="J135" s="989">
        <f>(P12/$R12*100*($E12/365))+(P13/$R13*100*($E13/365))</f>
        <v>65.584415584415595</v>
      </c>
      <c r="K135" s="989"/>
      <c r="L135" s="989">
        <f>(Q12/$R12*100*($E12/365))+(Q13/$R13*100*($E13/365))</f>
        <v>0</v>
      </c>
      <c r="M135" s="989"/>
      <c r="N135" s="959">
        <f t="shared" si="28"/>
        <v>100.00000000000001</v>
      </c>
      <c r="O135" s="959"/>
      <c r="R135" s="1">
        <v>1962</v>
      </c>
      <c r="S135" s="8">
        <f>(O12*($E12/365))+(O13*($E13/365))</f>
        <v>21.2</v>
      </c>
      <c r="T135" s="8">
        <f>(P12*($E12/365))+(P13*($E13/365))</f>
        <v>40.4</v>
      </c>
      <c r="U135" s="8">
        <f>(Q12*($E12/365))+(Q13*($E13/365))</f>
        <v>0</v>
      </c>
      <c r="V135" s="7"/>
      <c r="W135" s="7">
        <f t="shared" si="29"/>
        <v>61.599999999999994</v>
      </c>
    </row>
    <row r="136" spans="1:30">
      <c r="A136" s="1">
        <v>1963</v>
      </c>
      <c r="B136" s="8">
        <f>(K14*($E14/365))+(K15*($E15/365))</f>
        <v>42.857142857142854</v>
      </c>
      <c r="C136" s="8">
        <f>(L14*($E14/365))+(L15*($E15/365))</f>
        <v>57.142857142857139</v>
      </c>
      <c r="D136" s="8">
        <f>(M14*($E14/365))+(M15*($E15/365))</f>
        <v>0</v>
      </c>
      <c r="E136" s="48">
        <f t="shared" si="27"/>
        <v>100</v>
      </c>
      <c r="G136" s="1">
        <v>1963</v>
      </c>
      <c r="H136" s="989">
        <f>(O14/$R14*100*($E14/365))+(O15/$R15*100*($E15/365))</f>
        <v>34.415584415584419</v>
      </c>
      <c r="I136" s="989"/>
      <c r="J136" s="989">
        <f>(P14/$R14*100*($E14/365))+(P15/$R15*100*($E15/365))</f>
        <v>65.584415584415595</v>
      </c>
      <c r="K136" s="989"/>
      <c r="L136" s="989">
        <f>(Q14/$R14*100*($E14/365))+(Q15/$R15*100*($E15/365))</f>
        <v>0</v>
      </c>
      <c r="M136" s="989"/>
      <c r="N136" s="959">
        <f t="shared" si="28"/>
        <v>100.00000000000001</v>
      </c>
      <c r="O136" s="959"/>
      <c r="R136" s="1">
        <v>1963</v>
      </c>
      <c r="S136" s="8">
        <f>(O14*($E14/365))+(O15*($E15/365))</f>
        <v>21.2</v>
      </c>
      <c r="T136" s="8">
        <f>(P14*($E14/365))+(P15*($E15/365))</f>
        <v>40.4</v>
      </c>
      <c r="U136" s="8">
        <f>(Q14*($E14/365))+(Q15*($E15/365))</f>
        <v>0</v>
      </c>
      <c r="V136" s="7"/>
      <c r="W136" s="7">
        <f t="shared" si="29"/>
        <v>61.599999999999994</v>
      </c>
    </row>
    <row r="137" spans="1:30">
      <c r="A137" s="1">
        <v>1964</v>
      </c>
      <c r="B137" s="8">
        <f>(K16*($E16/366))+(K17*($E17/366))</f>
        <v>23.302107728337237</v>
      </c>
      <c r="C137" s="8">
        <f>(L16*($E16/366))+(L17*($E17/366))</f>
        <v>53.883684621389541</v>
      </c>
      <c r="D137" s="8">
        <f>(M16*($E16/366))+(M17*($E17/366))</f>
        <v>22.814207650273225</v>
      </c>
      <c r="E137" s="48">
        <f t="shared" si="27"/>
        <v>100</v>
      </c>
      <c r="G137" s="1">
        <v>1964</v>
      </c>
      <c r="H137" s="989">
        <f>(O16/$R16*100*($E16/366))+(O17/$R17*100*($E17/366))</f>
        <v>18.712298630331421</v>
      </c>
      <c r="I137" s="989"/>
      <c r="J137" s="989">
        <f>(P16/$R16*100*($E16/366))+(P17/$R17*100*($E17/366))</f>
        <v>59.008201711198652</v>
      </c>
      <c r="K137" s="989"/>
      <c r="L137" s="989">
        <f>(Q16/$R16*100*($E16/366))+(Q17/$R17*100*($E17/366))</f>
        <v>22.279499658469945</v>
      </c>
      <c r="M137" s="989"/>
      <c r="N137" s="959">
        <f t="shared" si="28"/>
        <v>100.00000000000001</v>
      </c>
      <c r="O137" s="959"/>
      <c r="R137" s="1">
        <v>1964</v>
      </c>
      <c r="S137" s="8">
        <f>(O16*($E16/366))+(O17*($E17/366))</f>
        <v>11.526775956284153</v>
      </c>
      <c r="T137" s="8">
        <f>(P16*($E16/366))+(P17*($E17/366))</f>
        <v>39.898087431693988</v>
      </c>
      <c r="U137" s="8">
        <f>(Q16*($E16/366))+(Q17*($E17/366))</f>
        <v>17.110655737704917</v>
      </c>
      <c r="V137" s="7"/>
      <c r="W137" s="7">
        <f t="shared" si="29"/>
        <v>68.535519125683066</v>
      </c>
    </row>
    <row r="138" spans="1:30">
      <c r="A138" s="1">
        <v>1965</v>
      </c>
      <c r="B138" s="8">
        <f>(K18*($E18/365))+(K19*($E19/365))</f>
        <v>0</v>
      </c>
      <c r="C138" s="8">
        <f>(L18*($E18/365))+(L19*($E19/365))</f>
        <v>50</v>
      </c>
      <c r="D138" s="8">
        <f>(M18*($E18/365))+(M19*($E19/365))</f>
        <v>50</v>
      </c>
      <c r="E138" s="48">
        <f t="shared" si="27"/>
        <v>100</v>
      </c>
      <c r="G138" s="1">
        <v>1965</v>
      </c>
      <c r="H138" s="989">
        <f>(O18/$R18*100*($E18/365))+(O19/$R19*100*($E19/365))</f>
        <v>0</v>
      </c>
      <c r="I138" s="989"/>
      <c r="J138" s="989">
        <f>(P18/$R18*100*($E18/365))+(P19/$R19*100*($E19/365))</f>
        <v>51.171875</v>
      </c>
      <c r="K138" s="989"/>
      <c r="L138" s="989">
        <f>(Q18/$R18*100*($E18/365))+(Q19/$R19*100*($E19/365))</f>
        <v>48.828125</v>
      </c>
      <c r="M138" s="989"/>
      <c r="N138" s="959">
        <f t="shared" si="28"/>
        <v>100</v>
      </c>
      <c r="O138" s="959"/>
      <c r="R138" s="1">
        <v>1965</v>
      </c>
      <c r="S138" s="8">
        <f>(O18*($E18/365))+(O19*($E19/365))</f>
        <v>0</v>
      </c>
      <c r="T138" s="8">
        <f>(P18*($E18/365))+(P19*($E19/365))</f>
        <v>39.299999999999997</v>
      </c>
      <c r="U138" s="8">
        <f>(Q18*($E18/365))+(Q19*($E19/365))</f>
        <v>37.5</v>
      </c>
      <c r="V138" s="7"/>
      <c r="W138" s="7">
        <f t="shared" si="29"/>
        <v>76.8</v>
      </c>
    </row>
    <row r="139" spans="1:30">
      <c r="A139" s="1">
        <v>1966</v>
      </c>
      <c r="B139" s="8">
        <f>(K20*($E20/365))+(K21*($E21/365))</f>
        <v>0</v>
      </c>
      <c r="C139" s="8">
        <f>(L20*($E20/365))+(L21*($E21/365))</f>
        <v>50</v>
      </c>
      <c r="D139" s="8">
        <f>(M20*($E20/365))+(M21*($E21/365))</f>
        <v>50</v>
      </c>
      <c r="E139" s="48">
        <f t="shared" si="27"/>
        <v>100</v>
      </c>
      <c r="G139" s="1">
        <v>1966</v>
      </c>
      <c r="H139" s="989">
        <f>(O20/$R20*100*($E20/365))+(O21/$R21*100*($E21/365))</f>
        <v>0</v>
      </c>
      <c r="I139" s="989"/>
      <c r="J139" s="989">
        <f>(P20/$R20*100*($E20/365))+(P21/$R21*100*($E21/365))</f>
        <v>51.171875</v>
      </c>
      <c r="K139" s="989"/>
      <c r="L139" s="989">
        <f>(Q20/$R20*100*($E20/365))+(Q21/$R21*100*($E21/365))</f>
        <v>48.828125</v>
      </c>
      <c r="M139" s="989"/>
      <c r="N139" s="959">
        <f t="shared" si="28"/>
        <v>100</v>
      </c>
      <c r="O139" s="959"/>
      <c r="R139" s="1">
        <v>1966</v>
      </c>
      <c r="S139" s="8">
        <f>(O20*($E20/365))+(O21*($E21/365))</f>
        <v>0</v>
      </c>
      <c r="T139" s="8">
        <f>(P20*($E20/365))+(P21*($E21/365))</f>
        <v>39.299999999999997</v>
      </c>
      <c r="U139" s="8">
        <f>(Q20*($E20/365))+(Q21*($E21/365))</f>
        <v>37.5</v>
      </c>
      <c r="V139" s="7"/>
      <c r="W139" s="7">
        <f t="shared" si="29"/>
        <v>76.8</v>
      </c>
    </row>
    <row r="140" spans="1:30">
      <c r="A140" s="1">
        <v>1967</v>
      </c>
      <c r="B140" s="8">
        <f>(K22*($E22/365))+(K23*($E23/365))</f>
        <v>0</v>
      </c>
      <c r="C140" s="8">
        <f>(L22*($E22/365))+(L23*($E23/365))</f>
        <v>50.000000000000007</v>
      </c>
      <c r="D140" s="8">
        <f>(M22*($E22/365))+(M23*($E23/365))</f>
        <v>50.000000000000007</v>
      </c>
      <c r="E140" s="48">
        <f t="shared" si="27"/>
        <v>100.00000000000001</v>
      </c>
      <c r="G140" s="1">
        <v>1967</v>
      </c>
      <c r="H140" s="989">
        <f>(O22/$R22*100*($E22/365))+(O23/$R23*100*($E23/365))</f>
        <v>0</v>
      </c>
      <c r="I140" s="989"/>
      <c r="J140" s="989">
        <f>(P22/$R22*100*($E22/365))+(P23/$R23*100*($E23/365))</f>
        <v>51.171875</v>
      </c>
      <c r="K140" s="989"/>
      <c r="L140" s="989">
        <f>(Q22/$R22*100*($E22/365))+(Q23/$R23*100*($E23/365))</f>
        <v>48.828125</v>
      </c>
      <c r="M140" s="989"/>
      <c r="N140" s="959">
        <f t="shared" si="28"/>
        <v>100</v>
      </c>
      <c r="O140" s="959"/>
      <c r="R140" s="1">
        <v>1967</v>
      </c>
      <c r="S140" s="8">
        <f>(O22*($E22/365))+(O23*($E23/365))</f>
        <v>0</v>
      </c>
      <c r="T140" s="8">
        <f>(P22*($E22/365))+(P23*($E23/365))</f>
        <v>39.299999999999997</v>
      </c>
      <c r="U140" s="8">
        <f>(Q22*($E22/365))+(Q23*($E23/365))</f>
        <v>37.5</v>
      </c>
      <c r="V140" s="7"/>
      <c r="W140" s="7">
        <f t="shared" si="29"/>
        <v>76.8</v>
      </c>
    </row>
    <row r="141" spans="1:30">
      <c r="A141" s="1">
        <v>1968</v>
      </c>
      <c r="B141" s="8">
        <f>(K24*($E24/366))+(K25*($E25/366))</f>
        <v>0</v>
      </c>
      <c r="C141" s="8">
        <f>(L24*($E24/366))+(L25*($E25/366))</f>
        <v>50</v>
      </c>
      <c r="D141" s="8">
        <f>(M24*($E24/366))+(M25*($E25/366))</f>
        <v>50</v>
      </c>
      <c r="E141" s="48">
        <f t="shared" si="27"/>
        <v>100</v>
      </c>
      <c r="G141" s="1">
        <v>1968</v>
      </c>
      <c r="H141" s="989">
        <f>(O24/$R24*100*($E24/366))+(O25/$R25*100*($E25/366))</f>
        <v>0</v>
      </c>
      <c r="I141" s="989"/>
      <c r="J141" s="989">
        <f>(P24/$R24*100*($E24/366))+(P25/$R25*100*($E25/366))</f>
        <v>51.171875</v>
      </c>
      <c r="K141" s="989"/>
      <c r="L141" s="989">
        <f>(Q24/$R24*100*($E24/366))+(Q25/$R25*100*($E25/366))</f>
        <v>48.828125</v>
      </c>
      <c r="M141" s="989"/>
      <c r="N141" s="959">
        <f t="shared" si="28"/>
        <v>100</v>
      </c>
      <c r="O141" s="959"/>
      <c r="R141" s="1">
        <v>1968</v>
      </c>
      <c r="S141" s="8">
        <f>(O24*($E24/366))+(O25*($E25/366))</f>
        <v>0</v>
      </c>
      <c r="T141" s="8">
        <f>(P24*($E24/366))+(P25*($E25/366))</f>
        <v>39.299999999999997</v>
      </c>
      <c r="U141" s="8">
        <f>(Q24*($E24/366))+(Q25*($E25/366))</f>
        <v>37.5</v>
      </c>
      <c r="V141" s="7"/>
      <c r="W141" s="7">
        <f t="shared" si="29"/>
        <v>76.8</v>
      </c>
    </row>
    <row r="142" spans="1:30">
      <c r="A142" s="1">
        <v>1969</v>
      </c>
      <c r="B142" s="8">
        <f>(K26*($E26/365))+(K27*($E27/365))</f>
        <v>39.334637964774949</v>
      </c>
      <c r="C142" s="8">
        <f>(L26*($E26/365))+(L27*($E27/365))</f>
        <v>56.55577299412915</v>
      </c>
      <c r="D142" s="8">
        <f>(M26*($E26/365))+(M27*($E27/365))</f>
        <v>4.10958904109589</v>
      </c>
      <c r="E142" s="48">
        <f t="shared" si="27"/>
        <v>99.999999999999986</v>
      </c>
      <c r="G142" s="1">
        <v>1969</v>
      </c>
      <c r="H142" s="989">
        <f>(O26/$R26*100*($E26/365))+(O27/$R27*100*($E27/365))</f>
        <v>31.504450255499851</v>
      </c>
      <c r="I142" s="989"/>
      <c r="J142" s="989">
        <f>(P26/$R26*100*($E26/365))+(P27/$R27*100*($E27/365))</f>
        <v>64.482279196554941</v>
      </c>
      <c r="K142" s="989"/>
      <c r="L142" s="989">
        <f>(Q26/$R26*100*($E26/365))+(Q27/$R27*100*($E27/365))</f>
        <v>4.0132705479452051</v>
      </c>
      <c r="M142" s="989"/>
      <c r="N142" s="959">
        <f t="shared" si="28"/>
        <v>100</v>
      </c>
      <c r="O142" s="959"/>
      <c r="R142" s="1">
        <v>1969</v>
      </c>
      <c r="S142" s="8">
        <f>(O26*($E26/365))+(O27*($E27/365))</f>
        <v>17.989041095890414</v>
      </c>
      <c r="T142" s="8">
        <f>(P26*($E26/365))+(P27*($E27/365))</f>
        <v>37.647945205479452</v>
      </c>
      <c r="U142" s="8">
        <f>(Q26*($E26/365))+(Q27*($E27/365))</f>
        <v>3.0821917808219177</v>
      </c>
      <c r="V142" s="7"/>
      <c r="W142" s="7">
        <f t="shared" si="29"/>
        <v>58.719178082191782</v>
      </c>
    </row>
    <row r="143" spans="1:30">
      <c r="A143" s="1">
        <v>1970</v>
      </c>
      <c r="B143" s="8">
        <f>(K28*($E28/365))+(K29*($E29/365))</f>
        <v>42.857142857142854</v>
      </c>
      <c r="C143" s="8">
        <f>(L28*($E28/365))+(L29*($E29/365))</f>
        <v>57.142857142857139</v>
      </c>
      <c r="D143" s="8">
        <f>(M28*($E28/365))+(M29*($E29/365))</f>
        <v>0</v>
      </c>
      <c r="E143" s="48">
        <f t="shared" si="27"/>
        <v>100</v>
      </c>
      <c r="G143" s="1">
        <v>1970</v>
      </c>
      <c r="H143" s="989">
        <f>(O28/$R28*100*($E28/365))+(O29/$R29*100*($E29/365))</f>
        <v>34.32574430823118</v>
      </c>
      <c r="I143" s="989"/>
      <c r="J143" s="989">
        <f>(P28/$R28*100*($E28/365))+(P29/$R29*100*($E29/365))</f>
        <v>65.67425569176882</v>
      </c>
      <c r="K143" s="989"/>
      <c r="L143" s="989">
        <f>(Q28/$R28*100*($E28/365))+(Q29/$R29*100*($E29/365))</f>
        <v>0</v>
      </c>
      <c r="M143" s="989"/>
      <c r="N143" s="959">
        <f t="shared" si="28"/>
        <v>100</v>
      </c>
      <c r="O143" s="959"/>
      <c r="R143" s="1">
        <v>1970</v>
      </c>
      <c r="S143" s="8">
        <f>(O28*($E28/365))+(O29*($E29/365))</f>
        <v>19.600000000000001</v>
      </c>
      <c r="T143" s="8">
        <f>(P28*($E28/365))+(P29*($E29/365))</f>
        <v>37.5</v>
      </c>
      <c r="U143" s="8">
        <f>(Q28*($E28/365))+(Q29*($E29/365))</f>
        <v>0</v>
      </c>
      <c r="V143" s="7"/>
      <c r="W143" s="7">
        <f t="shared" si="29"/>
        <v>57.1</v>
      </c>
    </row>
    <row r="144" spans="1:30">
      <c r="A144" s="1">
        <v>1971</v>
      </c>
      <c r="B144" s="8">
        <f>(K30*($E30/365))+(K31*($E31/365))</f>
        <v>42.857142857142854</v>
      </c>
      <c r="C144" s="8">
        <f>(L30*($E30/365))+(L31*($E31/365))</f>
        <v>57.142857142857139</v>
      </c>
      <c r="D144" s="8">
        <f>(M30*($E30/365))+(M31*($E31/365))</f>
        <v>0</v>
      </c>
      <c r="E144" s="48">
        <f t="shared" si="27"/>
        <v>100</v>
      </c>
      <c r="G144" s="1">
        <v>1971</v>
      </c>
      <c r="H144" s="989">
        <f>(O30/$R30*100*($E30/365))+(O31/$R31*100*($E31/365))</f>
        <v>34.32574430823118</v>
      </c>
      <c r="I144" s="989"/>
      <c r="J144" s="989">
        <f>(P30/$R30*100*($E30/365))+(P31/$R31*100*($E31/365))</f>
        <v>65.67425569176882</v>
      </c>
      <c r="K144" s="989"/>
      <c r="L144" s="989">
        <f>(Q30/$R30*100*($E30/365))+(Q31/$R31*100*($E31/365))</f>
        <v>0</v>
      </c>
      <c r="M144" s="989"/>
      <c r="N144" s="959">
        <f t="shared" si="28"/>
        <v>100</v>
      </c>
      <c r="O144" s="959"/>
      <c r="R144" s="1">
        <v>1971</v>
      </c>
      <c r="S144" s="8">
        <f>(O30*($E30/365))+(O31*($E31/365))</f>
        <v>19.600000000000001</v>
      </c>
      <c r="T144" s="8">
        <f>(P30*($E30/365))+(P31*($E31/365))</f>
        <v>37.5</v>
      </c>
      <c r="U144" s="8">
        <f>(Q30*($E30/365))+(Q31*($E31/365))</f>
        <v>0</v>
      </c>
      <c r="V144" s="7"/>
      <c r="W144" s="7">
        <f t="shared" si="29"/>
        <v>57.1</v>
      </c>
    </row>
    <row r="145" spans="1:23">
      <c r="A145" s="1">
        <v>1972</v>
      </c>
      <c r="B145" s="8">
        <f>(K32*($E32/366))+(K33*($E33/366))</f>
        <v>42.857142857142854</v>
      </c>
      <c r="C145" s="8">
        <f>(L32*($E32/366))+(L33*($E33/366))</f>
        <v>57.142857142857139</v>
      </c>
      <c r="D145" s="8">
        <f>(M32*($E32/366))+(M33*($E33/366))</f>
        <v>0</v>
      </c>
      <c r="E145" s="48">
        <f t="shared" si="27"/>
        <v>100</v>
      </c>
      <c r="G145" s="1">
        <v>1972</v>
      </c>
      <c r="H145" s="989">
        <f>(O32/$R32*100*($E32/366))+(O33/$R33*100*($E33/366))</f>
        <v>34.32574430823118</v>
      </c>
      <c r="I145" s="989"/>
      <c r="J145" s="989">
        <f>(P32/$R32*100*($E32/366))+(P33/$R33*100*($E33/366))</f>
        <v>65.67425569176882</v>
      </c>
      <c r="K145" s="989"/>
      <c r="L145" s="989">
        <f>(Q32/$R32*100*($E32/366))+(Q33/$R33*100*($E33/366))</f>
        <v>0</v>
      </c>
      <c r="M145" s="989"/>
      <c r="N145" s="959">
        <f t="shared" si="28"/>
        <v>100</v>
      </c>
      <c r="O145" s="959"/>
      <c r="R145" s="1">
        <v>1972</v>
      </c>
      <c r="S145" s="8">
        <f>(O32*($E32/366))+(O33*($E33/366))</f>
        <v>19.600000000000001</v>
      </c>
      <c r="T145" s="8">
        <f>(P32*($E32/366))+(P33*($E33/366))</f>
        <v>37.5</v>
      </c>
      <c r="U145" s="8">
        <f>(Q32*($E32/366))+(Q33*($E33/366))</f>
        <v>0</v>
      </c>
      <c r="V145" s="7"/>
      <c r="W145" s="7">
        <f t="shared" si="29"/>
        <v>57.1</v>
      </c>
    </row>
    <row r="146" spans="1:23">
      <c r="A146" s="1">
        <v>1973</v>
      </c>
      <c r="B146" s="8">
        <f>(K34*($E34/365))+(K35*($E35/365))</f>
        <v>42.857142857142854</v>
      </c>
      <c r="C146" s="8">
        <f>(L34*($E34/365))+(L35*($E35/365))</f>
        <v>57.142857142857139</v>
      </c>
      <c r="D146" s="8">
        <f>(M34*($E34/365))+(M35*($E35/365))</f>
        <v>0</v>
      </c>
      <c r="E146" s="48">
        <f t="shared" si="27"/>
        <v>100</v>
      </c>
      <c r="G146" s="1">
        <v>1973</v>
      </c>
      <c r="H146" s="989">
        <f>(O34/$R34*100*($E34/365))+(O35/$R35*100*($E35/365))</f>
        <v>34.32574430823118</v>
      </c>
      <c r="I146" s="989"/>
      <c r="J146" s="989">
        <f>(P34/$R34*100*($E34/365))+(P35/$R35*100*($E35/365))</f>
        <v>65.67425569176882</v>
      </c>
      <c r="K146" s="989"/>
      <c r="L146" s="989">
        <f>(Q34/$R34*100*($E34/365))+(Q35/$R35*100*($E35/365))</f>
        <v>0</v>
      </c>
      <c r="M146" s="989"/>
      <c r="N146" s="959">
        <f t="shared" si="28"/>
        <v>100</v>
      </c>
      <c r="O146" s="959"/>
      <c r="R146" s="1">
        <v>1973</v>
      </c>
      <c r="S146" s="8">
        <f>(O34*($E34/365))+(O35*($E35/365))</f>
        <v>19.600000000000001</v>
      </c>
      <c r="T146" s="8">
        <f>(P34*($E34/365))+(P35*($E35/365))</f>
        <v>37.5</v>
      </c>
      <c r="U146" s="8">
        <f>(Q34*($E34/365))+(Q35*($E35/365))</f>
        <v>0</v>
      </c>
      <c r="V146" s="7"/>
      <c r="W146" s="7">
        <f t="shared" si="29"/>
        <v>57.1</v>
      </c>
    </row>
    <row r="147" spans="1:23">
      <c r="A147" s="1">
        <v>1974</v>
      </c>
      <c r="B147" s="8">
        <f>(K36*($E36/365))+(K37*($E37/365))</f>
        <v>46.771037181996078</v>
      </c>
      <c r="C147" s="8">
        <f>(L36*($E36/365))+(L37*($E37/365))</f>
        <v>25.831702544031309</v>
      </c>
      <c r="D147" s="8">
        <f>(M36*($E36/365))+(M37*($E37/365))</f>
        <v>27.397260273972602</v>
      </c>
      <c r="E147" s="48">
        <f t="shared" si="27"/>
        <v>99.999999999999986</v>
      </c>
      <c r="G147" s="1">
        <v>1974</v>
      </c>
      <c r="H147" s="989">
        <f>(O36/$R36*100*($E36/365))+(O37/$R37*100*($E37/365))</f>
        <v>40.252929423094713</v>
      </c>
      <c r="I147" s="989"/>
      <c r="J147" s="989">
        <f>(P36/$R36*100*($E36/365))+(P37/$R37*100*($E37/365))</f>
        <v>29.68836216203248</v>
      </c>
      <c r="K147" s="989"/>
      <c r="L147" s="989">
        <f>(Q36/$R36*100*($E36/365))+(Q37/$R37*100*($E37/365))</f>
        <v>30.0587084148728</v>
      </c>
      <c r="M147" s="989"/>
      <c r="N147" s="959">
        <f t="shared" si="28"/>
        <v>99.999999999999986</v>
      </c>
      <c r="O147" s="959"/>
      <c r="R147" s="1">
        <v>1974</v>
      </c>
      <c r="S147" s="8">
        <f>(O36*($E36/365))+(O37*($E37/365))</f>
        <v>21.846575342465751</v>
      </c>
      <c r="T147" s="8">
        <f>(P36*($E36/365))+(P37*($E37/365))</f>
        <v>16.952054794520546</v>
      </c>
      <c r="U147" s="8">
        <f>(Q36*($E36/365))+(Q37*($E37/365))</f>
        <v>15.780821917808218</v>
      </c>
      <c r="V147" s="7"/>
      <c r="W147" s="7">
        <f t="shared" si="29"/>
        <v>54.579452054794515</v>
      </c>
    </row>
    <row r="148" spans="1:23">
      <c r="A148" s="1">
        <v>1975</v>
      </c>
      <c r="B148" s="8">
        <f>(K38*($E38/365))+(K39*($E39/365))</f>
        <v>50</v>
      </c>
      <c r="C148" s="8">
        <f>(L38*($E38/365))+(L39*($E39/365))</f>
        <v>0</v>
      </c>
      <c r="D148" s="8">
        <f>(M38*($E38/365))+(M39*($E39/365))</f>
        <v>50</v>
      </c>
      <c r="E148" s="48">
        <f t="shared" si="27"/>
        <v>100</v>
      </c>
      <c r="G148" s="1">
        <v>1975</v>
      </c>
      <c r="H148" s="989">
        <f>(O38/$R38*100*($E38/365))+(O39/$R39*100*($E39/365))</f>
        <v>45.142857142857139</v>
      </c>
      <c r="I148" s="989"/>
      <c r="J148" s="989">
        <f>(P38/$R38*100*($E38/365))+(P39/$R39*100*($E39/365))</f>
        <v>0</v>
      </c>
      <c r="K148" s="989"/>
      <c r="L148" s="989">
        <f>(Q38/$R38*100*($E38/365))+(Q39/$R39*100*($E39/365))</f>
        <v>54.857142857142861</v>
      </c>
      <c r="M148" s="989"/>
      <c r="N148" s="959">
        <f t="shared" si="28"/>
        <v>100</v>
      </c>
      <c r="O148" s="959"/>
      <c r="R148" s="1">
        <v>1975</v>
      </c>
      <c r="S148" s="8">
        <f>(O38*($E38/365))+(O39*($E39/365))</f>
        <v>23.7</v>
      </c>
      <c r="T148" s="8">
        <f>(P38*($E38/365))+(P39*($E39/365))</f>
        <v>0</v>
      </c>
      <c r="U148" s="8">
        <f>(Q38*($E38/365))+(Q39*($E39/365))</f>
        <v>28.8</v>
      </c>
      <c r="V148" s="7"/>
      <c r="W148" s="7">
        <f t="shared" si="29"/>
        <v>52.5</v>
      </c>
    </row>
    <row r="149" spans="1:23">
      <c r="A149" s="1">
        <v>1976</v>
      </c>
      <c r="B149" s="8">
        <f>(K40*($E40/366))+(K41*($E41/366))</f>
        <v>50</v>
      </c>
      <c r="C149" s="8">
        <f>(L40*($E40/366))+(L41*($E41/366))</f>
        <v>0</v>
      </c>
      <c r="D149" s="8">
        <f>(M40*($E40/366))+(M41*($E41/366))</f>
        <v>50</v>
      </c>
      <c r="E149" s="48">
        <f t="shared" si="27"/>
        <v>100</v>
      </c>
      <c r="G149" s="1">
        <v>1976</v>
      </c>
      <c r="H149" s="989">
        <f>(O40/$R40*100*($E40/366))+(O41/$R41*100*($E41/366))</f>
        <v>45.142857142857139</v>
      </c>
      <c r="I149" s="989"/>
      <c r="J149" s="989">
        <f>(P40/$R40*100*($E40/366))+(P41/$R41*100*($E41/366))</f>
        <v>0</v>
      </c>
      <c r="K149" s="989"/>
      <c r="L149" s="989">
        <f>(Q40/$R40*100*($E40/366))+(Q41/$R41*100*($E41/366))</f>
        <v>54.857142857142861</v>
      </c>
      <c r="M149" s="989"/>
      <c r="N149" s="959">
        <f t="shared" si="28"/>
        <v>100</v>
      </c>
      <c r="O149" s="959"/>
      <c r="R149" s="1">
        <v>1976</v>
      </c>
      <c r="S149" s="8">
        <f>(O40*($E40/366))+(O41*($E41/366))</f>
        <v>23.7</v>
      </c>
      <c r="T149" s="8">
        <f>(P40*($E40/366))+(P41*($E41/366))</f>
        <v>0</v>
      </c>
      <c r="U149" s="8">
        <f>(Q40*($E40/366))+(Q41*($E41/366))</f>
        <v>28.8</v>
      </c>
      <c r="V149" s="7"/>
      <c r="W149" s="7">
        <f t="shared" si="29"/>
        <v>52.5</v>
      </c>
    </row>
    <row r="150" spans="1:23">
      <c r="A150" s="1">
        <v>1977</v>
      </c>
      <c r="B150" s="8">
        <f>(K42*($E42/365))+(K43*($E43/365))</f>
        <v>50</v>
      </c>
      <c r="C150" s="8">
        <f>(L42*($E42/365))+(L43*($E43/365))</f>
        <v>0</v>
      </c>
      <c r="D150" s="8">
        <f>(M42*($E42/365))+(M43*($E43/365))</f>
        <v>50</v>
      </c>
      <c r="E150" s="48">
        <f t="shared" si="27"/>
        <v>100</v>
      </c>
      <c r="G150" s="1">
        <v>1977</v>
      </c>
      <c r="H150" s="989">
        <f>(O42/$R42*100*($E42/365))+(O43/$R43*100*($E43/365))</f>
        <v>45.142857142857139</v>
      </c>
      <c r="I150" s="989"/>
      <c r="J150" s="989">
        <f>(P42/$R42*100*($E42/365))+(P43/$R43*100*($E43/365))</f>
        <v>0</v>
      </c>
      <c r="K150" s="989"/>
      <c r="L150" s="989">
        <f>(Q42/$R42*100*($E42/365))+(Q43/$R43*100*($E43/365))</f>
        <v>54.857142857142861</v>
      </c>
      <c r="M150" s="989"/>
      <c r="N150" s="959">
        <f t="shared" si="28"/>
        <v>100</v>
      </c>
      <c r="O150" s="959"/>
      <c r="R150" s="1">
        <v>1977</v>
      </c>
      <c r="S150" s="8">
        <f>(O42*($E42/365))+(O43*($E43/365))</f>
        <v>23.7</v>
      </c>
      <c r="T150" s="8">
        <f>(P42*($E42/365))+(P43*($E43/365))</f>
        <v>0</v>
      </c>
      <c r="U150" s="8">
        <f>(Q42*($E42/365))+(Q43*($E43/365))</f>
        <v>28.8</v>
      </c>
      <c r="V150" s="7"/>
      <c r="W150" s="7">
        <f t="shared" si="29"/>
        <v>52.5</v>
      </c>
    </row>
    <row r="151" spans="1:23">
      <c r="A151" s="1">
        <v>1978</v>
      </c>
      <c r="B151" s="8">
        <f>(K44*($E44/365))+(K45*($E45/365))</f>
        <v>50</v>
      </c>
      <c r="C151" s="8">
        <f>(L44*($E44/365))+(L45*($E45/365))</f>
        <v>0</v>
      </c>
      <c r="D151" s="8">
        <f>(M44*($E44/365))+(M45*($E45/365))</f>
        <v>50</v>
      </c>
      <c r="E151" s="48">
        <f t="shared" si="27"/>
        <v>100</v>
      </c>
      <c r="G151" s="1">
        <v>1978</v>
      </c>
      <c r="H151" s="989">
        <f>(O44/$R44*100*($E44/365))+(O45/$R45*100*($E45/365))</f>
        <v>45.142857142857139</v>
      </c>
      <c r="I151" s="989"/>
      <c r="J151" s="989">
        <f>(P44/$R44*100*($E44/365))+(P45/$R45*100*($E45/365))</f>
        <v>0</v>
      </c>
      <c r="K151" s="989"/>
      <c r="L151" s="989">
        <f>(Q44/$R44*100*($E44/365))+(Q45/$R45*100*($E45/365))</f>
        <v>54.857142857142861</v>
      </c>
      <c r="M151" s="989"/>
      <c r="N151" s="959">
        <f t="shared" si="28"/>
        <v>100</v>
      </c>
      <c r="O151" s="959"/>
      <c r="R151" s="1">
        <v>1978</v>
      </c>
      <c r="S151" s="8">
        <f>(O44*($E44/365))+(O45*($E45/365))</f>
        <v>23.7</v>
      </c>
      <c r="T151" s="8">
        <f>(P44*($E44/365))+(P45*($E45/365))</f>
        <v>0</v>
      </c>
      <c r="U151" s="8">
        <f>(Q44*($E44/365))+(Q45*($E45/365))</f>
        <v>28.8</v>
      </c>
      <c r="V151" s="7"/>
      <c r="W151" s="7">
        <f t="shared" si="29"/>
        <v>52.5</v>
      </c>
    </row>
    <row r="152" spans="1:23">
      <c r="A152" s="1">
        <v>1979</v>
      </c>
      <c r="B152" s="8">
        <f>(K46*($E46/365))+(K47*($E47/365))</f>
        <v>52.587519025875196</v>
      </c>
      <c r="C152" s="8">
        <f>(L46*($E46/365))+(L47*($E47/365))</f>
        <v>20.700152207001519</v>
      </c>
      <c r="D152" s="8">
        <f>(M46*($E46/365))+(M47*($E47/365))</f>
        <v>26.712328767123289</v>
      </c>
      <c r="E152" s="48">
        <f t="shared" si="27"/>
        <v>100</v>
      </c>
      <c r="G152" s="1">
        <v>1979</v>
      </c>
      <c r="H152" s="989">
        <f>(O46/$R46*100*($E46/365))+(O47/$R47*100*($E47/365))</f>
        <v>42.014749638068395</v>
      </c>
      <c r="I152" s="989"/>
      <c r="J152" s="989">
        <f>(P46/$R46*100*($E46/365))+(P47/$R47*100*($E47/365))</f>
        <v>28.678009657430632</v>
      </c>
      <c r="K152" s="989"/>
      <c r="L152" s="989">
        <f>(Q46/$R46*100*($E46/365))+(Q47/$R47*100*($E47/365))</f>
        <v>29.30724070450098</v>
      </c>
      <c r="M152" s="989"/>
      <c r="N152" s="959">
        <f t="shared" si="28"/>
        <v>100.00000000000001</v>
      </c>
      <c r="O152" s="959"/>
      <c r="R152" s="1">
        <v>1979</v>
      </c>
      <c r="S152" s="8">
        <f>(O46*($E46/365))+(O47*($E47/365))</f>
        <v>24.491780821917807</v>
      </c>
      <c r="T152" s="8">
        <f>(P46*($E46/365))+(P47*($E47/365))</f>
        <v>18.956164383561646</v>
      </c>
      <c r="U152" s="8">
        <f>(Q46*($E46/365))+(Q47*($E47/365))</f>
        <v>15.386301369863014</v>
      </c>
      <c r="V152" s="7"/>
      <c r="W152" s="7">
        <f t="shared" si="29"/>
        <v>58.834246575342469</v>
      </c>
    </row>
    <row r="153" spans="1:23">
      <c r="A153" s="1">
        <v>1980</v>
      </c>
      <c r="B153" s="8">
        <f>(K48*($E48/366))+(K49*($E49/366))</f>
        <v>55.555555555555557</v>
      </c>
      <c r="C153" s="8">
        <f>(L48*($E48/366))+(L49*($E49/366))</f>
        <v>44.444444444444443</v>
      </c>
      <c r="D153" s="8">
        <f>(M48*($E48/366))+(M49*($E49/366))</f>
        <v>0</v>
      </c>
      <c r="E153" s="48">
        <f t="shared" si="27"/>
        <v>100</v>
      </c>
      <c r="G153" s="1">
        <v>1980</v>
      </c>
      <c r="H153" s="989">
        <f>(O48/$R48*100*($E48/366))+(O49/$R49*100*($E49/366))</f>
        <v>38.426626323751897</v>
      </c>
      <c r="I153" s="989"/>
      <c r="J153" s="989">
        <f>(P48/$R48*100*($E48/366))+(P49/$R49*100*($E49/366))</f>
        <v>61.573373676248124</v>
      </c>
      <c r="K153" s="989"/>
      <c r="L153" s="989">
        <f>(Q48/$R48*100*($E48/366))+(Q49/$R49*100*($E49/366))</f>
        <v>0</v>
      </c>
      <c r="M153" s="989"/>
      <c r="N153" s="959">
        <f t="shared" si="28"/>
        <v>100.00000000000003</v>
      </c>
      <c r="O153" s="959"/>
      <c r="R153" s="1">
        <v>1980</v>
      </c>
      <c r="S153" s="8">
        <f>(O48*($E48/366))+(O49*($E49/366))</f>
        <v>25.4</v>
      </c>
      <c r="T153" s="8">
        <f>(P48*($E48/366))+(P49*($E49/366))</f>
        <v>40.700000000000003</v>
      </c>
      <c r="U153" s="8">
        <f>(Q48*($E48/366))+(Q49*($E49/366))</f>
        <v>0</v>
      </c>
      <c r="V153" s="7"/>
      <c r="W153" s="7">
        <f t="shared" si="29"/>
        <v>66.099999999999994</v>
      </c>
    </row>
    <row r="154" spans="1:23">
      <c r="A154" s="1">
        <v>1981</v>
      </c>
      <c r="B154" s="8">
        <f>(K50*($E50/365))+(K51*($E51/365))</f>
        <v>55.555555555555557</v>
      </c>
      <c r="C154" s="8">
        <f>(L50*($E50/365))+(L51*($E51/365))</f>
        <v>44.444444444444443</v>
      </c>
      <c r="D154" s="8">
        <f>(M50*($E50/365))+(M51*($E51/365))</f>
        <v>0</v>
      </c>
      <c r="E154" s="48">
        <f t="shared" si="27"/>
        <v>100</v>
      </c>
      <c r="G154" s="1">
        <v>1981</v>
      </c>
      <c r="H154" s="989">
        <f>(O50/$R50*100*($E50/365))+(O51/$R51*100*($E51/365))</f>
        <v>38.426626323751897</v>
      </c>
      <c r="I154" s="989"/>
      <c r="J154" s="989">
        <f>(P50/$R50*100*($E50/365))+(P51/$R51*100*($E51/365))</f>
        <v>61.573373676248124</v>
      </c>
      <c r="K154" s="989"/>
      <c r="L154" s="989">
        <f>(Q50/$R50*100*($E50/365))+(Q51/$R51*100*($E51/365))</f>
        <v>0</v>
      </c>
      <c r="M154" s="989"/>
      <c r="N154" s="959">
        <f t="shared" si="28"/>
        <v>100.00000000000003</v>
      </c>
      <c r="O154" s="959"/>
      <c r="R154" s="1">
        <v>1981</v>
      </c>
      <c r="S154" s="8">
        <f>(O50*($E50/365))+(O51*($E51/365))</f>
        <v>25.4</v>
      </c>
      <c r="T154" s="8">
        <f>(P50*($E50/365))+(P51*($E51/365))</f>
        <v>40.700000000000003</v>
      </c>
      <c r="U154" s="8">
        <f>(Q50*($E50/365))+(Q51*($E51/365))</f>
        <v>0</v>
      </c>
      <c r="V154" s="7"/>
      <c r="W154" s="7">
        <f t="shared" si="29"/>
        <v>66.099999999999994</v>
      </c>
    </row>
    <row r="155" spans="1:23">
      <c r="A155" s="1">
        <v>1982</v>
      </c>
      <c r="B155" s="8">
        <f>(K52*($E52/365))+(K53*($E53/365))</f>
        <v>55.555555555555557</v>
      </c>
      <c r="C155" s="8">
        <f>(L52*($E52/365))+(L53*($E53/365))</f>
        <v>44.444444444444443</v>
      </c>
      <c r="D155" s="8">
        <f>(M52*($E52/365))+(M53*($E53/365))</f>
        <v>0</v>
      </c>
      <c r="E155" s="48">
        <f t="shared" si="27"/>
        <v>100</v>
      </c>
      <c r="G155" s="1">
        <v>1982</v>
      </c>
      <c r="H155" s="989">
        <f>(O52/$R52*100*($E52/365))+(O53/$R53*100*($E53/365))</f>
        <v>38.426626323751897</v>
      </c>
      <c r="I155" s="989"/>
      <c r="J155" s="989">
        <f>(P52/$R52*100*($E52/365))+(P53/$R53*100*($E53/365))</f>
        <v>61.573373676248124</v>
      </c>
      <c r="K155" s="989"/>
      <c r="L155" s="989">
        <f>(Q52/$R52*100*($E52/365))+(Q53/$R53*100*($E53/365))</f>
        <v>0</v>
      </c>
      <c r="M155" s="989"/>
      <c r="N155" s="959">
        <f t="shared" si="28"/>
        <v>100.00000000000003</v>
      </c>
      <c r="O155" s="959"/>
      <c r="R155" s="1">
        <v>1982</v>
      </c>
      <c r="S155" s="8">
        <f>(O52*($E52/365))+(O53*($E53/365))</f>
        <v>25.4</v>
      </c>
      <c r="T155" s="8">
        <f>(P52*($E52/365))+(P53*($E53/365))</f>
        <v>40.700000000000003</v>
      </c>
      <c r="U155" s="8">
        <f>(Q52*($E52/365))+(Q53*($E53/365))</f>
        <v>0</v>
      </c>
      <c r="V155" s="7"/>
      <c r="W155" s="7">
        <f t="shared" si="29"/>
        <v>66.099999999999994</v>
      </c>
    </row>
    <row r="156" spans="1:23">
      <c r="A156" s="1">
        <v>1983</v>
      </c>
      <c r="B156" s="8">
        <f>(K54*($E54/365))+(K55*($E55/365))</f>
        <v>55.555555555555557</v>
      </c>
      <c r="C156" s="8">
        <f>(L54*($E54/365))+(L55*($E55/365))</f>
        <v>44.444444444444443</v>
      </c>
      <c r="D156" s="8">
        <f>(M54*($E54/365))+(M55*($E55/365))</f>
        <v>0</v>
      </c>
      <c r="E156" s="48">
        <f t="shared" si="27"/>
        <v>100</v>
      </c>
      <c r="G156" s="1">
        <v>1983</v>
      </c>
      <c r="H156" s="989">
        <f>(O54/$R54*100*($E54/365))+(O55/$R55*100*($E55/365))</f>
        <v>38.426626323751897</v>
      </c>
      <c r="I156" s="989"/>
      <c r="J156" s="989">
        <f>(P54/$R54*100*($E54/365))+(P55/$R55*100*($E55/365))</f>
        <v>61.573373676248124</v>
      </c>
      <c r="K156" s="989"/>
      <c r="L156" s="989">
        <f>(Q54/$R54*100*($E54/365))+(Q55/$R55*100*($E55/365))</f>
        <v>0</v>
      </c>
      <c r="M156" s="989"/>
      <c r="N156" s="959">
        <f t="shared" si="28"/>
        <v>100.00000000000003</v>
      </c>
      <c r="O156" s="959"/>
      <c r="R156" s="1">
        <v>1983</v>
      </c>
      <c r="S156" s="8">
        <f>(O54*($E54/365))+(O55*($E55/365))</f>
        <v>25.4</v>
      </c>
      <c r="T156" s="8">
        <f>(P54*($E54/365))+(P55*($E55/365))</f>
        <v>40.700000000000003</v>
      </c>
      <c r="U156" s="8">
        <f>(Q54*($E54/365))+(Q55*($E55/365))</f>
        <v>0</v>
      </c>
      <c r="V156" s="7"/>
      <c r="W156" s="7">
        <f t="shared" si="29"/>
        <v>66.099999999999994</v>
      </c>
    </row>
    <row r="157" spans="1:23">
      <c r="A157" s="1">
        <v>1984</v>
      </c>
      <c r="B157" s="8">
        <f>(K56*($E56/366))+(K57*($E57/366))</f>
        <v>30.510018214936252</v>
      </c>
      <c r="C157" s="8">
        <f>(L56*($E56/366))+(L57*($E57/366))</f>
        <v>49.453551912568308</v>
      </c>
      <c r="D157" s="8">
        <f>(M56*($E56/366))+(M57*($E57/366))</f>
        <v>20.036429872495447</v>
      </c>
      <c r="E157" s="48">
        <f t="shared" si="27"/>
        <v>100.00000000000001</v>
      </c>
      <c r="G157" s="1">
        <v>1984</v>
      </c>
      <c r="H157" s="989">
        <f>(O56/$R56*100*($E56/366))+(O57/$R57*100*($E57/366))</f>
        <v>21.103147243371946</v>
      </c>
      <c r="I157" s="989"/>
      <c r="J157" s="989">
        <f>(P56/$R56*100*($E56/366))+(P57/$R57*100*($E57/366))</f>
        <v>58.330948381243317</v>
      </c>
      <c r="K157" s="989"/>
      <c r="L157" s="989">
        <f>(Q56/$R56*100*($E56/366))+(Q57/$R57*100*($E57/366))</f>
        <v>20.565904375384754</v>
      </c>
      <c r="M157" s="989"/>
      <c r="N157" s="959">
        <f t="shared" si="28"/>
        <v>100.00000000000003</v>
      </c>
      <c r="O157" s="959"/>
      <c r="R157" s="1">
        <v>1984</v>
      </c>
      <c r="S157" s="8">
        <f>(O56*($E56/366))+(O57*($E57/366))</f>
        <v>13.949180327868852</v>
      </c>
      <c r="T157" s="8">
        <f>(P56*($E56/366))+(P57*($E57/366))</f>
        <v>39.978688524590169</v>
      </c>
      <c r="U157" s="8">
        <f>(Q56*($E56/366))+(Q57*($E57/366))</f>
        <v>14.786885245901638</v>
      </c>
      <c r="V157" s="7"/>
      <c r="W157" s="7">
        <f t="shared" si="29"/>
        <v>68.714754098360658</v>
      </c>
    </row>
    <row r="158" spans="1:23">
      <c r="A158" s="1">
        <v>1985</v>
      </c>
      <c r="B158" s="8">
        <f>(K58*($E58/365))+(K59*($E59/365))</f>
        <v>0</v>
      </c>
      <c r="C158" s="8">
        <f>(L58*($E58/365))+(L59*($E59/365))</f>
        <v>55.555555555555557</v>
      </c>
      <c r="D158" s="8">
        <f>(M58*($E58/365))+(M59*($E59/365))</f>
        <v>44.444444444444443</v>
      </c>
      <c r="E158" s="48">
        <f t="shared" si="27"/>
        <v>100</v>
      </c>
      <c r="G158" s="1">
        <v>1985</v>
      </c>
      <c r="H158" s="989">
        <f>(O58/$R58*100*($E58/365))+(O59/$R59*100*($E59/365))</f>
        <v>0</v>
      </c>
      <c r="I158" s="989"/>
      <c r="J158" s="989">
        <f>(P58/$R58*100*($E58/365))+(P59/$R59*100*($E59/365))</f>
        <v>54.381084840055628</v>
      </c>
      <c r="K158" s="989"/>
      <c r="L158" s="989">
        <f>(Q58/$R58*100*($E58/365))+(Q59/$R59*100*($E59/365))</f>
        <v>45.618915159944365</v>
      </c>
      <c r="M158" s="989"/>
      <c r="N158" s="959">
        <f t="shared" si="28"/>
        <v>100</v>
      </c>
      <c r="O158" s="959"/>
      <c r="R158" s="1">
        <v>1985</v>
      </c>
      <c r="S158" s="8">
        <f>(O58*($E58/365))+(O59*($E59/365))</f>
        <v>0</v>
      </c>
      <c r="T158" s="8">
        <f>(P58*($E58/365))+(P59*($E59/365))</f>
        <v>39.1</v>
      </c>
      <c r="U158" s="8">
        <f>(Q58*($E58/365))+(Q59*($E59/365))</f>
        <v>32.799999999999997</v>
      </c>
      <c r="V158" s="7"/>
      <c r="W158" s="7">
        <f t="shared" si="29"/>
        <v>71.900000000000006</v>
      </c>
    </row>
    <row r="159" spans="1:23">
      <c r="A159" s="1">
        <v>1986</v>
      </c>
      <c r="B159" s="8">
        <f>(K60*($E60/365))+(K61*($E61/365))</f>
        <v>0</v>
      </c>
      <c r="C159" s="8">
        <f>(L60*($E60/365))+(L61*($E61/365))</f>
        <v>55.555555555555557</v>
      </c>
      <c r="D159" s="8">
        <f>(M60*($E60/365))+(M61*($E61/365))</f>
        <v>44.444444444444443</v>
      </c>
      <c r="E159" s="48">
        <f t="shared" si="27"/>
        <v>100</v>
      </c>
      <c r="G159" s="1">
        <v>1986</v>
      </c>
      <c r="H159" s="989">
        <f>(O60/$R60*100*($E60/365))+(O61/$R61*100*($E61/365))</f>
        <v>0</v>
      </c>
      <c r="I159" s="989"/>
      <c r="J159" s="989">
        <f>(P60/$R60*100*($E60/365))+(P61/$R61*100*($E61/365))</f>
        <v>54.381084840055628</v>
      </c>
      <c r="K159" s="989"/>
      <c r="L159" s="989">
        <f>(Q60/$R60*100*($E60/365))+(Q61/$R61*100*($E61/365))</f>
        <v>45.618915159944365</v>
      </c>
      <c r="M159" s="989"/>
      <c r="N159" s="959">
        <f t="shared" si="28"/>
        <v>100</v>
      </c>
      <c r="O159" s="959"/>
      <c r="R159" s="1">
        <v>1986</v>
      </c>
      <c r="S159" s="8">
        <f>(O60*($E60/365))+(O61*($E61/365))</f>
        <v>0</v>
      </c>
      <c r="T159" s="8">
        <f>(P60*($E60/365))+(P61*($E61/365))</f>
        <v>39.1</v>
      </c>
      <c r="U159" s="8">
        <f>(Q60*($E60/365))+(Q61*($E61/365))</f>
        <v>32.799999999999997</v>
      </c>
      <c r="V159" s="7"/>
      <c r="W159" s="7">
        <f t="shared" si="29"/>
        <v>71.900000000000006</v>
      </c>
    </row>
    <row r="160" spans="1:23">
      <c r="A160" s="1">
        <v>1987</v>
      </c>
      <c r="B160" s="8">
        <f>(K62*($E62/365))+(K63*($E63/365))</f>
        <v>0</v>
      </c>
      <c r="C160" s="8">
        <f>(L62*($E62/365))+(L63*($E63/365))</f>
        <v>55.555555555555557</v>
      </c>
      <c r="D160" s="8">
        <f>(M62*($E62/365))+(M63*($E63/365))</f>
        <v>44.444444444444443</v>
      </c>
      <c r="E160" s="48">
        <f t="shared" si="27"/>
        <v>100</v>
      </c>
      <c r="G160" s="1">
        <v>1987</v>
      </c>
      <c r="H160" s="989">
        <f>(O62/$R62*100*($E62/365))+(O63/$R63*100*($E63/365))</f>
        <v>0</v>
      </c>
      <c r="I160" s="989"/>
      <c r="J160" s="989">
        <f>(P62/$R62*100*($E62/365))+(P63/$R63*100*($E63/365))</f>
        <v>54.381084840055628</v>
      </c>
      <c r="K160" s="989"/>
      <c r="L160" s="989">
        <f>(Q62/$R62*100*($E62/365))+(Q63/$R63*100*($E63/365))</f>
        <v>45.618915159944365</v>
      </c>
      <c r="M160" s="989"/>
      <c r="N160" s="959">
        <f t="shared" si="28"/>
        <v>100</v>
      </c>
      <c r="O160" s="959"/>
      <c r="R160" s="1">
        <v>1987</v>
      </c>
      <c r="S160" s="8">
        <f>(O62*($E62/365))+(O63*($E63/365))</f>
        <v>0</v>
      </c>
      <c r="T160" s="8">
        <f>(P62*($E62/365))+(P63*($E63/365))</f>
        <v>39.1</v>
      </c>
      <c r="U160" s="8">
        <f>(Q62*($E62/365))+(Q63*($E63/365))</f>
        <v>32.799999999999997</v>
      </c>
      <c r="V160" s="7"/>
      <c r="W160" s="7">
        <f t="shared" si="29"/>
        <v>71.900000000000006</v>
      </c>
    </row>
    <row r="161" spans="1:23">
      <c r="A161" s="1">
        <v>1988</v>
      </c>
      <c r="B161" s="8">
        <f>(K64*($E64/366))+(K65*($E65/366))</f>
        <v>0</v>
      </c>
      <c r="C161" s="8">
        <f>(L64*($E64/366))+(L65*($E65/366))</f>
        <v>55.555555555555557</v>
      </c>
      <c r="D161" s="8">
        <f>(M64*($E64/366))+(M65*($E65/366))</f>
        <v>44.444444444444443</v>
      </c>
      <c r="E161" s="48">
        <f t="shared" si="27"/>
        <v>100</v>
      </c>
      <c r="G161" s="1">
        <v>1988</v>
      </c>
      <c r="H161" s="989">
        <f>(O64/$R64*100*($E64/366))+(O65/$R65*100*($E65/366))</f>
        <v>0</v>
      </c>
      <c r="I161" s="989"/>
      <c r="J161" s="989">
        <f>(P64/$R64*100*($E64/366))+(P65/$R65*100*($E65/366))</f>
        <v>54.381084840055628</v>
      </c>
      <c r="K161" s="989"/>
      <c r="L161" s="989">
        <f>(Q64/$R64*100*($E64/366))+(Q65/$R65*100*($E65/366))</f>
        <v>45.618915159944365</v>
      </c>
      <c r="M161" s="989"/>
      <c r="N161" s="959">
        <f t="shared" si="28"/>
        <v>100</v>
      </c>
      <c r="O161" s="959"/>
      <c r="R161" s="1">
        <v>1988</v>
      </c>
      <c r="S161" s="8">
        <f>(O64*($E64/366))+(O65*($E65/366))</f>
        <v>0</v>
      </c>
      <c r="T161" s="8">
        <f>(P64*($E64/366))+(P65*($E65/366))</f>
        <v>39.1</v>
      </c>
      <c r="U161" s="8">
        <f>(Q64*($E64/366))+(Q65*($E65/366))</f>
        <v>32.799999999999997</v>
      </c>
      <c r="V161" s="7"/>
      <c r="W161" s="7">
        <f t="shared" si="29"/>
        <v>71.900000000000006</v>
      </c>
    </row>
    <row r="162" spans="1:23">
      <c r="A162" s="1">
        <v>1989</v>
      </c>
      <c r="B162" s="8">
        <f>(K66*($E66/365))+(K67*($E67/365))</f>
        <v>0</v>
      </c>
      <c r="C162" s="8">
        <f>(L66*($E66/365))+(L67*($E67/365))</f>
        <v>57.637747336377473</v>
      </c>
      <c r="D162" s="8">
        <f>(M66*($E66/365))+(M67*($E67/365))</f>
        <v>42.362252663622527</v>
      </c>
      <c r="E162" s="48">
        <f t="shared" si="27"/>
        <v>100</v>
      </c>
      <c r="G162" s="1">
        <v>1989</v>
      </c>
      <c r="H162" s="989">
        <f>(O66/$R66*100*($E66/365))+(O67/$R67*100*($E67/365))</f>
        <v>0</v>
      </c>
      <c r="I162" s="989"/>
      <c r="J162" s="989">
        <f>(P66/$R66*100*($E66/365))+(P67/$R67*100*($E67/365))</f>
        <v>54.681578181321058</v>
      </c>
      <c r="K162" s="989"/>
      <c r="L162" s="989">
        <f>(Q66/$R66*100*($E66/365))+(Q67/$R67*100*($E67/365))</f>
        <v>45.318421818678942</v>
      </c>
      <c r="M162" s="989"/>
      <c r="N162" s="959">
        <f t="shared" si="28"/>
        <v>100</v>
      </c>
      <c r="O162" s="959"/>
      <c r="R162" s="1">
        <v>1989</v>
      </c>
      <c r="S162" s="8">
        <f>(O66*($E66/365))+(O67*($E67/365))</f>
        <v>0</v>
      </c>
      <c r="T162" s="8">
        <f>(P66*($E66/365))+(P67*($E67/365))</f>
        <v>37.97561643835617</v>
      </c>
      <c r="U162" s="8">
        <f>(Q66*($E66/365))+(Q67*($E67/365))</f>
        <v>31.48821917808219</v>
      </c>
      <c r="V162" s="7"/>
      <c r="W162" s="7">
        <f t="shared" si="29"/>
        <v>69.463835616438359</v>
      </c>
    </row>
    <row r="163" spans="1:23">
      <c r="A163" s="1">
        <v>1990</v>
      </c>
      <c r="B163" s="8">
        <f>(K68*($E68/365))+(K69*($E69/365))</f>
        <v>0</v>
      </c>
      <c r="C163" s="8">
        <f>(L68*($E68/365))+(L69*($E69/365))</f>
        <v>60</v>
      </c>
      <c r="D163" s="8">
        <f>(M68*($E68/365))+(M69*($E69/365))</f>
        <v>40</v>
      </c>
      <c r="E163" s="48">
        <f t="shared" si="27"/>
        <v>100</v>
      </c>
      <c r="G163" s="1">
        <v>1990</v>
      </c>
      <c r="H163" s="989">
        <f>(O68/$R68*100*($E68/365))+(O69/$R69*100*($E69/365))</f>
        <v>0</v>
      </c>
      <c r="I163" s="989"/>
      <c r="J163" s="989">
        <f>(P68/$R68*100*($E68/365))+(P69/$R69*100*($E69/365))</f>
        <v>55.022488755622192</v>
      </c>
      <c r="K163" s="989"/>
      <c r="L163" s="989">
        <f>(Q68/$R68*100*($E68/365))+(Q69/$R69*100*($E69/365))</f>
        <v>44.977511244377808</v>
      </c>
      <c r="M163" s="989"/>
      <c r="N163" s="959">
        <f t="shared" si="28"/>
        <v>100</v>
      </c>
      <c r="O163" s="959"/>
      <c r="R163" s="1">
        <v>1990</v>
      </c>
      <c r="S163" s="8">
        <f>(O68*($E68/365))+(O69*($E69/365))</f>
        <v>0</v>
      </c>
      <c r="T163" s="8">
        <f>(P68*($E68/365))+(P69*($E69/365))</f>
        <v>36.700000000000003</v>
      </c>
      <c r="U163" s="8">
        <f>(Q68*($E68/365))+(Q69*($E69/365))</f>
        <v>30</v>
      </c>
      <c r="V163" s="7"/>
      <c r="W163" s="7">
        <f t="shared" si="29"/>
        <v>66.7</v>
      </c>
    </row>
    <row r="164" spans="1:23">
      <c r="A164" s="1">
        <v>1991</v>
      </c>
      <c r="B164" s="8">
        <f>(K70*($E70/365))+(K71*($E71/365))</f>
        <v>0</v>
      </c>
      <c r="C164" s="8">
        <f>(L70*($E70/365))+(L71*($E71/365))</f>
        <v>60</v>
      </c>
      <c r="D164" s="8">
        <f>(M70*($E70/365))+(M71*($E71/365))</f>
        <v>40</v>
      </c>
      <c r="E164" s="48">
        <f t="shared" si="27"/>
        <v>100</v>
      </c>
      <c r="G164" s="1">
        <v>1991</v>
      </c>
      <c r="H164" s="989">
        <f>(O70/$R70*100*($E70/365))+(O71/$R71*100*($E71/365))</f>
        <v>0</v>
      </c>
      <c r="I164" s="989"/>
      <c r="J164" s="989">
        <f>(P70/$R70*100*($E70/365))+(P71/$R71*100*($E71/365))</f>
        <v>55.022488755622192</v>
      </c>
      <c r="K164" s="989"/>
      <c r="L164" s="989">
        <f>(Q70/$R70*100*($E70/365))+(Q71/$R71*100*($E71/365))</f>
        <v>44.977511244377808</v>
      </c>
      <c r="M164" s="989"/>
      <c r="N164" s="959">
        <f t="shared" si="28"/>
        <v>100</v>
      </c>
      <c r="O164" s="959"/>
      <c r="R164" s="1">
        <v>1991</v>
      </c>
      <c r="S164" s="8">
        <f>(O70*($E70/365))+(O71*($E71/365))</f>
        <v>0</v>
      </c>
      <c r="T164" s="8">
        <f>(P70*($E70/365))+(P71*($E71/365))</f>
        <v>36.700000000000003</v>
      </c>
      <c r="U164" s="8">
        <f>(Q70*($E70/365))+(Q71*($E71/365))</f>
        <v>30</v>
      </c>
      <c r="V164" s="7"/>
      <c r="W164" s="7">
        <f t="shared" si="29"/>
        <v>66.7</v>
      </c>
    </row>
    <row r="165" spans="1:23">
      <c r="A165" s="1">
        <v>1992</v>
      </c>
      <c r="B165" s="8">
        <f>(K72*($E72/366))+(K73*($E73/366))</f>
        <v>0</v>
      </c>
      <c r="C165" s="8">
        <f>(L72*($E72/366))+(L73*($E73/366))</f>
        <v>60</v>
      </c>
      <c r="D165" s="8">
        <f>(M72*($E72/366))+(M73*($E73/366))</f>
        <v>40</v>
      </c>
      <c r="E165" s="48">
        <f t="shared" si="27"/>
        <v>100</v>
      </c>
      <c r="G165" s="1">
        <v>1992</v>
      </c>
      <c r="H165" s="989">
        <f>(O72/$R72*100*($E72/366))+(O73/$R73*100*($E73/366))</f>
        <v>0</v>
      </c>
      <c r="I165" s="989"/>
      <c r="J165" s="989">
        <f>(P72/$R72*100*($E72/366))+(P73/$R73*100*($E73/366))</f>
        <v>55.022488755622192</v>
      </c>
      <c r="K165" s="989"/>
      <c r="L165" s="989">
        <f>(Q72/$R72*100*($E72/366))+(Q73/$R73*100*($E73/366))</f>
        <v>44.977511244377808</v>
      </c>
      <c r="M165" s="989"/>
      <c r="N165" s="959">
        <f t="shared" si="28"/>
        <v>100</v>
      </c>
      <c r="O165" s="959"/>
      <c r="R165" s="1">
        <v>1992</v>
      </c>
      <c r="S165" s="8">
        <f>(O72*($E72/366))+(O73*($E73/366))</f>
        <v>0</v>
      </c>
      <c r="T165" s="8">
        <f>(P72*($E72/366))+(P73*($E73/366))</f>
        <v>36.700000000000003</v>
      </c>
      <c r="U165" s="8">
        <f>(Q72*($E72/366))+(Q73*($E73/366))</f>
        <v>30</v>
      </c>
      <c r="V165" s="7"/>
      <c r="W165" s="7">
        <f t="shared" si="29"/>
        <v>66.7</v>
      </c>
    </row>
    <row r="166" spans="1:23">
      <c r="A166" s="1">
        <v>1993</v>
      </c>
      <c r="B166" s="8">
        <f>(K74*($E74/365))+(K75*($E75/365))</f>
        <v>0</v>
      </c>
      <c r="C166" s="8">
        <f>(L74*($E74/365))+(L75*($E75/365))</f>
        <v>60</v>
      </c>
      <c r="D166" s="8">
        <f>(M74*($E74/365))+(M75*($E75/365))</f>
        <v>40</v>
      </c>
      <c r="E166" s="48">
        <f t="shared" si="27"/>
        <v>100</v>
      </c>
      <c r="G166" s="1">
        <v>1993</v>
      </c>
      <c r="H166" s="989">
        <f>(O74/$R74*100*($E74/365))+(O75/$R75*100*($E75/365))</f>
        <v>0</v>
      </c>
      <c r="I166" s="989"/>
      <c r="J166" s="989">
        <f>(P74/$R74*100*($E74/365))+(P75/$R75*100*($E75/365))</f>
        <v>55.022488755622192</v>
      </c>
      <c r="K166" s="989"/>
      <c r="L166" s="989">
        <f>(Q74/$R74*100*($E74/365))+(Q75/$R75*100*($E75/365))</f>
        <v>44.977511244377808</v>
      </c>
      <c r="M166" s="989"/>
      <c r="N166" s="959">
        <f t="shared" si="28"/>
        <v>100</v>
      </c>
      <c r="O166" s="959"/>
      <c r="R166" s="1">
        <v>1993</v>
      </c>
      <c r="S166" s="8">
        <f>(O74*($E74/365))+(O75*($E75/365))</f>
        <v>0</v>
      </c>
      <c r="T166" s="8">
        <f>(P74*($E74/365))+(P75*($E75/365))</f>
        <v>36.700000000000003</v>
      </c>
      <c r="U166" s="8">
        <f>(Q74*($E74/365))+(Q75*($E75/365))</f>
        <v>30</v>
      </c>
      <c r="V166" s="7"/>
      <c r="W166" s="7">
        <f t="shared" si="29"/>
        <v>66.7</v>
      </c>
    </row>
    <row r="167" spans="1:23">
      <c r="A167" s="1">
        <v>1994</v>
      </c>
      <c r="B167" s="8">
        <f>(K76*($E76/365))+(K77*($E77/365))</f>
        <v>0</v>
      </c>
      <c r="C167" s="8">
        <f>(L76*($E76/365))+(L77*($E77/365))</f>
        <v>55.287671232876718</v>
      </c>
      <c r="D167" s="8">
        <f>(M76*($E76/365))+(M77*($E77/365))</f>
        <v>44.712328767123296</v>
      </c>
      <c r="E167" s="48">
        <f t="shared" si="27"/>
        <v>100.00000000000001</v>
      </c>
      <c r="G167" s="1">
        <v>1994</v>
      </c>
      <c r="H167" s="989">
        <f>(O76/$R76*100*($E76/365))+(O77/$R77*100*($E77/365))</f>
        <v>0</v>
      </c>
      <c r="I167" s="989"/>
      <c r="J167" s="989">
        <f>(P76/$R76*100*($E76/365))+(P77/$R77*100*($E77/365))</f>
        <v>55.149613403387256</v>
      </c>
      <c r="K167" s="989"/>
      <c r="L167" s="989">
        <f>(Q76/$R76*100*($E76/365))+(Q77/$R77*100*($E77/365))</f>
        <v>44.850386596612751</v>
      </c>
      <c r="M167" s="989"/>
      <c r="N167" s="959">
        <f t="shared" si="28"/>
        <v>100</v>
      </c>
      <c r="O167" s="959"/>
      <c r="R167" s="1">
        <v>1994</v>
      </c>
      <c r="S167" s="8">
        <f>(O76*($E76/365))+(O77*($E77/365))</f>
        <v>0</v>
      </c>
      <c r="T167" s="8">
        <f>(P76*($E76/365))+(P77*($E77/365))</f>
        <v>35.89890410958904</v>
      </c>
      <c r="U167" s="8">
        <f>(Q76*($E76/365))+(Q77*($E77/365))</f>
        <v>29.198904109589044</v>
      </c>
      <c r="V167" s="7"/>
      <c r="W167" s="7">
        <f t="shared" si="29"/>
        <v>65.097808219178091</v>
      </c>
    </row>
    <row r="168" spans="1:23">
      <c r="A168" s="1">
        <v>1995</v>
      </c>
      <c r="B168" s="8">
        <f>(K78*($E78/365))+(K79*($E79/365))</f>
        <v>0</v>
      </c>
      <c r="C168" s="8">
        <f>(L78*($E78/365))+(L79*($E79/365))</f>
        <v>50</v>
      </c>
      <c r="D168" s="8">
        <f>(M78*($E78/365))+(M79*($E79/365))</f>
        <v>50</v>
      </c>
      <c r="E168" s="48">
        <f t="shared" si="27"/>
        <v>100</v>
      </c>
      <c r="G168" s="1">
        <v>1995</v>
      </c>
      <c r="H168" s="989">
        <f>(O78/$R78*100*($E78/365))+(O79/$R79*100*($E79/365))</f>
        <v>0</v>
      </c>
      <c r="I168" s="989"/>
      <c r="J168" s="989">
        <f>(P78/$R78*100*($E78/365))+(P79/$R79*100*($E79/365))</f>
        <v>55.292259083728275</v>
      </c>
      <c r="K168" s="989"/>
      <c r="L168" s="989">
        <f>(Q78/$R78*100*($E78/365))+(Q79/$R79*100*($E79/365))</f>
        <v>44.707740916271717</v>
      </c>
      <c r="M168" s="989"/>
      <c r="N168" s="959">
        <f t="shared" si="28"/>
        <v>100</v>
      </c>
      <c r="O168" s="959"/>
      <c r="R168" s="1">
        <v>1995</v>
      </c>
      <c r="S168" s="8">
        <f>(O78*($E78/365))+(O79*($E79/365))</f>
        <v>0</v>
      </c>
      <c r="T168" s="8">
        <f>(P78*($E78/365))+(P79*($E79/365))</f>
        <v>35</v>
      </c>
      <c r="U168" s="8">
        <f>(Q78*($E78/365))+(Q79*($E79/365))</f>
        <v>28.299999999999997</v>
      </c>
      <c r="V168" s="7"/>
      <c r="W168" s="7">
        <f t="shared" si="29"/>
        <v>63.3</v>
      </c>
    </row>
    <row r="169" spans="1:23">
      <c r="A169" s="1">
        <v>1996</v>
      </c>
      <c r="B169" s="8">
        <f>(K80*($E80/366))+(K81*($E81/366))</f>
        <v>0</v>
      </c>
      <c r="C169" s="8">
        <f>(L80*($E80/366))+(L81*($E81/366))</f>
        <v>50</v>
      </c>
      <c r="D169" s="8">
        <f>(M80*($E80/366))+(M81*($E81/366))</f>
        <v>50</v>
      </c>
      <c r="E169" s="48">
        <f t="shared" si="27"/>
        <v>100</v>
      </c>
      <c r="G169" s="1">
        <v>1996</v>
      </c>
      <c r="H169" s="989">
        <f>(O80/$R80*100*($E80/366))+(O81/$R81*100*($E81/366))</f>
        <v>0</v>
      </c>
      <c r="I169" s="989"/>
      <c r="J169" s="989">
        <f>(P80/$R80*100*($E80/366))+(P81/$R81*100*($E81/366))</f>
        <v>55.292259083728283</v>
      </c>
      <c r="K169" s="989"/>
      <c r="L169" s="989">
        <f>(Q80/$R80*100*($E80/366))+(Q81/$R81*100*($E81/366))</f>
        <v>44.707740916271725</v>
      </c>
      <c r="M169" s="989"/>
      <c r="N169" s="959">
        <f t="shared" si="28"/>
        <v>100</v>
      </c>
      <c r="O169" s="959"/>
      <c r="R169" s="1">
        <v>1996</v>
      </c>
      <c r="S169" s="8">
        <f>(O80*($E80/366))+(O81*($E81/366))</f>
        <v>0</v>
      </c>
      <c r="T169" s="8">
        <f>(P80*($E80/366))+(P81*($E81/366))</f>
        <v>35</v>
      </c>
      <c r="U169" s="8">
        <f>(Q80*($E80/366))+(Q81*($E81/366))</f>
        <v>28.3</v>
      </c>
      <c r="V169" s="7"/>
      <c r="W169" s="7">
        <f t="shared" si="29"/>
        <v>63.3</v>
      </c>
    </row>
    <row r="170" spans="1:23">
      <c r="A170" s="1">
        <v>1997</v>
      </c>
      <c r="B170" s="8">
        <f>(K82*($E82/365))+(K83*($E83/365))</f>
        <v>0</v>
      </c>
      <c r="C170" s="8">
        <f>(L82*($E82/365))+(L83*($E83/365))</f>
        <v>50</v>
      </c>
      <c r="D170" s="8">
        <f>(M82*($E82/365))+(M83*($E83/365))</f>
        <v>50</v>
      </c>
      <c r="E170" s="48">
        <f t="shared" si="27"/>
        <v>100</v>
      </c>
      <c r="G170" s="1">
        <v>1997</v>
      </c>
      <c r="H170" s="989">
        <f>(O82/$R82*100*($E82/365))+(O83/$R83*100*($E83/365))</f>
        <v>0</v>
      </c>
      <c r="I170" s="989"/>
      <c r="J170" s="989">
        <f>(P82/$R82*100*($E82/365))+(P83/$R83*100*($E83/365))</f>
        <v>55.292259083728283</v>
      </c>
      <c r="K170" s="989"/>
      <c r="L170" s="989">
        <f>(Q82/$R82*100*($E82/365))+(Q83/$R83*100*($E83/365))</f>
        <v>44.707740916271725</v>
      </c>
      <c r="M170" s="989"/>
      <c r="N170" s="959">
        <f t="shared" si="28"/>
        <v>100</v>
      </c>
      <c r="O170" s="959"/>
      <c r="R170" s="1">
        <v>1997</v>
      </c>
      <c r="S170" s="8">
        <f>(O82*($E82/365))+(O83*($E83/365))</f>
        <v>0</v>
      </c>
      <c r="T170" s="8">
        <f>(P82*($E82/365))+(P83*($E83/365))</f>
        <v>35</v>
      </c>
      <c r="U170" s="8">
        <f>(Q82*($E82/365))+(Q83*($E83/365))</f>
        <v>28.3</v>
      </c>
      <c r="V170" s="7"/>
      <c r="W170" s="7">
        <f t="shared" si="29"/>
        <v>63.3</v>
      </c>
    </row>
    <row r="171" spans="1:23">
      <c r="A171" s="1">
        <v>1998</v>
      </c>
      <c r="B171" s="8">
        <f>(K84*($E84/365))+(K85*($E85/365))</f>
        <v>0</v>
      </c>
      <c r="C171" s="8">
        <f>(L84*($E84/365))+(L85*($E85/365))</f>
        <v>50</v>
      </c>
      <c r="D171" s="8">
        <f>(M84*($E84/365))+(M85*($E85/365))</f>
        <v>50</v>
      </c>
      <c r="E171" s="48">
        <f t="shared" si="27"/>
        <v>100</v>
      </c>
      <c r="G171" s="1">
        <v>1998</v>
      </c>
      <c r="H171" s="989">
        <f>(O84/$R84*100*($E84/365))+(O85/$R85*100*($E85/365))</f>
        <v>0</v>
      </c>
      <c r="I171" s="989"/>
      <c r="J171" s="989">
        <f>(P84/$R84*100*($E84/365))+(P85/$R85*100*($E85/365))</f>
        <v>55.292259083728283</v>
      </c>
      <c r="K171" s="989"/>
      <c r="L171" s="989">
        <f>(Q84/$R84*100*($E84/365))+(Q85/$R85*100*($E85/365))</f>
        <v>44.707740916271725</v>
      </c>
      <c r="M171" s="989"/>
      <c r="N171" s="959">
        <f t="shared" si="28"/>
        <v>100</v>
      </c>
      <c r="O171" s="959"/>
      <c r="R171" s="1">
        <v>1998</v>
      </c>
      <c r="S171" s="8">
        <f>(O84*($E84/365))+(O85*($E85/365))</f>
        <v>0</v>
      </c>
      <c r="T171" s="8">
        <f>(P84*($E84/365))+(P85*($E85/365))</f>
        <v>35</v>
      </c>
      <c r="U171" s="8">
        <f>(Q84*($E84/365))+(Q85*($E85/365))</f>
        <v>28.3</v>
      </c>
      <c r="V171" s="7"/>
      <c r="W171" s="7">
        <f t="shared" si="29"/>
        <v>63.3</v>
      </c>
    </row>
    <row r="172" spans="1:23">
      <c r="A172" s="1">
        <v>1999</v>
      </c>
      <c r="B172" s="8">
        <f>(K86*($E86/365))+(K87*($E87/365))</f>
        <v>15.890410958904111</v>
      </c>
      <c r="C172" s="8">
        <f>(L86*($E86/365))+(L87*($E87/365))</f>
        <v>50</v>
      </c>
      <c r="D172" s="8">
        <f>(M86*($E86/365))+(M87*($E87/365))</f>
        <v>34.109589041095887</v>
      </c>
      <c r="E172" s="48">
        <f t="shared" si="27"/>
        <v>100</v>
      </c>
      <c r="G172" s="1">
        <v>1999</v>
      </c>
      <c r="H172" s="989">
        <f>(O86/$R86*100*($E86/365))+(O87/$R87*100*($E87/365))</f>
        <v>14.012708076635018</v>
      </c>
      <c r="I172" s="989"/>
      <c r="J172" s="989">
        <f>(P86/$R86*100*($E86/365))+(P87/$R87*100*($E87/365))</f>
        <v>55.488038531168655</v>
      </c>
      <c r="K172" s="989"/>
      <c r="L172" s="989">
        <f>(Q86/$R86*100*($E86/365))+(Q87/$R87*100*($E87/365))</f>
        <v>30.499253392196326</v>
      </c>
      <c r="M172" s="989"/>
      <c r="N172" s="959">
        <f t="shared" si="28"/>
        <v>100</v>
      </c>
      <c r="O172" s="959"/>
      <c r="R172" s="1">
        <v>1999</v>
      </c>
      <c r="S172" s="8">
        <f>(O86*($E86/365))+(O87*($E87/365))</f>
        <v>7.9452054794520555</v>
      </c>
      <c r="T172" s="8">
        <f>(P86*($E86/365))+(P87*($E87/365))</f>
        <v>33.951232876712325</v>
      </c>
      <c r="U172" s="8">
        <f>(Q86*($E86/365))+(Q87*($E87/365))</f>
        <v>19.306027397260273</v>
      </c>
      <c r="V172" s="7"/>
      <c r="W172" s="7">
        <f t="shared" si="29"/>
        <v>61.202465753424654</v>
      </c>
    </row>
    <row r="173" spans="1:23">
      <c r="A173" s="1">
        <v>2000</v>
      </c>
      <c r="B173" s="8">
        <f>(K88*($E88/366))+(K89*($E89/366))</f>
        <v>50</v>
      </c>
      <c r="C173" s="8">
        <f>(L88*($E88/366))+(L89*($E89/366))</f>
        <v>50</v>
      </c>
      <c r="D173" s="8">
        <f>(M88*($E88/366))+(M89*($E89/366))</f>
        <v>0</v>
      </c>
      <c r="E173" s="48">
        <f t="shared" si="27"/>
        <v>100</v>
      </c>
      <c r="G173" s="1">
        <v>2000</v>
      </c>
      <c r="H173" s="989">
        <f>(O88/$R88*100*($E88/366))+(O89/$R89*100*($E89/366))</f>
        <v>44.091710758377424</v>
      </c>
      <c r="I173" s="989"/>
      <c r="J173" s="989">
        <f>(P88/$R88*100*($E88/366))+(P89/$R89*100*($E89/366))</f>
        <v>55.908289241622569</v>
      </c>
      <c r="K173" s="989"/>
      <c r="L173" s="989">
        <f>(Q88/$R88*100*($E88/366))+(Q89/$R89*100*($E89/366))</f>
        <v>0</v>
      </c>
      <c r="M173" s="989"/>
      <c r="N173" s="959">
        <f t="shared" si="28"/>
        <v>100</v>
      </c>
      <c r="O173" s="959"/>
      <c r="R173" s="1">
        <v>2000</v>
      </c>
      <c r="S173" s="8">
        <f>(O88*($E88/366))+(O89*($E89/366))</f>
        <v>25</v>
      </c>
      <c r="T173" s="8">
        <f>(P88*($E88/366))+(P89*($E89/366))</f>
        <v>31.7</v>
      </c>
      <c r="U173" s="8">
        <f>(Q88*($E88/366))+(Q89*($E89/366))</f>
        <v>0</v>
      </c>
      <c r="V173" s="7"/>
      <c r="W173" s="7">
        <f t="shared" si="29"/>
        <v>56.7</v>
      </c>
    </row>
    <row r="174" spans="1:23">
      <c r="A174" s="1">
        <v>2001</v>
      </c>
      <c r="B174" s="8">
        <f>(K90*($E90/365))+(K91*($E91/365))</f>
        <v>50</v>
      </c>
      <c r="C174" s="8">
        <f>(L90*($E90/365))+(L91*($E91/365))</f>
        <v>50</v>
      </c>
      <c r="D174" s="8">
        <f>(M90*($E90/365))+(M91*($E91/365))</f>
        <v>0</v>
      </c>
      <c r="E174" s="48">
        <f t="shared" si="27"/>
        <v>100</v>
      </c>
      <c r="G174" s="1">
        <v>2001</v>
      </c>
      <c r="H174" s="989">
        <f>(O90/$R90*100*($E90/365))+(O91/$R91*100*($E91/365))</f>
        <v>44.091710758377424</v>
      </c>
      <c r="I174" s="989"/>
      <c r="J174" s="989">
        <f>(P90/$R90*100*($E90/365))+(P91/$R91*100*($E91/365))</f>
        <v>55.908289241622569</v>
      </c>
      <c r="K174" s="989"/>
      <c r="L174" s="989">
        <f>(Q90/$R90*100*($E90/365))+(Q91/$R91*100*($E91/365))</f>
        <v>0</v>
      </c>
      <c r="M174" s="989"/>
      <c r="N174" s="959">
        <f t="shared" si="28"/>
        <v>100</v>
      </c>
      <c r="O174" s="959"/>
      <c r="R174" s="1">
        <v>2001</v>
      </c>
      <c r="S174" s="8">
        <f>(O90*($E90/365))+(O91*($E91/365))</f>
        <v>25</v>
      </c>
      <c r="T174" s="8">
        <f>(P90*($E90/365))+(P91*($E91/365))</f>
        <v>31.7</v>
      </c>
      <c r="U174" s="8">
        <f>(Q90*($E90/365))+(Q91*($E91/365))</f>
        <v>0</v>
      </c>
      <c r="V174" s="7"/>
      <c r="W174" s="7">
        <f t="shared" si="29"/>
        <v>56.7</v>
      </c>
    </row>
    <row r="175" spans="1:23">
      <c r="A175" s="1">
        <v>2002</v>
      </c>
      <c r="B175" s="8">
        <f>(K92*($E92/365))+(K93*($E93/365))</f>
        <v>50</v>
      </c>
      <c r="C175" s="8">
        <f>(L92*($E92/365))+(L93*($E93/365))</f>
        <v>50</v>
      </c>
      <c r="D175" s="8">
        <f>(M92*($E92/365))+(M93*($E93/365))</f>
        <v>0</v>
      </c>
      <c r="E175" s="48">
        <f t="shared" si="27"/>
        <v>100</v>
      </c>
      <c r="G175" s="1">
        <v>2002</v>
      </c>
      <c r="H175" s="989">
        <f>(O92/$R92*100*($E92/365))+(O93/$R93*100*($E93/365))</f>
        <v>44.091710758377424</v>
      </c>
      <c r="I175" s="989"/>
      <c r="J175" s="989">
        <f>(P92/$R92*100*($E92/365))+(P93/$R93*100*($E93/365))</f>
        <v>55.908289241622569</v>
      </c>
      <c r="K175" s="989"/>
      <c r="L175" s="989">
        <f>(Q92/$R92*100*($E92/365))+(Q93/$R93*100*($E93/365))</f>
        <v>0</v>
      </c>
      <c r="M175" s="989"/>
      <c r="N175" s="959">
        <f t="shared" si="28"/>
        <v>100</v>
      </c>
      <c r="O175" s="959"/>
      <c r="R175" s="1">
        <v>2002</v>
      </c>
      <c r="S175" s="8">
        <f>(O92*($E92/365))+(O93*($E93/365))</f>
        <v>25</v>
      </c>
      <c r="T175" s="8">
        <f>(P92*($E92/365))+(P93*($E93/365))</f>
        <v>31.7</v>
      </c>
      <c r="U175" s="8">
        <f>(Q92*($E92/365))+(Q93*($E93/365))</f>
        <v>0</v>
      </c>
      <c r="V175" s="7"/>
      <c r="W175" s="7">
        <f t="shared" si="29"/>
        <v>56.7</v>
      </c>
    </row>
    <row r="176" spans="1:23">
      <c r="A176" s="1">
        <v>2003</v>
      </c>
      <c r="B176" s="8">
        <f>(K94*($E94/365))+(K95*($E95/365))</f>
        <v>50</v>
      </c>
      <c r="C176" s="8">
        <f>(L94*($E94/365))+(L95*($E95/365))</f>
        <v>50</v>
      </c>
      <c r="D176" s="8">
        <f>(M94*($E94/365))+(M95*($E95/365))</f>
        <v>0</v>
      </c>
      <c r="E176" s="48">
        <f t="shared" si="27"/>
        <v>100</v>
      </c>
      <c r="G176" s="1">
        <v>2003</v>
      </c>
      <c r="H176" s="989">
        <f>(O94/$R94*100*($E94/365))+(O95/$R95*100*($E95/365))</f>
        <v>44.091710758377424</v>
      </c>
      <c r="I176" s="989"/>
      <c r="J176" s="989">
        <f>(P94/$R94*100*($E94/365))+(P95/$R95*100*($E95/365))</f>
        <v>55.908289241622569</v>
      </c>
      <c r="K176" s="989"/>
      <c r="L176" s="989">
        <f>(Q94/$R94*100*($E94/365))+(Q95/$R95*100*($E95/365))</f>
        <v>0</v>
      </c>
      <c r="M176" s="989"/>
      <c r="N176" s="959">
        <f t="shared" si="28"/>
        <v>100</v>
      </c>
      <c r="O176" s="959"/>
      <c r="R176" s="1">
        <v>2003</v>
      </c>
      <c r="S176" s="8">
        <f>(O94*($E94/365))+(O95*($E95/365))</f>
        <v>25</v>
      </c>
      <c r="T176" s="8">
        <f>(P94*($E94/365))+(P95*($E95/365))</f>
        <v>31.7</v>
      </c>
      <c r="U176" s="8">
        <f>(Q94*($E94/365))+(Q95*($E95/365))</f>
        <v>0</v>
      </c>
      <c r="V176" s="7"/>
      <c r="W176" s="7">
        <f t="shared" si="29"/>
        <v>56.7</v>
      </c>
    </row>
    <row r="177" spans="1:23">
      <c r="A177" s="1">
        <v>2004</v>
      </c>
      <c r="B177" s="8">
        <f>(K96*($E96/366))+(K97*($E97/366))</f>
        <v>28.961748633879779</v>
      </c>
      <c r="C177" s="8">
        <f>(L96*($E96/366))+(L97*($E97/366))</f>
        <v>54.207650273224047</v>
      </c>
      <c r="D177" s="8">
        <f>(M96*($E96/366))+(M97*($E97/366))</f>
        <v>16.830601092896174</v>
      </c>
      <c r="E177" s="48">
        <f t="shared" si="27"/>
        <v>100</v>
      </c>
      <c r="G177" s="1">
        <v>2004</v>
      </c>
      <c r="H177" s="989">
        <f>(O96/$R96*100*($E96/366))+(O97/$R97*100*($E97/366))</f>
        <v>25.539460876437197</v>
      </c>
      <c r="I177" s="989"/>
      <c r="J177" s="989">
        <f>(P96/$R96*100*($E96/366))+(P97/$R97*100*($E97/366))</f>
        <v>58.972663710273665</v>
      </c>
      <c r="K177" s="989"/>
      <c r="L177" s="989">
        <f>(Q96/$R96*100*($E96/366))+(Q97/$R97*100*($E97/366))</f>
        <v>15.487875413289137</v>
      </c>
      <c r="M177" s="989"/>
      <c r="N177" s="959">
        <f t="shared" si="28"/>
        <v>99.999999999999986</v>
      </c>
      <c r="O177" s="959"/>
      <c r="R177" s="1">
        <v>2004</v>
      </c>
      <c r="S177" s="8">
        <f>(O96*($E96/366))+(O97*($E97/366))</f>
        <v>14.480874316939889</v>
      </c>
      <c r="T177" s="8">
        <f>(P96*($E96/366))+(P97*($E97/366))</f>
        <v>35.192349726775959</v>
      </c>
      <c r="U177" s="8">
        <f>(Q96*($E96/366))+(Q97*($E97/366))</f>
        <v>9.8038251366120228</v>
      </c>
      <c r="V177" s="7"/>
      <c r="W177" s="7">
        <f t="shared" si="29"/>
        <v>59.477049180327867</v>
      </c>
    </row>
    <row r="178" spans="1:23">
      <c r="A178" s="1">
        <v>2005</v>
      </c>
      <c r="B178" s="8">
        <f>(K98*($E98/365))+(K99*($E99/365))</f>
        <v>0</v>
      </c>
      <c r="C178" s="8">
        <f>(L98*($E98/365))+(L99*($E99/365))</f>
        <v>60</v>
      </c>
      <c r="D178" s="8">
        <f>(M98*($E98/365))+(M99*($E99/365))</f>
        <v>40</v>
      </c>
      <c r="E178" s="48">
        <f t="shared" si="27"/>
        <v>100</v>
      </c>
      <c r="G178" s="1">
        <v>2005</v>
      </c>
      <c r="H178" s="989">
        <f>(O98/$R98*100*($E98/365))+(O99/$R99*100*($E99/365))</f>
        <v>0</v>
      </c>
      <c r="I178" s="989"/>
      <c r="J178" s="989">
        <f>(P98/$R98*100*($E98/365))+(P99/$R99*100*($E99/365))</f>
        <v>63.191153238546605</v>
      </c>
      <c r="K178" s="989"/>
      <c r="L178" s="989">
        <f>(Q98/$R98*100*($E98/365))+(Q99/$R99*100*($E99/365))</f>
        <v>36.808846761453403</v>
      </c>
      <c r="M178" s="989"/>
      <c r="N178" s="959">
        <f t="shared" si="28"/>
        <v>100</v>
      </c>
      <c r="O178" s="959"/>
      <c r="R178" s="1">
        <v>2005</v>
      </c>
      <c r="S178" s="8">
        <f>(O98*($E98/365))+(O99*($E99/365))</f>
        <v>0</v>
      </c>
      <c r="T178" s="8">
        <f>(P98*($E98/365))+(P99*($E99/365))</f>
        <v>40</v>
      </c>
      <c r="U178" s="8">
        <f>(Q98*($E98/365))+(Q99*($E99/365))</f>
        <v>23.3</v>
      </c>
      <c r="V178" s="7"/>
      <c r="W178" s="7">
        <f t="shared" si="29"/>
        <v>63.3</v>
      </c>
    </row>
    <row r="179" spans="1:23">
      <c r="A179" s="1">
        <v>2006</v>
      </c>
      <c r="B179" s="8">
        <f>(K100*($E100/365))+(K101*($E101/365))</f>
        <v>0</v>
      </c>
      <c r="C179" s="8">
        <f>(L100*($E100/365))+(L101*($E101/365))</f>
        <v>60</v>
      </c>
      <c r="D179" s="8">
        <f>(M100*($E100/365))+(M101*($E101/365))</f>
        <v>40</v>
      </c>
      <c r="E179" s="48">
        <f t="shared" si="27"/>
        <v>100</v>
      </c>
      <c r="G179" s="1">
        <v>2006</v>
      </c>
      <c r="H179" s="989">
        <f>(O100/$R100*100*($E100/365))+(O101/$R101*100*($E101/365))</f>
        <v>0</v>
      </c>
      <c r="I179" s="989"/>
      <c r="J179" s="989">
        <f>(P100/$R100*100*($E100/365))+(P101/$R101*100*($E101/365))</f>
        <v>63.191153238546605</v>
      </c>
      <c r="K179" s="989"/>
      <c r="L179" s="989">
        <f>(Q100/$R100*100*($E100/365))+(Q101/$R101*100*($E101/365))</f>
        <v>36.808846761453403</v>
      </c>
      <c r="M179" s="989"/>
      <c r="N179" s="959">
        <f t="shared" si="28"/>
        <v>100</v>
      </c>
      <c r="O179" s="959"/>
      <c r="R179" s="1">
        <v>2006</v>
      </c>
      <c r="S179" s="8">
        <f>(O100*($E100/365))+(O101*($E101/365))</f>
        <v>0</v>
      </c>
      <c r="T179" s="8">
        <f>(P100*($E100/365))+(P101*($E101/365))</f>
        <v>40</v>
      </c>
      <c r="U179" s="8">
        <f>(Q100*($E100/365))+(Q101*($E101/365))</f>
        <v>23.3</v>
      </c>
      <c r="V179" s="7"/>
      <c r="W179" s="7">
        <f t="shared" si="29"/>
        <v>63.3</v>
      </c>
    </row>
    <row r="180" spans="1:23">
      <c r="A180" s="1">
        <v>2007</v>
      </c>
      <c r="B180" s="8">
        <f>(K102*($E102/365))+(K103*($E103/365))</f>
        <v>0</v>
      </c>
      <c r="C180" s="8">
        <f>(L102*($E102/365))+(L103*($E103/365))</f>
        <v>60</v>
      </c>
      <c r="D180" s="8">
        <f>(M102*($E102/365))+(M103*($E103/365))</f>
        <v>40</v>
      </c>
      <c r="E180" s="48">
        <f t="shared" si="27"/>
        <v>100</v>
      </c>
      <c r="G180" s="1">
        <v>2007</v>
      </c>
      <c r="H180" s="989">
        <f>(O102/$R102*100*($E102/365))+(O103/$R103*100*($E103/365))</f>
        <v>0</v>
      </c>
      <c r="I180" s="989"/>
      <c r="J180" s="989">
        <f>(P102/$R102*100*($E102/365))+(P103/$R103*100*($E103/365))</f>
        <v>63.191153238546605</v>
      </c>
      <c r="K180" s="989"/>
      <c r="L180" s="989">
        <f>(Q102/$R102*100*($E102/365))+(Q103/$R103*100*($E103/365))</f>
        <v>36.808846761453403</v>
      </c>
      <c r="M180" s="989"/>
      <c r="N180" s="959">
        <f t="shared" si="28"/>
        <v>100</v>
      </c>
      <c r="O180" s="959"/>
      <c r="R180" s="1">
        <v>2007</v>
      </c>
      <c r="S180" s="8">
        <f>(O102*($E102/365))+(O103*($E103/365))</f>
        <v>0</v>
      </c>
      <c r="T180" s="8">
        <f>(P102*($E102/365))+(P103*($E103/365))</f>
        <v>40</v>
      </c>
      <c r="U180" s="8">
        <f>(Q102*($E102/365))+(Q103*($E103/365))</f>
        <v>23.3</v>
      </c>
      <c r="V180" s="7"/>
      <c r="W180" s="7">
        <f t="shared" si="29"/>
        <v>63.3</v>
      </c>
    </row>
    <row r="181" spans="1:23">
      <c r="A181" s="1">
        <v>2008</v>
      </c>
      <c r="B181" s="8">
        <f>(K104*($E104/366))+(K105*($E105/366))</f>
        <v>0</v>
      </c>
      <c r="C181" s="8">
        <f>(L104*($E104/366))+(L105*($E105/366))</f>
        <v>60</v>
      </c>
      <c r="D181" s="8">
        <f>(M104*($E104/366))+(M105*($E105/366))</f>
        <v>40</v>
      </c>
      <c r="E181" s="48">
        <f t="shared" si="27"/>
        <v>100</v>
      </c>
      <c r="G181" s="1">
        <v>2008</v>
      </c>
      <c r="H181" s="989">
        <f>(O104/$R104*100*($E104/366))+(O105/$R105*100*($E105/366))</f>
        <v>0</v>
      </c>
      <c r="I181" s="989"/>
      <c r="J181" s="989">
        <f>(P104/$R104*100*($E104/366))+(P105/$R105*100*($E105/366))</f>
        <v>63.191153238546605</v>
      </c>
      <c r="K181" s="989"/>
      <c r="L181" s="989">
        <f>(Q104/$R104*100*($E104/366))+(Q105/$R105*100*($E105/366))</f>
        <v>36.808846761453403</v>
      </c>
      <c r="M181" s="989"/>
      <c r="N181" s="959">
        <f t="shared" si="28"/>
        <v>100</v>
      </c>
      <c r="O181" s="959"/>
      <c r="R181" s="1">
        <v>2008</v>
      </c>
      <c r="S181" s="8">
        <f>(O104*($E104/366))+(O105*($E105/366))</f>
        <v>0</v>
      </c>
      <c r="T181" s="8">
        <f>(P104*($E104/366))+(P105*($E105/366))</f>
        <v>40</v>
      </c>
      <c r="U181" s="8">
        <f>(Q104*($E104/366))+(Q105*($E105/366))</f>
        <v>23.3</v>
      </c>
      <c r="V181" s="7"/>
      <c r="W181" s="7">
        <f t="shared" si="29"/>
        <v>63.3</v>
      </c>
    </row>
    <row r="182" spans="1:23">
      <c r="A182" s="1">
        <v>2009</v>
      </c>
      <c r="B182" s="8">
        <f>(K106*($E106/365))+(K107*($E107/365))</f>
        <v>0</v>
      </c>
      <c r="C182" s="8">
        <f>(L106*($E106/365))+(L107*($E107/365))</f>
        <v>60</v>
      </c>
      <c r="D182" s="8">
        <f>(M106*($E106/365))+(M107*($E107/365))</f>
        <v>40</v>
      </c>
      <c r="E182" s="48">
        <f t="shared" si="27"/>
        <v>100</v>
      </c>
      <c r="G182" s="1">
        <v>2009</v>
      </c>
      <c r="H182" s="989">
        <f>(O106/$R106*100*($E106/365))+(O107/$R107*100*($E107/365))</f>
        <v>0</v>
      </c>
      <c r="I182" s="989"/>
      <c r="J182" s="989">
        <f>(P106/$R106*100*($E106/365))+(P107/$R107*100*($E107/365))</f>
        <v>64.710949082513068</v>
      </c>
      <c r="K182" s="989"/>
      <c r="L182" s="989">
        <f>(Q106/$R106*100*($E106/365))+(Q107/$R107*100*($E107/365))</f>
        <v>35.289050917486946</v>
      </c>
      <c r="M182" s="989"/>
      <c r="N182" s="959">
        <f t="shared" si="28"/>
        <v>100.00000000000001</v>
      </c>
      <c r="O182" s="959"/>
      <c r="R182" s="1">
        <v>2009</v>
      </c>
      <c r="S182" s="8">
        <f>(O106*($E106/365))+(O107*($E107/365))</f>
        <v>0</v>
      </c>
      <c r="T182" s="8">
        <f>(P106*($E106/365))+(P107*($E107/365))</f>
        <v>41.46465753424657</v>
      </c>
      <c r="U182" s="8">
        <f>(Q106*($E106/365))+(Q107*($E107/365))</f>
        <v>22.589863013698633</v>
      </c>
      <c r="V182" s="7"/>
      <c r="W182" s="7">
        <f t="shared" si="29"/>
        <v>64.054520547945202</v>
      </c>
    </row>
    <row r="183" spans="1:23">
      <c r="A183" s="1">
        <v>2010</v>
      </c>
      <c r="B183" s="8">
        <f>(K108*($E108/365))+(K109*($E109/365))</f>
        <v>0</v>
      </c>
      <c r="C183" s="8">
        <f>(L108*($E108/365))+(L109*($E109/365))</f>
        <v>60</v>
      </c>
      <c r="D183" s="8">
        <f>(M108*($E108/365))+(M109*($E109/365))</f>
        <v>40</v>
      </c>
      <c r="E183" s="48">
        <f t="shared" si="27"/>
        <v>100</v>
      </c>
      <c r="G183" s="1">
        <v>2010</v>
      </c>
      <c r="H183" s="989">
        <f>(O108/$R108*100*($E108/365))+(O109/$R109*100*($E109/365))</f>
        <v>0</v>
      </c>
      <c r="I183" s="989"/>
      <c r="J183" s="989">
        <f>(P108/$R108*100*($E108/365))+(P109/$R109*100*($E109/365))</f>
        <v>66.615384615384613</v>
      </c>
      <c r="K183" s="989"/>
      <c r="L183" s="989">
        <f>(Q108/$R108*100*($E108/365))+(Q109/$R109*100*($E109/365))</f>
        <v>33.384615384615387</v>
      </c>
      <c r="M183" s="989"/>
      <c r="N183" s="959">
        <f t="shared" si="28"/>
        <v>100</v>
      </c>
      <c r="O183" s="959"/>
      <c r="R183" s="1">
        <v>2010</v>
      </c>
      <c r="S183" s="8">
        <f>(O108*($E108/365))+(O109*($E109/365))</f>
        <v>0</v>
      </c>
      <c r="T183" s="8">
        <f>(P108*($E108/365))+(P109*($E109/365))</f>
        <v>43.3</v>
      </c>
      <c r="U183" s="8">
        <f>(Q108*($E108/365))+(Q109*($E109/365))</f>
        <v>21.7</v>
      </c>
      <c r="V183" s="7"/>
      <c r="W183" s="7">
        <f t="shared" si="29"/>
        <v>65</v>
      </c>
    </row>
    <row r="184" spans="1:23">
      <c r="A184" s="1">
        <v>2011</v>
      </c>
      <c r="B184" s="8">
        <f>(K110*($E110/365))+(K111*($E111/365))</f>
        <v>0</v>
      </c>
      <c r="C184" s="8">
        <f>(L110*($E110/365))+(L111*($E111/365))</f>
        <v>60</v>
      </c>
      <c r="D184" s="8">
        <f>(M110*($E110/365))+(M111*($E111/365))</f>
        <v>40</v>
      </c>
      <c r="E184" s="48">
        <f t="shared" si="27"/>
        <v>100</v>
      </c>
      <c r="G184" s="1">
        <v>2011</v>
      </c>
      <c r="H184" s="989">
        <f>(O110/$R110*100*($E110/365))+(O111/$R111*100*($E111/365))</f>
        <v>0</v>
      </c>
      <c r="I184" s="989"/>
      <c r="J184" s="989">
        <f>(P110/$R110*100*($E110/365))+(P111/$R111*100*($E111/365))</f>
        <v>66.615384615384613</v>
      </c>
      <c r="K184" s="989"/>
      <c r="L184" s="989">
        <f>(Q110/$R110*100*($E110/365))+(Q111/$R111*100*($E111/365))</f>
        <v>33.384615384615387</v>
      </c>
      <c r="M184" s="989"/>
      <c r="N184" s="959">
        <f t="shared" si="28"/>
        <v>100</v>
      </c>
      <c r="O184" s="959"/>
      <c r="R184" s="1">
        <v>2011</v>
      </c>
      <c r="S184" s="8">
        <f>(O110*($E110/365))+(O111*($E111/365))</f>
        <v>0</v>
      </c>
      <c r="T184" s="8">
        <f>(P110*($E110/365))+(P111*($E111/365))</f>
        <v>43.3</v>
      </c>
      <c r="U184" s="8">
        <f>(Q110*($E110/365))+(Q111*($E111/365))</f>
        <v>21.7</v>
      </c>
      <c r="V184" s="7"/>
      <c r="W184" s="7">
        <f t="shared" si="29"/>
        <v>65</v>
      </c>
    </row>
    <row r="185" spans="1:23">
      <c r="A185" s="1">
        <v>2012</v>
      </c>
      <c r="B185" s="8">
        <f>(K112*($E112/366))+(K113*($E113/366))</f>
        <v>0</v>
      </c>
      <c r="C185" s="8">
        <f>(L112*($E112/366))+(L113*($E113/366))</f>
        <v>60</v>
      </c>
      <c r="D185" s="8">
        <f>(M112*($E112/366))+(M113*($E113/366))</f>
        <v>40</v>
      </c>
      <c r="E185" s="48">
        <f t="shared" si="27"/>
        <v>100</v>
      </c>
      <c r="G185" s="1">
        <v>2012</v>
      </c>
      <c r="H185" s="989">
        <f>(O112/$R112*100*($E112/366))+(O113/$R113*100*($E113/366))</f>
        <v>0</v>
      </c>
      <c r="I185" s="989"/>
      <c r="J185" s="989">
        <f>(P112/$R112*100*($E112/366))+(P113/$R113*100*($E113/366))</f>
        <v>66.615384615384613</v>
      </c>
      <c r="K185" s="989"/>
      <c r="L185" s="989">
        <f>(Q112/$R112*100*($E112/366))+(Q113/$R113*100*($E113/366))</f>
        <v>33.384615384615387</v>
      </c>
      <c r="M185" s="989"/>
      <c r="N185" s="959">
        <f t="shared" si="28"/>
        <v>100</v>
      </c>
      <c r="O185" s="959"/>
      <c r="R185" s="1">
        <v>2012</v>
      </c>
      <c r="S185" s="8">
        <f>(O112*($E112/366))+(O113*($E113/366))</f>
        <v>0</v>
      </c>
      <c r="T185" s="8">
        <f>(P112*($E112/366))+(P113*($E113/366))</f>
        <v>43.3</v>
      </c>
      <c r="U185" s="8">
        <f>(Q112*($E112/366))+(Q113*($E113/366))</f>
        <v>21.7</v>
      </c>
      <c r="V185" s="7"/>
      <c r="W185" s="7">
        <f t="shared" si="29"/>
        <v>65</v>
      </c>
    </row>
    <row r="186" spans="1:23">
      <c r="A186" s="1">
        <v>2013</v>
      </c>
      <c r="B186" s="8">
        <f>(K114*($E114/365))+(K115*($E115/365))</f>
        <v>2.9832572298325726</v>
      </c>
      <c r="C186" s="8">
        <f>(L114*($E114/365))+(L115*($E115/365))</f>
        <v>55.397260273972599</v>
      </c>
      <c r="D186" s="8">
        <f>(M114*($E114/365))+(M115*($E115/365))</f>
        <v>41.619482496194827</v>
      </c>
      <c r="E186" s="304">
        <f t="shared" si="27"/>
        <v>100</v>
      </c>
      <c r="G186" s="1">
        <v>2013</v>
      </c>
      <c r="H186" s="989">
        <f>(O114/$R114*100*($E114/365))+(O115/$R115*100*($E115/365))</f>
        <v>3.1173362064542611</v>
      </c>
      <c r="I186" s="989"/>
      <c r="J186" s="989">
        <f>(P114/$R114*100*($E114/365))+(P115/$R115*100*($E115/365))</f>
        <v>61.50516332982086</v>
      </c>
      <c r="K186" s="989"/>
      <c r="L186" s="989">
        <f>(Q114/$R114*100*($E114/365))+(Q115/$R115*100*($E115/365))</f>
        <v>35.377500463724878</v>
      </c>
      <c r="M186" s="989"/>
      <c r="N186" s="959">
        <f>H186+J186+L186</f>
        <v>100</v>
      </c>
      <c r="O186" s="959"/>
      <c r="R186" s="1">
        <v>2013</v>
      </c>
      <c r="S186" s="8">
        <f>(O114*($E114/365))+(O115*($E115/365))</f>
        <v>1.6646575342465755</v>
      </c>
      <c r="T186" s="8">
        <f>(P114*($E114/365))+(P115*($E115/365))</f>
        <v>39.978356164383555</v>
      </c>
      <c r="U186" s="8">
        <f>(Q114*($E114/365))+(Q115*($E115/365))</f>
        <v>22.467123287671232</v>
      </c>
      <c r="W186" s="7">
        <f t="shared" si="29"/>
        <v>64.110136986301356</v>
      </c>
    </row>
    <row r="187" spans="1:23">
      <c r="A187" s="1">
        <v>2014</v>
      </c>
      <c r="B187" s="8">
        <f>(K116*($E116/365))+(K117*($E117/365))</f>
        <v>38.888888888888893</v>
      </c>
      <c r="C187" s="8">
        <f>(L116*($E116/365))+(L117*($E117/365))</f>
        <v>0</v>
      </c>
      <c r="D187" s="8">
        <f>(M116*($E116/365))+(M117*($E117/365))</f>
        <v>61.111111111111114</v>
      </c>
      <c r="E187" s="559">
        <f>B187+C187+D187</f>
        <v>100</v>
      </c>
      <c r="G187" s="1">
        <v>2014</v>
      </c>
      <c r="H187" s="989">
        <f>(O116/$R116*100*($E116/365))+(O117/$R117*100*($E117/365))</f>
        <v>40.636704119850187</v>
      </c>
      <c r="I187" s="989"/>
      <c r="J187" s="989">
        <f>(P116/$R116*100*($E116/365))+(P117/$R117*100*($E117/365))</f>
        <v>0</v>
      </c>
      <c r="K187" s="989"/>
      <c r="L187" s="989">
        <f>(Q116/$R116*100*($E116/365))+(Q117/$R117*100*($E117/365))</f>
        <v>59.363295880149813</v>
      </c>
      <c r="M187" s="989"/>
      <c r="N187" s="959">
        <f>H187+J187+L187</f>
        <v>100</v>
      </c>
      <c r="O187" s="959"/>
      <c r="R187" s="1">
        <v>2014</v>
      </c>
      <c r="S187" s="8">
        <f>(O116*($E116/365))+(O117*($E117/365))</f>
        <v>21.7</v>
      </c>
      <c r="T187" s="8">
        <f>(P116*($E116/365))+(P117*($E117/365))</f>
        <v>0</v>
      </c>
      <c r="U187" s="8">
        <f>(Q116*($E116/365))+(Q117*($E117/365))</f>
        <v>31.7</v>
      </c>
      <c r="W187" s="7">
        <f>S187+T187+U187</f>
        <v>53.4</v>
      </c>
    </row>
    <row r="188" spans="1:23" s="738" customFormat="1">
      <c r="A188" s="738">
        <v>2015</v>
      </c>
      <c r="B188" s="732">
        <f>(K118*($E118/365))+(K119*($E119/365))</f>
        <v>38.888888888888893</v>
      </c>
      <c r="C188" s="732">
        <f>(L118*($E118/365))+(L119*($E119/365))</f>
        <v>0</v>
      </c>
      <c r="D188" s="732">
        <f>(M118*($E118/365))+(M119*($E119/365))</f>
        <v>61.111111111111114</v>
      </c>
      <c r="E188" s="733">
        <f>B188+C188+D188</f>
        <v>100</v>
      </c>
      <c r="G188" s="738">
        <v>2015</v>
      </c>
      <c r="H188" s="989">
        <f>(O118/$R118*100*($E118/365))+(O119/$R119*100*($E119/365))</f>
        <v>40.636704119850187</v>
      </c>
      <c r="I188" s="989"/>
      <c r="J188" s="989">
        <f>(P118/$R118*100*($E118/365))+(P119/$R119*100*($E119/365))</f>
        <v>0</v>
      </c>
      <c r="K188" s="989"/>
      <c r="L188" s="989">
        <f>(Q118/$R118*100*($E118/365))+(Q119/$R119*100*($E119/365))</f>
        <v>59.363295880149813</v>
      </c>
      <c r="M188" s="989"/>
      <c r="N188" s="959">
        <f>H188+J188+L188</f>
        <v>100</v>
      </c>
      <c r="O188" s="959"/>
      <c r="R188" s="738">
        <v>2015</v>
      </c>
      <c r="S188" s="732">
        <f>(O118*($E118/365))+(O119*($E119/365))</f>
        <v>21.7</v>
      </c>
      <c r="T188" s="732">
        <f>(P118*($E118/365))+(P119*($E119/365))</f>
        <v>0</v>
      </c>
      <c r="U188" s="732">
        <f>(Q118*($E118/365))+(Q119*($E119/365))</f>
        <v>31.7</v>
      </c>
      <c r="W188" s="737">
        <f>S188+T188+U188</f>
        <v>53.4</v>
      </c>
    </row>
    <row r="189" spans="1:23" s="844" customFormat="1">
      <c r="A189" s="844">
        <v>2016</v>
      </c>
      <c r="B189" s="838">
        <f>(K120*($E120/366))+(K121*($E121/366))</f>
        <v>38.888888888888893</v>
      </c>
      <c r="C189" s="838">
        <f>(L120*($E120/366))+(L121*($E121/366))</f>
        <v>0</v>
      </c>
      <c r="D189" s="838">
        <f>(M120*($E120/366))+(M121*($E121/366))</f>
        <v>61.111111111111114</v>
      </c>
      <c r="E189" s="839">
        <f>B189+C189+D189</f>
        <v>100</v>
      </c>
      <c r="G189" s="844">
        <v>2016</v>
      </c>
      <c r="H189" s="989">
        <f>(O120/$R120*100*($E120/366))+(O121/$R121*100*($E121/366))</f>
        <v>40.636704119850187</v>
      </c>
      <c r="I189" s="989"/>
      <c r="J189" s="989">
        <f>(P120/$R120*100*($E120/366))+(P121/$R121*100*($E121/366))</f>
        <v>0</v>
      </c>
      <c r="K189" s="989"/>
      <c r="L189" s="989">
        <f>(Q120/$R120*100*($E120/366))+(Q121/$R121*100*($E121/366))</f>
        <v>59.363295880149813</v>
      </c>
      <c r="M189" s="989"/>
      <c r="N189" s="959">
        <f>H189+J189+L189</f>
        <v>100</v>
      </c>
      <c r="O189" s="959"/>
      <c r="R189" s="844">
        <v>2016</v>
      </c>
      <c r="S189" s="838">
        <f>(O120*($E120/366))+(O121*($E121/366))</f>
        <v>21.7</v>
      </c>
      <c r="T189" s="838">
        <f>(P120*($E120/366))+(P121*($E121/366))</f>
        <v>0</v>
      </c>
      <c r="U189" s="838">
        <f>(Q120*($E120/366))+(Q121*($E121/366))</f>
        <v>31.7</v>
      </c>
      <c r="W189" s="842">
        <f>S189+T189+U189</f>
        <v>53.4</v>
      </c>
    </row>
    <row r="190" spans="1:23">
      <c r="A190" s="920">
        <v>2017</v>
      </c>
      <c r="B190" s="915">
        <f>(K122*($E122/365))+(K123*($E123/365))</f>
        <v>38.888888888888893</v>
      </c>
      <c r="C190" s="915">
        <f t="shared" ref="C190:D190" si="30">(L122*($E122/365))+(L123*($E123/365))</f>
        <v>0</v>
      </c>
      <c r="D190" s="915">
        <f t="shared" si="30"/>
        <v>61.111111111111114</v>
      </c>
      <c r="E190" s="916">
        <f>B190+C190+D190</f>
        <v>100</v>
      </c>
      <c r="F190" s="920"/>
      <c r="G190" s="920">
        <v>2017</v>
      </c>
      <c r="H190" s="989">
        <f>(O122/$R122*100*($E122/365))+(O123/$R123*100*($E123/365))</f>
        <v>40.636704119850187</v>
      </c>
      <c r="I190" s="989"/>
      <c r="J190" s="989">
        <f>(P122/$R122*100*($E122/365))+(P123/$R123*100*($E123/365))</f>
        <v>0</v>
      </c>
      <c r="K190" s="989"/>
      <c r="L190" s="989">
        <f>(Q122/$R122*100*($E122/365))+(Q123/$R123*100*($E123/365))</f>
        <v>59.363295880149813</v>
      </c>
      <c r="M190" s="989"/>
      <c r="N190" s="959">
        <f>H190+J190+L190</f>
        <v>100</v>
      </c>
      <c r="O190" s="959"/>
      <c r="P190" s="920"/>
      <c r="Q190" s="920"/>
      <c r="R190" s="920">
        <v>2017</v>
      </c>
      <c r="S190" s="915">
        <f>(O122*($E122/365))+(O123*($E123/365))</f>
        <v>21.7</v>
      </c>
      <c r="T190" s="915">
        <f t="shared" ref="T190:U190" si="31">(P122*($E122/365))+(P123*($E123/365))</f>
        <v>0</v>
      </c>
      <c r="U190" s="915">
        <f t="shared" si="31"/>
        <v>31.7</v>
      </c>
      <c r="V190" s="915"/>
      <c r="W190" s="917">
        <f>S190+T190+U190</f>
        <v>53.4</v>
      </c>
    </row>
    <row r="191" spans="1:23">
      <c r="A191" s="950">
        <v>2018</v>
      </c>
      <c r="B191" s="947">
        <f>(K124*($E124/365))+(K125*($E125/365))</f>
        <v>38.622974303876802</v>
      </c>
      <c r="C191" s="947">
        <f>(L124*($E124/365))+(L125*($E125/365))</f>
        <v>0</v>
      </c>
      <c r="D191" s="947">
        <f>(M124*($E124/365))+(M125*($E125/365))</f>
        <v>61.377025696123198</v>
      </c>
      <c r="E191" s="948">
        <f t="shared" ref="E191" si="32">B191+C191+D191</f>
        <v>100</v>
      </c>
      <c r="F191" s="950"/>
      <c r="G191" s="950">
        <v>2018</v>
      </c>
      <c r="H191" s="989">
        <f>(O124/$R124*100*($E124/365))+(O125/$R125*100*($E125/365))</f>
        <v>40.497856494291341</v>
      </c>
      <c r="I191" s="989"/>
      <c r="J191" s="989">
        <f>(P124/$R124*100*($E124/365))+(P125/$R125*100*($E125/365))</f>
        <v>0</v>
      </c>
      <c r="K191" s="989"/>
      <c r="L191" s="989">
        <f>(Q124/$R124*100*($E124/365))+(Q125/$R125*100*($E125/365))</f>
        <v>59.502143505708659</v>
      </c>
      <c r="M191" s="989"/>
      <c r="N191" s="959">
        <f t="shared" ref="N191" si="33">H191+J191+L191</f>
        <v>100</v>
      </c>
      <c r="O191" s="959"/>
      <c r="P191" s="950"/>
      <c r="Q191" s="950"/>
      <c r="R191" s="950">
        <v>2018</v>
      </c>
      <c r="S191" s="947">
        <f>(O124*($E124/365))+(O125*($E125/365))</f>
        <v>21.574246575342464</v>
      </c>
      <c r="T191" s="947">
        <f>(P124*($E124/365))+(P125*($E125/365))</f>
        <v>0</v>
      </c>
      <c r="U191" s="947">
        <f>(Q124*($E124/365))+(Q125*($E125/365))</f>
        <v>31.692602739726023</v>
      </c>
      <c r="V191" s="947"/>
      <c r="W191" s="949">
        <f t="shared" ref="W191" si="34">S191+T191+U191</f>
        <v>53.266849315068484</v>
      </c>
    </row>
    <row r="192" spans="1:23">
      <c r="F192" s="950"/>
      <c r="P192" s="950"/>
      <c r="Q192" s="950"/>
    </row>
  </sheetData>
  <mergeCells count="386">
    <mergeCell ref="AX4:BA4"/>
    <mergeCell ref="H185:I185"/>
    <mergeCell ref="N185:O185"/>
    <mergeCell ref="N179:O179"/>
    <mergeCell ref="N180:O180"/>
    <mergeCell ref="N181:O181"/>
    <mergeCell ref="N182:O182"/>
    <mergeCell ref="N183:O183"/>
    <mergeCell ref="N184:O184"/>
    <mergeCell ref="L182:M182"/>
    <mergeCell ref="L183:M183"/>
    <mergeCell ref="N173:O173"/>
    <mergeCell ref="N174:O174"/>
    <mergeCell ref="N175:O175"/>
    <mergeCell ref="N176:O176"/>
    <mergeCell ref="N177:O177"/>
    <mergeCell ref="N178:O178"/>
    <mergeCell ref="N172:O172"/>
    <mergeCell ref="L184:M184"/>
    <mergeCell ref="L178:M178"/>
    <mergeCell ref="L179:M179"/>
    <mergeCell ref="N167:O167"/>
    <mergeCell ref="N168:O168"/>
    <mergeCell ref="N169:O169"/>
    <mergeCell ref="C124:D124"/>
    <mergeCell ref="C125:D125"/>
    <mergeCell ref="H191:I191"/>
    <mergeCell ref="J191:K191"/>
    <mergeCell ref="L191:M191"/>
    <mergeCell ref="N191:O191"/>
    <mergeCell ref="AT4:AW4"/>
    <mergeCell ref="L185:M185"/>
    <mergeCell ref="N161:O161"/>
    <mergeCell ref="N162:O162"/>
    <mergeCell ref="N163:O163"/>
    <mergeCell ref="N164:O164"/>
    <mergeCell ref="N165:O165"/>
    <mergeCell ref="N166:O166"/>
    <mergeCell ref="L176:M176"/>
    <mergeCell ref="L177:M177"/>
    <mergeCell ref="L180:M180"/>
    <mergeCell ref="L181:M181"/>
    <mergeCell ref="L170:M170"/>
    <mergeCell ref="L171:M171"/>
    <mergeCell ref="L172:M172"/>
    <mergeCell ref="L173:M173"/>
    <mergeCell ref="L174:M174"/>
    <mergeCell ref="L175:M175"/>
    <mergeCell ref="N170:O170"/>
    <mergeCell ref="N171:O171"/>
    <mergeCell ref="J185:K185"/>
    <mergeCell ref="L161:M161"/>
    <mergeCell ref="L162:M162"/>
    <mergeCell ref="L163:M163"/>
    <mergeCell ref="L164:M164"/>
    <mergeCell ref="L165:M165"/>
    <mergeCell ref="L166:M166"/>
    <mergeCell ref="L167:M167"/>
    <mergeCell ref="L168:M168"/>
    <mergeCell ref="L169:M169"/>
    <mergeCell ref="J179:K179"/>
    <mergeCell ref="J180:K180"/>
    <mergeCell ref="J181:K181"/>
    <mergeCell ref="J182:K182"/>
    <mergeCell ref="J183:K183"/>
    <mergeCell ref="J184:K184"/>
    <mergeCell ref="J173:K173"/>
    <mergeCell ref="J174:K174"/>
    <mergeCell ref="J175:K175"/>
    <mergeCell ref="J176:K176"/>
    <mergeCell ref="J177:K177"/>
    <mergeCell ref="J178:K178"/>
    <mergeCell ref="J167:K167"/>
    <mergeCell ref="J168:K168"/>
    <mergeCell ref="J169:K169"/>
    <mergeCell ref="J170:K170"/>
    <mergeCell ref="J171:K171"/>
    <mergeCell ref="J172:K172"/>
    <mergeCell ref="J161:K161"/>
    <mergeCell ref="J162:K162"/>
    <mergeCell ref="J163:K163"/>
    <mergeCell ref="J164:K164"/>
    <mergeCell ref="J165:K165"/>
    <mergeCell ref="J166:K166"/>
    <mergeCell ref="H179:I179"/>
    <mergeCell ref="H180:I180"/>
    <mergeCell ref="H181:I181"/>
    <mergeCell ref="H182:I182"/>
    <mergeCell ref="H183:I183"/>
    <mergeCell ref="H184:I184"/>
    <mergeCell ref="H173:I173"/>
    <mergeCell ref="H174:I174"/>
    <mergeCell ref="H175:I175"/>
    <mergeCell ref="H176:I176"/>
    <mergeCell ref="H177:I177"/>
    <mergeCell ref="H178:I178"/>
    <mergeCell ref="H167:I167"/>
    <mergeCell ref="H168:I168"/>
    <mergeCell ref="H169:I169"/>
    <mergeCell ref="H170:I170"/>
    <mergeCell ref="H171:I171"/>
    <mergeCell ref="H172:I172"/>
    <mergeCell ref="H161:I161"/>
    <mergeCell ref="H162:I162"/>
    <mergeCell ref="H163:I163"/>
    <mergeCell ref="H164:I164"/>
    <mergeCell ref="H165:I165"/>
    <mergeCell ref="H166:I166"/>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48:I148"/>
    <mergeCell ref="J148:K148"/>
    <mergeCell ref="L148:M148"/>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J145:K145"/>
    <mergeCell ref="L145:M145"/>
    <mergeCell ref="N145:O145"/>
    <mergeCell ref="H146:I146"/>
    <mergeCell ref="J146:K146"/>
    <mergeCell ref="L146:M146"/>
    <mergeCell ref="N146:O146"/>
    <mergeCell ref="J147:K147"/>
    <mergeCell ref="L147:M147"/>
    <mergeCell ref="N147:O147"/>
    <mergeCell ref="R129:W129"/>
    <mergeCell ref="H131:I131"/>
    <mergeCell ref="J131:K131"/>
    <mergeCell ref="L131:M131"/>
    <mergeCell ref="N131:O131"/>
    <mergeCell ref="H133:I133"/>
    <mergeCell ref="J133:K133"/>
    <mergeCell ref="L133:M133"/>
    <mergeCell ref="N133:O133"/>
    <mergeCell ref="H132:I132"/>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L140:M140"/>
    <mergeCell ref="H137:I137"/>
    <mergeCell ref="J137:K137"/>
    <mergeCell ref="L137:M137"/>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N144:O144"/>
    <mergeCell ref="H141:I141"/>
    <mergeCell ref="N148:O148"/>
    <mergeCell ref="H145:I145"/>
    <mergeCell ref="C114:D114"/>
    <mergeCell ref="C115:D115"/>
    <mergeCell ref="H186:I186"/>
    <mergeCell ref="J186:K186"/>
    <mergeCell ref="L186:M186"/>
    <mergeCell ref="J132:K132"/>
    <mergeCell ref="L132:M132"/>
    <mergeCell ref="H134:I134"/>
    <mergeCell ref="J134:K134"/>
    <mergeCell ref="L134:M134"/>
    <mergeCell ref="J135:K135"/>
    <mergeCell ref="L135:M135"/>
    <mergeCell ref="H136:I136"/>
    <mergeCell ref="J136:K136"/>
    <mergeCell ref="L136:M136"/>
    <mergeCell ref="H139:I139"/>
    <mergeCell ref="J139:K139"/>
    <mergeCell ref="L139:M139"/>
    <mergeCell ref="H140:I140"/>
    <mergeCell ref="J140:K140"/>
    <mergeCell ref="C118:D118"/>
    <mergeCell ref="C119:D119"/>
    <mergeCell ref="H188:I188"/>
    <mergeCell ref="J188:K188"/>
    <mergeCell ref="L188:M188"/>
    <mergeCell ref="N188:O188"/>
    <mergeCell ref="H187:I187"/>
    <mergeCell ref="J187:K187"/>
    <mergeCell ref="L187:M187"/>
    <mergeCell ref="N187:O187"/>
    <mergeCell ref="J141:K141"/>
    <mergeCell ref="L141:M141"/>
    <mergeCell ref="N141:O141"/>
    <mergeCell ref="H142:I142"/>
    <mergeCell ref="J142:K142"/>
    <mergeCell ref="L142:M142"/>
    <mergeCell ref="N142:O142"/>
    <mergeCell ref="H147:I147"/>
    <mergeCell ref="N186:O186"/>
    <mergeCell ref="N132:O132"/>
    <mergeCell ref="N134:O134"/>
    <mergeCell ref="H135:I135"/>
    <mergeCell ref="N135:O135"/>
    <mergeCell ref="N136:O136"/>
    <mergeCell ref="H190:I190"/>
    <mergeCell ref="J190:K190"/>
    <mergeCell ref="L190:M190"/>
    <mergeCell ref="N190:O190"/>
    <mergeCell ref="C122:D122"/>
    <mergeCell ref="C123:D123"/>
    <mergeCell ref="H189:I189"/>
    <mergeCell ref="J189:K189"/>
    <mergeCell ref="L189:M189"/>
    <mergeCell ref="N189:O189"/>
    <mergeCell ref="N139:O139"/>
    <mergeCell ref="N140:O140"/>
    <mergeCell ref="N137:O137"/>
    <mergeCell ref="H138:I138"/>
    <mergeCell ref="J138:K138"/>
    <mergeCell ref="L138:M138"/>
    <mergeCell ref="N138:O138"/>
    <mergeCell ref="H143:I143"/>
    <mergeCell ref="J143:K143"/>
    <mergeCell ref="L143:M143"/>
    <mergeCell ref="N143:O143"/>
    <mergeCell ref="H144:I144"/>
    <mergeCell ref="J144:K144"/>
    <mergeCell ref="L144:M14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A171"/>
  <sheetViews>
    <sheetView zoomScale="183" zoomScaleNormal="120" workbookViewId="0">
      <pane xSplit="1" ySplit="5" topLeftCell="B101" activePane="bottomRight" state="frozen"/>
      <selection pane="topRight" activeCell="B1" sqref="B1"/>
      <selection pane="bottomLeft" activeCell="A6" sqref="A6"/>
      <selection pane="bottomRight" activeCell="W171" sqref="W17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62</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6" customFormat="1">
      <c r="A6" s="486">
        <v>1966</v>
      </c>
      <c r="B6" s="486"/>
      <c r="C6" s="992"/>
      <c r="D6" s="992"/>
      <c r="E6" s="486">
        <v>90</v>
      </c>
      <c r="F6" s="486"/>
      <c r="G6" s="497"/>
      <c r="H6" s="486"/>
      <c r="I6" s="486"/>
      <c r="J6" s="499"/>
      <c r="K6" s="495"/>
      <c r="L6" s="495"/>
      <c r="M6" s="495"/>
      <c r="N6" s="498"/>
      <c r="O6" s="494"/>
      <c r="P6" s="495"/>
      <c r="Q6" s="495"/>
      <c r="R6" s="496"/>
      <c r="S6" s="486"/>
      <c r="T6" s="487"/>
      <c r="U6" s="491"/>
      <c r="V6" s="488"/>
      <c r="W6" s="486"/>
      <c r="X6" s="486"/>
      <c r="Y6" s="503"/>
      <c r="Z6" s="486"/>
      <c r="AA6" s="486"/>
      <c r="AB6" s="486"/>
      <c r="AC6" s="486"/>
      <c r="AD6" s="488"/>
      <c r="AE6" s="486"/>
      <c r="AF6" s="486"/>
      <c r="AG6" s="489"/>
      <c r="AH6" s="486"/>
      <c r="AI6" s="486"/>
      <c r="AJ6" s="486"/>
      <c r="AK6" s="486"/>
      <c r="AL6" s="488"/>
      <c r="AM6" s="486"/>
      <c r="AN6" s="486"/>
      <c r="AO6" s="489"/>
      <c r="AP6" s="488"/>
      <c r="AQ6" s="486"/>
      <c r="AR6" s="486"/>
      <c r="AS6" s="489"/>
      <c r="AT6" s="486"/>
      <c r="AU6" s="486"/>
      <c r="AV6" s="486"/>
      <c r="AW6" s="489"/>
      <c r="AX6" s="486"/>
      <c r="AY6" s="486"/>
      <c r="AZ6" s="486"/>
      <c r="BA6" s="490"/>
    </row>
    <row r="7" spans="1:53" s="16" customFormat="1">
      <c r="A7" s="470">
        <v>1966</v>
      </c>
      <c r="B7" s="475">
        <v>24198</v>
      </c>
      <c r="C7" s="988" t="s">
        <v>1285</v>
      </c>
      <c r="D7" s="988"/>
      <c r="E7" s="470">
        <f>365-E6</f>
        <v>275</v>
      </c>
      <c r="F7" s="470">
        <v>1</v>
      </c>
      <c r="G7" s="480"/>
      <c r="H7" s="470">
        <v>8</v>
      </c>
      <c r="I7" s="470"/>
      <c r="J7" s="482">
        <v>8</v>
      </c>
      <c r="K7" s="477">
        <f t="shared" ref="K7:K38" si="0">G7/J7*100</f>
        <v>0</v>
      </c>
      <c r="L7" s="477">
        <f t="shared" ref="L7:L38" si="1">H7/J7*100</f>
        <v>100</v>
      </c>
      <c r="M7" s="477">
        <f t="shared" ref="M7:M38" si="2">I7/J7*100</f>
        <v>0</v>
      </c>
      <c r="N7" s="481">
        <f t="shared" ref="N7:N38" si="3">K7+L7+M7</f>
        <v>100</v>
      </c>
      <c r="O7" s="476"/>
      <c r="P7" s="477">
        <v>56</v>
      </c>
      <c r="Q7" s="477"/>
      <c r="R7" s="478">
        <f t="shared" ref="R7:R38" si="4">O7+P7+Q7</f>
        <v>56</v>
      </c>
      <c r="S7" s="470">
        <v>1</v>
      </c>
      <c r="T7" s="479">
        <v>24194</v>
      </c>
      <c r="U7" s="475"/>
      <c r="V7" s="472" t="s">
        <v>994</v>
      </c>
      <c r="W7" s="470" t="s">
        <v>17</v>
      </c>
      <c r="X7" s="470" t="s">
        <v>18</v>
      </c>
      <c r="Y7" s="485">
        <v>56</v>
      </c>
      <c r="Z7" s="470"/>
      <c r="AA7" s="470"/>
      <c r="AB7" s="470"/>
      <c r="AC7" s="470"/>
      <c r="AD7" s="472"/>
      <c r="AE7" s="470"/>
      <c r="AF7" s="470"/>
      <c r="AG7" s="473"/>
      <c r="AH7" s="470"/>
      <c r="AI7" s="470"/>
      <c r="AJ7" s="470"/>
      <c r="AK7" s="470"/>
      <c r="AL7" s="472"/>
      <c r="AM7" s="470"/>
      <c r="AN7" s="470"/>
      <c r="AO7" s="473"/>
      <c r="AP7" s="472"/>
      <c r="AQ7" s="470"/>
      <c r="AR7" s="470"/>
      <c r="AS7" s="473"/>
      <c r="AT7" s="470"/>
      <c r="AU7" s="470"/>
      <c r="AV7" s="470"/>
      <c r="AW7" s="473"/>
      <c r="AX7" s="470"/>
      <c r="AY7" s="470"/>
      <c r="AZ7" s="470"/>
      <c r="BA7" s="474"/>
    </row>
    <row r="8" spans="1:53" s="16" customFormat="1">
      <c r="A8" s="470">
        <v>1967</v>
      </c>
      <c r="B8" s="475"/>
      <c r="C8" s="988" t="s">
        <v>1285</v>
      </c>
      <c r="D8" s="988"/>
      <c r="E8" s="470">
        <v>0</v>
      </c>
      <c r="F8" s="470"/>
      <c r="G8" s="480"/>
      <c r="H8" s="470">
        <v>8</v>
      </c>
      <c r="I8" s="470"/>
      <c r="J8" s="482">
        <v>8</v>
      </c>
      <c r="K8" s="477">
        <f t="shared" si="0"/>
        <v>0</v>
      </c>
      <c r="L8" s="477">
        <f t="shared" si="1"/>
        <v>100</v>
      </c>
      <c r="M8" s="477">
        <f t="shared" si="2"/>
        <v>0</v>
      </c>
      <c r="N8" s="481">
        <f t="shared" si="3"/>
        <v>100</v>
      </c>
      <c r="O8" s="476"/>
      <c r="P8" s="477">
        <v>56</v>
      </c>
      <c r="Q8" s="477"/>
      <c r="R8" s="478">
        <f t="shared" si="4"/>
        <v>56</v>
      </c>
      <c r="S8" s="470">
        <v>1</v>
      </c>
      <c r="T8" s="479"/>
      <c r="U8" s="475"/>
      <c r="V8" s="472" t="s">
        <v>994</v>
      </c>
      <c r="W8" s="470" t="s">
        <v>17</v>
      </c>
      <c r="X8" s="470" t="s">
        <v>18</v>
      </c>
      <c r="Y8" s="485">
        <v>56</v>
      </c>
      <c r="Z8" s="470"/>
      <c r="AA8" s="470"/>
      <c r="AB8" s="470"/>
      <c r="AC8" s="470"/>
      <c r="AD8" s="472"/>
      <c r="AE8" s="470"/>
      <c r="AF8" s="470"/>
      <c r="AG8" s="473"/>
      <c r="AH8" s="470"/>
      <c r="AI8" s="470"/>
      <c r="AJ8" s="470"/>
      <c r="AK8" s="470"/>
      <c r="AL8" s="472"/>
      <c r="AM8" s="470"/>
      <c r="AN8" s="470"/>
      <c r="AO8" s="473"/>
      <c r="AP8" s="472"/>
      <c r="AQ8" s="470"/>
      <c r="AR8" s="470"/>
      <c r="AS8" s="473"/>
      <c r="AT8" s="470"/>
      <c r="AU8" s="470"/>
      <c r="AV8" s="470"/>
      <c r="AW8" s="473"/>
      <c r="AX8" s="470"/>
      <c r="AY8" s="470"/>
      <c r="AZ8" s="470"/>
      <c r="BA8" s="474"/>
    </row>
    <row r="9" spans="1:53" s="16" customFormat="1">
      <c r="A9" s="470">
        <v>1967</v>
      </c>
      <c r="B9" s="475"/>
      <c r="C9" s="988" t="s">
        <v>1285</v>
      </c>
      <c r="D9" s="988"/>
      <c r="E9" s="470">
        <v>365</v>
      </c>
      <c r="F9" s="470"/>
      <c r="G9" s="480"/>
      <c r="H9" s="470">
        <v>8</v>
      </c>
      <c r="I9" s="470"/>
      <c r="J9" s="482">
        <v>8</v>
      </c>
      <c r="K9" s="477">
        <f t="shared" si="0"/>
        <v>0</v>
      </c>
      <c r="L9" s="477">
        <f t="shared" si="1"/>
        <v>100</v>
      </c>
      <c r="M9" s="477">
        <f t="shared" si="2"/>
        <v>0</v>
      </c>
      <c r="N9" s="481">
        <f t="shared" si="3"/>
        <v>100</v>
      </c>
      <c r="O9" s="476"/>
      <c r="P9" s="477">
        <v>56</v>
      </c>
      <c r="Q9" s="477"/>
      <c r="R9" s="478">
        <f t="shared" si="4"/>
        <v>56</v>
      </c>
      <c r="S9" s="470">
        <v>1</v>
      </c>
      <c r="T9" s="479"/>
      <c r="U9" s="475"/>
      <c r="V9" s="472" t="s">
        <v>994</v>
      </c>
      <c r="W9" s="470" t="s">
        <v>17</v>
      </c>
      <c r="X9" s="470" t="s">
        <v>18</v>
      </c>
      <c r="Y9" s="485">
        <v>56</v>
      </c>
      <c r="Z9" s="470"/>
      <c r="AA9" s="470"/>
      <c r="AB9" s="470"/>
      <c r="AC9" s="470"/>
      <c r="AD9" s="472"/>
      <c r="AE9" s="470"/>
      <c r="AF9" s="470"/>
      <c r="AG9" s="473"/>
      <c r="AH9" s="470"/>
      <c r="AI9" s="470"/>
      <c r="AJ9" s="470"/>
      <c r="AK9" s="470"/>
      <c r="AL9" s="472"/>
      <c r="AM9" s="470"/>
      <c r="AN9" s="470"/>
      <c r="AO9" s="473"/>
      <c r="AP9" s="472"/>
      <c r="AQ9" s="470"/>
      <c r="AR9" s="470"/>
      <c r="AS9" s="473"/>
      <c r="AT9" s="470"/>
      <c r="AU9" s="470"/>
      <c r="AV9" s="470"/>
      <c r="AW9" s="473"/>
      <c r="AX9" s="470"/>
      <c r="AY9" s="470"/>
      <c r="AZ9" s="470"/>
      <c r="BA9" s="474"/>
    </row>
    <row r="10" spans="1:53" s="16" customFormat="1">
      <c r="A10" s="470">
        <v>1968</v>
      </c>
      <c r="B10" s="475"/>
      <c r="C10" s="988" t="s">
        <v>1285</v>
      </c>
      <c r="D10" s="988"/>
      <c r="E10" s="470">
        <v>0</v>
      </c>
      <c r="F10" s="470"/>
      <c r="G10" s="480"/>
      <c r="H10" s="470">
        <v>8</v>
      </c>
      <c r="I10" s="470"/>
      <c r="J10" s="482">
        <v>8</v>
      </c>
      <c r="K10" s="477">
        <f t="shared" si="0"/>
        <v>0</v>
      </c>
      <c r="L10" s="477">
        <f t="shared" si="1"/>
        <v>100</v>
      </c>
      <c r="M10" s="477">
        <f t="shared" si="2"/>
        <v>0</v>
      </c>
      <c r="N10" s="481">
        <f t="shared" si="3"/>
        <v>100</v>
      </c>
      <c r="O10" s="476"/>
      <c r="P10" s="477">
        <v>56</v>
      </c>
      <c r="Q10" s="477"/>
      <c r="R10" s="478">
        <f t="shared" si="4"/>
        <v>56</v>
      </c>
      <c r="S10" s="470">
        <v>1</v>
      </c>
      <c r="T10" s="479"/>
      <c r="U10" s="475"/>
      <c r="V10" s="472" t="s">
        <v>994</v>
      </c>
      <c r="W10" s="470" t="s">
        <v>17</v>
      </c>
      <c r="X10" s="470" t="s">
        <v>18</v>
      </c>
      <c r="Y10" s="485">
        <v>56</v>
      </c>
      <c r="Z10" s="470"/>
      <c r="AA10" s="470"/>
      <c r="AB10" s="470"/>
      <c r="AC10" s="470"/>
      <c r="AD10" s="472"/>
      <c r="AE10" s="470"/>
      <c r="AF10" s="470"/>
      <c r="AG10" s="473"/>
      <c r="AH10" s="470"/>
      <c r="AI10" s="470"/>
      <c r="AJ10" s="470"/>
      <c r="AK10" s="470"/>
      <c r="AL10" s="472"/>
      <c r="AM10" s="470"/>
      <c r="AN10" s="470"/>
      <c r="AO10" s="473"/>
      <c r="AP10" s="472"/>
      <c r="AQ10" s="470"/>
      <c r="AR10" s="470"/>
      <c r="AS10" s="473"/>
      <c r="AT10" s="470"/>
      <c r="AU10" s="470"/>
      <c r="AV10" s="470"/>
      <c r="AW10" s="473"/>
      <c r="AX10" s="470"/>
      <c r="AY10" s="470"/>
      <c r="AZ10" s="470"/>
      <c r="BA10" s="474"/>
    </row>
    <row r="11" spans="1:53" s="16" customFormat="1">
      <c r="A11" s="470">
        <v>1968</v>
      </c>
      <c r="B11" s="475"/>
      <c r="C11" s="988" t="s">
        <v>1285</v>
      </c>
      <c r="D11" s="988"/>
      <c r="E11" s="470">
        <v>366</v>
      </c>
      <c r="F11" s="470"/>
      <c r="G11" s="480"/>
      <c r="H11" s="470">
        <v>8</v>
      </c>
      <c r="I11" s="470"/>
      <c r="J11" s="482">
        <v>8</v>
      </c>
      <c r="K11" s="477">
        <f t="shared" si="0"/>
        <v>0</v>
      </c>
      <c r="L11" s="477">
        <f t="shared" si="1"/>
        <v>100</v>
      </c>
      <c r="M11" s="477">
        <f t="shared" si="2"/>
        <v>0</v>
      </c>
      <c r="N11" s="481">
        <f t="shared" si="3"/>
        <v>100</v>
      </c>
      <c r="O11" s="476"/>
      <c r="P11" s="477">
        <v>56</v>
      </c>
      <c r="Q11" s="477"/>
      <c r="R11" s="478">
        <f t="shared" si="4"/>
        <v>56</v>
      </c>
      <c r="S11" s="470">
        <v>1</v>
      </c>
      <c r="T11" s="479"/>
      <c r="U11" s="475"/>
      <c r="V11" s="472" t="s">
        <v>994</v>
      </c>
      <c r="W11" s="470" t="s">
        <v>17</v>
      </c>
      <c r="X11" s="470" t="s">
        <v>18</v>
      </c>
      <c r="Y11" s="485">
        <v>56</v>
      </c>
      <c r="Z11" s="470"/>
      <c r="AA11" s="470"/>
      <c r="AB11" s="470"/>
      <c r="AC11" s="470"/>
      <c r="AD11" s="472"/>
      <c r="AE11" s="470"/>
      <c r="AF11" s="470"/>
      <c r="AG11" s="473"/>
      <c r="AH11" s="470"/>
      <c r="AI11" s="470"/>
      <c r="AJ11" s="470"/>
      <c r="AK11" s="470"/>
      <c r="AL11" s="472"/>
      <c r="AM11" s="470"/>
      <c r="AN11" s="470"/>
      <c r="AO11" s="473"/>
      <c r="AP11" s="472"/>
      <c r="AQ11" s="470"/>
      <c r="AR11" s="470"/>
      <c r="AS11" s="473"/>
      <c r="AT11" s="470"/>
      <c r="AU11" s="470"/>
      <c r="AV11" s="470"/>
      <c r="AW11" s="473"/>
      <c r="AX11" s="470"/>
      <c r="AY11" s="470"/>
      <c r="AZ11" s="470"/>
      <c r="BA11" s="474"/>
    </row>
    <row r="12" spans="1:53" s="16" customFormat="1">
      <c r="A12" s="470">
        <v>1969</v>
      </c>
      <c r="B12" s="475"/>
      <c r="C12" s="988" t="s">
        <v>1285</v>
      </c>
      <c r="D12" s="988"/>
      <c r="E12" s="470">
        <v>0</v>
      </c>
      <c r="F12" s="470"/>
      <c r="G12" s="480"/>
      <c r="H12" s="470">
        <v>8</v>
      </c>
      <c r="I12" s="470"/>
      <c r="J12" s="482">
        <v>8</v>
      </c>
      <c r="K12" s="477">
        <f t="shared" si="0"/>
        <v>0</v>
      </c>
      <c r="L12" s="477">
        <f t="shared" si="1"/>
        <v>100</v>
      </c>
      <c r="M12" s="477">
        <f t="shared" si="2"/>
        <v>0</v>
      </c>
      <c r="N12" s="481">
        <f t="shared" si="3"/>
        <v>100</v>
      </c>
      <c r="O12" s="476"/>
      <c r="P12" s="477">
        <v>56</v>
      </c>
      <c r="Q12" s="477"/>
      <c r="R12" s="478">
        <f t="shared" si="4"/>
        <v>56</v>
      </c>
      <c r="S12" s="470">
        <v>1</v>
      </c>
      <c r="T12" s="479"/>
      <c r="U12" s="475"/>
      <c r="V12" s="472" t="s">
        <v>994</v>
      </c>
      <c r="W12" s="470" t="s">
        <v>17</v>
      </c>
      <c r="X12" s="470" t="s">
        <v>18</v>
      </c>
      <c r="Y12" s="485">
        <v>56</v>
      </c>
      <c r="Z12" s="470"/>
      <c r="AA12" s="470"/>
      <c r="AB12" s="470"/>
      <c r="AC12" s="470"/>
      <c r="AD12" s="472"/>
      <c r="AE12" s="470"/>
      <c r="AF12" s="470"/>
      <c r="AG12" s="473"/>
      <c r="AH12" s="470"/>
      <c r="AI12" s="470"/>
      <c r="AJ12" s="470"/>
      <c r="AK12" s="470"/>
      <c r="AL12" s="472"/>
      <c r="AM12" s="470"/>
      <c r="AN12" s="470"/>
      <c r="AO12" s="473"/>
      <c r="AP12" s="472"/>
      <c r="AQ12" s="470"/>
      <c r="AR12" s="470"/>
      <c r="AS12" s="473"/>
      <c r="AT12" s="470"/>
      <c r="AU12" s="470"/>
      <c r="AV12" s="470"/>
      <c r="AW12" s="473"/>
      <c r="AX12" s="470"/>
      <c r="AY12" s="470"/>
      <c r="AZ12" s="470"/>
      <c r="BA12" s="474"/>
    </row>
    <row r="13" spans="1:53" s="16" customFormat="1">
      <c r="A13" s="470">
        <v>1969</v>
      </c>
      <c r="B13" s="475"/>
      <c r="C13" s="988" t="s">
        <v>1285</v>
      </c>
      <c r="D13" s="988"/>
      <c r="E13" s="470">
        <v>365</v>
      </c>
      <c r="F13" s="470"/>
      <c r="G13" s="480"/>
      <c r="H13" s="470">
        <v>8</v>
      </c>
      <c r="I13" s="470"/>
      <c r="J13" s="482">
        <v>8</v>
      </c>
      <c r="K13" s="477">
        <f t="shared" si="0"/>
        <v>0</v>
      </c>
      <c r="L13" s="477">
        <f t="shared" si="1"/>
        <v>100</v>
      </c>
      <c r="M13" s="477">
        <f t="shared" si="2"/>
        <v>0</v>
      </c>
      <c r="N13" s="481">
        <f t="shared" si="3"/>
        <v>100</v>
      </c>
      <c r="O13" s="476"/>
      <c r="P13" s="477">
        <v>56</v>
      </c>
      <c r="Q13" s="477"/>
      <c r="R13" s="478">
        <f t="shared" si="4"/>
        <v>56</v>
      </c>
      <c r="S13" s="470">
        <v>1</v>
      </c>
      <c r="T13" s="479"/>
      <c r="U13" s="475"/>
      <c r="V13" s="472" t="s">
        <v>994</v>
      </c>
      <c r="W13" s="470" t="s">
        <v>17</v>
      </c>
      <c r="X13" s="470" t="s">
        <v>18</v>
      </c>
      <c r="Y13" s="485">
        <v>56</v>
      </c>
      <c r="Z13" s="470"/>
      <c r="AA13" s="470"/>
      <c r="AB13" s="470"/>
      <c r="AC13" s="470"/>
      <c r="AD13" s="472"/>
      <c r="AE13" s="470"/>
      <c r="AF13" s="470"/>
      <c r="AG13" s="473"/>
      <c r="AH13" s="470"/>
      <c r="AI13" s="470"/>
      <c r="AJ13" s="470"/>
      <c r="AK13" s="470"/>
      <c r="AL13" s="472"/>
      <c r="AM13" s="470"/>
      <c r="AN13" s="470"/>
      <c r="AO13" s="473"/>
      <c r="AP13" s="472"/>
      <c r="AQ13" s="470"/>
      <c r="AR13" s="470"/>
      <c r="AS13" s="473"/>
      <c r="AT13" s="470"/>
      <c r="AU13" s="470"/>
      <c r="AV13" s="470"/>
      <c r="AW13" s="473"/>
      <c r="AX13" s="470"/>
      <c r="AY13" s="470"/>
      <c r="AZ13" s="470"/>
      <c r="BA13" s="474"/>
    </row>
    <row r="14" spans="1:53" s="16" customFormat="1">
      <c r="A14" s="470">
        <v>1970</v>
      </c>
      <c r="B14" s="475"/>
      <c r="C14" s="988" t="s">
        <v>1285</v>
      </c>
      <c r="D14" s="988"/>
      <c r="E14" s="470">
        <v>0</v>
      </c>
      <c r="F14" s="470"/>
      <c r="G14" s="480"/>
      <c r="H14" s="470">
        <v>8</v>
      </c>
      <c r="I14" s="470"/>
      <c r="J14" s="482">
        <v>8</v>
      </c>
      <c r="K14" s="477">
        <f t="shared" si="0"/>
        <v>0</v>
      </c>
      <c r="L14" s="477">
        <f t="shared" si="1"/>
        <v>100</v>
      </c>
      <c r="M14" s="477">
        <f t="shared" si="2"/>
        <v>0</v>
      </c>
      <c r="N14" s="481">
        <f t="shared" si="3"/>
        <v>100</v>
      </c>
      <c r="O14" s="476"/>
      <c r="P14" s="477">
        <v>56</v>
      </c>
      <c r="Q14" s="477"/>
      <c r="R14" s="478">
        <f t="shared" si="4"/>
        <v>56</v>
      </c>
      <c r="S14" s="470">
        <v>1</v>
      </c>
      <c r="T14" s="479"/>
      <c r="U14" s="475"/>
      <c r="V14" s="472" t="s">
        <v>994</v>
      </c>
      <c r="W14" s="470" t="s">
        <v>17</v>
      </c>
      <c r="X14" s="470" t="s">
        <v>18</v>
      </c>
      <c r="Y14" s="485">
        <v>56</v>
      </c>
      <c r="Z14" s="470"/>
      <c r="AA14" s="470"/>
      <c r="AB14" s="470"/>
      <c r="AC14" s="470"/>
      <c r="AD14" s="472"/>
      <c r="AE14" s="470"/>
      <c r="AF14" s="470"/>
      <c r="AG14" s="473"/>
      <c r="AH14" s="470"/>
      <c r="AI14" s="470"/>
      <c r="AJ14" s="470"/>
      <c r="AK14" s="470"/>
      <c r="AL14" s="472"/>
      <c r="AM14" s="470"/>
      <c r="AN14" s="470"/>
      <c r="AO14" s="473"/>
      <c r="AP14" s="472"/>
      <c r="AQ14" s="470"/>
      <c r="AR14" s="470"/>
      <c r="AS14" s="473"/>
      <c r="AT14" s="470"/>
      <c r="AU14" s="470"/>
      <c r="AV14" s="470"/>
      <c r="AW14" s="473"/>
      <c r="AX14" s="470"/>
      <c r="AY14" s="470"/>
      <c r="AZ14" s="470"/>
      <c r="BA14" s="474"/>
    </row>
    <row r="15" spans="1:53" s="16" customFormat="1">
      <c r="A15" s="470">
        <v>1970</v>
      </c>
      <c r="B15" s="475"/>
      <c r="C15" s="988" t="s">
        <v>1285</v>
      </c>
      <c r="D15" s="988"/>
      <c r="E15" s="470">
        <v>365</v>
      </c>
      <c r="F15" s="470"/>
      <c r="G15" s="480"/>
      <c r="H15" s="470">
        <v>8</v>
      </c>
      <c r="I15" s="470"/>
      <c r="J15" s="482">
        <v>8</v>
      </c>
      <c r="K15" s="477">
        <f t="shared" si="0"/>
        <v>0</v>
      </c>
      <c r="L15" s="477">
        <f t="shared" si="1"/>
        <v>100</v>
      </c>
      <c r="M15" s="477">
        <f t="shared" si="2"/>
        <v>0</v>
      </c>
      <c r="N15" s="481">
        <f t="shared" si="3"/>
        <v>100</v>
      </c>
      <c r="O15" s="476"/>
      <c r="P15" s="477">
        <v>56</v>
      </c>
      <c r="Q15" s="477"/>
      <c r="R15" s="478">
        <f t="shared" si="4"/>
        <v>56</v>
      </c>
      <c r="S15" s="470">
        <v>1</v>
      </c>
      <c r="T15" s="479"/>
      <c r="U15" s="475"/>
      <c r="V15" s="472" t="s">
        <v>994</v>
      </c>
      <c r="W15" s="470" t="s">
        <v>17</v>
      </c>
      <c r="X15" s="470" t="s">
        <v>18</v>
      </c>
      <c r="Y15" s="485">
        <v>56</v>
      </c>
      <c r="Z15" s="470"/>
      <c r="AA15" s="470"/>
      <c r="AB15" s="470"/>
      <c r="AC15" s="470"/>
      <c r="AD15" s="472"/>
      <c r="AE15" s="470"/>
      <c r="AF15" s="470"/>
      <c r="AG15" s="473"/>
      <c r="AH15" s="470"/>
      <c r="AI15" s="470"/>
      <c r="AJ15" s="470"/>
      <c r="AK15" s="470"/>
      <c r="AL15" s="472"/>
      <c r="AM15" s="470"/>
      <c r="AN15" s="470"/>
      <c r="AO15" s="473"/>
      <c r="AP15" s="472"/>
      <c r="AQ15" s="470"/>
      <c r="AR15" s="470"/>
      <c r="AS15" s="473"/>
      <c r="AT15" s="470"/>
      <c r="AU15" s="470"/>
      <c r="AV15" s="470"/>
      <c r="AW15" s="473"/>
      <c r="AX15" s="470"/>
      <c r="AY15" s="470"/>
      <c r="AZ15" s="470"/>
      <c r="BA15" s="474"/>
    </row>
    <row r="16" spans="1:53" s="16" customFormat="1">
      <c r="A16" s="470">
        <v>1971</v>
      </c>
      <c r="B16" s="475"/>
      <c r="C16" s="988" t="s">
        <v>1285</v>
      </c>
      <c r="D16" s="988"/>
      <c r="E16" s="470">
        <v>171</v>
      </c>
      <c r="F16" s="470"/>
      <c r="G16" s="480"/>
      <c r="H16" s="470">
        <v>8</v>
      </c>
      <c r="I16" s="470"/>
      <c r="J16" s="482">
        <v>8</v>
      </c>
      <c r="K16" s="477">
        <f t="shared" si="0"/>
        <v>0</v>
      </c>
      <c r="L16" s="477">
        <f t="shared" si="1"/>
        <v>100</v>
      </c>
      <c r="M16" s="477">
        <f t="shared" si="2"/>
        <v>0</v>
      </c>
      <c r="N16" s="481">
        <f t="shared" si="3"/>
        <v>100</v>
      </c>
      <c r="O16" s="476"/>
      <c r="P16" s="477">
        <v>56</v>
      </c>
      <c r="Q16" s="477"/>
      <c r="R16" s="478">
        <f t="shared" si="4"/>
        <v>56</v>
      </c>
      <c r="S16" s="470">
        <v>1</v>
      </c>
      <c r="T16" s="479"/>
      <c r="U16" s="475"/>
      <c r="V16" s="472" t="s">
        <v>994</v>
      </c>
      <c r="W16" s="470" t="s">
        <v>17</v>
      </c>
      <c r="X16" s="470" t="s">
        <v>18</v>
      </c>
      <c r="Y16" s="485">
        <v>56</v>
      </c>
      <c r="Z16" s="470"/>
      <c r="AA16" s="470"/>
      <c r="AB16" s="470"/>
      <c r="AC16" s="470"/>
      <c r="AD16" s="472"/>
      <c r="AE16" s="470"/>
      <c r="AF16" s="470"/>
      <c r="AG16" s="473"/>
      <c r="AH16" s="470"/>
      <c r="AI16" s="470"/>
      <c r="AJ16" s="470"/>
      <c r="AK16" s="470"/>
      <c r="AL16" s="472"/>
      <c r="AM16" s="470"/>
      <c r="AN16" s="470"/>
      <c r="AO16" s="473"/>
      <c r="AP16" s="472"/>
      <c r="AQ16" s="470"/>
      <c r="AR16" s="470"/>
      <c r="AS16" s="473"/>
      <c r="AT16" s="470"/>
      <c r="AU16" s="470"/>
      <c r="AV16" s="470"/>
      <c r="AW16" s="473"/>
      <c r="AX16" s="470"/>
      <c r="AY16" s="470"/>
      <c r="AZ16" s="470"/>
      <c r="BA16" s="474"/>
    </row>
    <row r="17" spans="1:53" s="16" customFormat="1">
      <c r="A17" s="486">
        <v>1971</v>
      </c>
      <c r="B17" s="491">
        <v>26105</v>
      </c>
      <c r="C17" s="992" t="s">
        <v>1286</v>
      </c>
      <c r="D17" s="992"/>
      <c r="E17" s="486">
        <f>365-E16</f>
        <v>194</v>
      </c>
      <c r="F17" s="486">
        <v>1</v>
      </c>
      <c r="G17" s="497"/>
      <c r="H17" s="486"/>
      <c r="I17" s="486">
        <v>9</v>
      </c>
      <c r="J17" s="499">
        <v>9</v>
      </c>
      <c r="K17" s="495">
        <f t="shared" si="0"/>
        <v>0</v>
      </c>
      <c r="L17" s="495">
        <f t="shared" si="1"/>
        <v>0</v>
      </c>
      <c r="M17" s="495">
        <f t="shared" si="2"/>
        <v>100</v>
      </c>
      <c r="N17" s="498">
        <f t="shared" si="3"/>
        <v>100</v>
      </c>
      <c r="O17" s="494"/>
      <c r="P17" s="495"/>
      <c r="Q17" s="495">
        <v>50.9</v>
      </c>
      <c r="R17" s="496">
        <f t="shared" si="4"/>
        <v>50.9</v>
      </c>
      <c r="S17" s="492">
        <v>1</v>
      </c>
      <c r="T17" s="487">
        <v>26098</v>
      </c>
      <c r="U17" s="491">
        <v>26105</v>
      </c>
      <c r="V17" s="488" t="s">
        <v>997</v>
      </c>
      <c r="W17" s="486" t="s">
        <v>20</v>
      </c>
      <c r="X17" s="486" t="s">
        <v>12</v>
      </c>
      <c r="Y17" s="489">
        <v>50.9</v>
      </c>
      <c r="Z17" s="486"/>
      <c r="AA17" s="486"/>
      <c r="AB17" s="486"/>
      <c r="AC17" s="486"/>
      <c r="AD17" s="488"/>
      <c r="AE17" s="486"/>
      <c r="AF17" s="486"/>
      <c r="AG17" s="489"/>
      <c r="AH17" s="486"/>
      <c r="AI17" s="486"/>
      <c r="AJ17" s="486"/>
      <c r="AK17" s="486"/>
      <c r="AL17" s="488"/>
      <c r="AM17" s="486"/>
      <c r="AN17" s="486"/>
      <c r="AO17" s="489"/>
      <c r="AP17" s="488"/>
      <c r="AQ17" s="486"/>
      <c r="AR17" s="486"/>
      <c r="AS17" s="489"/>
      <c r="AT17" s="486"/>
      <c r="AU17" s="486"/>
      <c r="AV17" s="486"/>
      <c r="AW17" s="489"/>
      <c r="AX17" s="486"/>
      <c r="AY17" s="486"/>
      <c r="AZ17" s="486"/>
      <c r="BA17" s="490"/>
    </row>
    <row r="18" spans="1:53" s="16" customFormat="1">
      <c r="A18" s="486">
        <v>1972</v>
      </c>
      <c r="B18" s="486"/>
      <c r="C18" s="992" t="s">
        <v>1286</v>
      </c>
      <c r="D18" s="992"/>
      <c r="E18" s="486">
        <v>0</v>
      </c>
      <c r="F18" s="486"/>
      <c r="G18" s="497"/>
      <c r="H18" s="486"/>
      <c r="I18" s="486">
        <v>9</v>
      </c>
      <c r="J18" s="499">
        <v>9</v>
      </c>
      <c r="K18" s="495">
        <f t="shared" si="0"/>
        <v>0</v>
      </c>
      <c r="L18" s="495">
        <f t="shared" si="1"/>
        <v>0</v>
      </c>
      <c r="M18" s="495">
        <f t="shared" si="2"/>
        <v>100</v>
      </c>
      <c r="N18" s="498">
        <f t="shared" si="3"/>
        <v>100</v>
      </c>
      <c r="O18" s="494"/>
      <c r="P18" s="495"/>
      <c r="Q18" s="495">
        <v>50.9</v>
      </c>
      <c r="R18" s="496">
        <f t="shared" si="4"/>
        <v>50.9</v>
      </c>
      <c r="S18" s="492">
        <v>1</v>
      </c>
      <c r="T18" s="492"/>
      <c r="U18" s="486"/>
      <c r="V18" s="488" t="s">
        <v>997</v>
      </c>
      <c r="W18" s="486" t="s">
        <v>20</v>
      </c>
      <c r="X18" s="486" t="s">
        <v>12</v>
      </c>
      <c r="Y18" s="489">
        <v>50.9</v>
      </c>
      <c r="Z18" s="486"/>
      <c r="AA18" s="486"/>
      <c r="AB18" s="486"/>
      <c r="AC18" s="486"/>
      <c r="AD18" s="488"/>
      <c r="AE18" s="486"/>
      <c r="AF18" s="486"/>
      <c r="AG18" s="489"/>
      <c r="AH18" s="486"/>
      <c r="AI18" s="486"/>
      <c r="AJ18" s="486"/>
      <c r="AK18" s="486"/>
      <c r="AL18" s="488"/>
      <c r="AM18" s="486"/>
      <c r="AN18" s="486"/>
      <c r="AO18" s="489"/>
      <c r="AP18" s="488"/>
      <c r="AQ18" s="486"/>
      <c r="AR18" s="486"/>
      <c r="AS18" s="489"/>
      <c r="AT18" s="486"/>
      <c r="AU18" s="486"/>
      <c r="AV18" s="486"/>
      <c r="AW18" s="489"/>
      <c r="AX18" s="486"/>
      <c r="AY18" s="486"/>
      <c r="AZ18" s="486"/>
      <c r="BA18" s="490"/>
    </row>
    <row r="19" spans="1:53" s="16" customFormat="1">
      <c r="A19" s="486">
        <v>1972</v>
      </c>
      <c r="B19" s="486"/>
      <c r="C19" s="992" t="s">
        <v>1286</v>
      </c>
      <c r="D19" s="992"/>
      <c r="E19" s="486">
        <v>366</v>
      </c>
      <c r="F19" s="486"/>
      <c r="G19" s="497"/>
      <c r="H19" s="486"/>
      <c r="I19" s="486">
        <v>9</v>
      </c>
      <c r="J19" s="499">
        <v>9</v>
      </c>
      <c r="K19" s="495">
        <f t="shared" si="0"/>
        <v>0</v>
      </c>
      <c r="L19" s="495">
        <f t="shared" si="1"/>
        <v>0</v>
      </c>
      <c r="M19" s="495">
        <f t="shared" si="2"/>
        <v>100</v>
      </c>
      <c r="N19" s="498">
        <f t="shared" si="3"/>
        <v>100</v>
      </c>
      <c r="O19" s="494"/>
      <c r="P19" s="495"/>
      <c r="Q19" s="495">
        <v>50.9</v>
      </c>
      <c r="R19" s="496">
        <f t="shared" si="4"/>
        <v>50.9</v>
      </c>
      <c r="S19" s="492">
        <v>1</v>
      </c>
      <c r="T19" s="492"/>
      <c r="U19" s="486"/>
      <c r="V19" s="488" t="s">
        <v>997</v>
      </c>
      <c r="W19" s="486" t="s">
        <v>20</v>
      </c>
      <c r="X19" s="486" t="s">
        <v>12</v>
      </c>
      <c r="Y19" s="489">
        <v>50.9</v>
      </c>
      <c r="Z19" s="486"/>
      <c r="AA19" s="486"/>
      <c r="AB19" s="486"/>
      <c r="AC19" s="486"/>
      <c r="AD19" s="488"/>
      <c r="AE19" s="486"/>
      <c r="AF19" s="486"/>
      <c r="AG19" s="489"/>
      <c r="AH19" s="486"/>
      <c r="AI19" s="486"/>
      <c r="AJ19" s="486"/>
      <c r="AK19" s="486"/>
      <c r="AL19" s="488"/>
      <c r="AM19" s="486"/>
      <c r="AN19" s="486"/>
      <c r="AO19" s="489"/>
      <c r="AP19" s="488"/>
      <c r="AQ19" s="486"/>
      <c r="AR19" s="486"/>
      <c r="AS19" s="489"/>
      <c r="AT19" s="486"/>
      <c r="AU19" s="486"/>
      <c r="AV19" s="486"/>
      <c r="AW19" s="489"/>
      <c r="AX19" s="486"/>
      <c r="AY19" s="486"/>
      <c r="AZ19" s="486"/>
      <c r="BA19" s="490"/>
    </row>
    <row r="20" spans="1:53" s="16" customFormat="1">
      <c r="A20" s="486">
        <v>1973</v>
      </c>
      <c r="B20" s="486"/>
      <c r="C20" s="992" t="s">
        <v>1286</v>
      </c>
      <c r="D20" s="992"/>
      <c r="E20" s="486">
        <v>0</v>
      </c>
      <c r="F20" s="486"/>
      <c r="G20" s="497"/>
      <c r="H20" s="486"/>
      <c r="I20" s="486">
        <v>9</v>
      </c>
      <c r="J20" s="499">
        <v>9</v>
      </c>
      <c r="K20" s="495">
        <f t="shared" si="0"/>
        <v>0</v>
      </c>
      <c r="L20" s="495">
        <f t="shared" si="1"/>
        <v>0</v>
      </c>
      <c r="M20" s="495">
        <f t="shared" si="2"/>
        <v>100</v>
      </c>
      <c r="N20" s="498">
        <f t="shared" si="3"/>
        <v>100</v>
      </c>
      <c r="O20" s="494"/>
      <c r="P20" s="495"/>
      <c r="Q20" s="495">
        <v>50.9</v>
      </c>
      <c r="R20" s="496">
        <f t="shared" si="4"/>
        <v>50.9</v>
      </c>
      <c r="S20" s="492">
        <v>1</v>
      </c>
      <c r="T20" s="492"/>
      <c r="U20" s="486"/>
      <c r="V20" s="488" t="s">
        <v>997</v>
      </c>
      <c r="W20" s="486" t="s">
        <v>20</v>
      </c>
      <c r="X20" s="486" t="s">
        <v>12</v>
      </c>
      <c r="Y20" s="489">
        <v>50.9</v>
      </c>
      <c r="Z20" s="486"/>
      <c r="AA20" s="486"/>
      <c r="AB20" s="486"/>
      <c r="AC20" s="486"/>
      <c r="AD20" s="488"/>
      <c r="AE20" s="486"/>
      <c r="AF20" s="486"/>
      <c r="AG20" s="489"/>
      <c r="AH20" s="486"/>
      <c r="AI20" s="486"/>
      <c r="AJ20" s="486"/>
      <c r="AK20" s="486"/>
      <c r="AL20" s="488"/>
      <c r="AM20" s="486"/>
      <c r="AN20" s="486"/>
      <c r="AO20" s="489"/>
      <c r="AP20" s="488"/>
      <c r="AQ20" s="486"/>
      <c r="AR20" s="486"/>
      <c r="AS20" s="489"/>
      <c r="AT20" s="486"/>
      <c r="AU20" s="486"/>
      <c r="AV20" s="486"/>
      <c r="AW20" s="489"/>
      <c r="AX20" s="486"/>
      <c r="AY20" s="486"/>
      <c r="AZ20" s="486"/>
      <c r="BA20" s="490"/>
    </row>
    <row r="21" spans="1:53" s="16" customFormat="1">
      <c r="A21" s="486">
        <v>1973</v>
      </c>
      <c r="B21" s="486"/>
      <c r="C21" s="992" t="s">
        <v>1286</v>
      </c>
      <c r="D21" s="992"/>
      <c r="E21" s="486">
        <v>365</v>
      </c>
      <c r="F21" s="486"/>
      <c r="G21" s="497"/>
      <c r="H21" s="486"/>
      <c r="I21" s="486">
        <v>9</v>
      </c>
      <c r="J21" s="499">
        <v>9</v>
      </c>
      <c r="K21" s="495">
        <f t="shared" si="0"/>
        <v>0</v>
      </c>
      <c r="L21" s="495">
        <f t="shared" si="1"/>
        <v>0</v>
      </c>
      <c r="M21" s="495">
        <f t="shared" si="2"/>
        <v>100</v>
      </c>
      <c r="N21" s="498">
        <f t="shared" si="3"/>
        <v>100</v>
      </c>
      <c r="O21" s="494"/>
      <c r="P21" s="495"/>
      <c r="Q21" s="495">
        <v>50.9</v>
      </c>
      <c r="R21" s="496">
        <f t="shared" si="4"/>
        <v>50.9</v>
      </c>
      <c r="S21" s="492">
        <v>1</v>
      </c>
      <c r="T21" s="492"/>
      <c r="U21" s="486"/>
      <c r="V21" s="488" t="s">
        <v>997</v>
      </c>
      <c r="W21" s="486" t="s">
        <v>20</v>
      </c>
      <c r="X21" s="486" t="s">
        <v>12</v>
      </c>
      <c r="Y21" s="489">
        <v>50.9</v>
      </c>
      <c r="Z21" s="486"/>
      <c r="AA21" s="486"/>
      <c r="AB21" s="486"/>
      <c r="AC21" s="486"/>
      <c r="AD21" s="488"/>
      <c r="AE21" s="486"/>
      <c r="AF21" s="486"/>
      <c r="AG21" s="489"/>
      <c r="AH21" s="486"/>
      <c r="AI21" s="486"/>
      <c r="AJ21" s="486"/>
      <c r="AK21" s="486"/>
      <c r="AL21" s="488"/>
      <c r="AM21" s="486"/>
      <c r="AN21" s="486"/>
      <c r="AO21" s="489"/>
      <c r="AP21" s="488"/>
      <c r="AQ21" s="486"/>
      <c r="AR21" s="486"/>
      <c r="AS21" s="489"/>
      <c r="AT21" s="486"/>
      <c r="AU21" s="486"/>
      <c r="AV21" s="486"/>
      <c r="AW21" s="489"/>
      <c r="AX21" s="486"/>
      <c r="AY21" s="486"/>
      <c r="AZ21" s="486"/>
      <c r="BA21" s="490"/>
    </row>
    <row r="22" spans="1:53" s="16" customFormat="1">
      <c r="A22" s="486">
        <v>1974</v>
      </c>
      <c r="B22" s="486"/>
      <c r="C22" s="992" t="s">
        <v>1286</v>
      </c>
      <c r="D22" s="992"/>
      <c r="E22" s="486">
        <v>0</v>
      </c>
      <c r="F22" s="486"/>
      <c r="G22" s="497"/>
      <c r="H22" s="486"/>
      <c r="I22" s="486">
        <v>9</v>
      </c>
      <c r="J22" s="499">
        <v>9</v>
      </c>
      <c r="K22" s="495">
        <f t="shared" si="0"/>
        <v>0</v>
      </c>
      <c r="L22" s="495">
        <f t="shared" si="1"/>
        <v>0</v>
      </c>
      <c r="M22" s="495">
        <f t="shared" si="2"/>
        <v>100</v>
      </c>
      <c r="N22" s="498">
        <f t="shared" si="3"/>
        <v>100</v>
      </c>
      <c r="O22" s="494"/>
      <c r="P22" s="495"/>
      <c r="Q22" s="495">
        <v>50.9</v>
      </c>
      <c r="R22" s="496">
        <f t="shared" si="4"/>
        <v>50.9</v>
      </c>
      <c r="S22" s="492">
        <v>1</v>
      </c>
      <c r="T22" s="492"/>
      <c r="U22" s="486"/>
      <c r="V22" s="488" t="s">
        <v>997</v>
      </c>
      <c r="W22" s="486" t="s">
        <v>20</v>
      </c>
      <c r="X22" s="486" t="s">
        <v>12</v>
      </c>
      <c r="Y22" s="489">
        <v>50.9</v>
      </c>
      <c r="Z22" s="486"/>
      <c r="AA22" s="486"/>
      <c r="AB22" s="486"/>
      <c r="AC22" s="486"/>
      <c r="AD22" s="488"/>
      <c r="AE22" s="486"/>
      <c r="AF22" s="486"/>
      <c r="AG22" s="489"/>
      <c r="AH22" s="486"/>
      <c r="AI22" s="486"/>
      <c r="AJ22" s="486"/>
      <c r="AK22" s="486"/>
      <c r="AL22" s="488"/>
      <c r="AM22" s="486"/>
      <c r="AN22" s="486"/>
      <c r="AO22" s="489"/>
      <c r="AP22" s="488"/>
      <c r="AQ22" s="486"/>
      <c r="AR22" s="486"/>
      <c r="AS22" s="489"/>
      <c r="AT22" s="486"/>
      <c r="AU22" s="486"/>
      <c r="AV22" s="486"/>
      <c r="AW22" s="489"/>
      <c r="AX22" s="486"/>
      <c r="AY22" s="486"/>
      <c r="AZ22" s="486"/>
      <c r="BA22" s="490"/>
    </row>
    <row r="23" spans="1:53" s="16" customFormat="1">
      <c r="A23" s="486">
        <v>1974</v>
      </c>
      <c r="B23" s="486"/>
      <c r="C23" s="992" t="s">
        <v>1286</v>
      </c>
      <c r="D23" s="992"/>
      <c r="E23" s="486">
        <v>365</v>
      </c>
      <c r="F23" s="486"/>
      <c r="G23" s="497"/>
      <c r="H23" s="486"/>
      <c r="I23" s="486">
        <v>9</v>
      </c>
      <c r="J23" s="499">
        <v>9</v>
      </c>
      <c r="K23" s="495">
        <f t="shared" si="0"/>
        <v>0</v>
      </c>
      <c r="L23" s="495">
        <f t="shared" si="1"/>
        <v>0</v>
      </c>
      <c r="M23" s="495">
        <f t="shared" si="2"/>
        <v>100</v>
      </c>
      <c r="N23" s="498">
        <f t="shared" si="3"/>
        <v>100</v>
      </c>
      <c r="O23" s="494"/>
      <c r="P23" s="495"/>
      <c r="Q23" s="495">
        <v>50.9</v>
      </c>
      <c r="R23" s="496">
        <f t="shared" si="4"/>
        <v>50.9</v>
      </c>
      <c r="S23" s="492">
        <v>1</v>
      </c>
      <c r="T23" s="492"/>
      <c r="U23" s="486"/>
      <c r="V23" s="488" t="s">
        <v>997</v>
      </c>
      <c r="W23" s="486" t="s">
        <v>20</v>
      </c>
      <c r="X23" s="486" t="s">
        <v>12</v>
      </c>
      <c r="Y23" s="489">
        <v>50.9</v>
      </c>
      <c r="Z23" s="486"/>
      <c r="AA23" s="486"/>
      <c r="AB23" s="486"/>
      <c r="AC23" s="486"/>
      <c r="AD23" s="488"/>
      <c r="AE23" s="486"/>
      <c r="AF23" s="486"/>
      <c r="AG23" s="489"/>
      <c r="AH23" s="486"/>
      <c r="AI23" s="486"/>
      <c r="AJ23" s="486"/>
      <c r="AK23" s="486"/>
      <c r="AL23" s="488"/>
      <c r="AM23" s="486"/>
      <c r="AN23" s="486"/>
      <c r="AO23" s="489"/>
      <c r="AP23" s="488"/>
      <c r="AQ23" s="486"/>
      <c r="AR23" s="486"/>
      <c r="AS23" s="489"/>
      <c r="AT23" s="486"/>
      <c r="AU23" s="486"/>
      <c r="AV23" s="486"/>
      <c r="AW23" s="489"/>
      <c r="AX23" s="486"/>
      <c r="AY23" s="486"/>
      <c r="AZ23" s="486"/>
      <c r="BA23" s="490"/>
    </row>
    <row r="24" spans="1:53" s="16" customFormat="1">
      <c r="A24" s="486">
        <v>1975</v>
      </c>
      <c r="B24" s="486"/>
      <c r="C24" s="992" t="s">
        <v>1286</v>
      </c>
      <c r="D24" s="992"/>
      <c r="E24" s="486">
        <v>0</v>
      </c>
      <c r="F24" s="486"/>
      <c r="G24" s="497"/>
      <c r="H24" s="486"/>
      <c r="I24" s="486">
        <v>9</v>
      </c>
      <c r="J24" s="499">
        <v>9</v>
      </c>
      <c r="K24" s="495">
        <f t="shared" si="0"/>
        <v>0</v>
      </c>
      <c r="L24" s="495">
        <f t="shared" si="1"/>
        <v>0</v>
      </c>
      <c r="M24" s="495">
        <f t="shared" si="2"/>
        <v>100</v>
      </c>
      <c r="N24" s="498">
        <f t="shared" si="3"/>
        <v>100</v>
      </c>
      <c r="O24" s="494"/>
      <c r="P24" s="495"/>
      <c r="Q24" s="495">
        <v>50.9</v>
      </c>
      <c r="R24" s="496">
        <f t="shared" si="4"/>
        <v>50.9</v>
      </c>
      <c r="S24" s="492">
        <v>1</v>
      </c>
      <c r="T24" s="492"/>
      <c r="U24" s="486"/>
      <c r="V24" s="488" t="s">
        <v>997</v>
      </c>
      <c r="W24" s="486" t="s">
        <v>20</v>
      </c>
      <c r="X24" s="486" t="s">
        <v>12</v>
      </c>
      <c r="Y24" s="489">
        <v>50.9</v>
      </c>
      <c r="Z24" s="486"/>
      <c r="AA24" s="486"/>
      <c r="AB24" s="486"/>
      <c r="AC24" s="486"/>
      <c r="AD24" s="488"/>
      <c r="AE24" s="486"/>
      <c r="AF24" s="486"/>
      <c r="AG24" s="489"/>
      <c r="AH24" s="486"/>
      <c r="AI24" s="486"/>
      <c r="AJ24" s="486"/>
      <c r="AK24" s="486"/>
      <c r="AL24" s="488"/>
      <c r="AM24" s="486"/>
      <c r="AN24" s="486"/>
      <c r="AO24" s="489"/>
      <c r="AP24" s="488"/>
      <c r="AQ24" s="486"/>
      <c r="AR24" s="486"/>
      <c r="AS24" s="489"/>
      <c r="AT24" s="486"/>
      <c r="AU24" s="486"/>
      <c r="AV24" s="486"/>
      <c r="AW24" s="489"/>
      <c r="AX24" s="486"/>
      <c r="AY24" s="486"/>
      <c r="AZ24" s="486"/>
      <c r="BA24" s="490"/>
    </row>
    <row r="25" spans="1:53" s="16" customFormat="1">
      <c r="A25" s="486">
        <v>1975</v>
      </c>
      <c r="B25" s="486"/>
      <c r="C25" s="992" t="s">
        <v>1286</v>
      </c>
      <c r="D25" s="992"/>
      <c r="E25" s="486">
        <v>365</v>
      </c>
      <c r="F25" s="486"/>
      <c r="G25" s="497"/>
      <c r="H25" s="486"/>
      <c r="I25" s="486">
        <v>9</v>
      </c>
      <c r="J25" s="499">
        <v>9</v>
      </c>
      <c r="K25" s="495">
        <f t="shared" si="0"/>
        <v>0</v>
      </c>
      <c r="L25" s="495">
        <f t="shared" si="1"/>
        <v>0</v>
      </c>
      <c r="M25" s="495">
        <f t="shared" si="2"/>
        <v>100</v>
      </c>
      <c r="N25" s="498">
        <f t="shared" si="3"/>
        <v>100</v>
      </c>
      <c r="O25" s="494"/>
      <c r="P25" s="495"/>
      <c r="Q25" s="495">
        <v>50.9</v>
      </c>
      <c r="R25" s="496">
        <f t="shared" si="4"/>
        <v>50.9</v>
      </c>
      <c r="S25" s="492">
        <v>1</v>
      </c>
      <c r="T25" s="492"/>
      <c r="U25" s="486"/>
      <c r="V25" s="488" t="s">
        <v>997</v>
      </c>
      <c r="W25" s="486" t="s">
        <v>20</v>
      </c>
      <c r="X25" s="486" t="s">
        <v>12</v>
      </c>
      <c r="Y25" s="489">
        <v>50.9</v>
      </c>
      <c r="Z25" s="486"/>
      <c r="AA25" s="486"/>
      <c r="AB25" s="486"/>
      <c r="AC25" s="486"/>
      <c r="AD25" s="488"/>
      <c r="AE25" s="486"/>
      <c r="AF25" s="486"/>
      <c r="AG25" s="489"/>
      <c r="AH25" s="486"/>
      <c r="AI25" s="486"/>
      <c r="AJ25" s="486"/>
      <c r="AK25" s="486"/>
      <c r="AL25" s="488"/>
      <c r="AM25" s="486"/>
      <c r="AN25" s="486"/>
      <c r="AO25" s="489"/>
      <c r="AP25" s="488"/>
      <c r="AQ25" s="486"/>
      <c r="AR25" s="486"/>
      <c r="AS25" s="489"/>
      <c r="AT25" s="486"/>
      <c r="AU25" s="486"/>
      <c r="AV25" s="486"/>
      <c r="AW25" s="489"/>
      <c r="AX25" s="486"/>
      <c r="AY25" s="486"/>
      <c r="AZ25" s="486"/>
      <c r="BA25" s="490"/>
    </row>
    <row r="26" spans="1:53" s="16" customFormat="1">
      <c r="A26" s="486">
        <v>1976</v>
      </c>
      <c r="B26" s="486"/>
      <c r="C26" s="992" t="s">
        <v>1286</v>
      </c>
      <c r="D26" s="992"/>
      <c r="E26" s="486">
        <v>265</v>
      </c>
      <c r="F26" s="486"/>
      <c r="G26" s="497"/>
      <c r="H26" s="486"/>
      <c r="I26" s="486">
        <v>9</v>
      </c>
      <c r="J26" s="499">
        <v>9</v>
      </c>
      <c r="K26" s="495">
        <f t="shared" si="0"/>
        <v>0</v>
      </c>
      <c r="L26" s="495">
        <f t="shared" si="1"/>
        <v>0</v>
      </c>
      <c r="M26" s="495">
        <f t="shared" si="2"/>
        <v>100</v>
      </c>
      <c r="N26" s="498">
        <f t="shared" si="3"/>
        <v>100</v>
      </c>
      <c r="O26" s="494"/>
      <c r="P26" s="495"/>
      <c r="Q26" s="495">
        <v>50.9</v>
      </c>
      <c r="R26" s="496">
        <f t="shared" si="4"/>
        <v>50.9</v>
      </c>
      <c r="S26" s="492">
        <v>1</v>
      </c>
      <c r="T26" s="492"/>
      <c r="U26" s="486"/>
      <c r="V26" s="488" t="s">
        <v>997</v>
      </c>
      <c r="W26" s="486" t="s">
        <v>20</v>
      </c>
      <c r="X26" s="486" t="s">
        <v>12</v>
      </c>
      <c r="Y26" s="489">
        <v>50.9</v>
      </c>
      <c r="Z26" s="486"/>
      <c r="AA26" s="486"/>
      <c r="AB26" s="486"/>
      <c r="AC26" s="486"/>
      <c r="AD26" s="488"/>
      <c r="AE26" s="486"/>
      <c r="AF26" s="486"/>
      <c r="AG26" s="489"/>
      <c r="AH26" s="486"/>
      <c r="AI26" s="486"/>
      <c r="AJ26" s="486"/>
      <c r="AK26" s="486"/>
      <c r="AL26" s="488"/>
      <c r="AM26" s="486"/>
      <c r="AN26" s="486"/>
      <c r="AO26" s="489"/>
      <c r="AP26" s="488"/>
      <c r="AQ26" s="486"/>
      <c r="AR26" s="486"/>
      <c r="AS26" s="489"/>
      <c r="AT26" s="486"/>
      <c r="AU26" s="486"/>
      <c r="AV26" s="486"/>
      <c r="AW26" s="489"/>
      <c r="AX26" s="486"/>
      <c r="AY26" s="486"/>
      <c r="AZ26" s="486"/>
      <c r="BA26" s="490"/>
    </row>
    <row r="27" spans="1:53" s="16" customFormat="1">
      <c r="A27" s="470">
        <v>1976</v>
      </c>
      <c r="B27" s="475">
        <v>28025</v>
      </c>
      <c r="C27" s="988" t="s">
        <v>1287</v>
      </c>
      <c r="D27" s="988"/>
      <c r="E27" s="470">
        <f>366-E26</f>
        <v>101</v>
      </c>
      <c r="F27" s="470">
        <v>1</v>
      </c>
      <c r="G27" s="480"/>
      <c r="H27" s="470"/>
      <c r="I27" s="470">
        <v>12</v>
      </c>
      <c r="J27" s="482">
        <v>12</v>
      </c>
      <c r="K27" s="477">
        <f t="shared" si="0"/>
        <v>0</v>
      </c>
      <c r="L27" s="477">
        <f t="shared" si="1"/>
        <v>0</v>
      </c>
      <c r="M27" s="477">
        <f t="shared" si="2"/>
        <v>100</v>
      </c>
      <c r="N27" s="481">
        <f t="shared" si="3"/>
        <v>100</v>
      </c>
      <c r="O27" s="476"/>
      <c r="P27" s="477"/>
      <c r="Q27" s="477">
        <v>52.3</v>
      </c>
      <c r="R27" s="478">
        <f t="shared" si="4"/>
        <v>52.3</v>
      </c>
      <c r="S27" s="470">
        <v>1</v>
      </c>
      <c r="T27" s="479">
        <v>28021</v>
      </c>
      <c r="U27" s="475">
        <v>28025</v>
      </c>
      <c r="V27" s="472" t="s">
        <v>997</v>
      </c>
      <c r="W27" s="470" t="s">
        <v>20</v>
      </c>
      <c r="X27" s="470" t="s">
        <v>12</v>
      </c>
      <c r="Y27" s="473">
        <v>52.3</v>
      </c>
      <c r="Z27" s="470"/>
      <c r="AA27" s="470"/>
      <c r="AB27" s="470"/>
      <c r="AC27" s="470"/>
      <c r="AD27" s="472"/>
      <c r="AE27" s="470"/>
      <c r="AF27" s="470"/>
      <c r="AG27" s="473"/>
      <c r="AH27" s="470"/>
      <c r="AI27" s="470"/>
      <c r="AJ27" s="470"/>
      <c r="AK27" s="470"/>
      <c r="AL27" s="472"/>
      <c r="AM27" s="470"/>
      <c r="AN27" s="470"/>
      <c r="AO27" s="473"/>
      <c r="AP27" s="472"/>
      <c r="AQ27" s="470"/>
      <c r="AR27" s="470"/>
      <c r="AS27" s="473"/>
      <c r="AT27" s="470"/>
      <c r="AU27" s="470"/>
      <c r="AV27" s="470"/>
      <c r="AW27" s="473"/>
      <c r="AX27" s="470"/>
      <c r="AY27" s="470"/>
      <c r="AZ27" s="470"/>
      <c r="BA27" s="474"/>
    </row>
    <row r="28" spans="1:53" s="16" customFormat="1">
      <c r="A28" s="470">
        <v>1977</v>
      </c>
      <c r="B28" s="475"/>
      <c r="C28" s="988" t="s">
        <v>1287</v>
      </c>
      <c r="D28" s="988"/>
      <c r="E28" s="470">
        <v>0</v>
      </c>
      <c r="F28" s="470"/>
      <c r="G28" s="480"/>
      <c r="H28" s="470"/>
      <c r="I28" s="470">
        <v>12</v>
      </c>
      <c r="J28" s="482">
        <v>12</v>
      </c>
      <c r="K28" s="477">
        <f t="shared" si="0"/>
        <v>0</v>
      </c>
      <c r="L28" s="477">
        <f t="shared" si="1"/>
        <v>0</v>
      </c>
      <c r="M28" s="477">
        <f t="shared" si="2"/>
        <v>100</v>
      </c>
      <c r="N28" s="481">
        <f t="shared" si="3"/>
        <v>100</v>
      </c>
      <c r="O28" s="476"/>
      <c r="P28" s="477"/>
      <c r="Q28" s="477">
        <v>52.3</v>
      </c>
      <c r="R28" s="478">
        <f t="shared" si="4"/>
        <v>52.3</v>
      </c>
      <c r="S28" s="470">
        <v>1</v>
      </c>
      <c r="T28" s="479"/>
      <c r="U28" s="475"/>
      <c r="V28" s="472" t="s">
        <v>997</v>
      </c>
      <c r="W28" s="470" t="s">
        <v>20</v>
      </c>
      <c r="X28" s="470" t="s">
        <v>12</v>
      </c>
      <c r="Y28" s="473">
        <v>52.3</v>
      </c>
      <c r="Z28" s="470"/>
      <c r="AA28" s="470"/>
      <c r="AB28" s="470"/>
      <c r="AC28" s="470"/>
      <c r="AD28" s="472"/>
      <c r="AE28" s="470"/>
      <c r="AF28" s="470"/>
      <c r="AG28" s="473"/>
      <c r="AH28" s="470"/>
      <c r="AI28" s="470"/>
      <c r="AJ28" s="470"/>
      <c r="AK28" s="470"/>
      <c r="AL28" s="472"/>
      <c r="AM28" s="470"/>
      <c r="AN28" s="470"/>
      <c r="AO28" s="473"/>
      <c r="AP28" s="472"/>
      <c r="AQ28" s="470"/>
      <c r="AR28" s="470"/>
      <c r="AS28" s="473"/>
      <c r="AT28" s="470"/>
      <c r="AU28" s="470"/>
      <c r="AV28" s="470"/>
      <c r="AW28" s="473"/>
      <c r="AX28" s="470"/>
      <c r="AY28" s="470"/>
      <c r="AZ28" s="470"/>
      <c r="BA28" s="474"/>
    </row>
    <row r="29" spans="1:53" s="16" customFormat="1">
      <c r="A29" s="470">
        <v>1977</v>
      </c>
      <c r="B29" s="475"/>
      <c r="C29" s="988" t="s">
        <v>1287</v>
      </c>
      <c r="D29" s="988"/>
      <c r="E29" s="470">
        <v>365</v>
      </c>
      <c r="F29" s="470"/>
      <c r="G29" s="480"/>
      <c r="H29" s="470"/>
      <c r="I29" s="470">
        <v>12</v>
      </c>
      <c r="J29" s="482">
        <v>12</v>
      </c>
      <c r="K29" s="477">
        <f t="shared" si="0"/>
        <v>0</v>
      </c>
      <c r="L29" s="477">
        <f t="shared" si="1"/>
        <v>0</v>
      </c>
      <c r="M29" s="477">
        <f t="shared" si="2"/>
        <v>100</v>
      </c>
      <c r="N29" s="481">
        <f t="shared" si="3"/>
        <v>100</v>
      </c>
      <c r="O29" s="476"/>
      <c r="P29" s="477"/>
      <c r="Q29" s="477">
        <v>52.3</v>
      </c>
      <c r="R29" s="478">
        <f t="shared" si="4"/>
        <v>52.3</v>
      </c>
      <c r="S29" s="470">
        <v>1</v>
      </c>
      <c r="T29" s="479"/>
      <c r="U29" s="475"/>
      <c r="V29" s="472" t="s">
        <v>997</v>
      </c>
      <c r="W29" s="470" t="s">
        <v>20</v>
      </c>
      <c r="X29" s="470" t="s">
        <v>12</v>
      </c>
      <c r="Y29" s="473">
        <v>52.3</v>
      </c>
      <c r="Z29" s="470"/>
      <c r="AA29" s="470"/>
      <c r="AB29" s="470"/>
      <c r="AC29" s="470"/>
      <c r="AD29" s="472"/>
      <c r="AE29" s="470"/>
      <c r="AF29" s="470"/>
      <c r="AG29" s="473"/>
      <c r="AH29" s="470"/>
      <c r="AI29" s="470"/>
      <c r="AJ29" s="470"/>
      <c r="AK29" s="470"/>
      <c r="AL29" s="472"/>
      <c r="AM29" s="470"/>
      <c r="AN29" s="470"/>
      <c r="AO29" s="473"/>
      <c r="AP29" s="472"/>
      <c r="AQ29" s="470"/>
      <c r="AR29" s="470"/>
      <c r="AS29" s="473"/>
      <c r="AT29" s="470"/>
      <c r="AU29" s="470"/>
      <c r="AV29" s="470"/>
      <c r="AW29" s="473"/>
      <c r="AX29" s="470"/>
      <c r="AY29" s="470"/>
      <c r="AZ29" s="470"/>
      <c r="BA29" s="474"/>
    </row>
    <row r="30" spans="1:53" s="16" customFormat="1">
      <c r="A30" s="470">
        <v>1978</v>
      </c>
      <c r="B30" s="475"/>
      <c r="C30" s="988" t="s">
        <v>1287</v>
      </c>
      <c r="D30" s="988"/>
      <c r="E30" s="470">
        <v>0</v>
      </c>
      <c r="F30" s="470"/>
      <c r="G30" s="480"/>
      <c r="H30" s="470"/>
      <c r="I30" s="470">
        <v>12</v>
      </c>
      <c r="J30" s="482">
        <v>12</v>
      </c>
      <c r="K30" s="477">
        <f t="shared" si="0"/>
        <v>0</v>
      </c>
      <c r="L30" s="477">
        <f t="shared" si="1"/>
        <v>0</v>
      </c>
      <c r="M30" s="477">
        <f t="shared" si="2"/>
        <v>100</v>
      </c>
      <c r="N30" s="481">
        <f t="shared" si="3"/>
        <v>100</v>
      </c>
      <c r="O30" s="476"/>
      <c r="P30" s="477"/>
      <c r="Q30" s="477">
        <v>52.3</v>
      </c>
      <c r="R30" s="478">
        <f t="shared" si="4"/>
        <v>52.3</v>
      </c>
      <c r="S30" s="470">
        <v>1</v>
      </c>
      <c r="T30" s="479"/>
      <c r="U30" s="475"/>
      <c r="V30" s="472" t="s">
        <v>997</v>
      </c>
      <c r="W30" s="470" t="s">
        <v>20</v>
      </c>
      <c r="X30" s="470" t="s">
        <v>12</v>
      </c>
      <c r="Y30" s="473">
        <v>52.3</v>
      </c>
      <c r="Z30" s="470"/>
      <c r="AA30" s="470"/>
      <c r="AB30" s="470"/>
      <c r="AC30" s="470"/>
      <c r="AD30" s="472"/>
      <c r="AE30" s="470"/>
      <c r="AF30" s="470"/>
      <c r="AG30" s="473"/>
      <c r="AH30" s="470"/>
      <c r="AI30" s="470"/>
      <c r="AJ30" s="470"/>
      <c r="AK30" s="470"/>
      <c r="AL30" s="472"/>
      <c r="AM30" s="470"/>
      <c r="AN30" s="470"/>
      <c r="AO30" s="473"/>
      <c r="AP30" s="472"/>
      <c r="AQ30" s="470"/>
      <c r="AR30" s="470"/>
      <c r="AS30" s="473"/>
      <c r="AT30" s="470"/>
      <c r="AU30" s="470"/>
      <c r="AV30" s="470"/>
      <c r="AW30" s="473"/>
      <c r="AX30" s="470"/>
      <c r="AY30" s="470"/>
      <c r="AZ30" s="470"/>
      <c r="BA30" s="474"/>
    </row>
    <row r="31" spans="1:53" s="16" customFormat="1">
      <c r="A31" s="470">
        <v>1978</v>
      </c>
      <c r="B31" s="475"/>
      <c r="C31" s="988" t="s">
        <v>1287</v>
      </c>
      <c r="D31" s="988"/>
      <c r="E31" s="470">
        <v>365</v>
      </c>
      <c r="F31" s="470"/>
      <c r="G31" s="480"/>
      <c r="H31" s="470"/>
      <c r="I31" s="470">
        <v>12</v>
      </c>
      <c r="J31" s="482">
        <v>12</v>
      </c>
      <c r="K31" s="477">
        <f t="shared" si="0"/>
        <v>0</v>
      </c>
      <c r="L31" s="477">
        <f t="shared" si="1"/>
        <v>0</v>
      </c>
      <c r="M31" s="477">
        <f t="shared" si="2"/>
        <v>100</v>
      </c>
      <c r="N31" s="481">
        <f t="shared" si="3"/>
        <v>100</v>
      </c>
      <c r="O31" s="476"/>
      <c r="P31" s="477"/>
      <c r="Q31" s="477">
        <v>52.3</v>
      </c>
      <c r="R31" s="478">
        <f t="shared" si="4"/>
        <v>52.3</v>
      </c>
      <c r="S31" s="470">
        <v>1</v>
      </c>
      <c r="T31" s="479"/>
      <c r="U31" s="475"/>
      <c r="V31" s="472" t="s">
        <v>997</v>
      </c>
      <c r="W31" s="470" t="s">
        <v>20</v>
      </c>
      <c r="X31" s="470" t="s">
        <v>12</v>
      </c>
      <c r="Y31" s="473">
        <v>52.3</v>
      </c>
      <c r="Z31" s="470"/>
      <c r="AA31" s="470"/>
      <c r="AB31" s="470"/>
      <c r="AC31" s="470"/>
      <c r="AD31" s="472"/>
      <c r="AE31" s="470"/>
      <c r="AF31" s="470"/>
      <c r="AG31" s="473"/>
      <c r="AH31" s="470"/>
      <c r="AI31" s="470"/>
      <c r="AJ31" s="470"/>
      <c r="AK31" s="470"/>
      <c r="AL31" s="472"/>
      <c r="AM31" s="470"/>
      <c r="AN31" s="470"/>
      <c r="AO31" s="473"/>
      <c r="AP31" s="472"/>
      <c r="AQ31" s="470"/>
      <c r="AR31" s="470"/>
      <c r="AS31" s="473"/>
      <c r="AT31" s="470"/>
      <c r="AU31" s="470"/>
      <c r="AV31" s="470"/>
      <c r="AW31" s="473"/>
      <c r="AX31" s="470"/>
      <c r="AY31" s="470"/>
      <c r="AZ31" s="470"/>
      <c r="BA31" s="474"/>
    </row>
    <row r="32" spans="1:53" s="16" customFormat="1">
      <c r="A32" s="470">
        <v>1979</v>
      </c>
      <c r="B32" s="475"/>
      <c r="C32" s="988" t="s">
        <v>1287</v>
      </c>
      <c r="D32" s="988"/>
      <c r="E32" s="470">
        <v>0</v>
      </c>
      <c r="F32" s="470"/>
      <c r="G32" s="480"/>
      <c r="H32" s="470"/>
      <c r="I32" s="470">
        <v>12</v>
      </c>
      <c r="J32" s="482">
        <v>12</v>
      </c>
      <c r="K32" s="477">
        <f t="shared" si="0"/>
        <v>0</v>
      </c>
      <c r="L32" s="477">
        <f t="shared" si="1"/>
        <v>0</v>
      </c>
      <c r="M32" s="477">
        <f t="shared" si="2"/>
        <v>100</v>
      </c>
      <c r="N32" s="481">
        <f t="shared" si="3"/>
        <v>100</v>
      </c>
      <c r="O32" s="476"/>
      <c r="P32" s="477"/>
      <c r="Q32" s="477">
        <v>52.3</v>
      </c>
      <c r="R32" s="478">
        <f t="shared" si="4"/>
        <v>52.3</v>
      </c>
      <c r="S32" s="470">
        <v>1</v>
      </c>
      <c r="T32" s="479"/>
      <c r="U32" s="475"/>
      <c r="V32" s="472" t="s">
        <v>997</v>
      </c>
      <c r="W32" s="470" t="s">
        <v>20</v>
      </c>
      <c r="X32" s="470" t="s">
        <v>12</v>
      </c>
      <c r="Y32" s="473">
        <v>52.3</v>
      </c>
      <c r="Z32" s="470"/>
      <c r="AA32" s="470"/>
      <c r="AB32" s="470"/>
      <c r="AC32" s="470"/>
      <c r="AD32" s="472"/>
      <c r="AE32" s="470"/>
      <c r="AF32" s="470"/>
      <c r="AG32" s="473"/>
      <c r="AH32" s="470"/>
      <c r="AI32" s="470"/>
      <c r="AJ32" s="470"/>
      <c r="AK32" s="470"/>
      <c r="AL32" s="472"/>
      <c r="AM32" s="470"/>
      <c r="AN32" s="470"/>
      <c r="AO32" s="473"/>
      <c r="AP32" s="472"/>
      <c r="AQ32" s="470"/>
      <c r="AR32" s="470"/>
      <c r="AS32" s="473"/>
      <c r="AT32" s="470"/>
      <c r="AU32" s="470"/>
      <c r="AV32" s="470"/>
      <c r="AW32" s="473"/>
      <c r="AX32" s="470"/>
      <c r="AY32" s="470"/>
      <c r="AZ32" s="470"/>
      <c r="BA32" s="474"/>
    </row>
    <row r="33" spans="1:53" s="16" customFormat="1">
      <c r="A33" s="470">
        <v>1979</v>
      </c>
      <c r="B33" s="475"/>
      <c r="C33" s="988" t="s">
        <v>1287</v>
      </c>
      <c r="D33" s="988"/>
      <c r="E33" s="470">
        <v>365</v>
      </c>
      <c r="F33" s="470"/>
      <c r="G33" s="480"/>
      <c r="H33" s="470"/>
      <c r="I33" s="470">
        <v>12</v>
      </c>
      <c r="J33" s="482">
        <v>12</v>
      </c>
      <c r="K33" s="477">
        <f t="shared" si="0"/>
        <v>0</v>
      </c>
      <c r="L33" s="477">
        <f t="shared" si="1"/>
        <v>0</v>
      </c>
      <c r="M33" s="477">
        <f t="shared" si="2"/>
        <v>100</v>
      </c>
      <c r="N33" s="481">
        <f t="shared" si="3"/>
        <v>100</v>
      </c>
      <c r="O33" s="476"/>
      <c r="P33" s="477"/>
      <c r="Q33" s="477">
        <v>52.3</v>
      </c>
      <c r="R33" s="478">
        <f t="shared" si="4"/>
        <v>52.3</v>
      </c>
      <c r="S33" s="470">
        <v>1</v>
      </c>
      <c r="T33" s="479"/>
      <c r="U33" s="475"/>
      <c r="V33" s="472" t="s">
        <v>997</v>
      </c>
      <c r="W33" s="470" t="s">
        <v>20</v>
      </c>
      <c r="X33" s="470" t="s">
        <v>12</v>
      </c>
      <c r="Y33" s="473">
        <v>52.3</v>
      </c>
      <c r="Z33" s="470"/>
      <c r="AA33" s="470"/>
      <c r="AB33" s="470"/>
      <c r="AC33" s="470"/>
      <c r="AD33" s="472"/>
      <c r="AE33" s="470"/>
      <c r="AF33" s="470"/>
      <c r="AG33" s="473"/>
      <c r="AH33" s="470"/>
      <c r="AI33" s="470"/>
      <c r="AJ33" s="470"/>
      <c r="AK33" s="470"/>
      <c r="AL33" s="472"/>
      <c r="AM33" s="470"/>
      <c r="AN33" s="470"/>
      <c r="AO33" s="473"/>
      <c r="AP33" s="472"/>
      <c r="AQ33" s="470"/>
      <c r="AR33" s="470"/>
      <c r="AS33" s="473"/>
      <c r="AT33" s="470"/>
      <c r="AU33" s="470"/>
      <c r="AV33" s="470"/>
      <c r="AW33" s="473"/>
      <c r="AX33" s="470"/>
      <c r="AY33" s="470"/>
      <c r="AZ33" s="470"/>
      <c r="BA33" s="474"/>
    </row>
    <row r="34" spans="1:53" s="16" customFormat="1">
      <c r="A34" s="470">
        <v>1980</v>
      </c>
      <c r="B34" s="475"/>
      <c r="C34" s="988" t="s">
        <v>1287</v>
      </c>
      <c r="D34" s="988"/>
      <c r="E34" s="470">
        <v>0</v>
      </c>
      <c r="F34" s="470"/>
      <c r="G34" s="480"/>
      <c r="H34" s="470"/>
      <c r="I34" s="470">
        <v>12</v>
      </c>
      <c r="J34" s="482">
        <v>12</v>
      </c>
      <c r="K34" s="477">
        <f t="shared" si="0"/>
        <v>0</v>
      </c>
      <c r="L34" s="477">
        <f t="shared" si="1"/>
        <v>0</v>
      </c>
      <c r="M34" s="477">
        <f t="shared" si="2"/>
        <v>100</v>
      </c>
      <c r="N34" s="481">
        <f t="shared" si="3"/>
        <v>100</v>
      </c>
      <c r="O34" s="476"/>
      <c r="P34" s="477"/>
      <c r="Q34" s="477">
        <v>52.3</v>
      </c>
      <c r="R34" s="478">
        <f t="shared" si="4"/>
        <v>52.3</v>
      </c>
      <c r="S34" s="470">
        <v>1</v>
      </c>
      <c r="T34" s="479"/>
      <c r="U34" s="475"/>
      <c r="V34" s="472" t="s">
        <v>997</v>
      </c>
      <c r="W34" s="470" t="s">
        <v>20</v>
      </c>
      <c r="X34" s="470" t="s">
        <v>12</v>
      </c>
      <c r="Y34" s="473">
        <v>52.3</v>
      </c>
      <c r="Z34" s="470"/>
      <c r="AA34" s="470"/>
      <c r="AB34" s="470"/>
      <c r="AC34" s="470"/>
      <c r="AD34" s="472"/>
      <c r="AE34" s="470"/>
      <c r="AF34" s="470"/>
      <c r="AG34" s="473"/>
      <c r="AH34" s="470"/>
      <c r="AI34" s="470"/>
      <c r="AJ34" s="470"/>
      <c r="AK34" s="470"/>
      <c r="AL34" s="472"/>
      <c r="AM34" s="470"/>
      <c r="AN34" s="470"/>
      <c r="AO34" s="473"/>
      <c r="AP34" s="472"/>
      <c r="AQ34" s="470"/>
      <c r="AR34" s="470"/>
      <c r="AS34" s="473"/>
      <c r="AT34" s="470"/>
      <c r="AU34" s="470"/>
      <c r="AV34" s="470"/>
      <c r="AW34" s="473"/>
      <c r="AX34" s="470"/>
      <c r="AY34" s="470"/>
      <c r="AZ34" s="470"/>
      <c r="BA34" s="474"/>
    </row>
    <row r="35" spans="1:53" s="16" customFormat="1">
      <c r="A35" s="470">
        <v>1980</v>
      </c>
      <c r="B35" s="475"/>
      <c r="C35" s="988" t="s">
        <v>1287</v>
      </c>
      <c r="D35" s="988"/>
      <c r="E35" s="470">
        <v>366</v>
      </c>
      <c r="F35" s="470"/>
      <c r="G35" s="480"/>
      <c r="H35" s="470"/>
      <c r="I35" s="470">
        <v>12</v>
      </c>
      <c r="J35" s="482">
        <v>12</v>
      </c>
      <c r="K35" s="477">
        <f t="shared" si="0"/>
        <v>0</v>
      </c>
      <c r="L35" s="477">
        <f t="shared" si="1"/>
        <v>0</v>
      </c>
      <c r="M35" s="477">
        <f t="shared" si="2"/>
        <v>100</v>
      </c>
      <c r="N35" s="481">
        <f t="shared" si="3"/>
        <v>100</v>
      </c>
      <c r="O35" s="476"/>
      <c r="P35" s="477"/>
      <c r="Q35" s="477">
        <v>52.3</v>
      </c>
      <c r="R35" s="478">
        <f t="shared" si="4"/>
        <v>52.3</v>
      </c>
      <c r="S35" s="470">
        <v>1</v>
      </c>
      <c r="T35" s="479"/>
      <c r="U35" s="475"/>
      <c r="V35" s="472" t="s">
        <v>997</v>
      </c>
      <c r="W35" s="470" t="s">
        <v>20</v>
      </c>
      <c r="X35" s="470" t="s">
        <v>12</v>
      </c>
      <c r="Y35" s="473">
        <v>52.3</v>
      </c>
      <c r="Z35" s="470"/>
      <c r="AA35" s="470"/>
      <c r="AB35" s="470"/>
      <c r="AC35" s="470"/>
      <c r="AD35" s="472"/>
      <c r="AE35" s="470"/>
      <c r="AF35" s="470"/>
      <c r="AG35" s="473"/>
      <c r="AH35" s="470"/>
      <c r="AI35" s="470"/>
      <c r="AJ35" s="470"/>
      <c r="AK35" s="470"/>
      <c r="AL35" s="472"/>
      <c r="AM35" s="470"/>
      <c r="AN35" s="470"/>
      <c r="AO35" s="473"/>
      <c r="AP35" s="472"/>
      <c r="AQ35" s="470"/>
      <c r="AR35" s="470"/>
      <c r="AS35" s="473"/>
      <c r="AT35" s="470"/>
      <c r="AU35" s="470"/>
      <c r="AV35" s="470"/>
      <c r="AW35" s="473"/>
      <c r="AX35" s="470"/>
      <c r="AY35" s="470"/>
      <c r="AZ35" s="470"/>
      <c r="BA35" s="474"/>
    </row>
    <row r="36" spans="1:53" s="16" customFormat="1">
      <c r="A36" s="470">
        <v>1981</v>
      </c>
      <c r="B36" s="475"/>
      <c r="C36" s="988" t="s">
        <v>1287</v>
      </c>
      <c r="D36" s="988"/>
      <c r="E36" s="470">
        <v>351</v>
      </c>
      <c r="F36" s="470"/>
      <c r="G36" s="480"/>
      <c r="H36" s="470"/>
      <c r="I36" s="470">
        <v>12</v>
      </c>
      <c r="J36" s="482">
        <v>12</v>
      </c>
      <c r="K36" s="477">
        <f t="shared" si="0"/>
        <v>0</v>
      </c>
      <c r="L36" s="477">
        <f t="shared" si="1"/>
        <v>0</v>
      </c>
      <c r="M36" s="477">
        <f t="shared" si="2"/>
        <v>100</v>
      </c>
      <c r="N36" s="481">
        <f t="shared" si="3"/>
        <v>100</v>
      </c>
      <c r="O36" s="476"/>
      <c r="P36" s="477"/>
      <c r="Q36" s="477">
        <v>52.3</v>
      </c>
      <c r="R36" s="478">
        <f t="shared" si="4"/>
        <v>52.3</v>
      </c>
      <c r="S36" s="470">
        <v>1</v>
      </c>
      <c r="T36" s="479"/>
      <c r="U36" s="475"/>
      <c r="V36" s="472" t="s">
        <v>997</v>
      </c>
      <c r="W36" s="470" t="s">
        <v>20</v>
      </c>
      <c r="X36" s="470" t="s">
        <v>12</v>
      </c>
      <c r="Y36" s="473">
        <v>52.3</v>
      </c>
      <c r="Z36" s="470"/>
      <c r="AA36" s="470"/>
      <c r="AB36" s="470"/>
      <c r="AC36" s="470"/>
      <c r="AD36" s="472"/>
      <c r="AE36" s="470"/>
      <c r="AF36" s="470"/>
      <c r="AG36" s="473"/>
      <c r="AH36" s="470"/>
      <c r="AI36" s="470"/>
      <c r="AJ36" s="470"/>
      <c r="AK36" s="470"/>
      <c r="AL36" s="472"/>
      <c r="AM36" s="470"/>
      <c r="AN36" s="470"/>
      <c r="AO36" s="473"/>
      <c r="AP36" s="472"/>
      <c r="AQ36" s="470"/>
      <c r="AR36" s="470"/>
      <c r="AS36" s="473"/>
      <c r="AT36" s="470"/>
      <c r="AU36" s="470"/>
      <c r="AV36" s="470"/>
      <c r="AW36" s="473"/>
      <c r="AX36" s="470"/>
      <c r="AY36" s="470"/>
      <c r="AZ36" s="470"/>
      <c r="BA36" s="474"/>
    </row>
    <row r="37" spans="1:53" s="16" customFormat="1">
      <c r="A37" s="486">
        <v>1981</v>
      </c>
      <c r="B37" s="491">
        <v>29938</v>
      </c>
      <c r="C37" s="992" t="s">
        <v>1288</v>
      </c>
      <c r="D37" s="992"/>
      <c r="E37" s="486">
        <f>365-E36</f>
        <v>14</v>
      </c>
      <c r="F37" s="486">
        <v>1</v>
      </c>
      <c r="G37" s="497"/>
      <c r="H37" s="486"/>
      <c r="I37" s="486">
        <v>14</v>
      </c>
      <c r="J37" s="499">
        <v>14</v>
      </c>
      <c r="K37" s="495">
        <f t="shared" si="0"/>
        <v>0</v>
      </c>
      <c r="L37" s="495">
        <f t="shared" si="1"/>
        <v>0</v>
      </c>
      <c r="M37" s="495">
        <f t="shared" si="2"/>
        <v>100</v>
      </c>
      <c r="N37" s="498">
        <f t="shared" si="3"/>
        <v>100</v>
      </c>
      <c r="O37" s="494"/>
      <c r="P37" s="495"/>
      <c r="Q37" s="495">
        <v>52.3</v>
      </c>
      <c r="R37" s="496">
        <f t="shared" si="4"/>
        <v>52.3</v>
      </c>
      <c r="S37" s="492">
        <v>1</v>
      </c>
      <c r="T37" s="487">
        <v>29932</v>
      </c>
      <c r="U37" s="491">
        <v>29938</v>
      </c>
      <c r="V37" s="488" t="s">
        <v>997</v>
      </c>
      <c r="W37" s="486" t="s">
        <v>20</v>
      </c>
      <c r="X37" s="486" t="s">
        <v>12</v>
      </c>
      <c r="Y37" s="489">
        <v>47.7</v>
      </c>
      <c r="Z37" s="486"/>
      <c r="AA37" s="486"/>
      <c r="AB37" s="486"/>
      <c r="AC37" s="486"/>
      <c r="AD37" s="488"/>
      <c r="AE37" s="486"/>
      <c r="AF37" s="486"/>
      <c r="AG37" s="489"/>
      <c r="AH37" s="486"/>
      <c r="AI37" s="486"/>
      <c r="AJ37" s="486"/>
      <c r="AK37" s="486"/>
      <c r="AL37" s="488"/>
      <c r="AM37" s="486"/>
      <c r="AN37" s="486"/>
      <c r="AO37" s="489"/>
      <c r="AP37" s="488"/>
      <c r="AQ37" s="486"/>
      <c r="AR37" s="486"/>
      <c r="AS37" s="489"/>
      <c r="AT37" s="486"/>
      <c r="AU37" s="486"/>
      <c r="AV37" s="486"/>
      <c r="AW37" s="489"/>
      <c r="AX37" s="486"/>
      <c r="AY37" s="486"/>
      <c r="AZ37" s="486"/>
      <c r="BA37" s="490"/>
    </row>
    <row r="38" spans="1:53" s="16" customFormat="1">
      <c r="A38" s="486">
        <v>1982</v>
      </c>
      <c r="B38" s="486"/>
      <c r="C38" s="992" t="s">
        <v>1288</v>
      </c>
      <c r="D38" s="992"/>
      <c r="E38" s="486">
        <v>0</v>
      </c>
      <c r="F38" s="486"/>
      <c r="G38" s="497"/>
      <c r="H38" s="486"/>
      <c r="I38" s="486">
        <v>14</v>
      </c>
      <c r="J38" s="499">
        <v>14</v>
      </c>
      <c r="K38" s="495">
        <f t="shared" si="0"/>
        <v>0</v>
      </c>
      <c r="L38" s="495">
        <f t="shared" si="1"/>
        <v>0</v>
      </c>
      <c r="M38" s="495">
        <f t="shared" si="2"/>
        <v>100</v>
      </c>
      <c r="N38" s="498">
        <f t="shared" si="3"/>
        <v>100</v>
      </c>
      <c r="O38" s="494"/>
      <c r="P38" s="495"/>
      <c r="Q38" s="495">
        <v>52.3</v>
      </c>
      <c r="R38" s="496">
        <f t="shared" si="4"/>
        <v>52.3</v>
      </c>
      <c r="S38" s="492">
        <v>1</v>
      </c>
      <c r="T38" s="492"/>
      <c r="U38" s="486"/>
      <c r="V38" s="488" t="s">
        <v>997</v>
      </c>
      <c r="W38" s="486" t="s">
        <v>20</v>
      </c>
      <c r="X38" s="486" t="s">
        <v>12</v>
      </c>
      <c r="Y38" s="489">
        <v>47.7</v>
      </c>
      <c r="Z38" s="486"/>
      <c r="AA38" s="486"/>
      <c r="AB38" s="486"/>
      <c r="AC38" s="486"/>
      <c r="AD38" s="488"/>
      <c r="AE38" s="486"/>
      <c r="AF38" s="486"/>
      <c r="AG38" s="489"/>
      <c r="AH38" s="486"/>
      <c r="AI38" s="486"/>
      <c r="AJ38" s="486"/>
      <c r="AK38" s="486"/>
      <c r="AL38" s="488"/>
      <c r="AM38" s="486"/>
      <c r="AN38" s="486"/>
      <c r="AO38" s="489"/>
      <c r="AP38" s="488"/>
      <c r="AQ38" s="486"/>
      <c r="AR38" s="486"/>
      <c r="AS38" s="489"/>
      <c r="AT38" s="486"/>
      <c r="AU38" s="486"/>
      <c r="AV38" s="486"/>
      <c r="AW38" s="489"/>
      <c r="AX38" s="486"/>
      <c r="AY38" s="486"/>
      <c r="AZ38" s="486"/>
      <c r="BA38" s="490"/>
    </row>
    <row r="39" spans="1:53" s="16" customFormat="1">
      <c r="A39" s="486">
        <v>1982</v>
      </c>
      <c r="B39" s="486"/>
      <c r="C39" s="992" t="s">
        <v>1288</v>
      </c>
      <c r="D39" s="992"/>
      <c r="E39" s="486">
        <v>365</v>
      </c>
      <c r="F39" s="486"/>
      <c r="G39" s="497"/>
      <c r="H39" s="486"/>
      <c r="I39" s="486">
        <v>14</v>
      </c>
      <c r="J39" s="499">
        <v>14</v>
      </c>
      <c r="K39" s="495">
        <f t="shared" ref="K39:K70" si="5">G39/J39*100</f>
        <v>0</v>
      </c>
      <c r="L39" s="495">
        <f t="shared" ref="L39:L70" si="6">H39/J39*100</f>
        <v>0</v>
      </c>
      <c r="M39" s="495">
        <f t="shared" ref="M39:M70" si="7">I39/J39*100</f>
        <v>100</v>
      </c>
      <c r="N39" s="498">
        <f t="shared" ref="N39:N70" si="8">K39+L39+M39</f>
        <v>100</v>
      </c>
      <c r="O39" s="494"/>
      <c r="P39" s="495"/>
      <c r="Q39" s="495">
        <v>52.3</v>
      </c>
      <c r="R39" s="496">
        <f t="shared" ref="R39:R70" si="9">O39+P39+Q39</f>
        <v>52.3</v>
      </c>
      <c r="S39" s="492">
        <v>1</v>
      </c>
      <c r="T39" s="492"/>
      <c r="U39" s="486"/>
      <c r="V39" s="488" t="s">
        <v>997</v>
      </c>
      <c r="W39" s="486" t="s">
        <v>20</v>
      </c>
      <c r="X39" s="486" t="s">
        <v>12</v>
      </c>
      <c r="Y39" s="489">
        <v>47.7</v>
      </c>
      <c r="Z39" s="486"/>
      <c r="AA39" s="486"/>
      <c r="AB39" s="486"/>
      <c r="AC39" s="486"/>
      <c r="AD39" s="488"/>
      <c r="AE39" s="486"/>
      <c r="AF39" s="486"/>
      <c r="AG39" s="489"/>
      <c r="AH39" s="486"/>
      <c r="AI39" s="486"/>
      <c r="AJ39" s="486"/>
      <c r="AK39" s="486"/>
      <c r="AL39" s="488"/>
      <c r="AM39" s="486"/>
      <c r="AN39" s="486"/>
      <c r="AO39" s="489"/>
      <c r="AP39" s="488"/>
      <c r="AQ39" s="486"/>
      <c r="AR39" s="486"/>
      <c r="AS39" s="489"/>
      <c r="AT39" s="486"/>
      <c r="AU39" s="486"/>
      <c r="AV39" s="486"/>
      <c r="AW39" s="489"/>
      <c r="AX39" s="486"/>
      <c r="AY39" s="486"/>
      <c r="AZ39" s="486"/>
      <c r="BA39" s="490"/>
    </row>
    <row r="40" spans="1:53" s="16" customFormat="1">
      <c r="A40" s="486">
        <v>1983</v>
      </c>
      <c r="B40" s="486"/>
      <c r="C40" s="992" t="s">
        <v>1288</v>
      </c>
      <c r="D40" s="992"/>
      <c r="E40" s="486">
        <v>0</v>
      </c>
      <c r="F40" s="486"/>
      <c r="G40" s="497"/>
      <c r="H40" s="486"/>
      <c r="I40" s="486">
        <v>14</v>
      </c>
      <c r="J40" s="499">
        <v>14</v>
      </c>
      <c r="K40" s="495">
        <f t="shared" si="5"/>
        <v>0</v>
      </c>
      <c r="L40" s="495">
        <f t="shared" si="6"/>
        <v>0</v>
      </c>
      <c r="M40" s="495">
        <f t="shared" si="7"/>
        <v>100</v>
      </c>
      <c r="N40" s="498">
        <f t="shared" si="8"/>
        <v>100</v>
      </c>
      <c r="O40" s="494"/>
      <c r="P40" s="495"/>
      <c r="Q40" s="495">
        <v>52.3</v>
      </c>
      <c r="R40" s="496">
        <f t="shared" si="9"/>
        <v>52.3</v>
      </c>
      <c r="S40" s="492">
        <v>1</v>
      </c>
      <c r="T40" s="492"/>
      <c r="U40" s="486"/>
      <c r="V40" s="488" t="s">
        <v>997</v>
      </c>
      <c r="W40" s="486" t="s">
        <v>20</v>
      </c>
      <c r="X40" s="486" t="s">
        <v>12</v>
      </c>
      <c r="Y40" s="489">
        <v>47.7</v>
      </c>
      <c r="Z40" s="486"/>
      <c r="AA40" s="486"/>
      <c r="AB40" s="486"/>
      <c r="AC40" s="486"/>
      <c r="AD40" s="488"/>
      <c r="AE40" s="486"/>
      <c r="AF40" s="486"/>
      <c r="AG40" s="489"/>
      <c r="AH40" s="486"/>
      <c r="AI40" s="486"/>
      <c r="AJ40" s="486"/>
      <c r="AK40" s="486"/>
      <c r="AL40" s="488"/>
      <c r="AM40" s="486"/>
      <c r="AN40" s="486"/>
      <c r="AO40" s="489"/>
      <c r="AP40" s="488"/>
      <c r="AQ40" s="486"/>
      <c r="AR40" s="486"/>
      <c r="AS40" s="489"/>
      <c r="AT40" s="486"/>
      <c r="AU40" s="486"/>
      <c r="AV40" s="486"/>
      <c r="AW40" s="489"/>
      <c r="AX40" s="486"/>
      <c r="AY40" s="486"/>
      <c r="AZ40" s="486"/>
      <c r="BA40" s="490"/>
    </row>
    <row r="41" spans="1:53" s="16" customFormat="1">
      <c r="A41" s="486">
        <v>1983</v>
      </c>
      <c r="B41" s="486"/>
      <c r="C41" s="992" t="s">
        <v>1288</v>
      </c>
      <c r="D41" s="992"/>
      <c r="E41" s="486">
        <v>365</v>
      </c>
      <c r="F41" s="486"/>
      <c r="G41" s="497"/>
      <c r="H41" s="486"/>
      <c r="I41" s="486">
        <v>14</v>
      </c>
      <c r="J41" s="499">
        <v>14</v>
      </c>
      <c r="K41" s="495">
        <f t="shared" si="5"/>
        <v>0</v>
      </c>
      <c r="L41" s="495">
        <f t="shared" si="6"/>
        <v>0</v>
      </c>
      <c r="M41" s="495">
        <f t="shared" si="7"/>
        <v>100</v>
      </c>
      <c r="N41" s="498">
        <f t="shared" si="8"/>
        <v>100</v>
      </c>
      <c r="O41" s="494"/>
      <c r="P41" s="495"/>
      <c r="Q41" s="495">
        <v>52.3</v>
      </c>
      <c r="R41" s="496">
        <f t="shared" si="9"/>
        <v>52.3</v>
      </c>
      <c r="S41" s="492">
        <v>1</v>
      </c>
      <c r="T41" s="492"/>
      <c r="U41" s="486"/>
      <c r="V41" s="488" t="s">
        <v>997</v>
      </c>
      <c r="W41" s="486" t="s">
        <v>20</v>
      </c>
      <c r="X41" s="486" t="s">
        <v>12</v>
      </c>
      <c r="Y41" s="489">
        <v>47.7</v>
      </c>
      <c r="Z41" s="486"/>
      <c r="AA41" s="486"/>
      <c r="AB41" s="486"/>
      <c r="AC41" s="486"/>
      <c r="AD41" s="488"/>
      <c r="AE41" s="486"/>
      <c r="AF41" s="486"/>
      <c r="AG41" s="489"/>
      <c r="AH41" s="486"/>
      <c r="AI41" s="486"/>
      <c r="AJ41" s="486"/>
      <c r="AK41" s="486"/>
      <c r="AL41" s="488"/>
      <c r="AM41" s="486"/>
      <c r="AN41" s="486"/>
      <c r="AO41" s="489"/>
      <c r="AP41" s="488"/>
      <c r="AQ41" s="486"/>
      <c r="AR41" s="486"/>
      <c r="AS41" s="489"/>
      <c r="AT41" s="486"/>
      <c r="AU41" s="486"/>
      <c r="AV41" s="486"/>
      <c r="AW41" s="489"/>
      <c r="AX41" s="486"/>
      <c r="AY41" s="486"/>
      <c r="AZ41" s="486"/>
      <c r="BA41" s="490"/>
    </row>
    <row r="42" spans="1:53" s="16" customFormat="1">
      <c r="A42" s="486">
        <v>1984</v>
      </c>
      <c r="B42" s="486"/>
      <c r="C42" s="992" t="s">
        <v>1288</v>
      </c>
      <c r="D42" s="992"/>
      <c r="E42" s="486">
        <v>357</v>
      </c>
      <c r="F42" s="486"/>
      <c r="G42" s="497"/>
      <c r="H42" s="486"/>
      <c r="I42" s="486">
        <v>14</v>
      </c>
      <c r="J42" s="499">
        <v>14</v>
      </c>
      <c r="K42" s="495">
        <f t="shared" si="5"/>
        <v>0</v>
      </c>
      <c r="L42" s="495">
        <f t="shared" si="6"/>
        <v>0</v>
      </c>
      <c r="M42" s="495">
        <f t="shared" si="7"/>
        <v>100</v>
      </c>
      <c r="N42" s="498">
        <f t="shared" si="8"/>
        <v>100</v>
      </c>
      <c r="O42" s="494"/>
      <c r="P42" s="495"/>
      <c r="Q42" s="495">
        <v>52.3</v>
      </c>
      <c r="R42" s="496">
        <f t="shared" si="9"/>
        <v>52.3</v>
      </c>
      <c r="S42" s="492">
        <v>1</v>
      </c>
      <c r="T42" s="492"/>
      <c r="U42" s="486"/>
      <c r="V42" s="488" t="s">
        <v>997</v>
      </c>
      <c r="W42" s="486" t="s">
        <v>20</v>
      </c>
      <c r="X42" s="486" t="s">
        <v>12</v>
      </c>
      <c r="Y42" s="489">
        <v>47.7</v>
      </c>
      <c r="Z42" s="486"/>
      <c r="AA42" s="486"/>
      <c r="AB42" s="486"/>
      <c r="AC42" s="486"/>
      <c r="AD42" s="488"/>
      <c r="AE42" s="486"/>
      <c r="AF42" s="486"/>
      <c r="AG42" s="489"/>
      <c r="AH42" s="486"/>
      <c r="AI42" s="486"/>
      <c r="AJ42" s="486"/>
      <c r="AK42" s="486"/>
      <c r="AL42" s="488"/>
      <c r="AM42" s="486"/>
      <c r="AN42" s="486"/>
      <c r="AO42" s="489"/>
      <c r="AP42" s="488"/>
      <c r="AQ42" s="486"/>
      <c r="AR42" s="486"/>
      <c r="AS42" s="489"/>
      <c r="AT42" s="486"/>
      <c r="AU42" s="486"/>
      <c r="AV42" s="486"/>
      <c r="AW42" s="489"/>
      <c r="AX42" s="486"/>
      <c r="AY42" s="486"/>
      <c r="AZ42" s="486"/>
      <c r="BA42" s="490"/>
    </row>
    <row r="43" spans="1:53" s="16" customFormat="1">
      <c r="A43" s="470">
        <v>1984</v>
      </c>
      <c r="B43" s="475">
        <v>31039</v>
      </c>
      <c r="C43" s="988" t="s">
        <v>1289</v>
      </c>
      <c r="D43" s="988"/>
      <c r="E43" s="470">
        <f>366-E42</f>
        <v>9</v>
      </c>
      <c r="F43" s="470">
        <v>2</v>
      </c>
      <c r="G43" s="480"/>
      <c r="H43" s="470"/>
      <c r="I43" s="470">
        <v>12</v>
      </c>
      <c r="J43" s="482">
        <v>12</v>
      </c>
      <c r="K43" s="477">
        <f t="shared" si="5"/>
        <v>0</v>
      </c>
      <c r="L43" s="477">
        <f t="shared" si="6"/>
        <v>0</v>
      </c>
      <c r="M43" s="477">
        <f t="shared" si="7"/>
        <v>100</v>
      </c>
      <c r="N43" s="481">
        <f t="shared" si="8"/>
        <v>100</v>
      </c>
      <c r="O43" s="476"/>
      <c r="P43" s="477"/>
      <c r="Q43" s="477">
        <v>52.3</v>
      </c>
      <c r="R43" s="478">
        <f t="shared" si="9"/>
        <v>52.3</v>
      </c>
      <c r="S43" s="470">
        <v>1</v>
      </c>
      <c r="T43" s="479"/>
      <c r="U43" s="475">
        <v>31039</v>
      </c>
      <c r="V43" s="472" t="s">
        <v>997</v>
      </c>
      <c r="W43" s="470" t="s">
        <v>20</v>
      </c>
      <c r="X43" s="470" t="s">
        <v>12</v>
      </c>
      <c r="Y43" s="473">
        <v>47.7</v>
      </c>
      <c r="Z43" s="470"/>
      <c r="AA43" s="470"/>
      <c r="AB43" s="470"/>
      <c r="AC43" s="470"/>
      <c r="AD43" s="472"/>
      <c r="AE43" s="470"/>
      <c r="AF43" s="470"/>
      <c r="AG43" s="473"/>
      <c r="AH43" s="470"/>
      <c r="AI43" s="470"/>
      <c r="AJ43" s="470"/>
      <c r="AK43" s="470"/>
      <c r="AL43" s="472"/>
      <c r="AM43" s="470"/>
      <c r="AN43" s="470"/>
      <c r="AO43" s="473"/>
      <c r="AP43" s="472"/>
      <c r="AQ43" s="470"/>
      <c r="AR43" s="470"/>
      <c r="AS43" s="473"/>
      <c r="AT43" s="470"/>
      <c r="AU43" s="470"/>
      <c r="AV43" s="470"/>
      <c r="AW43" s="473"/>
      <c r="AX43" s="470"/>
      <c r="AY43" s="470"/>
      <c r="AZ43" s="470"/>
      <c r="BA43" s="474"/>
    </row>
    <row r="44" spans="1:53" s="16" customFormat="1">
      <c r="A44" s="470">
        <v>1985</v>
      </c>
      <c r="B44" s="475"/>
      <c r="C44" s="988" t="s">
        <v>1289</v>
      </c>
      <c r="D44" s="988"/>
      <c r="E44" s="470">
        <v>0</v>
      </c>
      <c r="F44" s="470"/>
      <c r="G44" s="480"/>
      <c r="H44" s="470"/>
      <c r="I44" s="470">
        <v>12</v>
      </c>
      <c r="J44" s="482">
        <v>12</v>
      </c>
      <c r="K44" s="477">
        <f t="shared" si="5"/>
        <v>0</v>
      </c>
      <c r="L44" s="477">
        <f t="shared" si="6"/>
        <v>0</v>
      </c>
      <c r="M44" s="477">
        <f t="shared" si="7"/>
        <v>100</v>
      </c>
      <c r="N44" s="481">
        <f t="shared" si="8"/>
        <v>100</v>
      </c>
      <c r="O44" s="476"/>
      <c r="P44" s="477"/>
      <c r="Q44" s="477">
        <v>52.3</v>
      </c>
      <c r="R44" s="478">
        <f t="shared" si="9"/>
        <v>52.3</v>
      </c>
      <c r="S44" s="470">
        <v>1</v>
      </c>
      <c r="T44" s="479"/>
      <c r="U44" s="475"/>
      <c r="V44" s="472" t="s">
        <v>997</v>
      </c>
      <c r="W44" s="470" t="s">
        <v>20</v>
      </c>
      <c r="X44" s="470" t="s">
        <v>12</v>
      </c>
      <c r="Y44" s="473">
        <v>47.7</v>
      </c>
      <c r="Z44" s="470"/>
      <c r="AA44" s="470"/>
      <c r="AB44" s="470"/>
      <c r="AC44" s="470"/>
      <c r="AD44" s="472"/>
      <c r="AE44" s="470"/>
      <c r="AF44" s="470"/>
      <c r="AG44" s="473"/>
      <c r="AH44" s="470"/>
      <c r="AI44" s="470"/>
      <c r="AJ44" s="470"/>
      <c r="AK44" s="470"/>
      <c r="AL44" s="472"/>
      <c r="AM44" s="470"/>
      <c r="AN44" s="470"/>
      <c r="AO44" s="473"/>
      <c r="AP44" s="472"/>
      <c r="AQ44" s="470"/>
      <c r="AR44" s="470"/>
      <c r="AS44" s="473"/>
      <c r="AT44" s="470"/>
      <c r="AU44" s="470"/>
      <c r="AV44" s="470"/>
      <c r="AW44" s="473"/>
      <c r="AX44" s="470"/>
      <c r="AY44" s="470"/>
      <c r="AZ44" s="470"/>
      <c r="BA44" s="474"/>
    </row>
    <row r="45" spans="1:53" s="16" customFormat="1">
      <c r="A45" s="470">
        <v>1985</v>
      </c>
      <c r="B45" s="475"/>
      <c r="C45" s="988" t="s">
        <v>1289</v>
      </c>
      <c r="D45" s="988"/>
      <c r="E45" s="470">
        <v>365</v>
      </c>
      <c r="F45" s="470"/>
      <c r="G45" s="480"/>
      <c r="H45" s="470"/>
      <c r="I45" s="470">
        <v>12</v>
      </c>
      <c r="J45" s="482">
        <v>12</v>
      </c>
      <c r="K45" s="477">
        <f t="shared" si="5"/>
        <v>0</v>
      </c>
      <c r="L45" s="477">
        <f t="shared" si="6"/>
        <v>0</v>
      </c>
      <c r="M45" s="477">
        <f t="shared" si="7"/>
        <v>100</v>
      </c>
      <c r="N45" s="481">
        <f t="shared" si="8"/>
        <v>100</v>
      </c>
      <c r="O45" s="476"/>
      <c r="P45" s="477"/>
      <c r="Q45" s="477">
        <v>52.3</v>
      </c>
      <c r="R45" s="478">
        <f t="shared" si="9"/>
        <v>52.3</v>
      </c>
      <c r="S45" s="470">
        <v>1</v>
      </c>
      <c r="T45" s="479"/>
      <c r="U45" s="475"/>
      <c r="V45" s="472" t="s">
        <v>997</v>
      </c>
      <c r="W45" s="470" t="s">
        <v>20</v>
      </c>
      <c r="X45" s="470" t="s">
        <v>12</v>
      </c>
      <c r="Y45" s="473">
        <v>47.7</v>
      </c>
      <c r="Z45" s="470"/>
      <c r="AA45" s="470"/>
      <c r="AB45" s="470"/>
      <c r="AC45" s="470"/>
      <c r="AD45" s="472"/>
      <c r="AE45" s="470"/>
      <c r="AF45" s="470"/>
      <c r="AG45" s="473"/>
      <c r="AH45" s="470"/>
      <c r="AI45" s="470"/>
      <c r="AJ45" s="470"/>
      <c r="AK45" s="470"/>
      <c r="AL45" s="472"/>
      <c r="AM45" s="470"/>
      <c r="AN45" s="470"/>
      <c r="AO45" s="473"/>
      <c r="AP45" s="472"/>
      <c r="AQ45" s="470"/>
      <c r="AR45" s="470"/>
      <c r="AS45" s="473"/>
      <c r="AT45" s="470"/>
      <c r="AU45" s="470"/>
      <c r="AV45" s="470"/>
      <c r="AW45" s="473"/>
      <c r="AX45" s="470"/>
      <c r="AY45" s="470"/>
      <c r="AZ45" s="470"/>
      <c r="BA45" s="474"/>
    </row>
    <row r="46" spans="1:53" s="16" customFormat="1">
      <c r="A46" s="470">
        <v>1986</v>
      </c>
      <c r="B46" s="475"/>
      <c r="C46" s="988" t="s">
        <v>1289</v>
      </c>
      <c r="D46" s="988"/>
      <c r="E46" s="470">
        <v>0</v>
      </c>
      <c r="F46" s="470"/>
      <c r="G46" s="480"/>
      <c r="H46" s="470"/>
      <c r="I46" s="470">
        <v>12</v>
      </c>
      <c r="J46" s="482">
        <v>12</v>
      </c>
      <c r="K46" s="477">
        <f t="shared" si="5"/>
        <v>0</v>
      </c>
      <c r="L46" s="477">
        <f t="shared" si="6"/>
        <v>0</v>
      </c>
      <c r="M46" s="477">
        <f t="shared" si="7"/>
        <v>100</v>
      </c>
      <c r="N46" s="481">
        <f t="shared" si="8"/>
        <v>100</v>
      </c>
      <c r="O46" s="476"/>
      <c r="P46" s="477"/>
      <c r="Q46" s="477">
        <v>52.3</v>
      </c>
      <c r="R46" s="478">
        <f t="shared" si="9"/>
        <v>52.3</v>
      </c>
      <c r="S46" s="470">
        <v>1</v>
      </c>
      <c r="T46" s="479"/>
      <c r="U46" s="475"/>
      <c r="V46" s="472" t="s">
        <v>997</v>
      </c>
      <c r="W46" s="470" t="s">
        <v>20</v>
      </c>
      <c r="X46" s="470" t="s">
        <v>12</v>
      </c>
      <c r="Y46" s="473">
        <v>47.7</v>
      </c>
      <c r="Z46" s="470"/>
      <c r="AA46" s="470"/>
      <c r="AB46" s="470"/>
      <c r="AC46" s="470"/>
      <c r="AD46" s="472"/>
      <c r="AE46" s="470"/>
      <c r="AF46" s="470"/>
      <c r="AG46" s="473"/>
      <c r="AH46" s="470"/>
      <c r="AI46" s="470"/>
      <c r="AJ46" s="470"/>
      <c r="AK46" s="470"/>
      <c r="AL46" s="472"/>
      <c r="AM46" s="470"/>
      <c r="AN46" s="470"/>
      <c r="AO46" s="473"/>
      <c r="AP46" s="472"/>
      <c r="AQ46" s="470"/>
      <c r="AR46" s="470"/>
      <c r="AS46" s="473"/>
      <c r="AT46" s="470"/>
      <c r="AU46" s="470"/>
      <c r="AV46" s="470"/>
      <c r="AW46" s="473"/>
      <c r="AX46" s="470"/>
      <c r="AY46" s="470"/>
      <c r="AZ46" s="470"/>
      <c r="BA46" s="474"/>
    </row>
    <row r="47" spans="1:53" s="16" customFormat="1">
      <c r="A47" s="470">
        <v>1986</v>
      </c>
      <c r="B47" s="475"/>
      <c r="C47" s="988" t="s">
        <v>1289</v>
      </c>
      <c r="D47" s="988"/>
      <c r="E47" s="470">
        <v>365</v>
      </c>
      <c r="F47" s="470"/>
      <c r="G47" s="480"/>
      <c r="H47" s="470"/>
      <c r="I47" s="470">
        <v>12</v>
      </c>
      <c r="J47" s="482">
        <v>12</v>
      </c>
      <c r="K47" s="477">
        <f t="shared" si="5"/>
        <v>0</v>
      </c>
      <c r="L47" s="477">
        <f t="shared" si="6"/>
        <v>0</v>
      </c>
      <c r="M47" s="477">
        <f t="shared" si="7"/>
        <v>100</v>
      </c>
      <c r="N47" s="481">
        <f t="shared" si="8"/>
        <v>100</v>
      </c>
      <c r="O47" s="476"/>
      <c r="P47" s="477"/>
      <c r="Q47" s="477">
        <v>52.3</v>
      </c>
      <c r="R47" s="478">
        <f t="shared" si="9"/>
        <v>52.3</v>
      </c>
      <c r="S47" s="470">
        <v>1</v>
      </c>
      <c r="T47" s="479"/>
      <c r="U47" s="475"/>
      <c r="V47" s="472" t="s">
        <v>997</v>
      </c>
      <c r="W47" s="470" t="s">
        <v>20</v>
      </c>
      <c r="X47" s="470" t="s">
        <v>12</v>
      </c>
      <c r="Y47" s="473">
        <v>47.7</v>
      </c>
      <c r="Z47" s="470"/>
      <c r="AA47" s="470"/>
      <c r="AB47" s="470"/>
      <c r="AC47" s="470"/>
      <c r="AD47" s="472"/>
      <c r="AE47" s="470"/>
      <c r="AF47" s="470"/>
      <c r="AG47" s="473"/>
      <c r="AH47" s="470"/>
      <c r="AI47" s="470"/>
      <c r="AJ47" s="470"/>
      <c r="AK47" s="470"/>
      <c r="AL47" s="472"/>
      <c r="AM47" s="470"/>
      <c r="AN47" s="470"/>
      <c r="AO47" s="473"/>
      <c r="AP47" s="472"/>
      <c r="AQ47" s="470"/>
      <c r="AR47" s="470"/>
      <c r="AS47" s="473"/>
      <c r="AT47" s="470"/>
      <c r="AU47" s="470"/>
      <c r="AV47" s="470"/>
      <c r="AW47" s="473"/>
      <c r="AX47" s="470"/>
      <c r="AY47" s="470"/>
      <c r="AZ47" s="470"/>
      <c r="BA47" s="474"/>
    </row>
    <row r="48" spans="1:53" s="16" customFormat="1">
      <c r="A48" s="470">
        <v>1987</v>
      </c>
      <c r="B48" s="475"/>
      <c r="C48" s="988" t="s">
        <v>1289</v>
      </c>
      <c r="D48" s="988"/>
      <c r="E48" s="470">
        <v>133</v>
      </c>
      <c r="F48" s="470"/>
      <c r="G48" s="480"/>
      <c r="H48" s="470"/>
      <c r="I48" s="470">
        <v>12</v>
      </c>
      <c r="J48" s="482">
        <v>12</v>
      </c>
      <c r="K48" s="477">
        <f t="shared" si="5"/>
        <v>0</v>
      </c>
      <c r="L48" s="477">
        <f t="shared" si="6"/>
        <v>0</v>
      </c>
      <c r="M48" s="477">
        <f t="shared" si="7"/>
        <v>100</v>
      </c>
      <c r="N48" s="481">
        <f t="shared" si="8"/>
        <v>100</v>
      </c>
      <c r="O48" s="476"/>
      <c r="P48" s="477"/>
      <c r="Q48" s="477">
        <v>52.3</v>
      </c>
      <c r="R48" s="478">
        <f t="shared" si="9"/>
        <v>52.3</v>
      </c>
      <c r="S48" s="470">
        <v>1</v>
      </c>
      <c r="T48" s="479"/>
      <c r="U48" s="475"/>
      <c r="V48" s="472" t="s">
        <v>997</v>
      </c>
      <c r="W48" s="470" t="s">
        <v>20</v>
      </c>
      <c r="X48" s="470" t="s">
        <v>12</v>
      </c>
      <c r="Y48" s="473">
        <v>47.7</v>
      </c>
      <c r="Z48" s="470"/>
      <c r="AA48" s="470"/>
      <c r="AB48" s="470"/>
      <c r="AC48" s="470"/>
      <c r="AD48" s="472"/>
      <c r="AE48" s="470"/>
      <c r="AF48" s="470"/>
      <c r="AG48" s="473"/>
      <c r="AH48" s="470"/>
      <c r="AI48" s="470"/>
      <c r="AJ48" s="470"/>
      <c r="AK48" s="470"/>
      <c r="AL48" s="472"/>
      <c r="AM48" s="470"/>
      <c r="AN48" s="470"/>
      <c r="AO48" s="473"/>
      <c r="AP48" s="472"/>
      <c r="AQ48" s="470"/>
      <c r="AR48" s="470"/>
      <c r="AS48" s="473"/>
      <c r="AT48" s="470"/>
      <c r="AU48" s="470"/>
      <c r="AV48" s="470"/>
      <c r="AW48" s="473"/>
      <c r="AX48" s="470"/>
      <c r="AY48" s="470"/>
      <c r="AZ48" s="470"/>
      <c r="BA48" s="474"/>
    </row>
    <row r="49" spans="1:53" s="16" customFormat="1">
      <c r="A49" s="486">
        <v>1987</v>
      </c>
      <c r="B49" s="491">
        <v>31911</v>
      </c>
      <c r="C49" s="992" t="s">
        <v>993</v>
      </c>
      <c r="D49" s="992"/>
      <c r="E49" s="486">
        <f>365-E48</f>
        <v>232</v>
      </c>
      <c r="F49" s="486">
        <v>1</v>
      </c>
      <c r="G49" s="497"/>
      <c r="H49" s="486">
        <v>10</v>
      </c>
      <c r="I49" s="486"/>
      <c r="J49" s="499">
        <v>10</v>
      </c>
      <c r="K49" s="495">
        <f t="shared" si="5"/>
        <v>0</v>
      </c>
      <c r="L49" s="495">
        <f t="shared" si="6"/>
        <v>100</v>
      </c>
      <c r="M49" s="495">
        <f t="shared" si="7"/>
        <v>0</v>
      </c>
      <c r="N49" s="498">
        <f t="shared" si="8"/>
        <v>100</v>
      </c>
      <c r="O49" s="494"/>
      <c r="P49" s="495">
        <v>50.7</v>
      </c>
      <c r="Q49" s="495"/>
      <c r="R49" s="496">
        <f t="shared" si="9"/>
        <v>50.7</v>
      </c>
      <c r="S49" s="492">
        <v>1</v>
      </c>
      <c r="T49" s="487">
        <v>31906</v>
      </c>
      <c r="U49" s="491">
        <v>31911</v>
      </c>
      <c r="V49" s="488" t="s">
        <v>994</v>
      </c>
      <c r="W49" s="486" t="s">
        <v>17</v>
      </c>
      <c r="X49" s="486" t="s">
        <v>18</v>
      </c>
      <c r="Y49" s="489">
        <v>50.7</v>
      </c>
      <c r="Z49" s="486"/>
      <c r="AA49" s="486"/>
      <c r="AB49" s="486"/>
      <c r="AC49" s="486"/>
      <c r="AD49" s="488"/>
      <c r="AE49" s="486"/>
      <c r="AF49" s="486"/>
      <c r="AG49" s="489"/>
      <c r="AH49" s="486"/>
      <c r="AI49" s="486"/>
      <c r="AJ49" s="486"/>
      <c r="AK49" s="486"/>
      <c r="AL49" s="488"/>
      <c r="AM49" s="486"/>
      <c r="AN49" s="486"/>
      <c r="AO49" s="489"/>
      <c r="AP49" s="488"/>
      <c r="AQ49" s="486"/>
      <c r="AR49" s="486"/>
      <c r="AS49" s="489"/>
      <c r="AT49" s="486"/>
      <c r="AU49" s="486"/>
      <c r="AV49" s="486"/>
      <c r="AW49" s="489"/>
      <c r="AX49" s="486"/>
      <c r="AY49" s="486"/>
      <c r="AZ49" s="486"/>
      <c r="BA49" s="490"/>
    </row>
    <row r="50" spans="1:53" s="16" customFormat="1">
      <c r="A50" s="486">
        <v>1988</v>
      </c>
      <c r="B50" s="486"/>
      <c r="C50" s="992" t="s">
        <v>993</v>
      </c>
      <c r="D50" s="992"/>
      <c r="E50" s="486">
        <v>0</v>
      </c>
      <c r="F50" s="486"/>
      <c r="G50" s="497"/>
      <c r="H50" s="486">
        <v>10</v>
      </c>
      <c r="I50" s="486"/>
      <c r="J50" s="499">
        <v>10</v>
      </c>
      <c r="K50" s="495">
        <f t="shared" si="5"/>
        <v>0</v>
      </c>
      <c r="L50" s="495">
        <f t="shared" si="6"/>
        <v>100</v>
      </c>
      <c r="M50" s="495">
        <f t="shared" si="7"/>
        <v>0</v>
      </c>
      <c r="N50" s="498">
        <f t="shared" si="8"/>
        <v>100</v>
      </c>
      <c r="O50" s="494"/>
      <c r="P50" s="495">
        <v>50.7</v>
      </c>
      <c r="Q50" s="495"/>
      <c r="R50" s="496">
        <f t="shared" si="9"/>
        <v>50.7</v>
      </c>
      <c r="S50" s="492">
        <v>1</v>
      </c>
      <c r="T50" s="492"/>
      <c r="U50" s="486"/>
      <c r="V50" s="488" t="s">
        <v>994</v>
      </c>
      <c r="W50" s="486" t="s">
        <v>17</v>
      </c>
      <c r="X50" s="486" t="s">
        <v>18</v>
      </c>
      <c r="Y50" s="489">
        <v>50.7</v>
      </c>
      <c r="Z50" s="486"/>
      <c r="AA50" s="486"/>
      <c r="AB50" s="486"/>
      <c r="AC50" s="486"/>
      <c r="AD50" s="488"/>
      <c r="AE50" s="486"/>
      <c r="AF50" s="486"/>
      <c r="AG50" s="489"/>
      <c r="AH50" s="486"/>
      <c r="AI50" s="486"/>
      <c r="AJ50" s="486"/>
      <c r="AK50" s="486"/>
      <c r="AL50" s="488"/>
      <c r="AM50" s="486"/>
      <c r="AN50" s="486"/>
      <c r="AO50" s="489"/>
      <c r="AP50" s="488"/>
      <c r="AQ50" s="486"/>
      <c r="AR50" s="486"/>
      <c r="AS50" s="489"/>
      <c r="AT50" s="486"/>
      <c r="AU50" s="486"/>
      <c r="AV50" s="486"/>
      <c r="AW50" s="489"/>
      <c r="AX50" s="486"/>
      <c r="AY50" s="486"/>
      <c r="AZ50" s="486"/>
      <c r="BA50" s="490"/>
    </row>
    <row r="51" spans="1:53" s="16" customFormat="1">
      <c r="A51" s="486">
        <v>1988</v>
      </c>
      <c r="B51" s="486"/>
      <c r="C51" s="992" t="s">
        <v>993</v>
      </c>
      <c r="D51" s="992"/>
      <c r="E51" s="486">
        <v>366</v>
      </c>
      <c r="F51" s="486"/>
      <c r="G51" s="497"/>
      <c r="H51" s="486">
        <v>10</v>
      </c>
      <c r="I51" s="486"/>
      <c r="J51" s="499">
        <v>10</v>
      </c>
      <c r="K51" s="495">
        <f t="shared" si="5"/>
        <v>0</v>
      </c>
      <c r="L51" s="495">
        <f t="shared" si="6"/>
        <v>100</v>
      </c>
      <c r="M51" s="495">
        <f t="shared" si="7"/>
        <v>0</v>
      </c>
      <c r="N51" s="498">
        <f t="shared" si="8"/>
        <v>100</v>
      </c>
      <c r="O51" s="494"/>
      <c r="P51" s="495">
        <v>50.7</v>
      </c>
      <c r="Q51" s="495"/>
      <c r="R51" s="496">
        <f t="shared" si="9"/>
        <v>50.7</v>
      </c>
      <c r="S51" s="492">
        <v>1</v>
      </c>
      <c r="T51" s="492"/>
      <c r="U51" s="486"/>
      <c r="V51" s="488" t="s">
        <v>994</v>
      </c>
      <c r="W51" s="486" t="s">
        <v>17</v>
      </c>
      <c r="X51" s="486" t="s">
        <v>18</v>
      </c>
      <c r="Y51" s="489">
        <v>50.7</v>
      </c>
      <c r="Z51" s="486"/>
      <c r="AA51" s="486"/>
      <c r="AB51" s="486"/>
      <c r="AC51" s="486"/>
      <c r="AD51" s="488"/>
      <c r="AE51" s="486"/>
      <c r="AF51" s="486"/>
      <c r="AG51" s="489"/>
      <c r="AH51" s="486"/>
      <c r="AI51" s="486"/>
      <c r="AJ51" s="486"/>
      <c r="AK51" s="486"/>
      <c r="AL51" s="488"/>
      <c r="AM51" s="486"/>
      <c r="AN51" s="486"/>
      <c r="AO51" s="489"/>
      <c r="AP51" s="488"/>
      <c r="AQ51" s="486"/>
      <c r="AR51" s="486"/>
      <c r="AS51" s="489"/>
      <c r="AT51" s="486"/>
      <c r="AU51" s="486"/>
      <c r="AV51" s="486"/>
      <c r="AW51" s="489"/>
      <c r="AX51" s="486"/>
      <c r="AY51" s="486"/>
      <c r="AZ51" s="486"/>
      <c r="BA51" s="490"/>
    </row>
    <row r="52" spans="1:53" s="16" customFormat="1">
      <c r="A52" s="486">
        <v>1989</v>
      </c>
      <c r="B52" s="486"/>
      <c r="C52" s="992" t="s">
        <v>993</v>
      </c>
      <c r="D52" s="992"/>
      <c r="E52" s="486">
        <v>0</v>
      </c>
      <c r="F52" s="486"/>
      <c r="G52" s="497"/>
      <c r="H52" s="486">
        <v>10</v>
      </c>
      <c r="I52" s="486"/>
      <c r="J52" s="499">
        <v>10</v>
      </c>
      <c r="K52" s="495">
        <f t="shared" si="5"/>
        <v>0</v>
      </c>
      <c r="L52" s="495">
        <f t="shared" si="6"/>
        <v>100</v>
      </c>
      <c r="M52" s="495">
        <f t="shared" si="7"/>
        <v>0</v>
      </c>
      <c r="N52" s="498">
        <f t="shared" si="8"/>
        <v>100</v>
      </c>
      <c r="O52" s="494"/>
      <c r="P52" s="495">
        <v>50.7</v>
      </c>
      <c r="Q52" s="495"/>
      <c r="R52" s="496">
        <f t="shared" si="9"/>
        <v>50.7</v>
      </c>
      <c r="S52" s="492">
        <v>1</v>
      </c>
      <c r="T52" s="492"/>
      <c r="U52" s="486"/>
      <c r="V52" s="488" t="s">
        <v>994</v>
      </c>
      <c r="W52" s="486" t="s">
        <v>17</v>
      </c>
      <c r="X52" s="486" t="s">
        <v>18</v>
      </c>
      <c r="Y52" s="489">
        <v>50.7</v>
      </c>
      <c r="Z52" s="486"/>
      <c r="AA52" s="486"/>
      <c r="AB52" s="486"/>
      <c r="AC52" s="486"/>
      <c r="AD52" s="488"/>
      <c r="AE52" s="486"/>
      <c r="AF52" s="486"/>
      <c r="AG52" s="489"/>
      <c r="AH52" s="486"/>
      <c r="AI52" s="486"/>
      <c r="AJ52" s="486"/>
      <c r="AK52" s="486"/>
      <c r="AL52" s="488"/>
      <c r="AM52" s="486"/>
      <c r="AN52" s="486"/>
      <c r="AO52" s="489"/>
      <c r="AP52" s="488"/>
      <c r="AQ52" s="486"/>
      <c r="AR52" s="486"/>
      <c r="AS52" s="489"/>
      <c r="AT52" s="486"/>
      <c r="AU52" s="486"/>
      <c r="AV52" s="486"/>
      <c r="AW52" s="489"/>
      <c r="AX52" s="486"/>
      <c r="AY52" s="486"/>
      <c r="AZ52" s="486"/>
      <c r="BA52" s="490"/>
    </row>
    <row r="53" spans="1:53" s="16" customFormat="1">
      <c r="A53" s="486">
        <v>1989</v>
      </c>
      <c r="B53" s="486"/>
      <c r="C53" s="992" t="s">
        <v>993</v>
      </c>
      <c r="D53" s="992"/>
      <c r="E53" s="486">
        <v>365</v>
      </c>
      <c r="F53" s="486"/>
      <c r="G53" s="497"/>
      <c r="H53" s="486">
        <v>10</v>
      </c>
      <c r="I53" s="486"/>
      <c r="J53" s="499">
        <v>10</v>
      </c>
      <c r="K53" s="495">
        <f t="shared" si="5"/>
        <v>0</v>
      </c>
      <c r="L53" s="495">
        <f t="shared" si="6"/>
        <v>100</v>
      </c>
      <c r="M53" s="495">
        <f t="shared" si="7"/>
        <v>0</v>
      </c>
      <c r="N53" s="498">
        <f t="shared" si="8"/>
        <v>100</v>
      </c>
      <c r="O53" s="494"/>
      <c r="P53" s="495">
        <v>50.7</v>
      </c>
      <c r="Q53" s="495"/>
      <c r="R53" s="496">
        <f t="shared" si="9"/>
        <v>50.7</v>
      </c>
      <c r="S53" s="492">
        <v>1</v>
      </c>
      <c r="T53" s="492"/>
      <c r="U53" s="486"/>
      <c r="V53" s="488" t="s">
        <v>994</v>
      </c>
      <c r="W53" s="486" t="s">
        <v>17</v>
      </c>
      <c r="X53" s="486" t="s">
        <v>18</v>
      </c>
      <c r="Y53" s="489">
        <v>50.7</v>
      </c>
      <c r="Z53" s="486"/>
      <c r="AA53" s="486"/>
      <c r="AB53" s="486"/>
      <c r="AC53" s="486"/>
      <c r="AD53" s="488"/>
      <c r="AE53" s="486"/>
      <c r="AF53" s="486"/>
      <c r="AG53" s="489"/>
      <c r="AH53" s="486"/>
      <c r="AI53" s="486"/>
      <c r="AJ53" s="486"/>
      <c r="AK53" s="486"/>
      <c r="AL53" s="488"/>
      <c r="AM53" s="486"/>
      <c r="AN53" s="486"/>
      <c r="AO53" s="489"/>
      <c r="AP53" s="488"/>
      <c r="AQ53" s="486"/>
      <c r="AR53" s="486"/>
      <c r="AS53" s="489"/>
      <c r="AT53" s="486"/>
      <c r="AU53" s="486"/>
      <c r="AV53" s="486"/>
      <c r="AW53" s="489"/>
      <c r="AX53" s="486"/>
      <c r="AY53" s="486"/>
      <c r="AZ53" s="486"/>
      <c r="BA53" s="490"/>
    </row>
    <row r="54" spans="1:53" s="16" customFormat="1">
      <c r="A54" s="486">
        <v>1990</v>
      </c>
      <c r="B54" s="486"/>
      <c r="C54" s="992" t="s">
        <v>993</v>
      </c>
      <c r="D54" s="992"/>
      <c r="E54" s="486">
        <v>0</v>
      </c>
      <c r="F54" s="486"/>
      <c r="G54" s="497"/>
      <c r="H54" s="486">
        <v>10</v>
      </c>
      <c r="I54" s="486"/>
      <c r="J54" s="499">
        <v>10</v>
      </c>
      <c r="K54" s="495">
        <f t="shared" si="5"/>
        <v>0</v>
      </c>
      <c r="L54" s="495">
        <f t="shared" si="6"/>
        <v>100</v>
      </c>
      <c r="M54" s="495">
        <f t="shared" si="7"/>
        <v>0</v>
      </c>
      <c r="N54" s="498">
        <f t="shared" si="8"/>
        <v>100</v>
      </c>
      <c r="O54" s="494"/>
      <c r="P54" s="495">
        <v>50.7</v>
      </c>
      <c r="Q54" s="495"/>
      <c r="R54" s="496">
        <f t="shared" si="9"/>
        <v>50.7</v>
      </c>
      <c r="S54" s="492">
        <v>1</v>
      </c>
      <c r="T54" s="492"/>
      <c r="U54" s="486"/>
      <c r="V54" s="488" t="s">
        <v>994</v>
      </c>
      <c r="W54" s="486" t="s">
        <v>17</v>
      </c>
      <c r="X54" s="486" t="s">
        <v>18</v>
      </c>
      <c r="Y54" s="489">
        <v>50.7</v>
      </c>
      <c r="Z54" s="486"/>
      <c r="AA54" s="486"/>
      <c r="AB54" s="486"/>
      <c r="AC54" s="486"/>
      <c r="AD54" s="488"/>
      <c r="AE54" s="486"/>
      <c r="AF54" s="486"/>
      <c r="AG54" s="489"/>
      <c r="AH54" s="486"/>
      <c r="AI54" s="486"/>
      <c r="AJ54" s="486"/>
      <c r="AK54" s="486"/>
      <c r="AL54" s="488"/>
      <c r="AM54" s="486"/>
      <c r="AN54" s="486"/>
      <c r="AO54" s="489"/>
      <c r="AP54" s="488"/>
      <c r="AQ54" s="486"/>
      <c r="AR54" s="486"/>
      <c r="AS54" s="489"/>
      <c r="AT54" s="486"/>
      <c r="AU54" s="486"/>
      <c r="AV54" s="486"/>
      <c r="AW54" s="489"/>
      <c r="AX54" s="486"/>
      <c r="AY54" s="486"/>
      <c r="AZ54" s="486"/>
      <c r="BA54" s="490"/>
    </row>
    <row r="55" spans="1:53" s="16" customFormat="1">
      <c r="A55" s="486">
        <v>1990</v>
      </c>
      <c r="B55" s="486"/>
      <c r="C55" s="992" t="s">
        <v>993</v>
      </c>
      <c r="D55" s="992"/>
      <c r="E55" s="486">
        <f>365-E54</f>
        <v>365</v>
      </c>
      <c r="F55" s="486"/>
      <c r="G55" s="497"/>
      <c r="H55" s="486">
        <v>10</v>
      </c>
      <c r="I55" s="486"/>
      <c r="J55" s="499">
        <v>10</v>
      </c>
      <c r="K55" s="495">
        <f t="shared" si="5"/>
        <v>0</v>
      </c>
      <c r="L55" s="495">
        <f t="shared" si="6"/>
        <v>100</v>
      </c>
      <c r="M55" s="495">
        <f t="shared" si="7"/>
        <v>0</v>
      </c>
      <c r="N55" s="498">
        <f t="shared" si="8"/>
        <v>100</v>
      </c>
      <c r="O55" s="494"/>
      <c r="P55" s="495">
        <v>50.7</v>
      </c>
      <c r="Q55" s="495"/>
      <c r="R55" s="496">
        <f t="shared" si="9"/>
        <v>50.7</v>
      </c>
      <c r="S55" s="486">
        <v>1</v>
      </c>
      <c r="T55" s="492"/>
      <c r="U55" s="486"/>
      <c r="V55" s="488" t="s">
        <v>994</v>
      </c>
      <c r="W55" s="486" t="s">
        <v>17</v>
      </c>
      <c r="X55" s="486" t="s">
        <v>18</v>
      </c>
      <c r="Y55" s="489">
        <v>50.7</v>
      </c>
      <c r="Z55" s="486"/>
      <c r="AA55" s="486"/>
      <c r="AB55" s="486"/>
      <c r="AC55" s="486"/>
      <c r="AD55" s="488"/>
      <c r="AE55" s="486"/>
      <c r="AF55" s="486"/>
      <c r="AG55" s="489"/>
      <c r="AH55" s="486"/>
      <c r="AI55" s="486"/>
      <c r="AJ55" s="486"/>
      <c r="AK55" s="486"/>
      <c r="AL55" s="488"/>
      <c r="AM55" s="486"/>
      <c r="AN55" s="486"/>
      <c r="AO55" s="489"/>
      <c r="AP55" s="488"/>
      <c r="AQ55" s="486"/>
      <c r="AR55" s="486"/>
      <c r="AS55" s="489"/>
      <c r="AT55" s="486"/>
      <c r="AU55" s="486"/>
      <c r="AV55" s="486"/>
      <c r="AW55" s="489"/>
      <c r="AX55" s="486"/>
      <c r="AY55" s="486"/>
      <c r="AZ55" s="486"/>
      <c r="BA55" s="490"/>
    </row>
    <row r="56" spans="1:53" s="16" customFormat="1">
      <c r="A56" s="486">
        <v>1991</v>
      </c>
      <c r="B56" s="486"/>
      <c r="C56" s="992" t="s">
        <v>993</v>
      </c>
      <c r="D56" s="992"/>
      <c r="E56" s="486">
        <v>0</v>
      </c>
      <c r="F56" s="486"/>
      <c r="G56" s="497"/>
      <c r="H56" s="486">
        <v>10</v>
      </c>
      <c r="I56" s="486"/>
      <c r="J56" s="499">
        <v>10</v>
      </c>
      <c r="K56" s="495">
        <f t="shared" si="5"/>
        <v>0</v>
      </c>
      <c r="L56" s="495">
        <f t="shared" si="6"/>
        <v>100</v>
      </c>
      <c r="M56" s="495">
        <f t="shared" si="7"/>
        <v>0</v>
      </c>
      <c r="N56" s="498">
        <f t="shared" si="8"/>
        <v>100</v>
      </c>
      <c r="O56" s="494"/>
      <c r="P56" s="495">
        <v>50.7</v>
      </c>
      <c r="Q56" s="495"/>
      <c r="R56" s="496">
        <f t="shared" si="9"/>
        <v>50.7</v>
      </c>
      <c r="S56" s="486">
        <v>1</v>
      </c>
      <c r="T56" s="492"/>
      <c r="U56" s="486"/>
      <c r="V56" s="488" t="s">
        <v>994</v>
      </c>
      <c r="W56" s="486" t="s">
        <v>17</v>
      </c>
      <c r="X56" s="486" t="s">
        <v>18</v>
      </c>
      <c r="Y56" s="489">
        <v>50.7</v>
      </c>
      <c r="Z56" s="486"/>
      <c r="AA56" s="486"/>
      <c r="AB56" s="486"/>
      <c r="AC56" s="486"/>
      <c r="AD56" s="488"/>
      <c r="AE56" s="486"/>
      <c r="AF56" s="486"/>
      <c r="AG56" s="489"/>
      <c r="AH56" s="486"/>
      <c r="AI56" s="486"/>
      <c r="AJ56" s="486"/>
      <c r="AK56" s="486"/>
      <c r="AL56" s="488"/>
      <c r="AM56" s="486"/>
      <c r="AN56" s="486"/>
      <c r="AO56" s="489"/>
      <c r="AP56" s="488"/>
      <c r="AQ56" s="486"/>
      <c r="AR56" s="486"/>
      <c r="AS56" s="489"/>
      <c r="AT56" s="486"/>
      <c r="AU56" s="486"/>
      <c r="AV56" s="486"/>
      <c r="AW56" s="489"/>
      <c r="AX56" s="486"/>
      <c r="AY56" s="486"/>
      <c r="AZ56" s="486"/>
      <c r="BA56" s="490"/>
    </row>
    <row r="57" spans="1:53" s="16" customFormat="1">
      <c r="A57" s="486">
        <v>1991</v>
      </c>
      <c r="B57" s="486"/>
      <c r="C57" s="992" t="s">
        <v>993</v>
      </c>
      <c r="D57" s="992"/>
      <c r="E57" s="486">
        <f>365-E56</f>
        <v>365</v>
      </c>
      <c r="F57" s="486"/>
      <c r="G57" s="497"/>
      <c r="H57" s="486">
        <v>10</v>
      </c>
      <c r="I57" s="486"/>
      <c r="J57" s="499">
        <v>10</v>
      </c>
      <c r="K57" s="495">
        <f t="shared" si="5"/>
        <v>0</v>
      </c>
      <c r="L57" s="495">
        <f t="shared" si="6"/>
        <v>100</v>
      </c>
      <c r="M57" s="495">
        <f t="shared" si="7"/>
        <v>0</v>
      </c>
      <c r="N57" s="498">
        <f t="shared" si="8"/>
        <v>100</v>
      </c>
      <c r="O57" s="494"/>
      <c r="P57" s="495">
        <v>50.7</v>
      </c>
      <c r="Q57" s="495"/>
      <c r="R57" s="496">
        <f t="shared" si="9"/>
        <v>50.7</v>
      </c>
      <c r="S57" s="486">
        <v>1</v>
      </c>
      <c r="T57" s="492"/>
      <c r="U57" s="486"/>
      <c r="V57" s="488" t="s">
        <v>994</v>
      </c>
      <c r="W57" s="486" t="s">
        <v>17</v>
      </c>
      <c r="X57" s="486" t="s">
        <v>18</v>
      </c>
      <c r="Y57" s="489">
        <v>50.7</v>
      </c>
      <c r="Z57" s="486"/>
      <c r="AA57" s="486"/>
      <c r="AB57" s="486"/>
      <c r="AC57" s="486"/>
      <c r="AD57" s="488"/>
      <c r="AE57" s="486"/>
      <c r="AF57" s="486"/>
      <c r="AG57" s="489"/>
      <c r="AH57" s="486"/>
      <c r="AI57" s="486"/>
      <c r="AJ57" s="486"/>
      <c r="AK57" s="486"/>
      <c r="AL57" s="488"/>
      <c r="AM57" s="486"/>
      <c r="AN57" s="486"/>
      <c r="AO57" s="489"/>
      <c r="AP57" s="488"/>
      <c r="AQ57" s="486"/>
      <c r="AR57" s="486"/>
      <c r="AS57" s="489"/>
      <c r="AT57" s="486"/>
      <c r="AU57" s="486"/>
      <c r="AV57" s="486"/>
      <c r="AW57" s="489"/>
      <c r="AX57" s="486"/>
      <c r="AY57" s="486"/>
      <c r="AZ57" s="486"/>
      <c r="BA57" s="490"/>
    </row>
    <row r="58" spans="1:53" s="16" customFormat="1">
      <c r="A58" s="486">
        <v>1992</v>
      </c>
      <c r="B58" s="486"/>
      <c r="C58" s="992" t="s">
        <v>993</v>
      </c>
      <c r="D58" s="992"/>
      <c r="E58" s="486">
        <v>57</v>
      </c>
      <c r="F58" s="486"/>
      <c r="G58" s="497"/>
      <c r="H58" s="486">
        <v>10</v>
      </c>
      <c r="I58" s="486"/>
      <c r="J58" s="499">
        <v>10</v>
      </c>
      <c r="K58" s="495">
        <f t="shared" si="5"/>
        <v>0</v>
      </c>
      <c r="L58" s="495">
        <f t="shared" si="6"/>
        <v>100</v>
      </c>
      <c r="M58" s="495">
        <f t="shared" si="7"/>
        <v>0</v>
      </c>
      <c r="N58" s="498">
        <f t="shared" si="8"/>
        <v>100</v>
      </c>
      <c r="O58" s="494"/>
      <c r="P58" s="495">
        <v>50.7</v>
      </c>
      <c r="Q58" s="495"/>
      <c r="R58" s="496">
        <f t="shared" si="9"/>
        <v>50.7</v>
      </c>
      <c r="S58" s="486">
        <v>1</v>
      </c>
      <c r="T58" s="492"/>
      <c r="U58" s="486"/>
      <c r="V58" s="488" t="s">
        <v>994</v>
      </c>
      <c r="W58" s="486" t="s">
        <v>17</v>
      </c>
      <c r="X58" s="486" t="s">
        <v>18</v>
      </c>
      <c r="Y58" s="489">
        <v>50.7</v>
      </c>
      <c r="Z58" s="486"/>
      <c r="AA58" s="486"/>
      <c r="AB58" s="486"/>
      <c r="AC58" s="486"/>
      <c r="AD58" s="488"/>
      <c r="AE58" s="486"/>
      <c r="AF58" s="486"/>
      <c r="AG58" s="489"/>
      <c r="AH58" s="486"/>
      <c r="AI58" s="486"/>
      <c r="AJ58" s="486"/>
      <c r="AK58" s="486"/>
      <c r="AL58" s="488"/>
      <c r="AM58" s="486"/>
      <c r="AN58" s="486"/>
      <c r="AO58" s="489"/>
      <c r="AP58" s="488"/>
      <c r="AQ58" s="486"/>
      <c r="AR58" s="486"/>
      <c r="AS58" s="489"/>
      <c r="AT58" s="486"/>
      <c r="AU58" s="486"/>
      <c r="AV58" s="486"/>
      <c r="AW58" s="489"/>
      <c r="AX58" s="486"/>
      <c r="AY58" s="486"/>
      <c r="AZ58" s="486"/>
      <c r="BA58" s="490"/>
    </row>
    <row r="59" spans="1:53" s="16" customFormat="1">
      <c r="A59" s="470">
        <v>1992</v>
      </c>
      <c r="B59" s="475">
        <v>33661</v>
      </c>
      <c r="C59" s="988" t="s">
        <v>995</v>
      </c>
      <c r="D59" s="988"/>
      <c r="E59" s="470">
        <f>366-E58</f>
        <v>309</v>
      </c>
      <c r="F59" s="470">
        <v>1</v>
      </c>
      <c r="G59" s="480"/>
      <c r="H59" s="470">
        <v>13</v>
      </c>
      <c r="I59" s="470"/>
      <c r="J59" s="482">
        <v>13</v>
      </c>
      <c r="K59" s="477">
        <f t="shared" si="5"/>
        <v>0</v>
      </c>
      <c r="L59" s="477">
        <f t="shared" si="6"/>
        <v>100</v>
      </c>
      <c r="M59" s="477">
        <f t="shared" si="7"/>
        <v>0</v>
      </c>
      <c r="N59" s="481">
        <f t="shared" si="8"/>
        <v>100</v>
      </c>
      <c r="O59" s="476"/>
      <c r="P59" s="477">
        <v>52.3</v>
      </c>
      <c r="Q59" s="477"/>
      <c r="R59" s="478">
        <f t="shared" si="9"/>
        <v>52.3</v>
      </c>
      <c r="S59" s="470">
        <v>1</v>
      </c>
      <c r="T59" s="479">
        <v>33656</v>
      </c>
      <c r="U59" s="475">
        <v>33661</v>
      </c>
      <c r="V59" s="472" t="s">
        <v>994</v>
      </c>
      <c r="W59" s="470" t="s">
        <v>17</v>
      </c>
      <c r="X59" s="470" t="s">
        <v>18</v>
      </c>
      <c r="Y59" s="473">
        <v>52.3</v>
      </c>
      <c r="Z59" s="470"/>
      <c r="AA59" s="470"/>
      <c r="AB59" s="470"/>
      <c r="AC59" s="470"/>
      <c r="AD59" s="472"/>
      <c r="AE59" s="470"/>
      <c r="AF59" s="470"/>
      <c r="AG59" s="473"/>
      <c r="AH59" s="470"/>
      <c r="AI59" s="470"/>
      <c r="AJ59" s="470"/>
      <c r="AK59" s="470"/>
      <c r="AL59" s="472"/>
      <c r="AM59" s="470"/>
      <c r="AN59" s="470"/>
      <c r="AO59" s="473"/>
      <c r="AP59" s="472"/>
      <c r="AQ59" s="470"/>
      <c r="AR59" s="470"/>
      <c r="AS59" s="473"/>
      <c r="AT59" s="470"/>
      <c r="AU59" s="470"/>
      <c r="AV59" s="470"/>
      <c r="AW59" s="473"/>
      <c r="AX59" s="470"/>
      <c r="AY59" s="470"/>
      <c r="AZ59" s="470"/>
      <c r="BA59" s="474"/>
    </row>
    <row r="60" spans="1:53" s="16" customFormat="1">
      <c r="A60" s="470">
        <v>1993</v>
      </c>
      <c r="B60" s="470"/>
      <c r="C60" s="988" t="s">
        <v>995</v>
      </c>
      <c r="D60" s="988"/>
      <c r="E60" s="470">
        <v>0</v>
      </c>
      <c r="F60" s="470"/>
      <c r="G60" s="480"/>
      <c r="H60" s="470">
        <v>13</v>
      </c>
      <c r="I60" s="470"/>
      <c r="J60" s="482">
        <v>13</v>
      </c>
      <c r="K60" s="477">
        <f t="shared" si="5"/>
        <v>0</v>
      </c>
      <c r="L60" s="477">
        <f t="shared" si="6"/>
        <v>100</v>
      </c>
      <c r="M60" s="477">
        <f t="shared" si="7"/>
        <v>0</v>
      </c>
      <c r="N60" s="481">
        <f t="shared" si="8"/>
        <v>100</v>
      </c>
      <c r="O60" s="476"/>
      <c r="P60" s="477">
        <v>52.3</v>
      </c>
      <c r="Q60" s="477"/>
      <c r="R60" s="478">
        <f t="shared" si="9"/>
        <v>52.3</v>
      </c>
      <c r="S60" s="470">
        <v>1</v>
      </c>
      <c r="T60" s="471"/>
      <c r="U60" s="470"/>
      <c r="V60" s="472" t="s">
        <v>994</v>
      </c>
      <c r="W60" s="470" t="s">
        <v>17</v>
      </c>
      <c r="X60" s="470" t="s">
        <v>18</v>
      </c>
      <c r="Y60" s="473">
        <v>52.3</v>
      </c>
      <c r="Z60" s="470"/>
      <c r="AA60" s="470"/>
      <c r="AB60" s="470"/>
      <c r="AC60" s="470"/>
      <c r="AD60" s="472"/>
      <c r="AE60" s="470"/>
      <c r="AF60" s="470"/>
      <c r="AG60" s="473"/>
      <c r="AH60" s="470"/>
      <c r="AI60" s="470"/>
      <c r="AJ60" s="470"/>
      <c r="AK60" s="470"/>
      <c r="AL60" s="472"/>
      <c r="AM60" s="470"/>
      <c r="AN60" s="470"/>
      <c r="AO60" s="473"/>
      <c r="AP60" s="472"/>
      <c r="AQ60" s="470"/>
      <c r="AR60" s="470"/>
      <c r="AS60" s="473"/>
      <c r="AT60" s="470"/>
      <c r="AU60" s="470"/>
      <c r="AV60" s="470"/>
      <c r="AW60" s="473"/>
      <c r="AX60" s="470"/>
      <c r="AY60" s="470"/>
      <c r="AZ60" s="470"/>
      <c r="BA60" s="474"/>
    </row>
    <row r="61" spans="1:53" s="16" customFormat="1">
      <c r="A61" s="470">
        <v>1993</v>
      </c>
      <c r="B61" s="470"/>
      <c r="C61" s="988" t="s">
        <v>995</v>
      </c>
      <c r="D61" s="988"/>
      <c r="E61" s="470">
        <f>365-E60</f>
        <v>365</v>
      </c>
      <c r="F61" s="470"/>
      <c r="G61" s="480"/>
      <c r="H61" s="470">
        <v>13</v>
      </c>
      <c r="I61" s="470"/>
      <c r="J61" s="482">
        <v>13</v>
      </c>
      <c r="K61" s="477">
        <f t="shared" si="5"/>
        <v>0</v>
      </c>
      <c r="L61" s="477">
        <f t="shared" si="6"/>
        <v>100</v>
      </c>
      <c r="M61" s="477">
        <f t="shared" si="7"/>
        <v>0</v>
      </c>
      <c r="N61" s="481">
        <f t="shared" si="8"/>
        <v>100</v>
      </c>
      <c r="O61" s="476"/>
      <c r="P61" s="477">
        <v>52.3</v>
      </c>
      <c r="Q61" s="477"/>
      <c r="R61" s="478">
        <f t="shared" si="9"/>
        <v>52.3</v>
      </c>
      <c r="S61" s="470">
        <v>1</v>
      </c>
      <c r="T61" s="471"/>
      <c r="U61" s="470"/>
      <c r="V61" s="472" t="s">
        <v>994</v>
      </c>
      <c r="W61" s="470" t="s">
        <v>17</v>
      </c>
      <c r="X61" s="470" t="s">
        <v>18</v>
      </c>
      <c r="Y61" s="473">
        <v>52.3</v>
      </c>
      <c r="Z61" s="470"/>
      <c r="AA61" s="470"/>
      <c r="AB61" s="470"/>
      <c r="AC61" s="470"/>
      <c r="AD61" s="472"/>
      <c r="AE61" s="470"/>
      <c r="AF61" s="470"/>
      <c r="AG61" s="473"/>
      <c r="AH61" s="470"/>
      <c r="AI61" s="470"/>
      <c r="AJ61" s="470"/>
      <c r="AK61" s="470"/>
      <c r="AL61" s="472"/>
      <c r="AM61" s="470"/>
      <c r="AN61" s="470"/>
      <c r="AO61" s="473"/>
      <c r="AP61" s="472"/>
      <c r="AQ61" s="470"/>
      <c r="AR61" s="470"/>
      <c r="AS61" s="473"/>
      <c r="AT61" s="470"/>
      <c r="AU61" s="470"/>
      <c r="AV61" s="470"/>
      <c r="AW61" s="473"/>
      <c r="AX61" s="470"/>
      <c r="AY61" s="470"/>
      <c r="AZ61" s="470"/>
      <c r="BA61" s="474"/>
    </row>
    <row r="62" spans="1:53" s="16" customFormat="1">
      <c r="A62" s="470">
        <v>1994</v>
      </c>
      <c r="B62" s="470"/>
      <c r="C62" s="988" t="s">
        <v>995</v>
      </c>
      <c r="D62" s="988"/>
      <c r="E62" s="470">
        <v>0</v>
      </c>
      <c r="F62" s="470"/>
      <c r="G62" s="480"/>
      <c r="H62" s="470">
        <v>13</v>
      </c>
      <c r="I62" s="470"/>
      <c r="J62" s="482">
        <v>13</v>
      </c>
      <c r="K62" s="477">
        <f t="shared" si="5"/>
        <v>0</v>
      </c>
      <c r="L62" s="477">
        <f t="shared" si="6"/>
        <v>100</v>
      </c>
      <c r="M62" s="477">
        <f t="shared" si="7"/>
        <v>0</v>
      </c>
      <c r="N62" s="481">
        <f t="shared" si="8"/>
        <v>100</v>
      </c>
      <c r="O62" s="476"/>
      <c r="P62" s="477">
        <v>52.3</v>
      </c>
      <c r="Q62" s="477"/>
      <c r="R62" s="478">
        <f t="shared" si="9"/>
        <v>52.3</v>
      </c>
      <c r="S62" s="470">
        <v>1</v>
      </c>
      <c r="T62" s="471"/>
      <c r="U62" s="470"/>
      <c r="V62" s="472" t="s">
        <v>994</v>
      </c>
      <c r="W62" s="470" t="s">
        <v>17</v>
      </c>
      <c r="X62" s="470" t="s">
        <v>18</v>
      </c>
      <c r="Y62" s="473">
        <v>52.3</v>
      </c>
      <c r="Z62" s="470"/>
      <c r="AA62" s="470"/>
      <c r="AB62" s="470"/>
      <c r="AC62" s="470"/>
      <c r="AD62" s="472"/>
      <c r="AE62" s="470"/>
      <c r="AF62" s="470"/>
      <c r="AG62" s="473"/>
      <c r="AH62" s="470"/>
      <c r="AI62" s="470"/>
      <c r="AJ62" s="470"/>
      <c r="AK62" s="470"/>
      <c r="AL62" s="472"/>
      <c r="AM62" s="470"/>
      <c r="AN62" s="470"/>
      <c r="AO62" s="473"/>
      <c r="AP62" s="472"/>
      <c r="AQ62" s="470"/>
      <c r="AR62" s="470"/>
      <c r="AS62" s="473"/>
      <c r="AT62" s="470"/>
      <c r="AU62" s="470"/>
      <c r="AV62" s="470"/>
      <c r="AW62" s="473"/>
      <c r="AX62" s="470"/>
      <c r="AY62" s="470"/>
      <c r="AZ62" s="470"/>
      <c r="BA62" s="474"/>
    </row>
    <row r="63" spans="1:53" s="16" customFormat="1">
      <c r="A63" s="470">
        <v>1994</v>
      </c>
      <c r="B63" s="470"/>
      <c r="C63" s="988" t="s">
        <v>995</v>
      </c>
      <c r="D63" s="988"/>
      <c r="E63" s="470">
        <f>365-E62</f>
        <v>365</v>
      </c>
      <c r="F63" s="470"/>
      <c r="G63" s="480"/>
      <c r="H63" s="470">
        <v>13</v>
      </c>
      <c r="I63" s="470"/>
      <c r="J63" s="482">
        <v>13</v>
      </c>
      <c r="K63" s="477">
        <f t="shared" si="5"/>
        <v>0</v>
      </c>
      <c r="L63" s="477">
        <f t="shared" si="6"/>
        <v>100</v>
      </c>
      <c r="M63" s="477">
        <f t="shared" si="7"/>
        <v>0</v>
      </c>
      <c r="N63" s="481">
        <f t="shared" si="8"/>
        <v>100</v>
      </c>
      <c r="O63" s="476"/>
      <c r="P63" s="477">
        <v>52.3</v>
      </c>
      <c r="Q63" s="477"/>
      <c r="R63" s="478">
        <f t="shared" si="9"/>
        <v>52.3</v>
      </c>
      <c r="S63" s="470">
        <v>1</v>
      </c>
      <c r="T63" s="471"/>
      <c r="U63" s="470"/>
      <c r="V63" s="472" t="s">
        <v>994</v>
      </c>
      <c r="W63" s="470" t="s">
        <v>17</v>
      </c>
      <c r="X63" s="470" t="s">
        <v>18</v>
      </c>
      <c r="Y63" s="473">
        <v>52.3</v>
      </c>
      <c r="Z63" s="470"/>
      <c r="AA63" s="470"/>
      <c r="AB63" s="470"/>
      <c r="AC63" s="470"/>
      <c r="AD63" s="472"/>
      <c r="AE63" s="470"/>
      <c r="AF63" s="470"/>
      <c r="AG63" s="473"/>
      <c r="AH63" s="470"/>
      <c r="AI63" s="470"/>
      <c r="AJ63" s="470"/>
      <c r="AK63" s="470"/>
      <c r="AL63" s="472"/>
      <c r="AM63" s="470"/>
      <c r="AN63" s="470"/>
      <c r="AO63" s="473"/>
      <c r="AP63" s="472"/>
      <c r="AQ63" s="470"/>
      <c r="AR63" s="470"/>
      <c r="AS63" s="473"/>
      <c r="AT63" s="470"/>
      <c r="AU63" s="470"/>
      <c r="AV63" s="470"/>
      <c r="AW63" s="473"/>
      <c r="AX63" s="470"/>
      <c r="AY63" s="470"/>
      <c r="AZ63" s="470"/>
      <c r="BA63" s="474"/>
    </row>
    <row r="64" spans="1:53" s="16" customFormat="1">
      <c r="A64" s="470">
        <v>1995</v>
      </c>
      <c r="B64" s="470"/>
      <c r="C64" s="988" t="s">
        <v>995</v>
      </c>
      <c r="D64" s="988"/>
      <c r="E64" s="470">
        <v>0</v>
      </c>
      <c r="F64" s="470"/>
      <c r="G64" s="480"/>
      <c r="H64" s="470">
        <v>13</v>
      </c>
      <c r="I64" s="470"/>
      <c r="J64" s="482">
        <v>13</v>
      </c>
      <c r="K64" s="477">
        <f t="shared" si="5"/>
        <v>0</v>
      </c>
      <c r="L64" s="477">
        <f t="shared" si="6"/>
        <v>100</v>
      </c>
      <c r="M64" s="477">
        <f t="shared" si="7"/>
        <v>0</v>
      </c>
      <c r="N64" s="481">
        <f t="shared" si="8"/>
        <v>100</v>
      </c>
      <c r="O64" s="476"/>
      <c r="P64" s="477">
        <v>52.3</v>
      </c>
      <c r="Q64" s="477"/>
      <c r="R64" s="478">
        <f t="shared" si="9"/>
        <v>52.3</v>
      </c>
      <c r="S64" s="470">
        <v>1</v>
      </c>
      <c r="T64" s="471"/>
      <c r="U64" s="470"/>
      <c r="V64" s="472" t="s">
        <v>994</v>
      </c>
      <c r="W64" s="470" t="s">
        <v>17</v>
      </c>
      <c r="X64" s="470" t="s">
        <v>18</v>
      </c>
      <c r="Y64" s="473">
        <v>52.3</v>
      </c>
      <c r="Z64" s="470"/>
      <c r="AA64" s="470"/>
      <c r="AB64" s="470"/>
      <c r="AC64" s="470"/>
      <c r="AD64" s="472"/>
      <c r="AE64" s="470"/>
      <c r="AF64" s="470"/>
      <c r="AG64" s="473"/>
      <c r="AH64" s="470"/>
      <c r="AI64" s="470"/>
      <c r="AJ64" s="470"/>
      <c r="AK64" s="470"/>
      <c r="AL64" s="472"/>
      <c r="AM64" s="470"/>
      <c r="AN64" s="470"/>
      <c r="AO64" s="473"/>
      <c r="AP64" s="472"/>
      <c r="AQ64" s="470"/>
      <c r="AR64" s="470"/>
      <c r="AS64" s="473"/>
      <c r="AT64" s="470"/>
      <c r="AU64" s="470"/>
      <c r="AV64" s="470"/>
      <c r="AW64" s="473"/>
      <c r="AX64" s="470"/>
      <c r="AY64" s="470"/>
      <c r="AZ64" s="470"/>
      <c r="BA64" s="474"/>
    </row>
    <row r="65" spans="1:53" s="16" customFormat="1">
      <c r="A65" s="470">
        <v>1995</v>
      </c>
      <c r="B65" s="470"/>
      <c r="C65" s="988" t="s">
        <v>995</v>
      </c>
      <c r="D65" s="988"/>
      <c r="E65" s="470">
        <f>365-E64</f>
        <v>365</v>
      </c>
      <c r="F65" s="470"/>
      <c r="G65" s="480"/>
      <c r="H65" s="470">
        <v>13</v>
      </c>
      <c r="I65" s="470"/>
      <c r="J65" s="482">
        <v>13</v>
      </c>
      <c r="K65" s="477">
        <f t="shared" si="5"/>
        <v>0</v>
      </c>
      <c r="L65" s="477">
        <f t="shared" si="6"/>
        <v>100</v>
      </c>
      <c r="M65" s="477">
        <f t="shared" si="7"/>
        <v>0</v>
      </c>
      <c r="N65" s="481">
        <f t="shared" si="8"/>
        <v>100</v>
      </c>
      <c r="O65" s="476"/>
      <c r="P65" s="477">
        <v>52.3</v>
      </c>
      <c r="Q65" s="477"/>
      <c r="R65" s="478">
        <f t="shared" si="9"/>
        <v>52.3</v>
      </c>
      <c r="S65" s="470">
        <v>1</v>
      </c>
      <c r="T65" s="471"/>
      <c r="U65" s="470"/>
      <c r="V65" s="472" t="s">
        <v>994</v>
      </c>
      <c r="W65" s="470" t="s">
        <v>17</v>
      </c>
      <c r="X65" s="470" t="s">
        <v>18</v>
      </c>
      <c r="Y65" s="473">
        <v>52.3</v>
      </c>
      <c r="Z65" s="470"/>
      <c r="AA65" s="470"/>
      <c r="AB65" s="470"/>
      <c r="AC65" s="470"/>
      <c r="AD65" s="472"/>
      <c r="AE65" s="470"/>
      <c r="AF65" s="470"/>
      <c r="AG65" s="473"/>
      <c r="AH65" s="470"/>
      <c r="AI65" s="470"/>
      <c r="AJ65" s="470"/>
      <c r="AK65" s="470"/>
      <c r="AL65" s="472"/>
      <c r="AM65" s="470"/>
      <c r="AN65" s="470"/>
      <c r="AO65" s="473"/>
      <c r="AP65" s="472"/>
      <c r="AQ65" s="470"/>
      <c r="AR65" s="470"/>
      <c r="AS65" s="473"/>
      <c r="AT65" s="470"/>
      <c r="AU65" s="470"/>
      <c r="AV65" s="470"/>
      <c r="AW65" s="473"/>
      <c r="AX65" s="470"/>
      <c r="AY65" s="470"/>
      <c r="AZ65" s="470"/>
      <c r="BA65" s="474"/>
    </row>
    <row r="66" spans="1:53" s="16" customFormat="1">
      <c r="A66" s="470">
        <v>1996</v>
      </c>
      <c r="B66" s="470"/>
      <c r="C66" s="988" t="s">
        <v>995</v>
      </c>
      <c r="D66" s="988"/>
      <c r="E66" s="470">
        <v>302</v>
      </c>
      <c r="F66" s="470"/>
      <c r="G66" s="480"/>
      <c r="H66" s="470">
        <v>13</v>
      </c>
      <c r="I66" s="470"/>
      <c r="J66" s="482">
        <v>13</v>
      </c>
      <c r="K66" s="477">
        <f t="shared" si="5"/>
        <v>0</v>
      </c>
      <c r="L66" s="477">
        <f t="shared" si="6"/>
        <v>100</v>
      </c>
      <c r="M66" s="477">
        <f t="shared" si="7"/>
        <v>0</v>
      </c>
      <c r="N66" s="481">
        <f t="shared" si="8"/>
        <v>100</v>
      </c>
      <c r="O66" s="476"/>
      <c r="P66" s="477">
        <v>52.3</v>
      </c>
      <c r="Q66" s="477"/>
      <c r="R66" s="478">
        <f t="shared" si="9"/>
        <v>52.3</v>
      </c>
      <c r="S66" s="470">
        <v>1</v>
      </c>
      <c r="T66" s="471"/>
      <c r="U66" s="470"/>
      <c r="V66" s="472" t="s">
        <v>994</v>
      </c>
      <c r="W66" s="470" t="s">
        <v>17</v>
      </c>
      <c r="X66" s="470" t="s">
        <v>18</v>
      </c>
      <c r="Y66" s="473">
        <v>52.3</v>
      </c>
      <c r="Z66" s="470"/>
      <c r="AA66" s="470"/>
      <c r="AB66" s="470"/>
      <c r="AC66" s="470"/>
      <c r="AD66" s="472"/>
      <c r="AE66" s="470"/>
      <c r="AF66" s="470"/>
      <c r="AG66" s="473"/>
      <c r="AH66" s="470"/>
      <c r="AI66" s="470"/>
      <c r="AJ66" s="470"/>
      <c r="AK66" s="470"/>
      <c r="AL66" s="472"/>
      <c r="AM66" s="470"/>
      <c r="AN66" s="470"/>
      <c r="AO66" s="473"/>
      <c r="AP66" s="472"/>
      <c r="AQ66" s="470"/>
      <c r="AR66" s="470"/>
      <c r="AS66" s="473"/>
      <c r="AT66" s="470"/>
      <c r="AU66" s="470"/>
      <c r="AV66" s="470"/>
      <c r="AW66" s="473"/>
      <c r="AX66" s="470"/>
      <c r="AY66" s="470"/>
      <c r="AZ66" s="470"/>
      <c r="BA66" s="474"/>
    </row>
    <row r="67" spans="1:53" s="16" customFormat="1">
      <c r="A67" s="486">
        <v>1996</v>
      </c>
      <c r="B67" s="491">
        <v>35367</v>
      </c>
      <c r="C67" s="992" t="s">
        <v>996</v>
      </c>
      <c r="D67" s="992"/>
      <c r="E67" s="486">
        <f>366-E66</f>
        <v>64</v>
      </c>
      <c r="F67" s="486">
        <v>1</v>
      </c>
      <c r="G67" s="497"/>
      <c r="H67" s="486"/>
      <c r="I67" s="486">
        <v>15</v>
      </c>
      <c r="J67" s="499">
        <v>15</v>
      </c>
      <c r="K67" s="495">
        <f t="shared" si="5"/>
        <v>0</v>
      </c>
      <c r="L67" s="495">
        <f t="shared" si="6"/>
        <v>0</v>
      </c>
      <c r="M67" s="495">
        <f t="shared" si="7"/>
        <v>100</v>
      </c>
      <c r="N67" s="498">
        <f t="shared" si="8"/>
        <v>100</v>
      </c>
      <c r="O67" s="494"/>
      <c r="P67" s="495"/>
      <c r="Q67" s="495">
        <v>50.7</v>
      </c>
      <c r="R67" s="496">
        <f t="shared" si="9"/>
        <v>50.7</v>
      </c>
      <c r="S67" s="486">
        <v>1</v>
      </c>
      <c r="T67" s="487">
        <v>35364</v>
      </c>
      <c r="U67" s="491">
        <v>35367</v>
      </c>
      <c r="V67" s="488" t="s">
        <v>997</v>
      </c>
      <c r="W67" s="486" t="s">
        <v>20</v>
      </c>
      <c r="X67" s="486" t="s">
        <v>12</v>
      </c>
      <c r="Y67" s="489">
        <v>50.7</v>
      </c>
      <c r="Z67" s="486"/>
      <c r="AA67" s="486"/>
      <c r="AB67" s="486"/>
      <c r="AC67" s="486"/>
      <c r="AD67" s="488"/>
      <c r="AE67" s="486"/>
      <c r="AF67" s="486"/>
      <c r="AG67" s="489"/>
      <c r="AH67" s="486"/>
      <c r="AI67" s="486"/>
      <c r="AJ67" s="486"/>
      <c r="AK67" s="486"/>
      <c r="AL67" s="488"/>
      <c r="AM67" s="486"/>
      <c r="AN67" s="486"/>
      <c r="AO67" s="489"/>
      <c r="AP67" s="488"/>
      <c r="AQ67" s="486"/>
      <c r="AR67" s="486"/>
      <c r="AS67" s="489"/>
      <c r="AT67" s="486"/>
      <c r="AU67" s="486"/>
      <c r="AV67" s="486"/>
      <c r="AW67" s="489"/>
      <c r="AX67" s="486"/>
      <c r="AY67" s="486"/>
      <c r="AZ67" s="486"/>
      <c r="BA67" s="490"/>
    </row>
    <row r="68" spans="1:53" s="16" customFormat="1">
      <c r="A68" s="486">
        <v>1997</v>
      </c>
      <c r="B68" s="486"/>
      <c r="C68" s="992" t="s">
        <v>996</v>
      </c>
      <c r="D68" s="992"/>
      <c r="E68" s="486">
        <v>84</v>
      </c>
      <c r="F68" s="486"/>
      <c r="G68" s="497"/>
      <c r="H68" s="486"/>
      <c r="I68" s="486">
        <v>15</v>
      </c>
      <c r="J68" s="499">
        <v>15</v>
      </c>
      <c r="K68" s="495">
        <f t="shared" si="5"/>
        <v>0</v>
      </c>
      <c r="L68" s="495">
        <f t="shared" si="6"/>
        <v>0</v>
      </c>
      <c r="M68" s="495">
        <f t="shared" si="7"/>
        <v>100</v>
      </c>
      <c r="N68" s="498">
        <f t="shared" si="8"/>
        <v>100</v>
      </c>
      <c r="O68" s="494"/>
      <c r="P68" s="495"/>
      <c r="Q68" s="495">
        <v>50.7</v>
      </c>
      <c r="R68" s="496">
        <f t="shared" si="9"/>
        <v>50.7</v>
      </c>
      <c r="S68" s="486">
        <v>1</v>
      </c>
      <c r="T68" s="492"/>
      <c r="U68" s="486"/>
      <c r="V68" s="488" t="s">
        <v>997</v>
      </c>
      <c r="W68" s="486" t="s">
        <v>20</v>
      </c>
      <c r="X68" s="486" t="s">
        <v>12</v>
      </c>
      <c r="Y68" s="489">
        <v>50.7</v>
      </c>
      <c r="Z68" s="486"/>
      <c r="AA68" s="486"/>
      <c r="AB68" s="486"/>
      <c r="AC68" s="486"/>
      <c r="AD68" s="488"/>
      <c r="AE68" s="486"/>
      <c r="AF68" s="486"/>
      <c r="AG68" s="489"/>
      <c r="AH68" s="486"/>
      <c r="AI68" s="486"/>
      <c r="AJ68" s="486"/>
      <c r="AK68" s="486"/>
      <c r="AL68" s="488"/>
      <c r="AM68" s="486"/>
      <c r="AN68" s="486"/>
      <c r="AO68" s="489"/>
      <c r="AP68" s="488"/>
      <c r="AQ68" s="486"/>
      <c r="AR68" s="486"/>
      <c r="AS68" s="489"/>
      <c r="AT68" s="486"/>
      <c r="AU68" s="486"/>
      <c r="AV68" s="486"/>
      <c r="AW68" s="489"/>
      <c r="AX68" s="486"/>
      <c r="AY68" s="486"/>
      <c r="AZ68" s="486"/>
      <c r="BA68" s="490"/>
    </row>
    <row r="69" spans="1:53" s="16" customFormat="1">
      <c r="A69" s="486">
        <v>1997</v>
      </c>
      <c r="B69" s="502">
        <v>35515</v>
      </c>
      <c r="C69" s="992" t="s">
        <v>996</v>
      </c>
      <c r="D69" s="992"/>
      <c r="E69" s="486">
        <f>365-E68</f>
        <v>281</v>
      </c>
      <c r="F69" s="501">
        <v>0</v>
      </c>
      <c r="G69" s="497"/>
      <c r="H69" s="486"/>
      <c r="I69" s="486">
        <v>14</v>
      </c>
      <c r="J69" s="499">
        <v>14</v>
      </c>
      <c r="K69" s="495">
        <f t="shared" si="5"/>
        <v>0</v>
      </c>
      <c r="L69" s="495">
        <f t="shared" si="6"/>
        <v>0</v>
      </c>
      <c r="M69" s="495">
        <f t="shared" si="7"/>
        <v>100</v>
      </c>
      <c r="N69" s="498">
        <f t="shared" si="8"/>
        <v>100</v>
      </c>
      <c r="O69" s="494"/>
      <c r="P69" s="495"/>
      <c r="Q69" s="495">
        <v>50.7</v>
      </c>
      <c r="R69" s="496">
        <f t="shared" si="9"/>
        <v>50.7</v>
      </c>
      <c r="S69" s="486">
        <v>1</v>
      </c>
      <c r="T69" s="492"/>
      <c r="U69" s="486"/>
      <c r="V69" s="488" t="s">
        <v>997</v>
      </c>
      <c r="W69" s="486" t="s">
        <v>20</v>
      </c>
      <c r="X69" s="486" t="s">
        <v>12</v>
      </c>
      <c r="Y69" s="489">
        <v>50.7</v>
      </c>
      <c r="Z69" s="486"/>
      <c r="AA69" s="486"/>
      <c r="AB69" s="486"/>
      <c r="AC69" s="486"/>
      <c r="AD69" s="488"/>
      <c r="AE69" s="486"/>
      <c r="AF69" s="486"/>
      <c r="AG69" s="489"/>
      <c r="AH69" s="486"/>
      <c r="AI69" s="486"/>
      <c r="AJ69" s="486"/>
      <c r="AK69" s="486"/>
      <c r="AL69" s="488"/>
      <c r="AM69" s="486"/>
      <c r="AN69" s="486"/>
      <c r="AO69" s="489"/>
      <c r="AP69" s="488"/>
      <c r="AQ69" s="486"/>
      <c r="AR69" s="486"/>
      <c r="AS69" s="489"/>
      <c r="AT69" s="486"/>
      <c r="AU69" s="486"/>
      <c r="AV69" s="486"/>
      <c r="AW69" s="489"/>
      <c r="AX69" s="486"/>
      <c r="AY69" s="486"/>
      <c r="AZ69" s="486"/>
      <c r="BA69" s="490"/>
    </row>
    <row r="70" spans="1:53" s="16" customFormat="1">
      <c r="A70" s="486">
        <v>1998</v>
      </c>
      <c r="B70" s="486"/>
      <c r="C70" s="992" t="s">
        <v>996</v>
      </c>
      <c r="D70" s="992"/>
      <c r="E70" s="486">
        <v>250</v>
      </c>
      <c r="F70" s="486"/>
      <c r="G70" s="497"/>
      <c r="H70" s="486"/>
      <c r="I70" s="486">
        <v>14</v>
      </c>
      <c r="J70" s="499">
        <v>14</v>
      </c>
      <c r="K70" s="495">
        <f t="shared" si="5"/>
        <v>0</v>
      </c>
      <c r="L70" s="495">
        <f t="shared" si="6"/>
        <v>0</v>
      </c>
      <c r="M70" s="495">
        <f t="shared" si="7"/>
        <v>100</v>
      </c>
      <c r="N70" s="498">
        <f t="shared" si="8"/>
        <v>100</v>
      </c>
      <c r="O70" s="494"/>
      <c r="P70" s="495"/>
      <c r="Q70" s="495">
        <v>50.7</v>
      </c>
      <c r="R70" s="496">
        <f t="shared" si="9"/>
        <v>50.7</v>
      </c>
      <c r="S70" s="486">
        <v>1</v>
      </c>
      <c r="T70" s="492"/>
      <c r="U70" s="486"/>
      <c r="V70" s="488" t="s">
        <v>997</v>
      </c>
      <c r="W70" s="486" t="s">
        <v>20</v>
      </c>
      <c r="X70" s="486" t="s">
        <v>12</v>
      </c>
      <c r="Y70" s="489">
        <v>50.7</v>
      </c>
      <c r="Z70" s="486"/>
      <c r="AA70" s="486"/>
      <c r="AB70" s="486"/>
      <c r="AC70" s="486"/>
      <c r="AD70" s="488"/>
      <c r="AE70" s="486"/>
      <c r="AF70" s="486"/>
      <c r="AG70" s="489"/>
      <c r="AH70" s="486"/>
      <c r="AI70" s="486"/>
      <c r="AJ70" s="486"/>
      <c r="AK70" s="486"/>
      <c r="AL70" s="488"/>
      <c r="AM70" s="486"/>
      <c r="AN70" s="486"/>
      <c r="AO70" s="489"/>
      <c r="AP70" s="488"/>
      <c r="AQ70" s="486"/>
      <c r="AR70" s="486"/>
      <c r="AS70" s="489"/>
      <c r="AT70" s="486"/>
      <c r="AU70" s="486"/>
      <c r="AV70" s="486"/>
      <c r="AW70" s="489"/>
      <c r="AX70" s="486"/>
      <c r="AY70" s="486"/>
      <c r="AZ70" s="486"/>
      <c r="BA70" s="490"/>
    </row>
    <row r="71" spans="1:53" s="16" customFormat="1">
      <c r="A71" s="470">
        <v>1998</v>
      </c>
      <c r="B71" s="475">
        <v>36046</v>
      </c>
      <c r="C71" s="988" t="s">
        <v>998</v>
      </c>
      <c r="D71" s="988"/>
      <c r="E71" s="470">
        <f>365-E70</f>
        <v>115</v>
      </c>
      <c r="F71" s="470">
        <v>1</v>
      </c>
      <c r="G71" s="480"/>
      <c r="H71" s="470">
        <v>13</v>
      </c>
      <c r="I71" s="470"/>
      <c r="J71" s="482">
        <v>13</v>
      </c>
      <c r="K71" s="477">
        <f t="shared" ref="K71:K101" si="10">G71/J71*100</f>
        <v>0</v>
      </c>
      <c r="L71" s="477">
        <f t="shared" ref="L71:L101" si="11">H71/J71*100</f>
        <v>100</v>
      </c>
      <c r="M71" s="477">
        <f t="shared" ref="M71:M101" si="12">I71/J71*100</f>
        <v>0</v>
      </c>
      <c r="N71" s="481">
        <f t="shared" ref="N71:N101" si="13">K71+L71+M71</f>
        <v>100</v>
      </c>
      <c r="O71" s="476"/>
      <c r="P71" s="477">
        <v>53.8</v>
      </c>
      <c r="Q71" s="477"/>
      <c r="R71" s="478">
        <f t="shared" ref="R71:R103" si="14">O71+P71+Q71</f>
        <v>53.8</v>
      </c>
      <c r="S71" s="470">
        <v>1</v>
      </c>
      <c r="T71" s="479">
        <v>36043</v>
      </c>
      <c r="U71" s="475">
        <v>36046</v>
      </c>
      <c r="V71" s="472" t="s">
        <v>994</v>
      </c>
      <c r="W71" s="470" t="s">
        <v>17</v>
      </c>
      <c r="X71" s="470" t="s">
        <v>18</v>
      </c>
      <c r="Y71" s="473">
        <v>53.8</v>
      </c>
      <c r="Z71" s="470"/>
      <c r="AA71" s="470"/>
      <c r="AB71" s="470"/>
      <c r="AC71" s="470"/>
      <c r="AD71" s="472"/>
      <c r="AE71" s="470"/>
      <c r="AF71" s="470"/>
      <c r="AG71" s="473"/>
      <c r="AH71" s="470"/>
      <c r="AI71" s="470"/>
      <c r="AJ71" s="470"/>
      <c r="AK71" s="470"/>
      <c r="AL71" s="472"/>
      <c r="AM71" s="470"/>
      <c r="AN71" s="470"/>
      <c r="AO71" s="473"/>
      <c r="AP71" s="472"/>
      <c r="AQ71" s="470"/>
      <c r="AR71" s="470"/>
      <c r="AS71" s="473"/>
      <c r="AT71" s="470"/>
      <c r="AU71" s="470"/>
      <c r="AV71" s="470"/>
      <c r="AW71" s="473"/>
      <c r="AX71" s="470"/>
      <c r="AY71" s="470"/>
      <c r="AZ71" s="470"/>
      <c r="BA71" s="474"/>
    </row>
    <row r="72" spans="1:53" s="16" customFormat="1">
      <c r="A72" s="470">
        <v>1999</v>
      </c>
      <c r="B72" s="470"/>
      <c r="C72" s="988" t="s">
        <v>998</v>
      </c>
      <c r="D72" s="988"/>
      <c r="E72" s="470">
        <v>82</v>
      </c>
      <c r="F72" s="470"/>
      <c r="G72" s="480"/>
      <c r="H72" s="470">
        <v>13</v>
      </c>
      <c r="I72" s="470"/>
      <c r="J72" s="482">
        <v>13</v>
      </c>
      <c r="K72" s="477">
        <f t="shared" si="10"/>
        <v>0</v>
      </c>
      <c r="L72" s="477">
        <f t="shared" si="11"/>
        <v>100</v>
      </c>
      <c r="M72" s="477">
        <f t="shared" si="12"/>
        <v>0</v>
      </c>
      <c r="N72" s="481">
        <f t="shared" si="13"/>
        <v>100</v>
      </c>
      <c r="O72" s="476"/>
      <c r="P72" s="477">
        <v>53.8</v>
      </c>
      <c r="Q72" s="477"/>
      <c r="R72" s="478">
        <f t="shared" si="14"/>
        <v>53.8</v>
      </c>
      <c r="S72" s="470">
        <v>1</v>
      </c>
      <c r="T72" s="471"/>
      <c r="U72" s="470"/>
      <c r="V72" s="472" t="s">
        <v>994</v>
      </c>
      <c r="W72" s="470" t="s">
        <v>17</v>
      </c>
      <c r="X72" s="470" t="s">
        <v>18</v>
      </c>
      <c r="Y72" s="473">
        <v>53.8</v>
      </c>
      <c r="Z72" s="470"/>
      <c r="AA72" s="470"/>
      <c r="AB72" s="470"/>
      <c r="AC72" s="470"/>
      <c r="AD72" s="472"/>
      <c r="AE72" s="470"/>
      <c r="AF72" s="470"/>
      <c r="AG72" s="473"/>
      <c r="AH72" s="470"/>
      <c r="AI72" s="470"/>
      <c r="AJ72" s="470"/>
      <c r="AK72" s="470"/>
      <c r="AL72" s="472"/>
      <c r="AM72" s="470"/>
      <c r="AN72" s="470"/>
      <c r="AO72" s="473"/>
      <c r="AP72" s="472"/>
      <c r="AQ72" s="470"/>
      <c r="AR72" s="470"/>
      <c r="AS72" s="473"/>
      <c r="AT72" s="470"/>
      <c r="AU72" s="470"/>
      <c r="AV72" s="470"/>
      <c r="AW72" s="473"/>
      <c r="AX72" s="470"/>
      <c r="AY72" s="470"/>
      <c r="AZ72" s="470"/>
      <c r="BA72" s="474"/>
    </row>
    <row r="73" spans="1:53" s="16" customFormat="1">
      <c r="A73" s="470">
        <v>1999</v>
      </c>
      <c r="B73" s="483">
        <v>36243</v>
      </c>
      <c r="C73" s="988" t="s">
        <v>998</v>
      </c>
      <c r="D73" s="988"/>
      <c r="E73" s="470">
        <f>365-E72</f>
        <v>283</v>
      </c>
      <c r="F73" s="484">
        <v>0</v>
      </c>
      <c r="G73" s="480"/>
      <c r="H73" s="470">
        <v>14</v>
      </c>
      <c r="I73" s="470"/>
      <c r="J73" s="482">
        <v>14</v>
      </c>
      <c r="K73" s="477">
        <f t="shared" si="10"/>
        <v>0</v>
      </c>
      <c r="L73" s="477">
        <f t="shared" si="11"/>
        <v>100</v>
      </c>
      <c r="M73" s="477">
        <f t="shared" si="12"/>
        <v>0</v>
      </c>
      <c r="N73" s="481">
        <f t="shared" si="13"/>
        <v>100</v>
      </c>
      <c r="O73" s="476"/>
      <c r="P73" s="477">
        <v>53.8</v>
      </c>
      <c r="Q73" s="477"/>
      <c r="R73" s="478">
        <f t="shared" si="14"/>
        <v>53.8</v>
      </c>
      <c r="S73" s="470">
        <v>1</v>
      </c>
      <c r="T73" s="471"/>
      <c r="U73" s="470"/>
      <c r="V73" s="472" t="s">
        <v>994</v>
      </c>
      <c r="W73" s="470" t="s">
        <v>17</v>
      </c>
      <c r="X73" s="470" t="s">
        <v>18</v>
      </c>
      <c r="Y73" s="473">
        <v>53.8</v>
      </c>
      <c r="Z73" s="470"/>
      <c r="AA73" s="470"/>
      <c r="AB73" s="470"/>
      <c r="AC73" s="470"/>
      <c r="AD73" s="472"/>
      <c r="AE73" s="470"/>
      <c r="AF73" s="470"/>
      <c r="AG73" s="473"/>
      <c r="AH73" s="470"/>
      <c r="AI73" s="470"/>
      <c r="AJ73" s="470"/>
      <c r="AK73" s="470"/>
      <c r="AL73" s="472"/>
      <c r="AM73" s="470"/>
      <c r="AN73" s="470"/>
      <c r="AO73" s="473"/>
      <c r="AP73" s="472"/>
      <c r="AQ73" s="470"/>
      <c r="AR73" s="470"/>
      <c r="AS73" s="473"/>
      <c r="AT73" s="470"/>
      <c r="AU73" s="470"/>
      <c r="AV73" s="470"/>
      <c r="AW73" s="473"/>
      <c r="AX73" s="470"/>
      <c r="AY73" s="470"/>
      <c r="AZ73" s="470"/>
      <c r="BA73" s="474"/>
    </row>
    <row r="74" spans="1:53" s="16" customFormat="1">
      <c r="A74" s="470">
        <v>2000</v>
      </c>
      <c r="B74" s="470"/>
      <c r="C74" s="988" t="s">
        <v>998</v>
      </c>
      <c r="D74" s="988"/>
      <c r="E74" s="470">
        <v>0</v>
      </c>
      <c r="F74" s="470"/>
      <c r="G74" s="480"/>
      <c r="H74" s="470">
        <v>14</v>
      </c>
      <c r="I74" s="470"/>
      <c r="J74" s="482">
        <v>14</v>
      </c>
      <c r="K74" s="477">
        <f t="shared" si="10"/>
        <v>0</v>
      </c>
      <c r="L74" s="477">
        <f t="shared" si="11"/>
        <v>100</v>
      </c>
      <c r="M74" s="477">
        <f t="shared" si="12"/>
        <v>0</v>
      </c>
      <c r="N74" s="481">
        <f t="shared" si="13"/>
        <v>100</v>
      </c>
      <c r="O74" s="476"/>
      <c r="P74" s="477">
        <v>53.8</v>
      </c>
      <c r="Q74" s="477"/>
      <c r="R74" s="478">
        <f t="shared" si="14"/>
        <v>53.8</v>
      </c>
      <c r="S74" s="470">
        <v>1</v>
      </c>
      <c r="T74" s="471"/>
      <c r="U74" s="470"/>
      <c r="V74" s="472" t="s">
        <v>994</v>
      </c>
      <c r="W74" s="470" t="s">
        <v>17</v>
      </c>
      <c r="X74" s="470" t="s">
        <v>18</v>
      </c>
      <c r="Y74" s="473">
        <v>53.8</v>
      </c>
      <c r="Z74" s="470"/>
      <c r="AA74" s="470"/>
      <c r="AB74" s="470"/>
      <c r="AC74" s="470"/>
      <c r="AD74" s="472"/>
      <c r="AE74" s="470"/>
      <c r="AF74" s="470"/>
      <c r="AG74" s="473"/>
      <c r="AH74" s="470"/>
      <c r="AI74" s="470"/>
      <c r="AJ74" s="470"/>
      <c r="AK74" s="470"/>
      <c r="AL74" s="472"/>
      <c r="AM74" s="470"/>
      <c r="AN74" s="470"/>
      <c r="AO74" s="473"/>
      <c r="AP74" s="472"/>
      <c r="AQ74" s="470"/>
      <c r="AR74" s="470"/>
      <c r="AS74" s="473"/>
      <c r="AT74" s="470"/>
      <c r="AU74" s="470"/>
      <c r="AV74" s="470"/>
      <c r="AW74" s="473"/>
      <c r="AX74" s="470"/>
      <c r="AY74" s="470"/>
      <c r="AZ74" s="470"/>
      <c r="BA74" s="474"/>
    </row>
    <row r="75" spans="1:53" s="16" customFormat="1">
      <c r="A75" s="470">
        <v>2000</v>
      </c>
      <c r="B75" s="470"/>
      <c r="C75" s="988" t="s">
        <v>998</v>
      </c>
      <c r="D75" s="988"/>
      <c r="E75" s="470">
        <v>366</v>
      </c>
      <c r="F75" s="470"/>
      <c r="G75" s="480"/>
      <c r="H75" s="470">
        <v>14</v>
      </c>
      <c r="I75" s="470"/>
      <c r="J75" s="482">
        <v>14</v>
      </c>
      <c r="K75" s="477">
        <f t="shared" si="10"/>
        <v>0</v>
      </c>
      <c r="L75" s="477">
        <f t="shared" si="11"/>
        <v>100</v>
      </c>
      <c r="M75" s="477">
        <f t="shared" si="12"/>
        <v>0</v>
      </c>
      <c r="N75" s="481">
        <f t="shared" si="13"/>
        <v>100</v>
      </c>
      <c r="O75" s="476"/>
      <c r="P75" s="477">
        <v>53.8</v>
      </c>
      <c r="Q75" s="477"/>
      <c r="R75" s="478">
        <f t="shared" si="14"/>
        <v>53.8</v>
      </c>
      <c r="S75" s="470">
        <v>1</v>
      </c>
      <c r="T75" s="471"/>
      <c r="U75" s="470"/>
      <c r="V75" s="472" t="s">
        <v>994</v>
      </c>
      <c r="W75" s="470" t="s">
        <v>17</v>
      </c>
      <c r="X75" s="470" t="s">
        <v>18</v>
      </c>
      <c r="Y75" s="473">
        <v>53.8</v>
      </c>
      <c r="Z75" s="470"/>
      <c r="AA75" s="470"/>
      <c r="AB75" s="470"/>
      <c r="AC75" s="470"/>
      <c r="AD75" s="472"/>
      <c r="AE75" s="470"/>
      <c r="AF75" s="470"/>
      <c r="AG75" s="473"/>
      <c r="AH75" s="470"/>
      <c r="AI75" s="470"/>
      <c r="AJ75" s="470"/>
      <c r="AK75" s="470"/>
      <c r="AL75" s="472"/>
      <c r="AM75" s="470"/>
      <c r="AN75" s="470"/>
      <c r="AO75" s="473"/>
      <c r="AP75" s="472"/>
      <c r="AQ75" s="470"/>
      <c r="AR75" s="470"/>
      <c r="AS75" s="473"/>
      <c r="AT75" s="470"/>
      <c r="AU75" s="470"/>
      <c r="AV75" s="470"/>
      <c r="AW75" s="473"/>
      <c r="AX75" s="470"/>
      <c r="AY75" s="470"/>
      <c r="AZ75" s="470"/>
      <c r="BA75" s="474"/>
    </row>
    <row r="76" spans="1:53" s="16" customFormat="1">
      <c r="A76" s="470">
        <v>2001</v>
      </c>
      <c r="B76" s="470"/>
      <c r="C76" s="988" t="s">
        <v>998</v>
      </c>
      <c r="D76" s="988"/>
      <c r="E76" s="470">
        <v>0</v>
      </c>
      <c r="F76" s="470"/>
      <c r="G76" s="480"/>
      <c r="H76" s="470">
        <v>14</v>
      </c>
      <c r="I76" s="470"/>
      <c r="J76" s="482">
        <v>14</v>
      </c>
      <c r="K76" s="477">
        <f t="shared" si="10"/>
        <v>0</v>
      </c>
      <c r="L76" s="477">
        <f t="shared" si="11"/>
        <v>100</v>
      </c>
      <c r="M76" s="477">
        <f t="shared" si="12"/>
        <v>0</v>
      </c>
      <c r="N76" s="481">
        <f t="shared" si="13"/>
        <v>100</v>
      </c>
      <c r="O76" s="476"/>
      <c r="P76" s="477">
        <v>53.8</v>
      </c>
      <c r="Q76" s="477"/>
      <c r="R76" s="478">
        <f t="shared" si="14"/>
        <v>53.8</v>
      </c>
      <c r="S76" s="470">
        <v>1</v>
      </c>
      <c r="T76" s="471"/>
      <c r="U76" s="470"/>
      <c r="V76" s="472" t="s">
        <v>994</v>
      </c>
      <c r="W76" s="470" t="s">
        <v>17</v>
      </c>
      <c r="X76" s="470" t="s">
        <v>18</v>
      </c>
      <c r="Y76" s="473">
        <v>53.8</v>
      </c>
      <c r="Z76" s="470"/>
      <c r="AA76" s="470"/>
      <c r="AB76" s="470"/>
      <c r="AC76" s="470"/>
      <c r="AD76" s="472"/>
      <c r="AE76" s="470"/>
      <c r="AF76" s="470"/>
      <c r="AG76" s="473"/>
      <c r="AH76" s="470"/>
      <c r="AI76" s="470"/>
      <c r="AJ76" s="470"/>
      <c r="AK76" s="470"/>
      <c r="AL76" s="472"/>
      <c r="AM76" s="470"/>
      <c r="AN76" s="470"/>
      <c r="AO76" s="473"/>
      <c r="AP76" s="472"/>
      <c r="AQ76" s="470"/>
      <c r="AR76" s="470"/>
      <c r="AS76" s="473"/>
      <c r="AT76" s="470"/>
      <c r="AU76" s="470"/>
      <c r="AV76" s="470"/>
      <c r="AW76" s="473"/>
      <c r="AX76" s="470"/>
      <c r="AY76" s="470"/>
      <c r="AZ76" s="470"/>
      <c r="BA76" s="474"/>
    </row>
    <row r="77" spans="1:53" s="16" customFormat="1">
      <c r="A77" s="470">
        <v>2001</v>
      </c>
      <c r="B77" s="470"/>
      <c r="C77" s="988" t="s">
        <v>998</v>
      </c>
      <c r="D77" s="988"/>
      <c r="E77" s="470">
        <f>365-E76</f>
        <v>365</v>
      </c>
      <c r="F77" s="470"/>
      <c r="G77" s="480"/>
      <c r="H77" s="470">
        <v>14</v>
      </c>
      <c r="I77" s="470"/>
      <c r="J77" s="482">
        <v>14</v>
      </c>
      <c r="K77" s="477">
        <f t="shared" si="10"/>
        <v>0</v>
      </c>
      <c r="L77" s="477">
        <f t="shared" si="11"/>
        <v>100</v>
      </c>
      <c r="M77" s="477">
        <f t="shared" si="12"/>
        <v>0</v>
      </c>
      <c r="N77" s="481">
        <f t="shared" si="13"/>
        <v>100</v>
      </c>
      <c r="O77" s="476"/>
      <c r="P77" s="477">
        <v>53.8</v>
      </c>
      <c r="Q77" s="477"/>
      <c r="R77" s="478">
        <f t="shared" si="14"/>
        <v>53.8</v>
      </c>
      <c r="S77" s="470">
        <v>1</v>
      </c>
      <c r="T77" s="471"/>
      <c r="U77" s="470"/>
      <c r="V77" s="472" t="s">
        <v>994</v>
      </c>
      <c r="W77" s="470" t="s">
        <v>17</v>
      </c>
      <c r="X77" s="470" t="s">
        <v>18</v>
      </c>
      <c r="Y77" s="473">
        <v>53.8</v>
      </c>
      <c r="Z77" s="470"/>
      <c r="AA77" s="470"/>
      <c r="AB77" s="470"/>
      <c r="AC77" s="470"/>
      <c r="AD77" s="472"/>
      <c r="AE77" s="470"/>
      <c r="AF77" s="470"/>
      <c r="AG77" s="473"/>
      <c r="AH77" s="470"/>
      <c r="AI77" s="470"/>
      <c r="AJ77" s="470"/>
      <c r="AK77" s="470"/>
      <c r="AL77" s="472"/>
      <c r="AM77" s="470"/>
      <c r="AN77" s="470"/>
      <c r="AO77" s="473"/>
      <c r="AP77" s="472"/>
      <c r="AQ77" s="470"/>
      <c r="AR77" s="470"/>
      <c r="AS77" s="473"/>
      <c r="AT77" s="470"/>
      <c r="AU77" s="470"/>
      <c r="AV77" s="470"/>
      <c r="AW77" s="473"/>
      <c r="AX77" s="470"/>
      <c r="AY77" s="470"/>
      <c r="AZ77" s="470"/>
      <c r="BA77" s="474"/>
    </row>
    <row r="78" spans="1:53" s="16" customFormat="1">
      <c r="A78" s="470">
        <v>2002</v>
      </c>
      <c r="B78" s="470"/>
      <c r="C78" s="988" t="s">
        <v>998</v>
      </c>
      <c r="D78" s="988"/>
      <c r="E78" s="470">
        <v>0</v>
      </c>
      <c r="F78" s="470"/>
      <c r="G78" s="480"/>
      <c r="H78" s="470">
        <v>14</v>
      </c>
      <c r="I78" s="470"/>
      <c r="J78" s="482">
        <v>14</v>
      </c>
      <c r="K78" s="477">
        <f t="shared" si="10"/>
        <v>0</v>
      </c>
      <c r="L78" s="477">
        <f t="shared" si="11"/>
        <v>100</v>
      </c>
      <c r="M78" s="477">
        <f t="shared" si="12"/>
        <v>0</v>
      </c>
      <c r="N78" s="481">
        <f t="shared" si="13"/>
        <v>100</v>
      </c>
      <c r="O78" s="476"/>
      <c r="P78" s="477">
        <v>53.8</v>
      </c>
      <c r="Q78" s="477"/>
      <c r="R78" s="478">
        <f t="shared" si="14"/>
        <v>53.8</v>
      </c>
      <c r="S78" s="470">
        <v>1</v>
      </c>
      <c r="T78" s="471"/>
      <c r="U78" s="470"/>
      <c r="V78" s="472" t="s">
        <v>994</v>
      </c>
      <c r="W78" s="470" t="s">
        <v>17</v>
      </c>
      <c r="X78" s="470" t="s">
        <v>18</v>
      </c>
      <c r="Y78" s="473">
        <v>53.8</v>
      </c>
      <c r="Z78" s="470"/>
      <c r="AA78" s="470"/>
      <c r="AB78" s="470"/>
      <c r="AC78" s="470"/>
      <c r="AD78" s="472"/>
      <c r="AE78" s="470"/>
      <c r="AF78" s="470"/>
      <c r="AG78" s="473"/>
      <c r="AH78" s="470"/>
      <c r="AI78" s="470"/>
      <c r="AJ78" s="470"/>
      <c r="AK78" s="470"/>
      <c r="AL78" s="472"/>
      <c r="AM78" s="470"/>
      <c r="AN78" s="470"/>
      <c r="AO78" s="473"/>
      <c r="AP78" s="472"/>
      <c r="AQ78" s="470"/>
      <c r="AR78" s="470"/>
      <c r="AS78" s="473"/>
      <c r="AT78" s="470"/>
      <c r="AU78" s="470"/>
      <c r="AV78" s="470"/>
      <c r="AW78" s="473"/>
      <c r="AX78" s="470"/>
      <c r="AY78" s="470"/>
      <c r="AZ78" s="470"/>
      <c r="BA78" s="474"/>
    </row>
    <row r="79" spans="1:53" s="16" customFormat="1">
      <c r="A79" s="470">
        <v>2002</v>
      </c>
      <c r="B79" s="470"/>
      <c r="C79" s="988" t="s">
        <v>998</v>
      </c>
      <c r="D79" s="988"/>
      <c r="E79" s="470">
        <f>365-E78</f>
        <v>365</v>
      </c>
      <c r="F79" s="470"/>
      <c r="G79" s="480"/>
      <c r="H79" s="470">
        <v>14</v>
      </c>
      <c r="I79" s="470"/>
      <c r="J79" s="482">
        <v>14</v>
      </c>
      <c r="K79" s="477">
        <f t="shared" si="10"/>
        <v>0</v>
      </c>
      <c r="L79" s="477">
        <f t="shared" si="11"/>
        <v>100</v>
      </c>
      <c r="M79" s="477">
        <f t="shared" si="12"/>
        <v>0</v>
      </c>
      <c r="N79" s="481">
        <f t="shared" si="13"/>
        <v>100</v>
      </c>
      <c r="O79" s="476"/>
      <c r="P79" s="477">
        <v>53.8</v>
      </c>
      <c r="Q79" s="477"/>
      <c r="R79" s="478">
        <f t="shared" si="14"/>
        <v>53.8</v>
      </c>
      <c r="S79" s="470">
        <v>1</v>
      </c>
      <c r="T79" s="471"/>
      <c r="U79" s="470"/>
      <c r="V79" s="472" t="s">
        <v>994</v>
      </c>
      <c r="W79" s="470" t="s">
        <v>17</v>
      </c>
      <c r="X79" s="470" t="s">
        <v>18</v>
      </c>
      <c r="Y79" s="473">
        <v>53.8</v>
      </c>
      <c r="Z79" s="470"/>
      <c r="AA79" s="470"/>
      <c r="AB79" s="470"/>
      <c r="AC79" s="470"/>
      <c r="AD79" s="472"/>
      <c r="AE79" s="470"/>
      <c r="AF79" s="470"/>
      <c r="AG79" s="473"/>
      <c r="AH79" s="470"/>
      <c r="AI79" s="470"/>
      <c r="AJ79" s="470"/>
      <c r="AK79" s="470"/>
      <c r="AL79" s="472"/>
      <c r="AM79" s="470"/>
      <c r="AN79" s="470"/>
      <c r="AO79" s="473"/>
      <c r="AP79" s="472"/>
      <c r="AQ79" s="470"/>
      <c r="AR79" s="470"/>
      <c r="AS79" s="473"/>
      <c r="AT79" s="470"/>
      <c r="AU79" s="470"/>
      <c r="AV79" s="470"/>
      <c r="AW79" s="473"/>
      <c r="AX79" s="470"/>
      <c r="AY79" s="470"/>
      <c r="AZ79" s="470"/>
      <c r="BA79" s="474"/>
    </row>
    <row r="80" spans="1:53" s="16" customFormat="1">
      <c r="A80" s="470">
        <v>2003</v>
      </c>
      <c r="B80" s="470"/>
      <c r="C80" s="988" t="s">
        <v>998</v>
      </c>
      <c r="D80" s="988"/>
      <c r="E80" s="470">
        <v>104</v>
      </c>
      <c r="F80" s="470"/>
      <c r="G80" s="480"/>
      <c r="H80" s="470">
        <v>14</v>
      </c>
      <c r="I80" s="470"/>
      <c r="J80" s="482">
        <v>14</v>
      </c>
      <c r="K80" s="477">
        <f t="shared" si="10"/>
        <v>0</v>
      </c>
      <c r="L80" s="477">
        <f t="shared" si="11"/>
        <v>100</v>
      </c>
      <c r="M80" s="477">
        <f t="shared" si="12"/>
        <v>0</v>
      </c>
      <c r="N80" s="481">
        <f t="shared" si="13"/>
        <v>100</v>
      </c>
      <c r="O80" s="476"/>
      <c r="P80" s="477">
        <v>53.8</v>
      </c>
      <c r="Q80" s="477"/>
      <c r="R80" s="478">
        <f t="shared" si="14"/>
        <v>53.8</v>
      </c>
      <c r="S80" s="470">
        <v>1</v>
      </c>
      <c r="T80" s="471"/>
      <c r="U80" s="470"/>
      <c r="V80" s="472" t="s">
        <v>994</v>
      </c>
      <c r="W80" s="470" t="s">
        <v>17</v>
      </c>
      <c r="X80" s="470" t="s">
        <v>18</v>
      </c>
      <c r="Y80" s="473">
        <v>53.8</v>
      </c>
      <c r="Z80" s="470"/>
      <c r="AA80" s="470"/>
      <c r="AB80" s="470"/>
      <c r="AC80" s="470"/>
      <c r="AD80" s="472"/>
      <c r="AE80" s="470"/>
      <c r="AF80" s="470"/>
      <c r="AG80" s="473"/>
      <c r="AH80" s="470"/>
      <c r="AI80" s="470"/>
      <c r="AJ80" s="470"/>
      <c r="AK80" s="470"/>
      <c r="AL80" s="472"/>
      <c r="AM80" s="470"/>
      <c r="AN80" s="470"/>
      <c r="AO80" s="473"/>
      <c r="AP80" s="472"/>
      <c r="AQ80" s="470"/>
      <c r="AR80" s="470"/>
      <c r="AS80" s="473"/>
      <c r="AT80" s="470"/>
      <c r="AU80" s="470"/>
      <c r="AV80" s="470"/>
      <c r="AW80" s="473"/>
      <c r="AX80" s="470"/>
      <c r="AY80" s="470"/>
      <c r="AZ80" s="470"/>
      <c r="BA80" s="474"/>
    </row>
    <row r="81" spans="1:53" s="16" customFormat="1">
      <c r="A81" s="486">
        <v>2003</v>
      </c>
      <c r="B81" s="491">
        <v>37726</v>
      </c>
      <c r="C81" s="992" t="s">
        <v>999</v>
      </c>
      <c r="D81" s="992"/>
      <c r="E81" s="486">
        <f>365-E80</f>
        <v>261</v>
      </c>
      <c r="F81" s="486">
        <v>1</v>
      </c>
      <c r="G81" s="497"/>
      <c r="H81" s="486">
        <v>14</v>
      </c>
      <c r="I81" s="486"/>
      <c r="J81" s="499">
        <v>14</v>
      </c>
      <c r="K81" s="495">
        <f t="shared" si="10"/>
        <v>0</v>
      </c>
      <c r="L81" s="495">
        <f t="shared" si="11"/>
        <v>100</v>
      </c>
      <c r="M81" s="495">
        <f t="shared" si="12"/>
        <v>0</v>
      </c>
      <c r="N81" s="498">
        <f t="shared" si="13"/>
        <v>100</v>
      </c>
      <c r="O81" s="494"/>
      <c r="P81" s="495">
        <v>53.8</v>
      </c>
      <c r="Q81" s="495"/>
      <c r="R81" s="496">
        <f t="shared" si="14"/>
        <v>53.8</v>
      </c>
      <c r="S81" s="486">
        <v>1</v>
      </c>
      <c r="T81" s="487">
        <v>37723</v>
      </c>
      <c r="U81" s="491">
        <v>37726</v>
      </c>
      <c r="V81" s="488" t="s">
        <v>994</v>
      </c>
      <c r="W81" s="486" t="s">
        <v>17</v>
      </c>
      <c r="X81" s="486" t="s">
        <v>18</v>
      </c>
      <c r="Y81" s="489">
        <v>53.8</v>
      </c>
      <c r="Z81" s="486"/>
      <c r="AA81" s="486"/>
      <c r="AB81" s="486"/>
      <c r="AC81" s="486"/>
      <c r="AD81" s="488"/>
      <c r="AE81" s="486"/>
      <c r="AF81" s="486"/>
      <c r="AG81" s="489"/>
      <c r="AH81" s="486"/>
      <c r="AI81" s="486"/>
      <c r="AJ81" s="486"/>
      <c r="AK81" s="486"/>
      <c r="AL81" s="488"/>
      <c r="AM81" s="486"/>
      <c r="AN81" s="486"/>
      <c r="AO81" s="489"/>
      <c r="AP81" s="488"/>
      <c r="AQ81" s="486"/>
      <c r="AR81" s="486"/>
      <c r="AS81" s="489"/>
      <c r="AT81" s="486"/>
      <c r="AU81" s="486"/>
      <c r="AV81" s="486"/>
      <c r="AW81" s="489"/>
      <c r="AX81" s="486"/>
      <c r="AY81" s="486"/>
      <c r="AZ81" s="486"/>
      <c r="BA81" s="490"/>
    </row>
    <row r="82" spans="1:53" s="16" customFormat="1">
      <c r="A82" s="486">
        <v>2004</v>
      </c>
      <c r="B82" s="486"/>
      <c r="C82" s="992" t="s">
        <v>999</v>
      </c>
      <c r="D82" s="992"/>
      <c r="E82" s="486">
        <v>83</v>
      </c>
      <c r="F82" s="486"/>
      <c r="G82" s="497"/>
      <c r="H82" s="486">
        <v>14</v>
      </c>
      <c r="I82" s="486"/>
      <c r="J82" s="499">
        <v>14</v>
      </c>
      <c r="K82" s="495">
        <f t="shared" si="10"/>
        <v>0</v>
      </c>
      <c r="L82" s="495">
        <f t="shared" si="11"/>
        <v>100</v>
      </c>
      <c r="M82" s="495">
        <f t="shared" si="12"/>
        <v>0</v>
      </c>
      <c r="N82" s="498">
        <f t="shared" si="13"/>
        <v>100</v>
      </c>
      <c r="O82" s="494"/>
      <c r="P82" s="495">
        <v>53.8</v>
      </c>
      <c r="Q82" s="495"/>
      <c r="R82" s="496">
        <f t="shared" si="14"/>
        <v>53.8</v>
      </c>
      <c r="S82" s="486">
        <v>1</v>
      </c>
      <c r="T82" s="492"/>
      <c r="U82" s="486"/>
      <c r="V82" s="488" t="s">
        <v>994</v>
      </c>
      <c r="W82" s="486" t="s">
        <v>17</v>
      </c>
      <c r="X82" s="486" t="s">
        <v>18</v>
      </c>
      <c r="Y82" s="489">
        <v>53.8</v>
      </c>
      <c r="Z82" s="486"/>
      <c r="AA82" s="486"/>
      <c r="AB82" s="486"/>
      <c r="AC82" s="486"/>
      <c r="AD82" s="488"/>
      <c r="AE82" s="486"/>
      <c r="AF82" s="486"/>
      <c r="AG82" s="489"/>
      <c r="AH82" s="486"/>
      <c r="AI82" s="486"/>
      <c r="AJ82" s="486"/>
      <c r="AK82" s="486"/>
      <c r="AL82" s="488"/>
      <c r="AM82" s="486"/>
      <c r="AN82" s="486"/>
      <c r="AO82" s="489"/>
      <c r="AP82" s="488"/>
      <c r="AQ82" s="486"/>
      <c r="AR82" s="486"/>
      <c r="AS82" s="489"/>
      <c r="AT82" s="486"/>
      <c r="AU82" s="486"/>
      <c r="AV82" s="486"/>
      <c r="AW82" s="489"/>
      <c r="AX82" s="486"/>
      <c r="AY82" s="486"/>
      <c r="AZ82" s="486"/>
      <c r="BA82" s="490"/>
    </row>
    <row r="83" spans="1:53" s="16" customFormat="1">
      <c r="A83" s="470">
        <v>2004</v>
      </c>
      <c r="B83" s="475">
        <v>38070</v>
      </c>
      <c r="C83" s="988" t="s">
        <v>1000</v>
      </c>
      <c r="D83" s="988"/>
      <c r="E83" s="470">
        <f>366-E82</f>
        <v>283</v>
      </c>
      <c r="F83" s="470">
        <v>2</v>
      </c>
      <c r="G83" s="480"/>
      <c r="H83" s="470">
        <v>13</v>
      </c>
      <c r="I83" s="470"/>
      <c r="J83" s="482">
        <v>13</v>
      </c>
      <c r="K83" s="477">
        <f t="shared" si="10"/>
        <v>0</v>
      </c>
      <c r="L83" s="477">
        <f t="shared" si="11"/>
        <v>100</v>
      </c>
      <c r="M83" s="477">
        <f t="shared" si="12"/>
        <v>0</v>
      </c>
      <c r="N83" s="481">
        <f t="shared" si="13"/>
        <v>100</v>
      </c>
      <c r="O83" s="476"/>
      <c r="P83" s="477">
        <v>53.8</v>
      </c>
      <c r="Q83" s="477"/>
      <c r="R83" s="478">
        <f t="shared" si="14"/>
        <v>53.8</v>
      </c>
      <c r="S83" s="470">
        <v>1</v>
      </c>
      <c r="T83" s="471"/>
      <c r="U83" s="475">
        <v>38070</v>
      </c>
      <c r="V83" s="472" t="s">
        <v>994</v>
      </c>
      <c r="W83" s="470" t="s">
        <v>17</v>
      </c>
      <c r="X83" s="470" t="s">
        <v>18</v>
      </c>
      <c r="Y83" s="473">
        <v>53.8</v>
      </c>
      <c r="Z83" s="470"/>
      <c r="AA83" s="470"/>
      <c r="AB83" s="470"/>
      <c r="AC83" s="470"/>
      <c r="AD83" s="472"/>
      <c r="AE83" s="470"/>
      <c r="AF83" s="470"/>
      <c r="AG83" s="473"/>
      <c r="AH83" s="470"/>
      <c r="AI83" s="470"/>
      <c r="AJ83" s="470"/>
      <c r="AK83" s="470"/>
      <c r="AL83" s="472"/>
      <c r="AM83" s="470"/>
      <c r="AN83" s="470"/>
      <c r="AO83" s="473"/>
      <c r="AP83" s="472"/>
      <c r="AQ83" s="470"/>
      <c r="AR83" s="470"/>
      <c r="AS83" s="473"/>
      <c r="AT83" s="470"/>
      <c r="AU83" s="470"/>
      <c r="AV83" s="470"/>
      <c r="AW83" s="473"/>
      <c r="AX83" s="470"/>
      <c r="AY83" s="470"/>
      <c r="AZ83" s="470"/>
      <c r="BA83" s="474"/>
    </row>
    <row r="84" spans="1:53" s="16" customFormat="1">
      <c r="A84" s="470">
        <v>2005</v>
      </c>
      <c r="B84" s="470"/>
      <c r="C84" s="988" t="s">
        <v>1000</v>
      </c>
      <c r="D84" s="988"/>
      <c r="E84" s="470">
        <v>0</v>
      </c>
      <c r="F84" s="470"/>
      <c r="G84" s="480"/>
      <c r="H84" s="470">
        <v>13</v>
      </c>
      <c r="I84" s="470"/>
      <c r="J84" s="482">
        <v>13</v>
      </c>
      <c r="K84" s="477">
        <f t="shared" si="10"/>
        <v>0</v>
      </c>
      <c r="L84" s="477">
        <f t="shared" si="11"/>
        <v>100</v>
      </c>
      <c r="M84" s="477">
        <f t="shared" si="12"/>
        <v>0</v>
      </c>
      <c r="N84" s="481">
        <f t="shared" si="13"/>
        <v>100</v>
      </c>
      <c r="O84" s="476"/>
      <c r="P84" s="477">
        <v>53.8</v>
      </c>
      <c r="Q84" s="477"/>
      <c r="R84" s="478">
        <f t="shared" si="14"/>
        <v>53.8</v>
      </c>
      <c r="S84" s="470">
        <v>1</v>
      </c>
      <c r="T84" s="471"/>
      <c r="U84" s="470"/>
      <c r="V84" s="472" t="s">
        <v>994</v>
      </c>
      <c r="W84" s="470" t="s">
        <v>17</v>
      </c>
      <c r="X84" s="470" t="s">
        <v>18</v>
      </c>
      <c r="Y84" s="473">
        <v>53.8</v>
      </c>
      <c r="Z84" s="470"/>
      <c r="AA84" s="470"/>
      <c r="AB84" s="470"/>
      <c r="AC84" s="470"/>
      <c r="AD84" s="472"/>
      <c r="AE84" s="470"/>
      <c r="AF84" s="470"/>
      <c r="AG84" s="473"/>
      <c r="AH84" s="470"/>
      <c r="AI84" s="470"/>
      <c r="AJ84" s="470"/>
      <c r="AK84" s="470"/>
      <c r="AL84" s="472"/>
      <c r="AM84" s="470"/>
      <c r="AN84" s="470"/>
      <c r="AO84" s="473"/>
      <c r="AP84" s="472"/>
      <c r="AQ84" s="470"/>
      <c r="AR84" s="470"/>
      <c r="AS84" s="473"/>
      <c r="AT84" s="470"/>
      <c r="AU84" s="470"/>
      <c r="AV84" s="470"/>
      <c r="AW84" s="473"/>
      <c r="AX84" s="470"/>
      <c r="AY84" s="470"/>
      <c r="AZ84" s="470"/>
      <c r="BA84" s="474"/>
    </row>
    <row r="85" spans="1:53" s="16" customFormat="1">
      <c r="A85" s="470">
        <v>2005</v>
      </c>
      <c r="B85" s="470"/>
      <c r="C85" s="988" t="s">
        <v>1000</v>
      </c>
      <c r="D85" s="988"/>
      <c r="E85" s="470">
        <f>365-E84</f>
        <v>365</v>
      </c>
      <c r="F85" s="470"/>
      <c r="G85" s="480"/>
      <c r="H85" s="470">
        <v>13</v>
      </c>
      <c r="I85" s="470"/>
      <c r="J85" s="482">
        <v>13</v>
      </c>
      <c r="K85" s="477">
        <f t="shared" si="10"/>
        <v>0</v>
      </c>
      <c r="L85" s="477">
        <f t="shared" si="11"/>
        <v>100</v>
      </c>
      <c r="M85" s="477">
        <f t="shared" si="12"/>
        <v>0</v>
      </c>
      <c r="N85" s="481">
        <f t="shared" si="13"/>
        <v>100</v>
      </c>
      <c r="O85" s="476"/>
      <c r="P85" s="477">
        <v>53.8</v>
      </c>
      <c r="Q85" s="477"/>
      <c r="R85" s="478">
        <f t="shared" si="14"/>
        <v>53.8</v>
      </c>
      <c r="S85" s="470">
        <v>1</v>
      </c>
      <c r="T85" s="471"/>
      <c r="U85" s="470"/>
      <c r="V85" s="472" t="s">
        <v>994</v>
      </c>
      <c r="W85" s="470" t="s">
        <v>17</v>
      </c>
      <c r="X85" s="470" t="s">
        <v>18</v>
      </c>
      <c r="Y85" s="473">
        <v>53.8</v>
      </c>
      <c r="Z85" s="470"/>
      <c r="AA85" s="470"/>
      <c r="AB85" s="470"/>
      <c r="AC85" s="470"/>
      <c r="AD85" s="472"/>
      <c r="AE85" s="470"/>
      <c r="AF85" s="470"/>
      <c r="AG85" s="473"/>
      <c r="AH85" s="470"/>
      <c r="AI85" s="470"/>
      <c r="AJ85" s="470"/>
      <c r="AK85" s="470"/>
      <c r="AL85" s="472"/>
      <c r="AM85" s="470"/>
      <c r="AN85" s="470"/>
      <c r="AO85" s="473"/>
      <c r="AP85" s="472"/>
      <c r="AQ85" s="470"/>
      <c r="AR85" s="470"/>
      <c r="AS85" s="473"/>
      <c r="AT85" s="470"/>
      <c r="AU85" s="470"/>
      <c r="AV85" s="470"/>
      <c r="AW85" s="473"/>
      <c r="AX85" s="470"/>
      <c r="AY85" s="470"/>
      <c r="AZ85" s="470"/>
      <c r="BA85" s="474"/>
    </row>
    <row r="86" spans="1:53" s="16" customFormat="1">
      <c r="A86" s="470">
        <v>2006</v>
      </c>
      <c r="B86" s="470"/>
      <c r="C86" s="988" t="s">
        <v>1000</v>
      </c>
      <c r="D86" s="988"/>
      <c r="E86" s="470">
        <v>0</v>
      </c>
      <c r="F86" s="470"/>
      <c r="G86" s="480"/>
      <c r="H86" s="470">
        <v>13</v>
      </c>
      <c r="I86" s="470"/>
      <c r="J86" s="482">
        <v>13</v>
      </c>
      <c r="K86" s="477">
        <f t="shared" si="10"/>
        <v>0</v>
      </c>
      <c r="L86" s="477">
        <f t="shared" si="11"/>
        <v>100</v>
      </c>
      <c r="M86" s="477">
        <f t="shared" si="12"/>
        <v>0</v>
      </c>
      <c r="N86" s="481">
        <f t="shared" si="13"/>
        <v>100</v>
      </c>
      <c r="O86" s="476"/>
      <c r="P86" s="477">
        <v>53.8</v>
      </c>
      <c r="Q86" s="477"/>
      <c r="R86" s="478">
        <f t="shared" si="14"/>
        <v>53.8</v>
      </c>
      <c r="S86" s="470">
        <v>1</v>
      </c>
      <c r="T86" s="471"/>
      <c r="U86" s="470"/>
      <c r="V86" s="472" t="s">
        <v>994</v>
      </c>
      <c r="W86" s="470" t="s">
        <v>17</v>
      </c>
      <c r="X86" s="470" t="s">
        <v>18</v>
      </c>
      <c r="Y86" s="473">
        <v>53.8</v>
      </c>
      <c r="Z86" s="470"/>
      <c r="AA86" s="470"/>
      <c r="AB86" s="470"/>
      <c r="AC86" s="470"/>
      <c r="AD86" s="472"/>
      <c r="AE86" s="470"/>
      <c r="AF86" s="470"/>
      <c r="AG86" s="473"/>
      <c r="AH86" s="470"/>
      <c r="AI86" s="470"/>
      <c r="AJ86" s="470"/>
      <c r="AK86" s="470"/>
      <c r="AL86" s="472"/>
      <c r="AM86" s="470"/>
      <c r="AN86" s="470"/>
      <c r="AO86" s="473"/>
      <c r="AP86" s="472"/>
      <c r="AQ86" s="470"/>
      <c r="AR86" s="470"/>
      <c r="AS86" s="473"/>
      <c r="AT86" s="470"/>
      <c r="AU86" s="470"/>
      <c r="AV86" s="470"/>
      <c r="AW86" s="473"/>
      <c r="AX86" s="470"/>
      <c r="AY86" s="470"/>
      <c r="AZ86" s="470"/>
      <c r="BA86" s="474"/>
    </row>
    <row r="87" spans="1:53" s="16" customFormat="1">
      <c r="A87" s="470">
        <v>2006</v>
      </c>
      <c r="B87" s="470"/>
      <c r="C87" s="988" t="s">
        <v>1000</v>
      </c>
      <c r="D87" s="988"/>
      <c r="E87" s="470">
        <f>365-E86</f>
        <v>365</v>
      </c>
      <c r="F87" s="470"/>
      <c r="G87" s="480"/>
      <c r="H87" s="470">
        <v>13</v>
      </c>
      <c r="I87" s="470"/>
      <c r="J87" s="482">
        <v>13</v>
      </c>
      <c r="K87" s="477">
        <f t="shared" si="10"/>
        <v>0</v>
      </c>
      <c r="L87" s="477">
        <f t="shared" si="11"/>
        <v>100</v>
      </c>
      <c r="M87" s="477">
        <f t="shared" si="12"/>
        <v>0</v>
      </c>
      <c r="N87" s="481">
        <f t="shared" si="13"/>
        <v>100</v>
      </c>
      <c r="O87" s="476"/>
      <c r="P87" s="477">
        <v>53.8</v>
      </c>
      <c r="Q87" s="477"/>
      <c r="R87" s="478">
        <f t="shared" si="14"/>
        <v>53.8</v>
      </c>
      <c r="S87" s="470">
        <v>1</v>
      </c>
      <c r="T87" s="471"/>
      <c r="U87" s="470"/>
      <c r="V87" s="472" t="s">
        <v>994</v>
      </c>
      <c r="W87" s="470" t="s">
        <v>17</v>
      </c>
      <c r="X87" s="470" t="s">
        <v>18</v>
      </c>
      <c r="Y87" s="473">
        <v>53.8</v>
      </c>
      <c r="Z87" s="470"/>
      <c r="AA87" s="470"/>
      <c r="AB87" s="470"/>
      <c r="AC87" s="470"/>
      <c r="AD87" s="472"/>
      <c r="AE87" s="470"/>
      <c r="AF87" s="470"/>
      <c r="AG87" s="473"/>
      <c r="AH87" s="470"/>
      <c r="AI87" s="470"/>
      <c r="AJ87" s="470"/>
      <c r="AK87" s="470"/>
      <c r="AL87" s="472"/>
      <c r="AM87" s="470"/>
      <c r="AN87" s="470"/>
      <c r="AO87" s="473"/>
      <c r="AP87" s="472"/>
      <c r="AQ87" s="470"/>
      <c r="AR87" s="470"/>
      <c r="AS87" s="473"/>
      <c r="AT87" s="470"/>
      <c r="AU87" s="470"/>
      <c r="AV87" s="470"/>
      <c r="AW87" s="473"/>
      <c r="AX87" s="470"/>
      <c r="AY87" s="470"/>
      <c r="AZ87" s="470"/>
      <c r="BA87" s="474"/>
    </row>
    <row r="88" spans="1:53" s="16" customFormat="1">
      <c r="A88" s="470">
        <v>2007</v>
      </c>
      <c r="B88" s="470"/>
      <c r="C88" s="988" t="s">
        <v>1000</v>
      </c>
      <c r="D88" s="988"/>
      <c r="E88" s="470">
        <v>0</v>
      </c>
      <c r="F88" s="470"/>
      <c r="G88" s="480"/>
      <c r="H88" s="470">
        <v>13</v>
      </c>
      <c r="I88" s="470"/>
      <c r="J88" s="482">
        <v>13</v>
      </c>
      <c r="K88" s="477">
        <f t="shared" si="10"/>
        <v>0</v>
      </c>
      <c r="L88" s="477">
        <f t="shared" si="11"/>
        <v>100</v>
      </c>
      <c r="M88" s="477">
        <f t="shared" si="12"/>
        <v>0</v>
      </c>
      <c r="N88" s="481">
        <f t="shared" si="13"/>
        <v>100</v>
      </c>
      <c r="O88" s="476"/>
      <c r="P88" s="477">
        <v>54.8</v>
      </c>
      <c r="Q88" s="477"/>
      <c r="R88" s="478">
        <f t="shared" si="14"/>
        <v>54.8</v>
      </c>
      <c r="S88" s="470">
        <v>1</v>
      </c>
      <c r="T88" s="471"/>
      <c r="U88" s="470"/>
      <c r="V88" s="472" t="s">
        <v>994</v>
      </c>
      <c r="W88" s="470" t="s">
        <v>17</v>
      </c>
      <c r="X88" s="470" t="s">
        <v>18</v>
      </c>
      <c r="Y88" s="473">
        <v>53.8</v>
      </c>
      <c r="Z88" s="470"/>
      <c r="AA88" s="470"/>
      <c r="AB88" s="470"/>
      <c r="AC88" s="470"/>
      <c r="AD88" s="472"/>
      <c r="AE88" s="470"/>
      <c r="AF88" s="470"/>
      <c r="AG88" s="473"/>
      <c r="AH88" s="470"/>
      <c r="AI88" s="470"/>
      <c r="AJ88" s="470"/>
      <c r="AK88" s="470"/>
      <c r="AL88" s="472"/>
      <c r="AM88" s="470"/>
      <c r="AN88" s="470"/>
      <c r="AO88" s="473"/>
      <c r="AP88" s="472"/>
      <c r="AQ88" s="470"/>
      <c r="AR88" s="470"/>
      <c r="AS88" s="473"/>
      <c r="AT88" s="470"/>
      <c r="AU88" s="470"/>
      <c r="AV88" s="470"/>
      <c r="AW88" s="473"/>
      <c r="AX88" s="470"/>
      <c r="AY88" s="470"/>
      <c r="AZ88" s="470"/>
      <c r="BA88" s="474"/>
    </row>
    <row r="89" spans="1:53" s="16" customFormat="1">
      <c r="A89" s="470">
        <v>2007</v>
      </c>
      <c r="B89" s="470"/>
      <c r="C89" s="988" t="s">
        <v>1000</v>
      </c>
      <c r="D89" s="988"/>
      <c r="E89" s="470">
        <v>365</v>
      </c>
      <c r="F89" s="470"/>
      <c r="G89" s="480"/>
      <c r="H89" s="470">
        <v>13</v>
      </c>
      <c r="I89" s="470"/>
      <c r="J89" s="482">
        <v>13</v>
      </c>
      <c r="K89" s="477">
        <f t="shared" si="10"/>
        <v>0</v>
      </c>
      <c r="L89" s="477">
        <f t="shared" si="11"/>
        <v>100</v>
      </c>
      <c r="M89" s="477">
        <f t="shared" si="12"/>
        <v>0</v>
      </c>
      <c r="N89" s="481">
        <f t="shared" si="13"/>
        <v>100</v>
      </c>
      <c r="O89" s="476"/>
      <c r="P89" s="477">
        <v>55.8</v>
      </c>
      <c r="Q89" s="477"/>
      <c r="R89" s="478">
        <f t="shared" si="14"/>
        <v>55.8</v>
      </c>
      <c r="S89" s="470">
        <v>1</v>
      </c>
      <c r="T89" s="471"/>
      <c r="U89" s="470"/>
      <c r="V89" s="472" t="s">
        <v>994</v>
      </c>
      <c r="W89" s="470" t="s">
        <v>17</v>
      </c>
      <c r="X89" s="470" t="s">
        <v>18</v>
      </c>
      <c r="Y89" s="473">
        <v>53.8</v>
      </c>
      <c r="Z89" s="470"/>
      <c r="AA89" s="470"/>
      <c r="AB89" s="470"/>
      <c r="AC89" s="470"/>
      <c r="AD89" s="472"/>
      <c r="AE89" s="470"/>
      <c r="AF89" s="470"/>
      <c r="AG89" s="473"/>
      <c r="AH89" s="470"/>
      <c r="AI89" s="470"/>
      <c r="AJ89" s="470"/>
      <c r="AK89" s="470"/>
      <c r="AL89" s="472"/>
      <c r="AM89" s="470"/>
      <c r="AN89" s="470"/>
      <c r="AO89" s="473"/>
      <c r="AP89" s="472"/>
      <c r="AQ89" s="470"/>
      <c r="AR89" s="470"/>
      <c r="AS89" s="473"/>
      <c r="AT89" s="470"/>
      <c r="AU89" s="470"/>
      <c r="AV89" s="470"/>
      <c r="AW89" s="473"/>
      <c r="AX89" s="470"/>
      <c r="AY89" s="470"/>
      <c r="AZ89" s="470"/>
      <c r="BA89" s="474"/>
    </row>
    <row r="90" spans="1:53" s="16" customFormat="1">
      <c r="A90" s="470">
        <v>2008</v>
      </c>
      <c r="B90" s="470"/>
      <c r="C90" s="988" t="s">
        <v>1000</v>
      </c>
      <c r="D90" s="988"/>
      <c r="E90" s="470">
        <v>71</v>
      </c>
      <c r="F90" s="470"/>
      <c r="G90" s="480"/>
      <c r="H90" s="470">
        <v>13</v>
      </c>
      <c r="I90" s="470"/>
      <c r="J90" s="482">
        <v>13</v>
      </c>
      <c r="K90" s="477">
        <f t="shared" si="10"/>
        <v>0</v>
      </c>
      <c r="L90" s="477">
        <f t="shared" si="11"/>
        <v>100</v>
      </c>
      <c r="M90" s="477">
        <f t="shared" si="12"/>
        <v>0</v>
      </c>
      <c r="N90" s="481">
        <f t="shared" si="13"/>
        <v>100</v>
      </c>
      <c r="O90" s="476"/>
      <c r="P90" s="477">
        <v>55.8</v>
      </c>
      <c r="Q90" s="477"/>
      <c r="R90" s="478">
        <f t="shared" si="14"/>
        <v>55.8</v>
      </c>
      <c r="S90" s="470">
        <v>1</v>
      </c>
      <c r="T90" s="471"/>
      <c r="U90" s="470"/>
      <c r="V90" s="472" t="s">
        <v>994</v>
      </c>
      <c r="W90" s="470" t="s">
        <v>17</v>
      </c>
      <c r="X90" s="470" t="s">
        <v>18</v>
      </c>
      <c r="Y90" s="473">
        <v>53.8</v>
      </c>
      <c r="Z90" s="470"/>
      <c r="AA90" s="470"/>
      <c r="AB90" s="470"/>
      <c r="AC90" s="470"/>
      <c r="AD90" s="472"/>
      <c r="AE90" s="470"/>
      <c r="AF90" s="470"/>
      <c r="AG90" s="473"/>
      <c r="AH90" s="470"/>
      <c r="AI90" s="470"/>
      <c r="AJ90" s="470"/>
      <c r="AK90" s="470"/>
      <c r="AL90" s="472"/>
      <c r="AM90" s="470"/>
      <c r="AN90" s="470"/>
      <c r="AO90" s="473"/>
      <c r="AP90" s="472"/>
      <c r="AQ90" s="470"/>
      <c r="AR90" s="470"/>
      <c r="AS90" s="473"/>
      <c r="AT90" s="470"/>
      <c r="AU90" s="470"/>
      <c r="AV90" s="470"/>
      <c r="AW90" s="473"/>
      <c r="AX90" s="470"/>
      <c r="AY90" s="470"/>
      <c r="AZ90" s="470"/>
      <c r="BA90" s="474"/>
    </row>
    <row r="91" spans="1:53" s="16" customFormat="1">
      <c r="A91" s="486">
        <v>2008</v>
      </c>
      <c r="B91" s="491">
        <v>39519</v>
      </c>
      <c r="C91" s="992" t="s">
        <v>1001</v>
      </c>
      <c r="D91" s="992"/>
      <c r="E91" s="486">
        <f>366-E90</f>
        <v>295</v>
      </c>
      <c r="F91" s="486">
        <v>1</v>
      </c>
      <c r="G91" s="497"/>
      <c r="H91" s="486">
        <v>9</v>
      </c>
      <c r="I91" s="486"/>
      <c r="J91" s="499">
        <v>9</v>
      </c>
      <c r="K91" s="495">
        <f t="shared" si="10"/>
        <v>0</v>
      </c>
      <c r="L91" s="495">
        <f t="shared" si="11"/>
        <v>100</v>
      </c>
      <c r="M91" s="495">
        <f t="shared" si="12"/>
        <v>0</v>
      </c>
      <c r="N91" s="498">
        <f t="shared" si="13"/>
        <v>100</v>
      </c>
      <c r="O91" s="494"/>
      <c r="P91" s="495">
        <v>50.72</v>
      </c>
      <c r="Q91" s="495"/>
      <c r="R91" s="496">
        <f t="shared" si="14"/>
        <v>50.72</v>
      </c>
      <c r="S91" s="486">
        <v>1</v>
      </c>
      <c r="T91" s="487">
        <v>39515</v>
      </c>
      <c r="U91" s="491">
        <v>39519</v>
      </c>
      <c r="V91" s="488" t="s">
        <v>994</v>
      </c>
      <c r="W91" s="486" t="s">
        <v>17</v>
      </c>
      <c r="X91" s="486" t="s">
        <v>18</v>
      </c>
      <c r="Y91" s="489">
        <v>50.7</v>
      </c>
      <c r="Z91" s="486"/>
      <c r="AA91" s="486"/>
      <c r="AB91" s="486"/>
      <c r="AC91" s="486"/>
      <c r="AD91" s="488"/>
      <c r="AE91" s="486"/>
      <c r="AF91" s="486"/>
      <c r="AG91" s="489"/>
      <c r="AH91" s="486"/>
      <c r="AI91" s="486"/>
      <c r="AJ91" s="486"/>
      <c r="AK91" s="486"/>
      <c r="AL91" s="488"/>
      <c r="AM91" s="486"/>
      <c r="AN91" s="486"/>
      <c r="AO91" s="489"/>
      <c r="AP91" s="488"/>
      <c r="AQ91" s="486"/>
      <c r="AR91" s="486"/>
      <c r="AS91" s="489"/>
      <c r="AT91" s="486"/>
      <c r="AU91" s="486"/>
      <c r="AV91" s="486"/>
      <c r="AW91" s="489"/>
      <c r="AX91" s="486"/>
      <c r="AY91" s="486"/>
      <c r="AZ91" s="486"/>
      <c r="BA91" s="490"/>
    </row>
    <row r="92" spans="1:53" s="16" customFormat="1">
      <c r="A92" s="486">
        <v>2009</v>
      </c>
      <c r="B92" s="486"/>
      <c r="C92" s="992" t="s">
        <v>1001</v>
      </c>
      <c r="D92" s="992"/>
      <c r="E92" s="486">
        <v>0</v>
      </c>
      <c r="F92" s="486"/>
      <c r="G92" s="497"/>
      <c r="H92" s="486">
        <v>9</v>
      </c>
      <c r="I92" s="486"/>
      <c r="J92" s="499">
        <v>9</v>
      </c>
      <c r="K92" s="495">
        <f t="shared" si="10"/>
        <v>0</v>
      </c>
      <c r="L92" s="495">
        <f t="shared" si="11"/>
        <v>100</v>
      </c>
      <c r="M92" s="495">
        <f t="shared" si="12"/>
        <v>0</v>
      </c>
      <c r="N92" s="498">
        <f t="shared" si="13"/>
        <v>100</v>
      </c>
      <c r="O92" s="494"/>
      <c r="P92" s="495">
        <v>50.72</v>
      </c>
      <c r="Q92" s="495"/>
      <c r="R92" s="496">
        <f t="shared" si="14"/>
        <v>50.72</v>
      </c>
      <c r="S92" s="486">
        <v>1</v>
      </c>
      <c r="T92" s="492"/>
      <c r="U92" s="486"/>
      <c r="V92" s="488" t="s">
        <v>994</v>
      </c>
      <c r="W92" s="486" t="s">
        <v>17</v>
      </c>
      <c r="X92" s="486" t="s">
        <v>18</v>
      </c>
      <c r="Y92" s="489">
        <v>50.7</v>
      </c>
      <c r="Z92" s="486"/>
      <c r="AA92" s="486"/>
      <c r="AB92" s="486"/>
      <c r="AC92" s="486"/>
      <c r="AD92" s="488"/>
      <c r="AE92" s="486"/>
      <c r="AF92" s="486"/>
      <c r="AG92" s="489"/>
      <c r="AH92" s="486"/>
      <c r="AI92" s="486"/>
      <c r="AJ92" s="486"/>
      <c r="AK92" s="486"/>
      <c r="AL92" s="488"/>
      <c r="AM92" s="486"/>
      <c r="AN92" s="486"/>
      <c r="AO92" s="489"/>
      <c r="AP92" s="488"/>
      <c r="AQ92" s="486"/>
      <c r="AR92" s="486"/>
      <c r="AS92" s="489"/>
      <c r="AT92" s="486"/>
      <c r="AU92" s="486"/>
      <c r="AV92" s="486"/>
      <c r="AW92" s="489"/>
      <c r="AX92" s="486"/>
      <c r="AY92" s="486"/>
      <c r="AZ92" s="486"/>
      <c r="BA92" s="490"/>
    </row>
    <row r="93" spans="1:53" s="16" customFormat="1">
      <c r="A93" s="486">
        <v>2009</v>
      </c>
      <c r="B93" s="486"/>
      <c r="C93" s="992" t="s">
        <v>1001</v>
      </c>
      <c r="D93" s="992"/>
      <c r="E93" s="486">
        <v>365</v>
      </c>
      <c r="F93" s="486"/>
      <c r="G93" s="497"/>
      <c r="H93" s="486">
        <v>9</v>
      </c>
      <c r="I93" s="486"/>
      <c r="J93" s="499">
        <v>9</v>
      </c>
      <c r="K93" s="495">
        <f t="shared" si="10"/>
        <v>0</v>
      </c>
      <c r="L93" s="495">
        <f t="shared" si="11"/>
        <v>100</v>
      </c>
      <c r="M93" s="495">
        <f t="shared" si="12"/>
        <v>0</v>
      </c>
      <c r="N93" s="498">
        <f t="shared" si="13"/>
        <v>100</v>
      </c>
      <c r="O93" s="494"/>
      <c r="P93" s="495">
        <v>50.72</v>
      </c>
      <c r="Q93" s="495"/>
      <c r="R93" s="496">
        <f t="shared" si="14"/>
        <v>50.72</v>
      </c>
      <c r="S93" s="486">
        <v>1</v>
      </c>
      <c r="T93" s="492"/>
      <c r="U93" s="486"/>
      <c r="V93" s="488" t="s">
        <v>994</v>
      </c>
      <c r="W93" s="486" t="s">
        <v>17</v>
      </c>
      <c r="X93" s="486" t="s">
        <v>18</v>
      </c>
      <c r="Y93" s="489">
        <v>50.7</v>
      </c>
      <c r="Z93" s="486"/>
      <c r="AA93" s="486"/>
      <c r="AB93" s="486"/>
      <c r="AC93" s="486"/>
      <c r="AD93" s="488"/>
      <c r="AE93" s="486"/>
      <c r="AF93" s="486"/>
      <c r="AG93" s="489"/>
      <c r="AH93" s="486"/>
      <c r="AI93" s="486"/>
      <c r="AJ93" s="486"/>
      <c r="AK93" s="486"/>
      <c r="AL93" s="488"/>
      <c r="AM93" s="486"/>
      <c r="AN93" s="486"/>
      <c r="AO93" s="489"/>
      <c r="AP93" s="488"/>
      <c r="AQ93" s="486"/>
      <c r="AR93" s="486"/>
      <c r="AS93" s="489"/>
      <c r="AT93" s="486"/>
      <c r="AU93" s="486"/>
      <c r="AV93" s="486"/>
      <c r="AW93" s="489"/>
      <c r="AX93" s="486"/>
      <c r="AY93" s="486"/>
      <c r="AZ93" s="486"/>
      <c r="BA93" s="490"/>
    </row>
    <row r="94" spans="1:53" s="16" customFormat="1">
      <c r="A94" s="486">
        <v>2010</v>
      </c>
      <c r="B94" s="486"/>
      <c r="C94" s="992" t="s">
        <v>1001</v>
      </c>
      <c r="D94" s="992"/>
      <c r="E94" s="486">
        <v>0</v>
      </c>
      <c r="F94" s="486"/>
      <c r="G94" s="497"/>
      <c r="H94" s="486">
        <v>9</v>
      </c>
      <c r="I94" s="486"/>
      <c r="J94" s="499">
        <v>9</v>
      </c>
      <c r="K94" s="495">
        <f t="shared" si="10"/>
        <v>0</v>
      </c>
      <c r="L94" s="495">
        <f t="shared" si="11"/>
        <v>100</v>
      </c>
      <c r="M94" s="495">
        <f t="shared" si="12"/>
        <v>0</v>
      </c>
      <c r="N94" s="498">
        <f t="shared" si="13"/>
        <v>100</v>
      </c>
      <c r="O94" s="494"/>
      <c r="P94" s="495">
        <v>50.72</v>
      </c>
      <c r="Q94" s="495"/>
      <c r="R94" s="496">
        <f t="shared" si="14"/>
        <v>50.72</v>
      </c>
      <c r="S94" s="486">
        <v>1</v>
      </c>
      <c r="T94" s="492"/>
      <c r="U94" s="486"/>
      <c r="V94" s="488" t="s">
        <v>994</v>
      </c>
      <c r="W94" s="486" t="s">
        <v>17</v>
      </c>
      <c r="X94" s="486" t="s">
        <v>18</v>
      </c>
      <c r="Y94" s="489">
        <v>50.7</v>
      </c>
      <c r="Z94" s="486"/>
      <c r="AA94" s="486"/>
      <c r="AB94" s="486"/>
      <c r="AC94" s="486"/>
      <c r="AD94" s="488"/>
      <c r="AE94" s="486"/>
      <c r="AF94" s="486"/>
      <c r="AG94" s="489"/>
      <c r="AH94" s="486"/>
      <c r="AI94" s="486"/>
      <c r="AJ94" s="486"/>
      <c r="AK94" s="486"/>
      <c r="AL94" s="488"/>
      <c r="AM94" s="486"/>
      <c r="AN94" s="486"/>
      <c r="AO94" s="489"/>
      <c r="AP94" s="488"/>
      <c r="AQ94" s="486"/>
      <c r="AR94" s="486"/>
      <c r="AS94" s="489"/>
      <c r="AT94" s="486"/>
      <c r="AU94" s="486"/>
      <c r="AV94" s="486"/>
      <c r="AW94" s="489"/>
      <c r="AX94" s="486"/>
      <c r="AY94" s="486"/>
      <c r="AZ94" s="486"/>
      <c r="BA94" s="490"/>
    </row>
    <row r="95" spans="1:53" s="16" customFormat="1">
      <c r="A95" s="486">
        <v>2010</v>
      </c>
      <c r="B95" s="486"/>
      <c r="C95" s="992" t="s">
        <v>1001</v>
      </c>
      <c r="D95" s="992"/>
      <c r="E95" s="486">
        <v>365</v>
      </c>
      <c r="F95" s="486"/>
      <c r="G95" s="497"/>
      <c r="H95" s="486">
        <v>9</v>
      </c>
      <c r="I95" s="486"/>
      <c r="J95" s="499">
        <v>9</v>
      </c>
      <c r="K95" s="495">
        <f t="shared" si="10"/>
        <v>0</v>
      </c>
      <c r="L95" s="495">
        <f t="shared" si="11"/>
        <v>100</v>
      </c>
      <c r="M95" s="495">
        <f t="shared" si="12"/>
        <v>0</v>
      </c>
      <c r="N95" s="498">
        <f t="shared" si="13"/>
        <v>100</v>
      </c>
      <c r="O95" s="494"/>
      <c r="P95" s="495">
        <v>50.72</v>
      </c>
      <c r="Q95" s="495"/>
      <c r="R95" s="496">
        <f t="shared" si="14"/>
        <v>50.72</v>
      </c>
      <c r="S95" s="486">
        <v>1</v>
      </c>
      <c r="T95" s="492"/>
      <c r="U95" s="486"/>
      <c r="V95" s="488" t="s">
        <v>994</v>
      </c>
      <c r="W95" s="486" t="s">
        <v>17</v>
      </c>
      <c r="X95" s="486" t="s">
        <v>18</v>
      </c>
      <c r="Y95" s="489">
        <v>50.7</v>
      </c>
      <c r="Z95" s="486"/>
      <c r="AA95" s="486"/>
      <c r="AB95" s="486"/>
      <c r="AC95" s="486"/>
      <c r="AD95" s="488"/>
      <c r="AE95" s="486"/>
      <c r="AF95" s="486"/>
      <c r="AG95" s="489"/>
      <c r="AH95" s="486"/>
      <c r="AI95" s="486"/>
      <c r="AJ95" s="486"/>
      <c r="AK95" s="486"/>
      <c r="AL95" s="488"/>
      <c r="AM95" s="486"/>
      <c r="AN95" s="486"/>
      <c r="AO95" s="489"/>
      <c r="AP95" s="488"/>
      <c r="AQ95" s="486"/>
      <c r="AR95" s="486"/>
      <c r="AS95" s="489"/>
      <c r="AT95" s="486"/>
      <c r="AU95" s="486"/>
      <c r="AV95" s="486"/>
      <c r="AW95" s="489"/>
      <c r="AX95" s="486"/>
      <c r="AY95" s="486"/>
      <c r="AZ95" s="486"/>
      <c r="BA95" s="490"/>
    </row>
    <row r="96" spans="1:53" s="16" customFormat="1">
      <c r="A96" s="486">
        <v>2011</v>
      </c>
      <c r="B96" s="486"/>
      <c r="C96" s="992" t="s">
        <v>1001</v>
      </c>
      <c r="D96" s="992"/>
      <c r="E96" s="486">
        <v>0</v>
      </c>
      <c r="F96" s="486"/>
      <c r="G96" s="497"/>
      <c r="H96" s="486">
        <v>9</v>
      </c>
      <c r="I96" s="486"/>
      <c r="J96" s="499">
        <v>9</v>
      </c>
      <c r="K96" s="495">
        <f t="shared" si="10"/>
        <v>0</v>
      </c>
      <c r="L96" s="495">
        <f t="shared" si="11"/>
        <v>100</v>
      </c>
      <c r="M96" s="495">
        <f t="shared" si="12"/>
        <v>0</v>
      </c>
      <c r="N96" s="498">
        <f t="shared" si="13"/>
        <v>100</v>
      </c>
      <c r="O96" s="494"/>
      <c r="P96" s="495">
        <v>50.72</v>
      </c>
      <c r="Q96" s="495"/>
      <c r="R96" s="496">
        <f t="shared" si="14"/>
        <v>50.72</v>
      </c>
      <c r="S96" s="486">
        <v>1</v>
      </c>
      <c r="T96" s="492"/>
      <c r="U96" s="486"/>
      <c r="V96" s="488" t="s">
        <v>994</v>
      </c>
      <c r="W96" s="486" t="s">
        <v>17</v>
      </c>
      <c r="X96" s="486" t="s">
        <v>18</v>
      </c>
      <c r="Y96" s="489">
        <v>50.7</v>
      </c>
      <c r="Z96" s="486"/>
      <c r="AA96" s="486"/>
      <c r="AB96" s="486"/>
      <c r="AC96" s="486"/>
      <c r="AD96" s="488"/>
      <c r="AE96" s="486"/>
      <c r="AF96" s="486"/>
      <c r="AG96" s="489"/>
      <c r="AH96" s="486"/>
      <c r="AI96" s="486"/>
      <c r="AJ96" s="486"/>
      <c r="AK96" s="486"/>
      <c r="AL96" s="488"/>
      <c r="AM96" s="486"/>
      <c r="AN96" s="486"/>
      <c r="AO96" s="489"/>
      <c r="AP96" s="488"/>
      <c r="AQ96" s="486"/>
      <c r="AR96" s="486"/>
      <c r="AS96" s="489"/>
      <c r="AT96" s="486"/>
      <c r="AU96" s="486"/>
      <c r="AV96" s="486"/>
      <c r="AW96" s="489"/>
      <c r="AX96" s="486"/>
      <c r="AY96" s="486"/>
      <c r="AZ96" s="486"/>
      <c r="BA96" s="490"/>
    </row>
    <row r="97" spans="1:53" s="16" customFormat="1">
      <c r="A97" s="486">
        <v>2011</v>
      </c>
      <c r="B97" s="486"/>
      <c r="C97" s="992" t="s">
        <v>1001</v>
      </c>
      <c r="D97" s="992"/>
      <c r="E97" s="486">
        <v>365</v>
      </c>
      <c r="F97" s="486"/>
      <c r="G97" s="497"/>
      <c r="H97" s="486">
        <v>9</v>
      </c>
      <c r="I97" s="486"/>
      <c r="J97" s="499">
        <v>9</v>
      </c>
      <c r="K97" s="495">
        <f t="shared" si="10"/>
        <v>0</v>
      </c>
      <c r="L97" s="495">
        <f t="shared" si="11"/>
        <v>100</v>
      </c>
      <c r="M97" s="495">
        <f t="shared" si="12"/>
        <v>0</v>
      </c>
      <c r="N97" s="498">
        <f t="shared" si="13"/>
        <v>100</v>
      </c>
      <c r="O97" s="494"/>
      <c r="P97" s="495">
        <v>50.72</v>
      </c>
      <c r="Q97" s="495"/>
      <c r="R97" s="496">
        <f t="shared" si="14"/>
        <v>50.72</v>
      </c>
      <c r="S97" s="486">
        <v>1</v>
      </c>
      <c r="T97" s="492"/>
      <c r="U97" s="486"/>
      <c r="V97" s="488" t="s">
        <v>994</v>
      </c>
      <c r="W97" s="486" t="s">
        <v>17</v>
      </c>
      <c r="X97" s="486" t="s">
        <v>18</v>
      </c>
      <c r="Y97" s="489">
        <v>50.7</v>
      </c>
      <c r="Z97" s="486"/>
      <c r="AA97" s="486"/>
      <c r="AB97" s="486"/>
      <c r="AC97" s="486"/>
      <c r="AD97" s="488"/>
      <c r="AE97" s="486"/>
      <c r="AF97" s="486"/>
      <c r="AG97" s="489"/>
      <c r="AH97" s="486"/>
      <c r="AI97" s="486"/>
      <c r="AJ97" s="486"/>
      <c r="AK97" s="486"/>
      <c r="AL97" s="488"/>
      <c r="AM97" s="486"/>
      <c r="AN97" s="486"/>
      <c r="AO97" s="489"/>
      <c r="AP97" s="488"/>
      <c r="AQ97" s="486"/>
      <c r="AR97" s="486"/>
      <c r="AS97" s="489"/>
      <c r="AT97" s="486"/>
      <c r="AU97" s="486"/>
      <c r="AV97" s="486"/>
      <c r="AW97" s="489"/>
      <c r="AX97" s="486"/>
      <c r="AY97" s="486"/>
      <c r="AZ97" s="486"/>
      <c r="BA97" s="490"/>
    </row>
    <row r="98" spans="1:53" s="16" customFormat="1">
      <c r="A98" s="486">
        <v>2012</v>
      </c>
      <c r="B98" s="500"/>
      <c r="C98" s="992" t="s">
        <v>1001</v>
      </c>
      <c r="D98" s="992"/>
      <c r="E98" s="486">
        <v>5</v>
      </c>
      <c r="F98" s="493"/>
      <c r="G98" s="497"/>
      <c r="H98" s="486">
        <v>9</v>
      </c>
      <c r="I98" s="486"/>
      <c r="J98" s="499">
        <v>9</v>
      </c>
      <c r="K98" s="495">
        <f t="shared" si="10"/>
        <v>0</v>
      </c>
      <c r="L98" s="495">
        <f t="shared" si="11"/>
        <v>100</v>
      </c>
      <c r="M98" s="495">
        <f t="shared" si="12"/>
        <v>0</v>
      </c>
      <c r="N98" s="498">
        <f t="shared" si="13"/>
        <v>100</v>
      </c>
      <c r="O98" s="494"/>
      <c r="P98" s="495">
        <v>50.72</v>
      </c>
      <c r="Q98" s="495"/>
      <c r="R98" s="496">
        <f t="shared" si="14"/>
        <v>50.72</v>
      </c>
      <c r="S98" s="486">
        <v>1</v>
      </c>
      <c r="T98" s="492"/>
      <c r="U98" s="486"/>
      <c r="V98" s="488" t="s">
        <v>994</v>
      </c>
      <c r="W98" s="486" t="s">
        <v>17</v>
      </c>
      <c r="X98" s="486" t="s">
        <v>18</v>
      </c>
      <c r="Y98" s="489">
        <v>50.7</v>
      </c>
      <c r="Z98" s="486"/>
      <c r="AA98" s="486"/>
      <c r="AB98" s="486"/>
      <c r="AC98" s="486"/>
      <c r="AD98" s="488"/>
      <c r="AE98" s="486"/>
      <c r="AF98" s="486"/>
      <c r="AG98" s="489"/>
      <c r="AH98" s="486"/>
      <c r="AI98" s="486"/>
      <c r="AJ98" s="486"/>
      <c r="AK98" s="486"/>
      <c r="AL98" s="488"/>
      <c r="AM98" s="486"/>
      <c r="AN98" s="486"/>
      <c r="AO98" s="489"/>
      <c r="AP98" s="488"/>
      <c r="AQ98" s="486"/>
      <c r="AR98" s="486"/>
      <c r="AS98" s="489"/>
      <c r="AT98" s="486"/>
      <c r="AU98" s="486"/>
      <c r="AV98" s="486"/>
      <c r="AW98" s="489"/>
      <c r="AX98" s="486"/>
      <c r="AY98" s="486"/>
      <c r="AZ98" s="486"/>
      <c r="BA98" s="490"/>
    </row>
    <row r="99" spans="1:53" s="16" customFormat="1">
      <c r="A99" s="486">
        <v>2012</v>
      </c>
      <c r="B99" s="500">
        <v>40914</v>
      </c>
      <c r="C99" s="992" t="s">
        <v>1001</v>
      </c>
      <c r="D99" s="992"/>
      <c r="E99" s="486">
        <v>361</v>
      </c>
      <c r="F99" s="493">
        <v>0</v>
      </c>
      <c r="G99" s="497"/>
      <c r="H99" s="486">
        <v>11</v>
      </c>
      <c r="I99" s="486"/>
      <c r="J99" s="499">
        <v>11</v>
      </c>
      <c r="K99" s="495">
        <f t="shared" si="10"/>
        <v>0</v>
      </c>
      <c r="L99" s="495">
        <f t="shared" si="11"/>
        <v>100</v>
      </c>
      <c r="M99" s="495">
        <f t="shared" si="12"/>
        <v>0</v>
      </c>
      <c r="N99" s="498">
        <f t="shared" si="13"/>
        <v>100</v>
      </c>
      <c r="O99" s="494"/>
      <c r="P99" s="495">
        <v>50.72</v>
      </c>
      <c r="Q99" s="495"/>
      <c r="R99" s="496">
        <f t="shared" si="14"/>
        <v>50.72</v>
      </c>
      <c r="S99" s="486">
        <v>1</v>
      </c>
      <c r="T99" s="492"/>
      <c r="U99" s="486"/>
      <c r="V99" s="488" t="s">
        <v>994</v>
      </c>
      <c r="W99" s="486" t="s">
        <v>17</v>
      </c>
      <c r="X99" s="486" t="s">
        <v>18</v>
      </c>
      <c r="Y99" s="489">
        <v>50.7</v>
      </c>
      <c r="Z99" s="486"/>
      <c r="AA99" s="486"/>
      <c r="AB99" s="486"/>
      <c r="AC99" s="486"/>
      <c r="AD99" s="488"/>
      <c r="AE99" s="486"/>
      <c r="AF99" s="486"/>
      <c r="AG99" s="489"/>
      <c r="AH99" s="486"/>
      <c r="AI99" s="486"/>
      <c r="AJ99" s="486"/>
      <c r="AK99" s="486"/>
      <c r="AL99" s="488"/>
      <c r="AM99" s="486"/>
      <c r="AN99" s="486"/>
      <c r="AO99" s="489"/>
      <c r="AP99" s="488"/>
      <c r="AQ99" s="486"/>
      <c r="AR99" s="486"/>
      <c r="AS99" s="489"/>
      <c r="AT99" s="486"/>
      <c r="AU99" s="486"/>
      <c r="AV99" s="486"/>
      <c r="AW99" s="489"/>
      <c r="AX99" s="486"/>
      <c r="AY99" s="486"/>
      <c r="AZ99" s="486"/>
      <c r="BA99" s="490"/>
    </row>
    <row r="100" spans="1:53" s="16" customFormat="1">
      <c r="A100" s="486">
        <v>2013</v>
      </c>
      <c r="B100" s="486"/>
      <c r="C100" s="992" t="s">
        <v>1001</v>
      </c>
      <c r="D100" s="992"/>
      <c r="E100" s="486">
        <v>71</v>
      </c>
      <c r="F100" s="486"/>
      <c r="G100" s="497"/>
      <c r="H100" s="486">
        <v>11</v>
      </c>
      <c r="I100" s="486"/>
      <c r="J100" s="499">
        <v>11</v>
      </c>
      <c r="K100" s="495">
        <f t="shared" si="10"/>
        <v>0</v>
      </c>
      <c r="L100" s="495">
        <f t="shared" si="11"/>
        <v>100</v>
      </c>
      <c r="M100" s="495">
        <f t="shared" si="12"/>
        <v>0</v>
      </c>
      <c r="N100" s="498">
        <f t="shared" si="13"/>
        <v>100</v>
      </c>
      <c r="O100" s="494"/>
      <c r="P100" s="495">
        <v>50.72</v>
      </c>
      <c r="Q100" s="495"/>
      <c r="R100" s="496">
        <f t="shared" si="14"/>
        <v>50.72</v>
      </c>
      <c r="S100" s="486">
        <v>1</v>
      </c>
      <c r="T100" s="492"/>
      <c r="U100" s="486"/>
      <c r="V100" s="488" t="s">
        <v>994</v>
      </c>
      <c r="W100" s="486" t="s">
        <v>17</v>
      </c>
      <c r="X100" s="486" t="s">
        <v>18</v>
      </c>
      <c r="Y100" s="489">
        <v>50.7</v>
      </c>
      <c r="Z100" s="486"/>
      <c r="AA100" s="486"/>
      <c r="AB100" s="486"/>
      <c r="AC100" s="486"/>
      <c r="AD100" s="488"/>
      <c r="AE100" s="486"/>
      <c r="AF100" s="486"/>
      <c r="AG100" s="489"/>
      <c r="AH100" s="486"/>
      <c r="AI100" s="486"/>
      <c r="AJ100" s="486"/>
      <c r="AK100" s="486"/>
      <c r="AL100" s="488"/>
      <c r="AM100" s="486"/>
      <c r="AN100" s="486"/>
      <c r="AO100" s="489"/>
      <c r="AP100" s="488"/>
      <c r="AQ100" s="486"/>
      <c r="AR100" s="486"/>
      <c r="AS100" s="489"/>
      <c r="AT100" s="486"/>
      <c r="AU100" s="486"/>
      <c r="AV100" s="486"/>
      <c r="AW100" s="489"/>
      <c r="AX100" s="486"/>
      <c r="AY100" s="486"/>
      <c r="AZ100" s="486"/>
      <c r="BA100" s="490"/>
    </row>
    <row r="101" spans="1:53" s="16" customFormat="1">
      <c r="A101" s="470">
        <v>2013</v>
      </c>
      <c r="B101" s="475">
        <v>41346</v>
      </c>
      <c r="C101" s="988" t="s">
        <v>1268</v>
      </c>
      <c r="D101" s="988"/>
      <c r="E101" s="470">
        <f>365-E100</f>
        <v>294</v>
      </c>
      <c r="F101" s="470">
        <v>1</v>
      </c>
      <c r="G101" s="480"/>
      <c r="H101" s="470"/>
      <c r="I101" s="470">
        <v>15</v>
      </c>
      <c r="J101" s="482">
        <v>15</v>
      </c>
      <c r="K101" s="477">
        <f t="shared" si="10"/>
        <v>0</v>
      </c>
      <c r="L101" s="477">
        <f t="shared" si="11"/>
        <v>0</v>
      </c>
      <c r="M101" s="477">
        <f t="shared" si="12"/>
        <v>100</v>
      </c>
      <c r="N101" s="481">
        <f t="shared" si="13"/>
        <v>100</v>
      </c>
      <c r="O101" s="476"/>
      <c r="P101" s="477"/>
      <c r="Q101" s="477">
        <v>56.5</v>
      </c>
      <c r="R101" s="478">
        <f t="shared" si="14"/>
        <v>56.5</v>
      </c>
      <c r="S101" s="470">
        <v>1</v>
      </c>
      <c r="T101" s="479">
        <v>41341</v>
      </c>
      <c r="U101" s="475">
        <v>41346</v>
      </c>
      <c r="V101" s="472" t="s">
        <v>997</v>
      </c>
      <c r="W101" s="470" t="s">
        <v>20</v>
      </c>
      <c r="X101" s="470" t="s">
        <v>12</v>
      </c>
      <c r="Y101" s="473">
        <v>56.5</v>
      </c>
      <c r="Z101" s="470"/>
      <c r="AA101" s="470"/>
      <c r="AB101" s="470"/>
      <c r="AC101" s="470"/>
      <c r="AD101" s="472"/>
      <c r="AE101" s="470"/>
      <c r="AF101" s="470"/>
      <c r="AG101" s="473"/>
      <c r="AH101" s="470"/>
      <c r="AI101" s="470"/>
      <c r="AJ101" s="470"/>
      <c r="AK101" s="470"/>
      <c r="AL101" s="472"/>
      <c r="AM101" s="470"/>
      <c r="AN101" s="470"/>
      <c r="AO101" s="473"/>
      <c r="AP101" s="472"/>
      <c r="AQ101" s="470"/>
      <c r="AR101" s="470"/>
      <c r="AS101" s="473"/>
      <c r="AT101" s="470"/>
      <c r="AU101" s="470"/>
      <c r="AV101" s="470"/>
      <c r="AW101" s="473"/>
      <c r="AX101" s="470"/>
      <c r="AY101" s="470"/>
      <c r="AZ101" s="470"/>
      <c r="BA101" s="474"/>
    </row>
    <row r="102" spans="1:53" s="16" customFormat="1">
      <c r="A102" s="650">
        <v>2014</v>
      </c>
      <c r="B102" s="647"/>
      <c r="C102" s="988" t="s">
        <v>1268</v>
      </c>
      <c r="D102" s="988"/>
      <c r="E102" s="650">
        <v>0</v>
      </c>
      <c r="F102" s="650"/>
      <c r="G102" s="596"/>
      <c r="H102" s="650"/>
      <c r="I102" s="650">
        <v>15</v>
      </c>
      <c r="J102" s="598">
        <v>15</v>
      </c>
      <c r="K102" s="593">
        <f>G102/J102*100</f>
        <v>0</v>
      </c>
      <c r="L102" s="593">
        <f>H102/J102*100</f>
        <v>0</v>
      </c>
      <c r="M102" s="593">
        <f>I102/J102*100</f>
        <v>100</v>
      </c>
      <c r="N102" s="597">
        <f>K102+L102+M102</f>
        <v>100</v>
      </c>
      <c r="O102" s="592"/>
      <c r="P102" s="593"/>
      <c r="Q102" s="593">
        <v>56.5</v>
      </c>
      <c r="R102" s="594">
        <f t="shared" si="14"/>
        <v>56.5</v>
      </c>
      <c r="S102" s="650">
        <v>1</v>
      </c>
      <c r="T102" s="595"/>
      <c r="U102" s="647"/>
      <c r="V102" s="588" t="s">
        <v>997</v>
      </c>
      <c r="W102" s="650" t="s">
        <v>20</v>
      </c>
      <c r="X102" s="650" t="s">
        <v>12</v>
      </c>
      <c r="Y102" s="589">
        <v>56.5</v>
      </c>
      <c r="Z102" s="650"/>
      <c r="AA102" s="650"/>
      <c r="AB102" s="650"/>
      <c r="AC102" s="650"/>
      <c r="AD102" s="588"/>
      <c r="AE102" s="650"/>
      <c r="AF102" s="650"/>
      <c r="AG102" s="589"/>
      <c r="AH102" s="650"/>
      <c r="AI102" s="650"/>
      <c r="AJ102" s="650"/>
      <c r="AK102" s="650"/>
      <c r="AL102" s="588"/>
      <c r="AM102" s="650"/>
      <c r="AN102" s="650"/>
      <c r="AO102" s="589"/>
      <c r="AP102" s="588"/>
      <c r="AQ102" s="650"/>
      <c r="AR102" s="650"/>
      <c r="AS102" s="589"/>
      <c r="AT102" s="650"/>
      <c r="AU102" s="650"/>
      <c r="AV102" s="650"/>
      <c r="AW102" s="589"/>
      <c r="AX102" s="650"/>
      <c r="AY102" s="650"/>
      <c r="AZ102" s="650"/>
      <c r="BA102" s="590"/>
    </row>
    <row r="103" spans="1:53" s="16" customFormat="1">
      <c r="A103" s="650">
        <v>2014</v>
      </c>
      <c r="B103" s="599"/>
      <c r="C103" s="988" t="s">
        <v>1268</v>
      </c>
      <c r="D103" s="988"/>
      <c r="E103" s="650">
        <v>365</v>
      </c>
      <c r="F103" s="600"/>
      <c r="G103" s="596"/>
      <c r="H103" s="650"/>
      <c r="I103" s="650">
        <v>15</v>
      </c>
      <c r="J103" s="598">
        <v>15</v>
      </c>
      <c r="K103" s="593">
        <f>G103/J103*100</f>
        <v>0</v>
      </c>
      <c r="L103" s="593">
        <f>H103/J103*100</f>
        <v>0</v>
      </c>
      <c r="M103" s="593">
        <f>I103/J103*100</f>
        <v>100</v>
      </c>
      <c r="N103" s="597">
        <f>K103+L103+M103</f>
        <v>100</v>
      </c>
      <c r="O103" s="592"/>
      <c r="P103" s="593"/>
      <c r="Q103" s="593">
        <v>56.5</v>
      </c>
      <c r="R103" s="594">
        <f t="shared" si="14"/>
        <v>56.5</v>
      </c>
      <c r="S103" s="650">
        <v>1</v>
      </c>
      <c r="T103" s="575"/>
      <c r="U103" s="650"/>
      <c r="V103" s="588" t="s">
        <v>997</v>
      </c>
      <c r="W103" s="650" t="s">
        <v>20</v>
      </c>
      <c r="X103" s="650" t="s">
        <v>12</v>
      </c>
      <c r="Y103" s="589">
        <v>56.5</v>
      </c>
      <c r="Z103" s="650"/>
      <c r="AA103" s="650"/>
      <c r="AB103" s="650"/>
      <c r="AC103" s="650"/>
      <c r="AD103" s="588"/>
      <c r="AE103" s="650"/>
      <c r="AF103" s="650"/>
      <c r="AG103" s="589"/>
      <c r="AH103" s="650"/>
      <c r="AI103" s="650"/>
      <c r="AJ103" s="650"/>
      <c r="AK103" s="650"/>
      <c r="AL103" s="588"/>
      <c r="AM103" s="650"/>
      <c r="AN103" s="650"/>
      <c r="AO103" s="589"/>
      <c r="AP103" s="588"/>
      <c r="AQ103" s="650"/>
      <c r="AR103" s="650"/>
      <c r="AS103" s="589"/>
      <c r="AT103" s="650"/>
      <c r="AU103" s="650"/>
      <c r="AV103" s="650"/>
      <c r="AW103" s="589"/>
      <c r="AX103" s="650"/>
      <c r="AY103" s="650"/>
      <c r="AZ103" s="650"/>
      <c r="BA103" s="590"/>
    </row>
    <row r="104" spans="1:53" s="16" customFormat="1">
      <c r="A104" s="734">
        <v>2015</v>
      </c>
      <c r="B104" s="599"/>
      <c r="C104" s="988" t="s">
        <v>1268</v>
      </c>
      <c r="D104" s="988"/>
      <c r="E104" s="734">
        <v>0</v>
      </c>
      <c r="F104" s="600"/>
      <c r="G104" s="596"/>
      <c r="H104" s="734"/>
      <c r="I104" s="734">
        <v>15</v>
      </c>
      <c r="J104" s="598">
        <v>15</v>
      </c>
      <c r="K104" s="593">
        <f t="shared" ref="K104:K107" si="15">G104/J104*100</f>
        <v>0</v>
      </c>
      <c r="L104" s="593">
        <f t="shared" ref="L104:L107" si="16">H104/J104*100</f>
        <v>0</v>
      </c>
      <c r="M104" s="593">
        <f>I104/J104*100</f>
        <v>100</v>
      </c>
      <c r="N104" s="597">
        <f t="shared" ref="N104:N107" si="17">K104+L104+M104</f>
        <v>100</v>
      </c>
      <c r="O104" s="592"/>
      <c r="P104" s="593"/>
      <c r="Q104" s="593">
        <v>56.5</v>
      </c>
      <c r="R104" s="594">
        <f t="shared" ref="R104:R105" si="18">O104+P104+Q104</f>
        <v>56.5</v>
      </c>
      <c r="S104" s="734">
        <v>1</v>
      </c>
      <c r="T104" s="575"/>
      <c r="U104" s="734"/>
      <c r="V104" s="588" t="s">
        <v>997</v>
      </c>
      <c r="W104" s="734" t="s">
        <v>20</v>
      </c>
      <c r="X104" s="734" t="s">
        <v>12</v>
      </c>
      <c r="Y104" s="589">
        <v>56.5</v>
      </c>
      <c r="Z104" s="734"/>
      <c r="AA104" s="734"/>
      <c r="AB104" s="734"/>
      <c r="AC104" s="734"/>
      <c r="AD104" s="588"/>
      <c r="AE104" s="734"/>
      <c r="AF104" s="734"/>
      <c r="AG104" s="589"/>
      <c r="AH104" s="734"/>
      <c r="AI104" s="734"/>
      <c r="AJ104" s="734"/>
      <c r="AK104" s="734"/>
      <c r="AL104" s="588"/>
      <c r="AM104" s="734"/>
      <c r="AN104" s="734"/>
      <c r="AO104" s="589"/>
      <c r="AP104" s="588"/>
      <c r="AQ104" s="734"/>
      <c r="AR104" s="734"/>
      <c r="AS104" s="589"/>
      <c r="AT104" s="734"/>
      <c r="AU104" s="734"/>
      <c r="AV104" s="734"/>
      <c r="AW104" s="589"/>
      <c r="AX104" s="734"/>
      <c r="AY104" s="734"/>
      <c r="AZ104" s="734"/>
      <c r="BA104" s="590"/>
    </row>
    <row r="105" spans="1:53" s="16" customFormat="1">
      <c r="A105" s="734">
        <v>2015</v>
      </c>
      <c r="B105" s="599"/>
      <c r="C105" s="988" t="s">
        <v>1268</v>
      </c>
      <c r="D105" s="988"/>
      <c r="E105" s="734">
        <v>365</v>
      </c>
      <c r="F105" s="600"/>
      <c r="G105" s="596"/>
      <c r="H105" s="734"/>
      <c r="I105" s="734">
        <v>15</v>
      </c>
      <c r="J105" s="598">
        <v>15</v>
      </c>
      <c r="K105" s="593">
        <f t="shared" si="15"/>
        <v>0</v>
      </c>
      <c r="L105" s="593">
        <f t="shared" si="16"/>
        <v>0</v>
      </c>
      <c r="M105" s="593">
        <f t="shared" ref="M105:M107" si="19">I105/J105*100</f>
        <v>100</v>
      </c>
      <c r="N105" s="597">
        <f t="shared" si="17"/>
        <v>100</v>
      </c>
      <c r="O105" s="592"/>
      <c r="P105" s="593"/>
      <c r="Q105" s="593">
        <v>56.5</v>
      </c>
      <c r="R105" s="594">
        <f t="shared" si="18"/>
        <v>56.5</v>
      </c>
      <c r="S105" s="734">
        <v>1</v>
      </c>
      <c r="T105" s="575"/>
      <c r="U105" s="734"/>
      <c r="V105" s="588" t="s">
        <v>997</v>
      </c>
      <c r="W105" s="734" t="s">
        <v>20</v>
      </c>
      <c r="X105" s="734" t="s">
        <v>12</v>
      </c>
      <c r="Y105" s="589">
        <v>56.5</v>
      </c>
      <c r="Z105" s="734"/>
      <c r="AA105" s="734"/>
      <c r="AB105" s="734"/>
      <c r="AC105" s="734"/>
      <c r="AD105" s="588"/>
      <c r="AE105" s="734"/>
      <c r="AF105" s="734"/>
      <c r="AG105" s="589"/>
      <c r="AH105" s="734"/>
      <c r="AI105" s="734"/>
      <c r="AJ105" s="734"/>
      <c r="AK105" s="734"/>
      <c r="AL105" s="588"/>
      <c r="AM105" s="734"/>
      <c r="AN105" s="734"/>
      <c r="AO105" s="589"/>
      <c r="AP105" s="588"/>
      <c r="AQ105" s="734"/>
      <c r="AR105" s="734"/>
      <c r="AS105" s="589"/>
      <c r="AT105" s="734"/>
      <c r="AU105" s="734"/>
      <c r="AV105" s="734"/>
      <c r="AW105" s="589"/>
      <c r="AX105" s="734"/>
      <c r="AY105" s="734"/>
      <c r="AZ105" s="734"/>
      <c r="BA105" s="590"/>
    </row>
    <row r="106" spans="1:53" s="16" customFormat="1">
      <c r="A106" s="840">
        <v>2016</v>
      </c>
      <c r="B106" s="599"/>
      <c r="C106" s="988" t="s">
        <v>1268</v>
      </c>
      <c r="D106" s="988"/>
      <c r="E106" s="840">
        <v>118</v>
      </c>
      <c r="F106" s="600"/>
      <c r="G106" s="596"/>
      <c r="H106" s="840"/>
      <c r="I106" s="840">
        <v>15</v>
      </c>
      <c r="J106" s="598">
        <v>15</v>
      </c>
      <c r="K106" s="593">
        <f t="shared" si="15"/>
        <v>0</v>
      </c>
      <c r="L106" s="593">
        <f t="shared" si="16"/>
        <v>0</v>
      </c>
      <c r="M106" s="593">
        <f t="shared" si="19"/>
        <v>100</v>
      </c>
      <c r="N106" s="597">
        <f t="shared" si="17"/>
        <v>100</v>
      </c>
      <c r="O106" s="592"/>
      <c r="P106" s="593"/>
      <c r="Q106" s="593">
        <v>56.5</v>
      </c>
      <c r="R106" s="594">
        <f t="shared" ref="R106:R107" si="20">O106+P106+Q106</f>
        <v>56.5</v>
      </c>
      <c r="S106" s="840">
        <v>1</v>
      </c>
      <c r="T106" s="575"/>
      <c r="U106" s="840"/>
      <c r="V106" s="588" t="s">
        <v>997</v>
      </c>
      <c r="W106" s="840" t="s">
        <v>20</v>
      </c>
      <c r="X106" s="840" t="s">
        <v>12</v>
      </c>
      <c r="Y106" s="589">
        <v>56.5</v>
      </c>
      <c r="Z106" s="840"/>
      <c r="AA106" s="840"/>
      <c r="AB106" s="840"/>
      <c r="AC106" s="840"/>
      <c r="AD106" s="588"/>
      <c r="AE106" s="840"/>
      <c r="AF106" s="840"/>
      <c r="AG106" s="589"/>
      <c r="AH106" s="840"/>
      <c r="AI106" s="840"/>
      <c r="AJ106" s="840"/>
      <c r="AK106" s="840"/>
      <c r="AL106" s="588"/>
      <c r="AM106" s="840"/>
      <c r="AN106" s="840"/>
      <c r="AO106" s="589"/>
      <c r="AP106" s="588"/>
      <c r="AQ106" s="840"/>
      <c r="AR106" s="840"/>
      <c r="AS106" s="589"/>
      <c r="AT106" s="840"/>
      <c r="AU106" s="840"/>
      <c r="AV106" s="840"/>
      <c r="AW106" s="589"/>
      <c r="AX106" s="840"/>
      <c r="AY106" s="840"/>
      <c r="AZ106" s="840"/>
      <c r="BA106" s="590"/>
    </row>
    <row r="107" spans="1:53" s="16" customFormat="1">
      <c r="A107" s="840">
        <v>2016</v>
      </c>
      <c r="B107" s="599">
        <v>42488</v>
      </c>
      <c r="C107" s="988" t="s">
        <v>1268</v>
      </c>
      <c r="D107" s="988"/>
      <c r="E107" s="840">
        <v>248</v>
      </c>
      <c r="F107" s="600">
        <v>0</v>
      </c>
      <c r="G107" s="596"/>
      <c r="H107" s="840"/>
      <c r="I107" s="840">
        <v>17</v>
      </c>
      <c r="J107" s="598">
        <v>17</v>
      </c>
      <c r="K107" s="593">
        <f t="shared" si="15"/>
        <v>0</v>
      </c>
      <c r="L107" s="593">
        <f t="shared" si="16"/>
        <v>0</v>
      </c>
      <c r="M107" s="593">
        <f t="shared" si="19"/>
        <v>100</v>
      </c>
      <c r="N107" s="597">
        <f t="shared" si="17"/>
        <v>100</v>
      </c>
      <c r="O107" s="592"/>
      <c r="P107" s="593"/>
      <c r="Q107" s="593">
        <v>56.5</v>
      </c>
      <c r="R107" s="594">
        <f t="shared" si="20"/>
        <v>56.5</v>
      </c>
      <c r="S107" s="840">
        <v>1</v>
      </c>
      <c r="T107" s="575"/>
      <c r="U107" s="840"/>
      <c r="V107" s="588" t="s">
        <v>997</v>
      </c>
      <c r="W107" s="840" t="s">
        <v>20</v>
      </c>
      <c r="X107" s="840" t="s">
        <v>12</v>
      </c>
      <c r="Y107" s="589">
        <v>56.5</v>
      </c>
      <c r="Z107" s="840"/>
      <c r="AA107" s="840"/>
      <c r="AB107" s="840"/>
      <c r="AC107" s="840"/>
      <c r="AD107" s="588"/>
      <c r="AE107" s="840"/>
      <c r="AF107" s="840"/>
      <c r="AG107" s="589"/>
      <c r="AH107" s="840"/>
      <c r="AI107" s="840"/>
      <c r="AJ107" s="840"/>
      <c r="AK107" s="840"/>
      <c r="AL107" s="588"/>
      <c r="AM107" s="840"/>
      <c r="AN107" s="840"/>
      <c r="AO107" s="589"/>
      <c r="AP107" s="588"/>
      <c r="AQ107" s="840"/>
      <c r="AR107" s="840"/>
      <c r="AS107" s="589"/>
      <c r="AT107" s="840"/>
      <c r="AU107" s="840"/>
      <c r="AV107" s="840"/>
      <c r="AW107" s="589"/>
      <c r="AX107" s="840"/>
      <c r="AY107" s="840"/>
      <c r="AZ107" s="840"/>
      <c r="BA107" s="590"/>
    </row>
    <row r="108" spans="1:53" s="16" customFormat="1">
      <c r="A108" s="896">
        <v>2017</v>
      </c>
      <c r="B108" s="599"/>
      <c r="C108" s="988" t="s">
        <v>1268</v>
      </c>
      <c r="D108" s="988"/>
      <c r="E108" s="896">
        <v>159</v>
      </c>
      <c r="F108" s="600"/>
      <c r="G108" s="596"/>
      <c r="H108" s="896"/>
      <c r="I108" s="896">
        <v>17</v>
      </c>
      <c r="J108" s="598">
        <v>17</v>
      </c>
      <c r="K108" s="593">
        <f t="shared" ref="K108:K109" si="21">G108/J108*100</f>
        <v>0</v>
      </c>
      <c r="L108" s="593">
        <f t="shared" ref="L108:L109" si="22">H108/J108*100</f>
        <v>0</v>
      </c>
      <c r="M108" s="593">
        <f t="shared" ref="M108:M109" si="23">I108/J108*100</f>
        <v>100</v>
      </c>
      <c r="N108" s="597">
        <f t="shared" ref="N108:N109" si="24">K108+L108+M108</f>
        <v>100</v>
      </c>
      <c r="O108" s="592"/>
      <c r="P108" s="593"/>
      <c r="Q108" s="593">
        <v>56.5</v>
      </c>
      <c r="R108" s="594">
        <f t="shared" ref="R108:R109" si="25">O108+P108+Q108</f>
        <v>56.5</v>
      </c>
      <c r="S108" s="896">
        <v>1</v>
      </c>
      <c r="T108" s="575"/>
      <c r="U108" s="896"/>
      <c r="V108" s="588" t="s">
        <v>997</v>
      </c>
      <c r="W108" s="896" t="s">
        <v>20</v>
      </c>
      <c r="X108" s="896" t="s">
        <v>12</v>
      </c>
      <c r="Y108" s="589">
        <v>56.5</v>
      </c>
      <c r="Z108" s="896"/>
      <c r="AA108" s="896"/>
      <c r="AB108" s="896"/>
      <c r="AC108" s="896"/>
      <c r="AD108" s="588"/>
      <c r="AE108" s="896"/>
      <c r="AF108" s="896"/>
      <c r="AG108" s="589"/>
      <c r="AH108" s="896"/>
      <c r="AI108" s="896"/>
      <c r="AJ108" s="896"/>
      <c r="AK108" s="896"/>
      <c r="AL108" s="588"/>
      <c r="AM108" s="896"/>
      <c r="AN108" s="896"/>
      <c r="AO108" s="589"/>
      <c r="AP108" s="588"/>
      <c r="AQ108" s="896"/>
      <c r="AR108" s="896"/>
      <c r="AS108" s="589"/>
      <c r="AT108" s="896"/>
      <c r="AU108" s="896"/>
      <c r="AV108" s="896"/>
      <c r="AW108" s="589"/>
      <c r="AX108" s="896"/>
      <c r="AY108" s="896"/>
      <c r="AZ108" s="896"/>
      <c r="BA108" s="590"/>
    </row>
    <row r="109" spans="1:53" s="895" customFormat="1">
      <c r="A109" s="895">
        <v>2017</v>
      </c>
      <c r="B109" s="893">
        <v>42895</v>
      </c>
      <c r="C109" s="992" t="s">
        <v>1393</v>
      </c>
      <c r="D109" s="992"/>
      <c r="E109" s="895">
        <v>206</v>
      </c>
      <c r="F109" s="895">
        <v>1</v>
      </c>
      <c r="G109" s="642"/>
      <c r="I109" s="895">
        <v>15</v>
      </c>
      <c r="J109" s="644">
        <v>15</v>
      </c>
      <c r="K109" s="640">
        <f t="shared" si="21"/>
        <v>0</v>
      </c>
      <c r="L109" s="640">
        <f t="shared" si="22"/>
        <v>0</v>
      </c>
      <c r="M109" s="640">
        <f t="shared" si="23"/>
        <v>100</v>
      </c>
      <c r="N109" s="643">
        <f t="shared" si="24"/>
        <v>100</v>
      </c>
      <c r="O109" s="639"/>
      <c r="P109" s="640"/>
      <c r="Q109" s="640">
        <v>55.2</v>
      </c>
      <c r="R109" s="641">
        <f t="shared" si="25"/>
        <v>55.2</v>
      </c>
      <c r="S109" s="895">
        <v>1</v>
      </c>
      <c r="T109" s="487">
        <v>42889</v>
      </c>
      <c r="U109" s="893">
        <v>42895</v>
      </c>
      <c r="V109" s="634" t="s">
        <v>997</v>
      </c>
      <c r="W109" s="895" t="s">
        <v>20</v>
      </c>
      <c r="X109" s="895" t="s">
        <v>12</v>
      </c>
      <c r="Y109" s="635">
        <v>55.2</v>
      </c>
      <c r="AD109" s="634"/>
      <c r="AG109" s="635"/>
      <c r="AL109" s="634"/>
      <c r="AO109" s="635"/>
      <c r="AP109" s="634"/>
      <c r="AS109" s="635"/>
      <c r="AW109" s="635"/>
      <c r="BA109" s="636"/>
    </row>
    <row r="110" spans="1:53" s="945" customFormat="1">
      <c r="A110" s="945">
        <v>2018</v>
      </c>
      <c r="B110" s="944"/>
      <c r="C110" s="992" t="s">
        <v>1393</v>
      </c>
      <c r="D110" s="992"/>
      <c r="E110" s="945">
        <v>0</v>
      </c>
      <c r="G110" s="642"/>
      <c r="I110" s="945">
        <v>15</v>
      </c>
      <c r="J110" s="644">
        <v>15</v>
      </c>
      <c r="K110" s="640">
        <f t="shared" ref="K110:K111" si="26">G110/J110*100</f>
        <v>0</v>
      </c>
      <c r="L110" s="640">
        <f t="shared" ref="L110:L111" si="27">H110/J110*100</f>
        <v>0</v>
      </c>
      <c r="M110" s="640">
        <f t="shared" ref="M110:M111" si="28">I110/J110*100</f>
        <v>100</v>
      </c>
      <c r="N110" s="643">
        <f t="shared" ref="N110:N111" si="29">K110+L110+M110</f>
        <v>100</v>
      </c>
      <c r="O110" s="639"/>
      <c r="P110" s="640"/>
      <c r="Q110" s="640">
        <v>55.2</v>
      </c>
      <c r="R110" s="641">
        <f t="shared" ref="R110:R111" si="30">O110+P110+Q110</f>
        <v>55.2</v>
      </c>
      <c r="S110" s="945">
        <v>1</v>
      </c>
      <c r="T110" s="487"/>
      <c r="U110" s="944"/>
      <c r="V110" s="634" t="s">
        <v>997</v>
      </c>
      <c r="W110" s="945" t="s">
        <v>20</v>
      </c>
      <c r="X110" s="945" t="s">
        <v>12</v>
      </c>
      <c r="Y110" s="635">
        <v>55.2</v>
      </c>
      <c r="AD110" s="634"/>
      <c r="AG110" s="635"/>
      <c r="AL110" s="634"/>
      <c r="AO110" s="635"/>
      <c r="AP110" s="634"/>
      <c r="AS110" s="635"/>
      <c r="AW110" s="635"/>
      <c r="BA110" s="636"/>
    </row>
    <row r="111" spans="1:53" s="945" customFormat="1">
      <c r="A111" s="945">
        <v>2018</v>
      </c>
      <c r="B111" s="944"/>
      <c r="C111" s="992" t="s">
        <v>1393</v>
      </c>
      <c r="D111" s="992"/>
      <c r="E111" s="945">
        <v>365</v>
      </c>
      <c r="G111" s="642"/>
      <c r="I111" s="945">
        <v>15</v>
      </c>
      <c r="J111" s="644">
        <v>15</v>
      </c>
      <c r="K111" s="640">
        <f t="shared" si="26"/>
        <v>0</v>
      </c>
      <c r="L111" s="640">
        <f t="shared" si="27"/>
        <v>0</v>
      </c>
      <c r="M111" s="640">
        <f t="shared" si="28"/>
        <v>100</v>
      </c>
      <c r="N111" s="643">
        <f t="shared" si="29"/>
        <v>100</v>
      </c>
      <c r="O111" s="639"/>
      <c r="P111" s="640"/>
      <c r="Q111" s="640">
        <v>55.2</v>
      </c>
      <c r="R111" s="641">
        <f t="shared" si="30"/>
        <v>55.2</v>
      </c>
      <c r="S111" s="945">
        <v>1</v>
      </c>
      <c r="T111" s="487"/>
      <c r="U111" s="944"/>
      <c r="V111" s="634" t="s">
        <v>997</v>
      </c>
      <c r="W111" s="945" t="s">
        <v>20</v>
      </c>
      <c r="X111" s="945" t="s">
        <v>12</v>
      </c>
      <c r="Y111" s="635">
        <v>55.2</v>
      </c>
      <c r="AD111" s="634"/>
      <c r="AG111" s="635"/>
      <c r="AL111" s="634"/>
      <c r="AO111" s="635"/>
      <c r="AP111" s="634"/>
      <c r="AS111" s="635"/>
      <c r="AW111" s="635"/>
      <c r="BA111" s="636"/>
    </row>
    <row r="112" spans="1:53" s="2" customFormat="1"/>
    <row r="113" spans="1:53">
      <c r="B113" s="2"/>
      <c r="C113" s="2"/>
      <c r="D113" s="2"/>
      <c r="E113" s="2"/>
      <c r="F113" s="2"/>
      <c r="G113" s="2"/>
      <c r="H113" s="2"/>
      <c r="I113" s="2"/>
      <c r="J113" s="2"/>
      <c r="K113" s="2"/>
      <c r="L113" s="2"/>
      <c r="M113" s="2"/>
      <c r="N113" s="2"/>
    </row>
    <row r="114" spans="1:53" s="2" customFormat="1" ht="18" customHeight="1">
      <c r="B114" s="22" t="s">
        <v>1278</v>
      </c>
    </row>
    <row r="115" spans="1:53" s="2" customFormat="1" ht="9" customHeight="1"/>
    <row r="116" spans="1:53" s="364" customFormat="1" ht="9" customHeight="1">
      <c r="A116" s="362"/>
      <c r="B116" s="363" t="s">
        <v>1229</v>
      </c>
      <c r="C116" s="363"/>
      <c r="D116" s="363"/>
      <c r="E116" s="363"/>
      <c r="F116" s="363"/>
      <c r="G116" s="363" t="s">
        <v>1230</v>
      </c>
      <c r="H116" s="363"/>
      <c r="I116" s="363"/>
      <c r="J116" s="363"/>
      <c r="K116" s="363"/>
      <c r="L116" s="363"/>
      <c r="M116" s="363"/>
      <c r="N116" s="363"/>
      <c r="R116" s="982" t="s">
        <v>1231</v>
      </c>
      <c r="S116" s="982"/>
      <c r="T116" s="982"/>
      <c r="U116" s="982"/>
      <c r="V116" s="982"/>
      <c r="W116" s="982"/>
      <c r="X116" s="365"/>
      <c r="Y116" s="365"/>
      <c r="AA116" s="365"/>
      <c r="AB116" s="365"/>
      <c r="AC116" s="365"/>
      <c r="AD116" s="365"/>
    </row>
    <row r="117" spans="1:53" s="369" customFormat="1" ht="9" customHeight="1">
      <c r="A117" s="366"/>
      <c r="B117" s="367" t="s">
        <v>1233</v>
      </c>
      <c r="C117" s="368"/>
      <c r="D117" s="368"/>
      <c r="E117" s="368"/>
      <c r="F117" s="368"/>
      <c r="G117" s="367" t="s">
        <v>1232</v>
      </c>
      <c r="H117" s="368"/>
      <c r="I117" s="368"/>
      <c r="J117" s="368"/>
      <c r="K117" s="368"/>
      <c r="L117" s="368"/>
      <c r="M117" s="368"/>
      <c r="N117" s="368"/>
      <c r="R117" s="370" t="s">
        <v>1234</v>
      </c>
      <c r="S117" s="371"/>
      <c r="T117" s="372"/>
      <c r="U117" s="372"/>
      <c r="V117" s="372"/>
      <c r="W117" s="370" t="s">
        <v>1235</v>
      </c>
      <c r="X117" s="372"/>
      <c r="Y117" s="372"/>
      <c r="AA117" s="372"/>
      <c r="AB117" s="372"/>
      <c r="AC117" s="372"/>
      <c r="AD117" s="372"/>
    </row>
    <row r="118" spans="1:53" s="351" customFormat="1" ht="12" customHeight="1">
      <c r="A118" s="373" t="s">
        <v>3</v>
      </c>
      <c r="B118" s="374" t="s">
        <v>8</v>
      </c>
      <c r="C118" s="374" t="s">
        <v>9</v>
      </c>
      <c r="D118" s="374" t="s">
        <v>10</v>
      </c>
      <c r="E118" s="375" t="s">
        <v>1209</v>
      </c>
      <c r="F118" s="374"/>
      <c r="G118" s="351" t="s">
        <v>3</v>
      </c>
      <c r="H118" s="983" t="s">
        <v>0</v>
      </c>
      <c r="I118" s="983"/>
      <c r="J118" s="983" t="s">
        <v>1</v>
      </c>
      <c r="K118" s="983"/>
      <c r="L118" s="983" t="s">
        <v>2</v>
      </c>
      <c r="M118" s="983"/>
      <c r="N118" s="984" t="s">
        <v>1209</v>
      </c>
      <c r="O118" s="984"/>
      <c r="P118" s="376"/>
      <c r="Q118" s="376"/>
      <c r="R118" s="377" t="s">
        <v>3</v>
      </c>
      <c r="S118" s="378" t="s">
        <v>136</v>
      </c>
      <c r="T118" s="376" t="s">
        <v>134</v>
      </c>
      <c r="U118" s="374" t="s">
        <v>135</v>
      </c>
      <c r="V118" s="376"/>
      <c r="W118" s="379" t="s">
        <v>26</v>
      </c>
    </row>
    <row r="119" spans="1:53" ht="9" customHeight="1">
      <c r="A119" s="1">
        <v>1966</v>
      </c>
      <c r="B119" s="469">
        <f>(K7*($E7/275))</f>
        <v>0</v>
      </c>
      <c r="C119" s="469">
        <f>(L7*($E7/275))</f>
        <v>100</v>
      </c>
      <c r="D119" s="469">
        <f>(M7*($E7/275))</f>
        <v>0</v>
      </c>
      <c r="E119" s="504">
        <f t="shared" ref="E119:E166" si="31">SUM(B119:D119)</f>
        <v>100</v>
      </c>
      <c r="F119" s="505"/>
      <c r="G119" s="1">
        <v>1966</v>
      </c>
      <c r="H119" s="989">
        <f>(O7/$R7*100*($E7/275))</f>
        <v>0</v>
      </c>
      <c r="I119" s="989"/>
      <c r="J119" s="989">
        <f>(P7/$R7*100*($E7/275))</f>
        <v>100</v>
      </c>
      <c r="K119" s="989"/>
      <c r="L119" s="989">
        <f>(Q7/$R7*100*($E7/275))</f>
        <v>0</v>
      </c>
      <c r="M119" s="989"/>
      <c r="N119" s="1011">
        <f t="shared" ref="N119:N142" si="32">SUM(H119:M119)</f>
        <v>100</v>
      </c>
      <c r="O119" s="1011"/>
      <c r="P119" s="505"/>
      <c r="Q119" s="505"/>
      <c r="R119" s="1">
        <v>1966</v>
      </c>
      <c r="S119" s="8">
        <f>(O7*($E7/275))</f>
        <v>0</v>
      </c>
      <c r="T119" s="8">
        <f>(P7*($E7/275))</f>
        <v>56</v>
      </c>
      <c r="U119" s="8">
        <f>(Q7*($E7/275))</f>
        <v>0</v>
      </c>
      <c r="V119" s="7"/>
      <c r="W119" s="7">
        <f t="shared" ref="W119:W145" si="33">SUM(S119:U119)</f>
        <v>56</v>
      </c>
      <c r="X119" s="505"/>
      <c r="Y119" s="71" t="s">
        <v>1290</v>
      </c>
      <c r="Z119" s="505"/>
      <c r="AA119" s="505"/>
      <c r="AB119" s="505"/>
      <c r="AC119" s="505"/>
      <c r="AD119" s="505"/>
      <c r="AE119" s="505"/>
      <c r="AF119" s="505"/>
      <c r="AG119" s="505"/>
      <c r="AH119" s="505"/>
      <c r="AI119" s="505"/>
      <c r="AJ119" s="505"/>
      <c r="AK119" s="505"/>
      <c r="AL119" s="505"/>
      <c r="AM119" s="505"/>
      <c r="AN119" s="505"/>
      <c r="AO119" s="505"/>
      <c r="AP119" s="505"/>
      <c r="AQ119" s="505"/>
      <c r="AR119" s="505"/>
      <c r="AS119" s="505"/>
      <c r="AT119" s="505"/>
      <c r="AU119" s="505"/>
      <c r="AV119" s="505"/>
      <c r="AW119" s="505"/>
      <c r="AX119" s="505"/>
      <c r="AY119" s="505"/>
      <c r="AZ119" s="505"/>
      <c r="BA119" s="505"/>
    </row>
    <row r="120" spans="1:53" ht="9" customHeight="1">
      <c r="A120" s="1">
        <v>1967</v>
      </c>
      <c r="B120" s="469">
        <f>(K8*($E8/365))+(K9*($E9/365))</f>
        <v>0</v>
      </c>
      <c r="C120" s="469">
        <f>(L8*($E8/365))+(L9*($E9/365))</f>
        <v>100</v>
      </c>
      <c r="D120" s="469">
        <f>(M8*($E8/365))+(M9*($E9/365))</f>
        <v>0</v>
      </c>
      <c r="E120" s="504">
        <f t="shared" si="31"/>
        <v>100</v>
      </c>
      <c r="F120" s="505"/>
      <c r="G120" s="1">
        <v>1967</v>
      </c>
      <c r="H120" s="989">
        <f>(O8/$R8*100*($E8/365))+(O9/$R9*100*($E9/365))</f>
        <v>0</v>
      </c>
      <c r="I120" s="989"/>
      <c r="J120" s="989">
        <f>(P8/$R8*100*($E8/365))+(P9/$R9*100*($E9/365))</f>
        <v>100</v>
      </c>
      <c r="K120" s="989"/>
      <c r="L120" s="989">
        <f>(Q8/$R8*100*($E8/365))+(Q9/$R9*100*($E9/365))</f>
        <v>0</v>
      </c>
      <c r="M120" s="989"/>
      <c r="N120" s="1011">
        <f t="shared" si="32"/>
        <v>100</v>
      </c>
      <c r="O120" s="1011"/>
      <c r="P120" s="505"/>
      <c r="Q120" s="505"/>
      <c r="R120" s="1">
        <v>1967</v>
      </c>
      <c r="S120" s="8">
        <f>(O8*($E8/365))+(O9*($E9/365))</f>
        <v>0</v>
      </c>
      <c r="T120" s="8">
        <f>(P8*($E8/365))+(P9*($E9/365))</f>
        <v>56</v>
      </c>
      <c r="U120" s="8">
        <f>(Q8*($E8/365))+(Q9*($E9/365))</f>
        <v>0</v>
      </c>
      <c r="V120" s="7"/>
      <c r="W120" s="7">
        <f t="shared" si="33"/>
        <v>56</v>
      </c>
      <c r="X120" s="505"/>
      <c r="Y120" s="505"/>
      <c r="Z120" s="505"/>
      <c r="AA120" s="505"/>
      <c r="AB120" s="505"/>
      <c r="AC120" s="505"/>
      <c r="AD120" s="505"/>
      <c r="AE120" s="505"/>
      <c r="AF120" s="505"/>
      <c r="AG120" s="505"/>
      <c r="AH120" s="505"/>
      <c r="AI120" s="505"/>
      <c r="AJ120" s="505"/>
      <c r="AK120" s="505"/>
      <c r="AL120" s="505"/>
      <c r="AM120" s="505"/>
      <c r="AN120" s="505"/>
      <c r="AO120" s="505"/>
      <c r="AP120" s="505"/>
      <c r="AQ120" s="505"/>
      <c r="AR120" s="505"/>
      <c r="AS120" s="505"/>
      <c r="AT120" s="505"/>
      <c r="AU120" s="505"/>
      <c r="AV120" s="505"/>
      <c r="AW120" s="505"/>
      <c r="AX120" s="505"/>
      <c r="AY120" s="505"/>
      <c r="AZ120" s="505"/>
      <c r="BA120" s="505"/>
    </row>
    <row r="121" spans="1:53" ht="9" customHeight="1">
      <c r="A121" s="1">
        <v>1968</v>
      </c>
      <c r="B121" s="469">
        <f>(K10*($E10/366))+(K11*($E11/366))</f>
        <v>0</v>
      </c>
      <c r="C121" s="469">
        <f>(L10*($E10/366))+(L11*($E11/366))</f>
        <v>100</v>
      </c>
      <c r="D121" s="469">
        <f>(M10*($E10/366))+(M11*($E11/366))</f>
        <v>0</v>
      </c>
      <c r="E121" s="504">
        <f t="shared" si="31"/>
        <v>100</v>
      </c>
      <c r="F121" s="505"/>
      <c r="G121" s="1">
        <v>1968</v>
      </c>
      <c r="H121" s="989">
        <f>(O10/$R10*100*($E10/366))+(O11/$R11*100*($E11/366))</f>
        <v>0</v>
      </c>
      <c r="I121" s="989"/>
      <c r="J121" s="989">
        <f>(P10/$R10*100*($E10/366))+(P11/$R11*100*($E11/366))</f>
        <v>100</v>
      </c>
      <c r="K121" s="989"/>
      <c r="L121" s="989">
        <f>(Q10/$R10*100*($E10/366))+(Q11/$R11*100*($E11/366))</f>
        <v>0</v>
      </c>
      <c r="M121" s="989"/>
      <c r="N121" s="1011">
        <f t="shared" si="32"/>
        <v>100</v>
      </c>
      <c r="O121" s="1011"/>
      <c r="P121" s="505"/>
      <c r="Q121" s="505"/>
      <c r="R121" s="1">
        <v>1968</v>
      </c>
      <c r="S121" s="8">
        <f>(O10*($E10/366))+(O11*($E11/366))</f>
        <v>0</v>
      </c>
      <c r="T121" s="8">
        <f>(P10*($E10/366))+(P11*($E11/366))</f>
        <v>56</v>
      </c>
      <c r="U121" s="8">
        <f>(Q10*($E10/366))+(Q11*($E11/366))</f>
        <v>0</v>
      </c>
      <c r="V121" s="7"/>
      <c r="W121" s="7">
        <f t="shared" si="33"/>
        <v>56</v>
      </c>
      <c r="X121" s="505"/>
      <c r="Y121" s="505"/>
      <c r="Z121" s="505"/>
      <c r="AA121" s="505"/>
      <c r="AB121" s="505"/>
      <c r="AC121" s="505"/>
      <c r="AD121" s="505"/>
      <c r="AE121" s="505"/>
      <c r="AF121" s="505"/>
      <c r="AG121" s="505"/>
      <c r="AH121" s="505"/>
      <c r="AI121" s="505"/>
      <c r="AJ121" s="505"/>
      <c r="AK121" s="505"/>
      <c r="AL121" s="505"/>
      <c r="AM121" s="505"/>
      <c r="AN121" s="505"/>
      <c r="AO121" s="505"/>
      <c r="AP121" s="505"/>
      <c r="AQ121" s="505"/>
      <c r="AR121" s="505"/>
      <c r="AS121" s="505"/>
      <c r="AT121" s="505"/>
      <c r="AU121" s="505"/>
      <c r="AV121" s="505"/>
      <c r="AW121" s="505"/>
      <c r="AX121" s="505"/>
      <c r="AY121" s="505"/>
      <c r="AZ121" s="505"/>
      <c r="BA121" s="505"/>
    </row>
    <row r="122" spans="1:53" ht="9" customHeight="1">
      <c r="A122" s="1">
        <v>1969</v>
      </c>
      <c r="B122" s="469">
        <f>(K12*($E12/365))+(K13*($E13/365))</f>
        <v>0</v>
      </c>
      <c r="C122" s="469">
        <f>(L12*($E12/365))+(L13*($E13/365))</f>
        <v>100</v>
      </c>
      <c r="D122" s="469">
        <f>(M12*($E12/365))+(M13*($E13/365))</f>
        <v>0</v>
      </c>
      <c r="E122" s="504">
        <f t="shared" si="31"/>
        <v>100</v>
      </c>
      <c r="F122" s="505"/>
      <c r="G122" s="1">
        <v>1969</v>
      </c>
      <c r="H122" s="989">
        <f>(O12/$R12*100*($E12/365))+(O13/$R13*100*($E13/365))</f>
        <v>0</v>
      </c>
      <c r="I122" s="989"/>
      <c r="J122" s="989">
        <f>(P12/$R12*100*($E12/365))+(P13/$R13*100*($E13/365))</f>
        <v>100</v>
      </c>
      <c r="K122" s="989"/>
      <c r="L122" s="989">
        <f>(Q12/$R12*100*($E12/365))+(Q13/$R13*100*($E13/365))</f>
        <v>0</v>
      </c>
      <c r="M122" s="989"/>
      <c r="N122" s="1011">
        <f t="shared" si="32"/>
        <v>100</v>
      </c>
      <c r="O122" s="1011"/>
      <c r="P122" s="505"/>
      <c r="Q122" s="505"/>
      <c r="R122" s="1">
        <v>1969</v>
      </c>
      <c r="S122" s="8">
        <f>(O12*($E12/365))+(O13*($E13/365))</f>
        <v>0</v>
      </c>
      <c r="T122" s="8">
        <f>(P12*($E12/365))+(P13*($E13/365))</f>
        <v>56</v>
      </c>
      <c r="U122" s="8">
        <f>(Q12*($E12/365))+(Q13*($E13/365))</f>
        <v>0</v>
      </c>
      <c r="V122" s="7"/>
      <c r="W122" s="7">
        <f t="shared" si="33"/>
        <v>56</v>
      </c>
      <c r="X122" s="505"/>
      <c r="Y122" s="505"/>
      <c r="Z122" s="505"/>
      <c r="AA122" s="505"/>
      <c r="AB122" s="505"/>
      <c r="AC122" s="505"/>
      <c r="AD122" s="505"/>
      <c r="AE122" s="505"/>
      <c r="AF122" s="505"/>
      <c r="AG122" s="505"/>
      <c r="AH122" s="505"/>
      <c r="AI122" s="505"/>
      <c r="AJ122" s="505"/>
      <c r="AK122" s="505"/>
      <c r="AL122" s="505"/>
      <c r="AM122" s="505"/>
      <c r="AN122" s="505"/>
      <c r="AO122" s="505"/>
      <c r="AP122" s="505"/>
      <c r="AQ122" s="505"/>
      <c r="AR122" s="505"/>
      <c r="AS122" s="505"/>
      <c r="AT122" s="505"/>
      <c r="AU122" s="505"/>
      <c r="AV122" s="505"/>
      <c r="AW122" s="505"/>
      <c r="AX122" s="505"/>
      <c r="AY122" s="505"/>
      <c r="AZ122" s="505"/>
      <c r="BA122" s="505"/>
    </row>
    <row r="123" spans="1:53" ht="9" customHeight="1">
      <c r="A123" s="1">
        <v>1970</v>
      </c>
      <c r="B123" s="469">
        <f>(K14*($E14/365))+(K15*($E15/365))</f>
        <v>0</v>
      </c>
      <c r="C123" s="469">
        <f>(L14*($E14/365))+(L15*($E15/365))</f>
        <v>100</v>
      </c>
      <c r="D123" s="469">
        <f>(M14*($E14/365))+(M15*($E15/365))</f>
        <v>0</v>
      </c>
      <c r="E123" s="504">
        <f t="shared" si="31"/>
        <v>100</v>
      </c>
      <c r="F123" s="505"/>
      <c r="G123" s="1">
        <v>1970</v>
      </c>
      <c r="H123" s="989">
        <f>(O14/$R14*100*($E14/365))+(O15/$R15*100*($E15/365))</f>
        <v>0</v>
      </c>
      <c r="I123" s="989"/>
      <c r="J123" s="989">
        <f>(P14/$R14*100*($E14/365))+(P15/$R15*100*($E15/365))</f>
        <v>100</v>
      </c>
      <c r="K123" s="989"/>
      <c r="L123" s="989">
        <f>(Q14/$R14*100*($E14/365))+(Q15/$R15*100*($E15/365))</f>
        <v>0</v>
      </c>
      <c r="M123" s="989"/>
      <c r="N123" s="1011">
        <f t="shared" si="32"/>
        <v>100</v>
      </c>
      <c r="O123" s="1011"/>
      <c r="P123" s="505"/>
      <c r="Q123" s="505"/>
      <c r="R123" s="1">
        <v>1970</v>
      </c>
      <c r="S123" s="8">
        <f>(O14*($E14/365))+(O15*($E15/365))</f>
        <v>0</v>
      </c>
      <c r="T123" s="8">
        <f>(P14*($E14/365))+(P15*($E15/365))</f>
        <v>56</v>
      </c>
      <c r="U123" s="8">
        <f>(Q14*($E14/365))+(Q15*($E15/365))</f>
        <v>0</v>
      </c>
      <c r="V123" s="7"/>
      <c r="W123" s="7">
        <f t="shared" si="33"/>
        <v>56</v>
      </c>
    </row>
    <row r="124" spans="1:53" ht="9" customHeight="1">
      <c r="A124" s="1">
        <v>1971</v>
      </c>
      <c r="B124" s="469">
        <f>(K16*($E16/365))+(K17*($E17/365))</f>
        <v>0</v>
      </c>
      <c r="C124" s="469">
        <f>(L16*($E16/365))+(L17*($E17/365))</f>
        <v>46.849315068493155</v>
      </c>
      <c r="D124" s="469">
        <f>(M16*($E16/365))+(M17*($E17/365))</f>
        <v>53.150684931506852</v>
      </c>
      <c r="E124" s="504">
        <f t="shared" si="31"/>
        <v>100</v>
      </c>
      <c r="F124" s="505"/>
      <c r="G124" s="1">
        <v>1971</v>
      </c>
      <c r="H124" s="989">
        <f>(O16/$R16*100*($E16/365))+(O17/$R17*100*($E17/365))</f>
        <v>0</v>
      </c>
      <c r="I124" s="989"/>
      <c r="J124" s="989">
        <f>(P16/$R16*100*($E16/365))+(P17/$R17*100*($E17/365))</f>
        <v>46.849315068493155</v>
      </c>
      <c r="K124" s="989"/>
      <c r="L124" s="989">
        <f>(Q16/$R16*100*($E16/365))+(Q17/$R17*100*($E17/365))</f>
        <v>53.150684931506852</v>
      </c>
      <c r="M124" s="989"/>
      <c r="N124" s="1011">
        <f t="shared" si="32"/>
        <v>100</v>
      </c>
      <c r="O124" s="1011"/>
      <c r="P124" s="505"/>
      <c r="Q124" s="505"/>
      <c r="R124" s="1">
        <v>1971</v>
      </c>
      <c r="S124" s="8">
        <f>(O16*($E16/365))+(O17*($E17/365))</f>
        <v>0</v>
      </c>
      <c r="T124" s="8">
        <f>(P16*($E16/365))+(P17*($E17/365))</f>
        <v>26.235616438356164</v>
      </c>
      <c r="U124" s="8">
        <f>(Q16*($E16/365))+(Q17*($E17/365))</f>
        <v>27.053698630136989</v>
      </c>
      <c r="V124" s="7"/>
      <c r="W124" s="7">
        <f t="shared" si="33"/>
        <v>53.289315068493153</v>
      </c>
    </row>
    <row r="125" spans="1:53" ht="9" customHeight="1">
      <c r="A125" s="1">
        <v>1972</v>
      </c>
      <c r="B125" s="469">
        <f>(K18*($E18/366))+(K19*($E19/366))</f>
        <v>0</v>
      </c>
      <c r="C125" s="469">
        <f>(L18*($E18/366))+(L19*($E19/366))</f>
        <v>0</v>
      </c>
      <c r="D125" s="469">
        <f>(M18*($E18/366))+(M19*($E19/366))</f>
        <v>100</v>
      </c>
      <c r="E125" s="504">
        <f t="shared" si="31"/>
        <v>100</v>
      </c>
      <c r="F125" s="505"/>
      <c r="G125" s="1">
        <v>1972</v>
      </c>
      <c r="H125" s="989">
        <f>(O18/$R18*100*($E18/366))+(O19/$R19*100*($E19/366))</f>
        <v>0</v>
      </c>
      <c r="I125" s="989"/>
      <c r="J125" s="989">
        <f>(P18/$R18*100*($E18/366))+(P19/$R19*100*($E19/366))</f>
        <v>0</v>
      </c>
      <c r="K125" s="989"/>
      <c r="L125" s="989">
        <f>(Q18/$R18*100*($E18/366))+(Q19/$R19*100*($E19/366))</f>
        <v>100</v>
      </c>
      <c r="M125" s="989"/>
      <c r="N125" s="1011">
        <f t="shared" si="32"/>
        <v>100</v>
      </c>
      <c r="O125" s="1011"/>
      <c r="P125" s="505"/>
      <c r="Q125" s="505"/>
      <c r="R125" s="1">
        <v>1972</v>
      </c>
      <c r="S125" s="8">
        <f>(O18*($E18/366))+(O19*($E19/366))</f>
        <v>0</v>
      </c>
      <c r="T125" s="8">
        <f>(P18*($E18/366))+(P19*($E19/366))</f>
        <v>0</v>
      </c>
      <c r="U125" s="8">
        <f>(Q18*($E18/366))+(Q19*($E19/366))</f>
        <v>50.9</v>
      </c>
      <c r="V125" s="7"/>
      <c r="W125" s="7">
        <f t="shared" si="33"/>
        <v>50.9</v>
      </c>
    </row>
    <row r="126" spans="1:53" ht="9" customHeight="1">
      <c r="A126" s="1">
        <v>1973</v>
      </c>
      <c r="B126" s="469">
        <f>(K20*($E20/365))+(K21*($E21/365))</f>
        <v>0</v>
      </c>
      <c r="C126" s="469">
        <f>(L20*($E20/365))+(L21*($E21/365))</f>
        <v>0</v>
      </c>
      <c r="D126" s="469">
        <f>(M20*($E20/365))+(M21*($E21/365))</f>
        <v>100</v>
      </c>
      <c r="E126" s="504">
        <f t="shared" si="31"/>
        <v>100</v>
      </c>
      <c r="F126" s="505"/>
      <c r="G126" s="1">
        <v>1973</v>
      </c>
      <c r="H126" s="989">
        <f>(O20/$R20*100*($E20/365))+(O21/$R21*100*($E21/365))</f>
        <v>0</v>
      </c>
      <c r="I126" s="989"/>
      <c r="J126" s="989">
        <f>(P20/$R20*100*($E20/365))+(P21/$R21*100*($E21/365))</f>
        <v>0</v>
      </c>
      <c r="K126" s="989"/>
      <c r="L126" s="989">
        <f>(Q20/$R20*100*($E20/365))+(Q21/$R21*100*($E21/365))</f>
        <v>100</v>
      </c>
      <c r="M126" s="989"/>
      <c r="N126" s="1011">
        <f t="shared" si="32"/>
        <v>100</v>
      </c>
      <c r="O126" s="1011"/>
      <c r="P126" s="505"/>
      <c r="Q126" s="505"/>
      <c r="R126" s="1">
        <v>1973</v>
      </c>
      <c r="S126" s="8">
        <f>(O20*($E20/365))+(O21*($E21/365))</f>
        <v>0</v>
      </c>
      <c r="T126" s="8">
        <f>(P20*($E20/365))+(P21*($E21/365))</f>
        <v>0</v>
      </c>
      <c r="U126" s="8">
        <f>(Q20*($E20/365))+(Q21*($E21/365))</f>
        <v>50.9</v>
      </c>
      <c r="V126" s="7"/>
      <c r="W126" s="7">
        <f t="shared" si="33"/>
        <v>50.9</v>
      </c>
    </row>
    <row r="127" spans="1:53" ht="9" customHeight="1">
      <c r="A127" s="1">
        <v>1974</v>
      </c>
      <c r="B127" s="469">
        <f>(K22*($E22/365))+(K23*($E23/365))</f>
        <v>0</v>
      </c>
      <c r="C127" s="469">
        <f>(L22*($E22/365))+(L23*($E23/365))</f>
        <v>0</v>
      </c>
      <c r="D127" s="469">
        <f>(M22*($E22/365))+(M23*($E23/365))</f>
        <v>100</v>
      </c>
      <c r="E127" s="504">
        <f t="shared" si="31"/>
        <v>100</v>
      </c>
      <c r="F127" s="505"/>
      <c r="G127" s="1">
        <v>1974</v>
      </c>
      <c r="H127" s="989">
        <f>(O22/$R22*100*($E22/365))+(O23/$R23*100*($E23/365))</f>
        <v>0</v>
      </c>
      <c r="I127" s="989"/>
      <c r="J127" s="989">
        <f>(P22/$R22*100*($E22/365))+(P23/$R23*100*($E23/365))</f>
        <v>0</v>
      </c>
      <c r="K127" s="989"/>
      <c r="L127" s="989">
        <f>(Q22/$R22*100*($E22/365))+(Q23/$R23*100*($E23/365))</f>
        <v>100</v>
      </c>
      <c r="M127" s="989"/>
      <c r="N127" s="1011">
        <f t="shared" si="32"/>
        <v>100</v>
      </c>
      <c r="O127" s="1011"/>
      <c r="P127" s="505"/>
      <c r="Q127" s="505"/>
      <c r="R127" s="1">
        <v>1974</v>
      </c>
      <c r="S127" s="8">
        <f>(O22*($E22/365))+(O23*($E23/365))</f>
        <v>0</v>
      </c>
      <c r="T127" s="8">
        <f>(P22*($E22/365))+(P23*($E23/365))</f>
        <v>0</v>
      </c>
      <c r="U127" s="8">
        <f>(Q22*($E22/365))+(Q23*($E23/365))</f>
        <v>50.9</v>
      </c>
      <c r="V127" s="7"/>
      <c r="W127" s="7">
        <f t="shared" si="33"/>
        <v>50.9</v>
      </c>
    </row>
    <row r="128" spans="1:53" ht="9" customHeight="1">
      <c r="A128" s="1">
        <v>1975</v>
      </c>
      <c r="B128" s="469">
        <f>(K24*($E24/365))+(K25*($E25/365))</f>
        <v>0</v>
      </c>
      <c r="C128" s="469">
        <f>(L24*($E24/365))+(L25*($E25/365))</f>
        <v>0</v>
      </c>
      <c r="D128" s="469">
        <f>(M24*($E24/365))+(M25*($E25/365))</f>
        <v>100</v>
      </c>
      <c r="E128" s="504">
        <f t="shared" si="31"/>
        <v>100</v>
      </c>
      <c r="F128" s="505"/>
      <c r="G128" s="1">
        <v>1975</v>
      </c>
      <c r="H128" s="989">
        <f>(O24/$R24*100*($E24/365))+(O25/$R25*100*($E25/365))</f>
        <v>0</v>
      </c>
      <c r="I128" s="989"/>
      <c r="J128" s="989">
        <f>(P24/$R24*100*($E24/365))+(P25/$R25*100*($E25/365))</f>
        <v>0</v>
      </c>
      <c r="K128" s="989"/>
      <c r="L128" s="989">
        <f>(Q24/$R24*100*($E24/365))+(Q25/$R25*100*($E25/365))</f>
        <v>100</v>
      </c>
      <c r="M128" s="989"/>
      <c r="N128" s="1011">
        <f t="shared" si="32"/>
        <v>100</v>
      </c>
      <c r="O128" s="1011"/>
      <c r="P128" s="505"/>
      <c r="Q128" s="505"/>
      <c r="R128" s="1">
        <v>1975</v>
      </c>
      <c r="S128" s="8">
        <f>(O24*($E24/365))+(O25*($E25/365))</f>
        <v>0</v>
      </c>
      <c r="T128" s="8">
        <f>(P24*($E24/365))+(P25*($E25/365))</f>
        <v>0</v>
      </c>
      <c r="U128" s="8">
        <f>(Q24*($E24/365))+(Q25*($E25/365))</f>
        <v>50.9</v>
      </c>
      <c r="V128" s="7"/>
      <c r="W128" s="7">
        <f t="shared" si="33"/>
        <v>50.9</v>
      </c>
    </row>
    <row r="129" spans="1:23" ht="9" customHeight="1">
      <c r="A129" s="1">
        <v>1976</v>
      </c>
      <c r="B129" s="469">
        <f>(K26*($E26/366))+(K27*($E27/366))</f>
        <v>0</v>
      </c>
      <c r="C129" s="469">
        <f>(L26*($E26/366))+(L27*($E27/366))</f>
        <v>0</v>
      </c>
      <c r="D129" s="469">
        <f>(M26*($E26/366))+(M27*($E27/366))</f>
        <v>100</v>
      </c>
      <c r="E129" s="504">
        <f t="shared" si="31"/>
        <v>100</v>
      </c>
      <c r="F129" s="505"/>
      <c r="G129" s="1">
        <v>1976</v>
      </c>
      <c r="H129" s="989">
        <f>(O26/$R26*100*($E26/366))+(O27/$R27*100*($E27/366))</f>
        <v>0</v>
      </c>
      <c r="I129" s="989"/>
      <c r="J129" s="989">
        <f>(P26/$R26*100*($E26/366))+(P27/$R27*100*($E27/366))</f>
        <v>0</v>
      </c>
      <c r="K129" s="989"/>
      <c r="L129" s="989">
        <f>(Q26/$R26*100*($E26/366))+(Q27/$R27*100*($E27/366))</f>
        <v>100</v>
      </c>
      <c r="M129" s="989"/>
      <c r="N129" s="1011">
        <f t="shared" si="32"/>
        <v>100</v>
      </c>
      <c r="O129" s="1011"/>
      <c r="P129" s="505"/>
      <c r="Q129" s="505"/>
      <c r="R129" s="1">
        <v>1976</v>
      </c>
      <c r="S129" s="8">
        <f>(O26*($E26/366))+(O27*($E27/366))</f>
        <v>0</v>
      </c>
      <c r="T129" s="8">
        <f>(P26*($E26/366))+(P27*($E27/366))</f>
        <v>0</v>
      </c>
      <c r="U129" s="8">
        <f>(Q26*($E26/366))+(Q27*($E27/366))</f>
        <v>51.28633879781421</v>
      </c>
      <c r="V129" s="7"/>
      <c r="W129" s="7">
        <f t="shared" si="33"/>
        <v>51.28633879781421</v>
      </c>
    </row>
    <row r="130" spans="1:23" ht="9" customHeight="1">
      <c r="A130" s="1">
        <v>1977</v>
      </c>
      <c r="B130" s="469">
        <f>(K28*($E28/365))+(K29*($E29/365))</f>
        <v>0</v>
      </c>
      <c r="C130" s="469">
        <f>(L28*($E28/365))+(L29*($E29/365))</f>
        <v>0</v>
      </c>
      <c r="D130" s="469">
        <f>(M28*($E28/365))+(M29*($E29/365))</f>
        <v>100</v>
      </c>
      <c r="E130" s="504">
        <f t="shared" si="31"/>
        <v>100</v>
      </c>
      <c r="F130" s="505"/>
      <c r="G130" s="1">
        <v>1977</v>
      </c>
      <c r="H130" s="989">
        <f>(O28/$R28*100*($E28/365))+(O29/$R29*100*($E29/365))</f>
        <v>0</v>
      </c>
      <c r="I130" s="989"/>
      <c r="J130" s="989">
        <f>(P28/$R28*100*($E28/365))+(P29/$R29*100*($E29/365))</f>
        <v>0</v>
      </c>
      <c r="K130" s="989"/>
      <c r="L130" s="989">
        <f>(Q28/$R28*100*($E28/365))+(Q29/$R29*100*($E29/365))</f>
        <v>100</v>
      </c>
      <c r="M130" s="989"/>
      <c r="N130" s="1011">
        <f t="shared" si="32"/>
        <v>100</v>
      </c>
      <c r="O130" s="1011"/>
      <c r="P130" s="505"/>
      <c r="Q130" s="505"/>
      <c r="R130" s="1">
        <v>1977</v>
      </c>
      <c r="S130" s="8">
        <f>(O28*($E28/365))+(O29*($E29/365))</f>
        <v>0</v>
      </c>
      <c r="T130" s="8">
        <f>(P28*($E28/365))+(P29*($E29/365))</f>
        <v>0</v>
      </c>
      <c r="U130" s="8">
        <f>(Q28*($E28/365))+(Q29*($E29/365))</f>
        <v>52.3</v>
      </c>
      <c r="V130" s="7"/>
      <c r="W130" s="7">
        <f t="shared" si="33"/>
        <v>52.3</v>
      </c>
    </row>
    <row r="131" spans="1:23" ht="9" customHeight="1">
      <c r="A131" s="1">
        <v>1978</v>
      </c>
      <c r="B131" s="469">
        <f>(K30*($E30/365))+(K31*($E31/365))</f>
        <v>0</v>
      </c>
      <c r="C131" s="469">
        <f>(L30*($E30/365))+(L31*($E31/365))</f>
        <v>0</v>
      </c>
      <c r="D131" s="469">
        <f>(M30*($E30/365))+(M31*($E31/365))</f>
        <v>100</v>
      </c>
      <c r="E131" s="504">
        <f t="shared" si="31"/>
        <v>100</v>
      </c>
      <c r="F131" s="505"/>
      <c r="G131" s="1">
        <v>1978</v>
      </c>
      <c r="H131" s="989">
        <f>(O30/$R30*100*($E30/365))+(O31/$R31*100*($E31/365))</f>
        <v>0</v>
      </c>
      <c r="I131" s="989"/>
      <c r="J131" s="989">
        <f>(P30/$R30*100*($E30/365))+(P31/$R31*100*($E31/365))</f>
        <v>0</v>
      </c>
      <c r="K131" s="989"/>
      <c r="L131" s="989">
        <f>(Q30/$R30*100*($E30/365))+(Q31/$R31*100*($E31/365))</f>
        <v>100</v>
      </c>
      <c r="M131" s="989"/>
      <c r="N131" s="1011">
        <f t="shared" si="32"/>
        <v>100</v>
      </c>
      <c r="O131" s="1011"/>
      <c r="P131" s="505"/>
      <c r="Q131" s="505"/>
      <c r="R131" s="1">
        <v>1978</v>
      </c>
      <c r="S131" s="8">
        <f>(O30*($E30/365))+(O31*($E31/365))</f>
        <v>0</v>
      </c>
      <c r="T131" s="8">
        <f>(P30*($E30/365))+(P31*($E31/365))</f>
        <v>0</v>
      </c>
      <c r="U131" s="8">
        <f>(Q30*($E30/365))+(Q31*($E31/365))</f>
        <v>52.3</v>
      </c>
      <c r="V131" s="7"/>
      <c r="W131" s="7">
        <f t="shared" si="33"/>
        <v>52.3</v>
      </c>
    </row>
    <row r="132" spans="1:23" ht="9" customHeight="1">
      <c r="A132" s="1">
        <v>1979</v>
      </c>
      <c r="B132" s="469">
        <f>(K32*($E32/365))+(K33*($E33/365))</f>
        <v>0</v>
      </c>
      <c r="C132" s="469">
        <f>(L32*($E32/365))+(L33*($E33/365))</f>
        <v>0</v>
      </c>
      <c r="D132" s="469">
        <f>(M32*($E32/365))+(M33*($E33/365))</f>
        <v>100</v>
      </c>
      <c r="E132" s="504">
        <f t="shared" si="31"/>
        <v>100</v>
      </c>
      <c r="F132" s="505"/>
      <c r="G132" s="1">
        <v>1979</v>
      </c>
      <c r="H132" s="989">
        <f>(O32/$R32*100*($E32/365))+(O33/$R33*100*($E33/365))</f>
        <v>0</v>
      </c>
      <c r="I132" s="989"/>
      <c r="J132" s="989">
        <f>(P32/$R32*100*($E32/365))+(P33/$R33*100*($E33/365))</f>
        <v>0</v>
      </c>
      <c r="K132" s="989"/>
      <c r="L132" s="989">
        <f>(Q32/$R32*100*($E32/365))+(Q33/$R33*100*($E33/365))</f>
        <v>100</v>
      </c>
      <c r="M132" s="989"/>
      <c r="N132" s="1011">
        <f t="shared" si="32"/>
        <v>100</v>
      </c>
      <c r="O132" s="1011"/>
      <c r="P132" s="505"/>
      <c r="Q132" s="505"/>
      <c r="R132" s="1">
        <v>1979</v>
      </c>
      <c r="S132" s="8">
        <f>(O32*($E32/365))+(O33*($E33/365))</f>
        <v>0</v>
      </c>
      <c r="T132" s="8">
        <f>(P32*($E32/365))+(P33*($E33/365))</f>
        <v>0</v>
      </c>
      <c r="U132" s="8">
        <f>(Q32*($E32/365))+(Q33*($E33/365))</f>
        <v>52.3</v>
      </c>
      <c r="V132" s="7"/>
      <c r="W132" s="7">
        <f t="shared" si="33"/>
        <v>52.3</v>
      </c>
    </row>
    <row r="133" spans="1:23" ht="9" customHeight="1">
      <c r="A133" s="1">
        <v>1980</v>
      </c>
      <c r="B133" s="469">
        <f>(K34*($E34/366))+(K35*($E35/366))</f>
        <v>0</v>
      </c>
      <c r="C133" s="469">
        <f>(L34*($E34/366))+(L35*($E35/366))</f>
        <v>0</v>
      </c>
      <c r="D133" s="469">
        <f>(M34*($E34/366))+(M35*($E35/366))</f>
        <v>100</v>
      </c>
      <c r="E133" s="504">
        <f t="shared" si="31"/>
        <v>100</v>
      </c>
      <c r="F133" s="505"/>
      <c r="G133" s="1">
        <v>1980</v>
      </c>
      <c r="H133" s="989">
        <f>(O34/$R34*100*($E34/366))+(O35/$R35*100*($E35/366))</f>
        <v>0</v>
      </c>
      <c r="I133" s="989"/>
      <c r="J133" s="989">
        <f>(P34/$R34*100*($E34/366))+(P35/$R35*100*($E35/366))</f>
        <v>0</v>
      </c>
      <c r="K133" s="989"/>
      <c r="L133" s="989">
        <f>(Q34/$R34*100*($E34/366))+(Q35/$R35*100*($E35/366))</f>
        <v>100</v>
      </c>
      <c r="M133" s="989"/>
      <c r="N133" s="1011">
        <f t="shared" si="32"/>
        <v>100</v>
      </c>
      <c r="O133" s="1011"/>
      <c r="P133" s="505"/>
      <c r="Q133" s="505"/>
      <c r="R133" s="1">
        <v>1980</v>
      </c>
      <c r="S133" s="8">
        <f>(O34*($E34/366))+(O35*($E35/366))</f>
        <v>0</v>
      </c>
      <c r="T133" s="8">
        <f>(P34*($E34/366))+(P35*($E35/366))</f>
        <v>0</v>
      </c>
      <c r="U133" s="8">
        <f>(Q34*($E34/366))+(Q35*($E35/366))</f>
        <v>52.3</v>
      </c>
      <c r="V133" s="7"/>
      <c r="W133" s="7">
        <f t="shared" si="33"/>
        <v>52.3</v>
      </c>
    </row>
    <row r="134" spans="1:23" ht="9" customHeight="1">
      <c r="A134" s="1">
        <v>1981</v>
      </c>
      <c r="B134" s="469">
        <f>(K36*($E36/365))+(K37*($E37/365))</f>
        <v>0</v>
      </c>
      <c r="C134" s="469">
        <f>(L36*($E36/365))+(L37*($E37/365))</f>
        <v>0</v>
      </c>
      <c r="D134" s="469">
        <f>(M36*($E36/365))+(M37*($E37/365))</f>
        <v>100.00000000000001</v>
      </c>
      <c r="E134" s="504">
        <f t="shared" si="31"/>
        <v>100.00000000000001</v>
      </c>
      <c r="F134" s="505"/>
      <c r="G134" s="1">
        <v>1981</v>
      </c>
      <c r="H134" s="989">
        <f>(O36/$R36*100*($E36/365))+(O37/$R37*100*($E37/365))</f>
        <v>0</v>
      </c>
      <c r="I134" s="989"/>
      <c r="J134" s="989">
        <f>(P36/$R36*100*($E36/365))+(P37/$R37*100*($E37/365))</f>
        <v>0</v>
      </c>
      <c r="K134" s="989"/>
      <c r="L134" s="989">
        <f>(Q36/$R36*100*($E36/365))+(Q37/$R37*100*($E37/365))</f>
        <v>100.00000000000001</v>
      </c>
      <c r="M134" s="989"/>
      <c r="N134" s="1011">
        <f t="shared" si="32"/>
        <v>100.00000000000001</v>
      </c>
      <c r="O134" s="1011"/>
      <c r="P134" s="505"/>
      <c r="Q134" s="505"/>
      <c r="R134" s="1">
        <v>1981</v>
      </c>
      <c r="S134" s="8">
        <f>(O36*($E36/365))+(O37*($E37/365))</f>
        <v>0</v>
      </c>
      <c r="T134" s="8">
        <f>(P36*($E36/365))+(P37*($E37/365))</f>
        <v>0</v>
      </c>
      <c r="U134" s="8">
        <f>(Q36*($E36/365))+(Q37*($E37/365))</f>
        <v>52.300000000000004</v>
      </c>
      <c r="V134" s="7"/>
      <c r="W134" s="7">
        <f t="shared" si="33"/>
        <v>52.300000000000004</v>
      </c>
    </row>
    <row r="135" spans="1:23" ht="9" customHeight="1">
      <c r="A135" s="1">
        <v>1982</v>
      </c>
      <c r="B135" s="469">
        <f>(K38*($E38/365))+(K39*($E39/365))</f>
        <v>0</v>
      </c>
      <c r="C135" s="469">
        <f>(L38*($E38/365))+(L39*($E39/365))</f>
        <v>0</v>
      </c>
      <c r="D135" s="469">
        <f>(M38*($E38/365))+(M39*($E39/365))</f>
        <v>100</v>
      </c>
      <c r="E135" s="504">
        <f t="shared" si="31"/>
        <v>100</v>
      </c>
      <c r="F135" s="505"/>
      <c r="G135" s="1">
        <v>1982</v>
      </c>
      <c r="H135" s="989">
        <f>(O38/$R38*100*($E38/365))+(O39/$R39*100*($E39/365))</f>
        <v>0</v>
      </c>
      <c r="I135" s="989"/>
      <c r="J135" s="989">
        <f>(P38/$R38*100*($E38/365))+(P39/$R39*100*($E39/365))</f>
        <v>0</v>
      </c>
      <c r="K135" s="989"/>
      <c r="L135" s="989">
        <f>(Q38/$R38*100*($E38/365))+(Q39/$R39*100*($E39/365))</f>
        <v>100</v>
      </c>
      <c r="M135" s="989"/>
      <c r="N135" s="1011">
        <f t="shared" si="32"/>
        <v>100</v>
      </c>
      <c r="O135" s="1011"/>
      <c r="P135" s="505"/>
      <c r="Q135" s="505"/>
      <c r="R135" s="1">
        <v>1982</v>
      </c>
      <c r="S135" s="8">
        <f>(O38*($E38/365))+(O39*($E39/365))</f>
        <v>0</v>
      </c>
      <c r="T135" s="8">
        <f>(P38*($E38/365))+(P39*($E39/365))</f>
        <v>0</v>
      </c>
      <c r="U135" s="8">
        <f>(Q38*($E38/365))+(Q39*($E39/365))</f>
        <v>52.3</v>
      </c>
      <c r="V135" s="7"/>
      <c r="W135" s="7">
        <f t="shared" si="33"/>
        <v>52.3</v>
      </c>
    </row>
    <row r="136" spans="1:23" ht="9" customHeight="1">
      <c r="A136" s="1">
        <v>1983</v>
      </c>
      <c r="B136" s="469">
        <f>(K40*($E40/365))+(K41*($E41/365))</f>
        <v>0</v>
      </c>
      <c r="C136" s="469">
        <f>(L40*($E40/365))+(L41*($E41/365))</f>
        <v>0</v>
      </c>
      <c r="D136" s="469">
        <f>(M40*($E40/365))+(M41*($E41/365))</f>
        <v>100</v>
      </c>
      <c r="E136" s="504">
        <f t="shared" si="31"/>
        <v>100</v>
      </c>
      <c r="F136" s="505"/>
      <c r="G136" s="1">
        <v>1983</v>
      </c>
      <c r="H136" s="989">
        <f>(O40/$R40*100*($E40/365))+(O41/$R41*100*($E41/365))</f>
        <v>0</v>
      </c>
      <c r="I136" s="989"/>
      <c r="J136" s="989">
        <f>(P40/$R40*100*($E40/365))+(P41/$R41*100*($E41/365))</f>
        <v>0</v>
      </c>
      <c r="K136" s="989"/>
      <c r="L136" s="989">
        <f>(Q40/$R40*100*($E40/365))+(Q41/$R41*100*($E41/365))</f>
        <v>100</v>
      </c>
      <c r="M136" s="989"/>
      <c r="N136" s="1011">
        <f t="shared" si="32"/>
        <v>100</v>
      </c>
      <c r="O136" s="1011"/>
      <c r="P136" s="505"/>
      <c r="Q136" s="505"/>
      <c r="R136" s="1">
        <v>1983</v>
      </c>
      <c r="S136" s="8">
        <f>(O40*($E40/365))+(O41*($E41/365))</f>
        <v>0</v>
      </c>
      <c r="T136" s="8">
        <f>(P40*($E40/365))+(P41*($E41/365))</f>
        <v>0</v>
      </c>
      <c r="U136" s="8">
        <f>(Q40*($E40/365))+(Q41*($E41/365))</f>
        <v>52.3</v>
      </c>
      <c r="V136" s="7"/>
      <c r="W136" s="7">
        <f t="shared" si="33"/>
        <v>52.3</v>
      </c>
    </row>
    <row r="137" spans="1:23" ht="9" customHeight="1">
      <c r="A137" s="1">
        <v>1984</v>
      </c>
      <c r="B137" s="469">
        <f>(K42*($E42/366))+(K43*($E43/366))</f>
        <v>0</v>
      </c>
      <c r="C137" s="469">
        <f>(L42*($E42/366))+(L43*($E43/366))</f>
        <v>0</v>
      </c>
      <c r="D137" s="469">
        <f>(M42*($E42/366))+(M43*($E43/366))</f>
        <v>100</v>
      </c>
      <c r="E137" s="504">
        <f t="shared" si="31"/>
        <v>100</v>
      </c>
      <c r="F137" s="505"/>
      <c r="G137" s="1">
        <v>1984</v>
      </c>
      <c r="H137" s="989">
        <f>(O42/$R42*100*($E42/366))+(O43/$R43*100*($E43/366))</f>
        <v>0</v>
      </c>
      <c r="I137" s="989"/>
      <c r="J137" s="989">
        <f>(P42/$R42*100*($E42/366))+(P43/$R43*100*($E43/366))</f>
        <v>0</v>
      </c>
      <c r="K137" s="989"/>
      <c r="L137" s="989">
        <f>(Q42/$R42*100*($E42/366))+(Q43/$R43*100*($E43/366))</f>
        <v>100</v>
      </c>
      <c r="M137" s="989"/>
      <c r="N137" s="1011">
        <f t="shared" si="32"/>
        <v>100</v>
      </c>
      <c r="O137" s="1011"/>
      <c r="P137" s="505"/>
      <c r="Q137" s="505"/>
      <c r="R137" s="1">
        <v>1984</v>
      </c>
      <c r="S137" s="8">
        <f>(O42*($E42/366))+(O43*($E43/366))</f>
        <v>0</v>
      </c>
      <c r="T137" s="8">
        <f>(P42*($E42/366))+(P43*($E43/366))</f>
        <v>0</v>
      </c>
      <c r="U137" s="8">
        <f>(Q42*($E42/366))+(Q43*($E43/366))</f>
        <v>52.3</v>
      </c>
      <c r="V137" s="7"/>
      <c r="W137" s="7">
        <f t="shared" si="33"/>
        <v>52.3</v>
      </c>
    </row>
    <row r="138" spans="1:23" ht="9" customHeight="1">
      <c r="A138" s="1">
        <v>1985</v>
      </c>
      <c r="B138" s="469">
        <f>(K44*($E44/365))+(K45*($E45/365))</f>
        <v>0</v>
      </c>
      <c r="C138" s="469">
        <f>(L44*($E44/365))+(L45*($E45/365))</f>
        <v>0</v>
      </c>
      <c r="D138" s="469">
        <f>(M44*($E44/365))+(M45*($E45/365))</f>
        <v>100</v>
      </c>
      <c r="E138" s="504">
        <f t="shared" si="31"/>
        <v>100</v>
      </c>
      <c r="F138" s="505"/>
      <c r="G138" s="1">
        <v>1985</v>
      </c>
      <c r="H138" s="989">
        <f>(O44/$R44*100*($E44/365))+(O45/$R45*100*($E45/365))</f>
        <v>0</v>
      </c>
      <c r="I138" s="989"/>
      <c r="J138" s="989">
        <f>(P44/$R44*100*($E44/365))+(P45/$R45*100*($E45/365))</f>
        <v>0</v>
      </c>
      <c r="K138" s="989"/>
      <c r="L138" s="989">
        <f>(Q44/$R44*100*($E44/365))+(Q45/$R45*100*($E45/365))</f>
        <v>100</v>
      </c>
      <c r="M138" s="989"/>
      <c r="N138" s="1011">
        <f t="shared" si="32"/>
        <v>100</v>
      </c>
      <c r="O138" s="1011"/>
      <c r="P138" s="505"/>
      <c r="Q138" s="505"/>
      <c r="R138" s="1">
        <v>1985</v>
      </c>
      <c r="S138" s="8">
        <f>(O44*($E44/365))+(O45*($E45/365))</f>
        <v>0</v>
      </c>
      <c r="T138" s="8">
        <f>(P44*($E44/365))+(P45*($E45/365))</f>
        <v>0</v>
      </c>
      <c r="U138" s="8">
        <f>(Q44*($E44/365))+(Q45*($E45/365))</f>
        <v>52.3</v>
      </c>
      <c r="V138" s="7"/>
      <c r="W138" s="7">
        <f t="shared" si="33"/>
        <v>52.3</v>
      </c>
    </row>
    <row r="139" spans="1:23" ht="9" customHeight="1">
      <c r="A139" s="1">
        <v>1986</v>
      </c>
      <c r="B139" s="469">
        <f>(K46*($E46/365))+(K47*($E47/365))</f>
        <v>0</v>
      </c>
      <c r="C139" s="469">
        <f>(L46*($E46/365))+(L47*($E47/365))</f>
        <v>0</v>
      </c>
      <c r="D139" s="469">
        <f>(M46*($E46/365))+(M47*($E47/365))</f>
        <v>100</v>
      </c>
      <c r="E139" s="504">
        <f t="shared" si="31"/>
        <v>100</v>
      </c>
      <c r="F139" s="505"/>
      <c r="G139" s="1">
        <v>1986</v>
      </c>
      <c r="H139" s="989">
        <f>(O46/$R46*100*($E46/365))+(O47/$R47*100*($E47/365))</f>
        <v>0</v>
      </c>
      <c r="I139" s="989"/>
      <c r="J139" s="989">
        <f>(P46/$R46*100*($E46/365))+(P47/$R47*100*($E47/365))</f>
        <v>0</v>
      </c>
      <c r="K139" s="989"/>
      <c r="L139" s="989">
        <f>(Q46/$R46*100*($E46/365))+(Q47/$R47*100*($E47/365))</f>
        <v>100</v>
      </c>
      <c r="M139" s="989"/>
      <c r="N139" s="1011">
        <f t="shared" si="32"/>
        <v>100</v>
      </c>
      <c r="O139" s="1011"/>
      <c r="P139" s="505"/>
      <c r="Q139" s="505"/>
      <c r="R139" s="1">
        <v>1986</v>
      </c>
      <c r="S139" s="8">
        <f>(O46*($E46/365))+(O47*($E47/365))</f>
        <v>0</v>
      </c>
      <c r="T139" s="8">
        <f>(P46*($E46/365))+(P47*($E47/365))</f>
        <v>0</v>
      </c>
      <c r="U139" s="8">
        <f>(Q46*($E46/365))+(Q47*($E47/365))</f>
        <v>52.3</v>
      </c>
      <c r="V139" s="7"/>
      <c r="W139" s="7">
        <f t="shared" si="33"/>
        <v>52.3</v>
      </c>
    </row>
    <row r="140" spans="1:23" ht="9" customHeight="1">
      <c r="A140" s="1">
        <v>1987</v>
      </c>
      <c r="B140" s="469">
        <f>(K48*($E48/365))+(K49*($E49/365))</f>
        <v>0</v>
      </c>
      <c r="C140" s="469">
        <f>(L48*($E48/365))+(L49*($E49/365))</f>
        <v>63.561643835616444</v>
      </c>
      <c r="D140" s="469">
        <f>(M48*($E48/365))+(M49*($E49/365))</f>
        <v>36.438356164383563</v>
      </c>
      <c r="E140" s="504">
        <f t="shared" si="31"/>
        <v>100</v>
      </c>
      <c r="F140" s="505"/>
      <c r="G140" s="1">
        <v>1987</v>
      </c>
      <c r="H140" s="989">
        <f>(O48/$R48*100*($E48/365))+(O49/$R49*100*($E49/365))</f>
        <v>0</v>
      </c>
      <c r="I140" s="989"/>
      <c r="J140" s="989">
        <f>(P48/$R48*100*($E48/365))+(P49/$R49*100*($E49/365))</f>
        <v>63.561643835616444</v>
      </c>
      <c r="K140" s="989"/>
      <c r="L140" s="989">
        <f>(Q48/$R48*100*($E48/365))+(Q49/$R49*100*($E49/365))</f>
        <v>36.438356164383563</v>
      </c>
      <c r="M140" s="989"/>
      <c r="N140" s="1011">
        <f t="shared" si="32"/>
        <v>100</v>
      </c>
      <c r="O140" s="1011"/>
      <c r="P140" s="505"/>
      <c r="Q140" s="505"/>
      <c r="R140" s="1">
        <v>1987</v>
      </c>
      <c r="S140" s="8">
        <f>(O48*($E48/365))+(O49*($E49/365))</f>
        <v>0</v>
      </c>
      <c r="T140" s="8">
        <f>(P48*($E48/365))+(P49*($E49/365))</f>
        <v>32.22575342465754</v>
      </c>
      <c r="U140" s="8">
        <f>(Q48*($E48/365))+(Q49*($E49/365))</f>
        <v>19.057260273972602</v>
      </c>
      <c r="V140" s="7"/>
      <c r="W140" s="7">
        <f t="shared" si="33"/>
        <v>51.283013698630143</v>
      </c>
    </row>
    <row r="141" spans="1:23" ht="9" customHeight="1">
      <c r="A141" s="1">
        <v>1988</v>
      </c>
      <c r="B141" s="469">
        <f>(K50*($E50/366))+(K51*($E51/366))</f>
        <v>0</v>
      </c>
      <c r="C141" s="469">
        <f>(L50*($E50/366))+(L51*($E51/366))</f>
        <v>100</v>
      </c>
      <c r="D141" s="469">
        <f>(M50*($E50/366))+(M51*($E51/366))</f>
        <v>0</v>
      </c>
      <c r="E141" s="504">
        <f t="shared" si="31"/>
        <v>100</v>
      </c>
      <c r="F141" s="505"/>
      <c r="G141" s="1">
        <v>1988</v>
      </c>
      <c r="H141" s="989">
        <f>(O50/$R50*100*($E50/366))+(O51/$R51*100*($E51/366))</f>
        <v>0</v>
      </c>
      <c r="I141" s="989"/>
      <c r="J141" s="989">
        <f>(P50/$R50*100*($E50/366))+(P51/$R51*100*($E51/366))</f>
        <v>100</v>
      </c>
      <c r="K141" s="989"/>
      <c r="L141" s="989">
        <f>(Q50/$R50*100*($E50/366))+(Q51/$R51*100*($E51/366))</f>
        <v>0</v>
      </c>
      <c r="M141" s="989"/>
      <c r="N141" s="1011">
        <f t="shared" si="32"/>
        <v>100</v>
      </c>
      <c r="O141" s="1011"/>
      <c r="P141" s="505"/>
      <c r="Q141" s="505"/>
      <c r="R141" s="1">
        <v>1988</v>
      </c>
      <c r="S141" s="8">
        <f>(O50*($E50/366))+(O51*($E51/366))</f>
        <v>0</v>
      </c>
      <c r="T141" s="8">
        <f>(P50*($E50/366))+(P51*($E51/366))</f>
        <v>50.7</v>
      </c>
      <c r="U141" s="8">
        <f>(Q50*($E50/366))+(Q51*($E51/366))</f>
        <v>0</v>
      </c>
      <c r="V141" s="7"/>
      <c r="W141" s="7">
        <f t="shared" si="33"/>
        <v>50.7</v>
      </c>
    </row>
    <row r="142" spans="1:23" ht="9" customHeight="1">
      <c r="A142" s="1">
        <v>1989</v>
      </c>
      <c r="B142" s="469">
        <f>(K52*($E52/365))+(K53*($E53/365))</f>
        <v>0</v>
      </c>
      <c r="C142" s="469">
        <f>(L52*($E52/365))+(L53*($E53/365))</f>
        <v>100</v>
      </c>
      <c r="D142" s="469">
        <f>(M52*($E52/365))+(M53*($E53/365))</f>
        <v>0</v>
      </c>
      <c r="E142" s="504">
        <f t="shared" si="31"/>
        <v>100</v>
      </c>
      <c r="F142" s="505"/>
      <c r="G142" s="1">
        <v>1989</v>
      </c>
      <c r="H142" s="989">
        <f>(O52/$R52*100*($E52/365))+(O53/$R53*100*($E53/365))</f>
        <v>0</v>
      </c>
      <c r="I142" s="989"/>
      <c r="J142" s="989">
        <f>(P52/$R52*100*($E52/365))+(P53/$R53*100*($E53/365))</f>
        <v>100</v>
      </c>
      <c r="K142" s="989"/>
      <c r="L142" s="989">
        <f>(Q52/$R52*100*($E52/365))+(Q53/$R53*100*($E53/365))</f>
        <v>0</v>
      </c>
      <c r="M142" s="989"/>
      <c r="N142" s="1011">
        <f t="shared" si="32"/>
        <v>100</v>
      </c>
      <c r="O142" s="1011"/>
      <c r="P142" s="505"/>
      <c r="Q142" s="505"/>
      <c r="R142" s="1">
        <v>1989</v>
      </c>
      <c r="S142" s="8">
        <f>(O52*($E52/365))+(O53*($E53/365))</f>
        <v>0</v>
      </c>
      <c r="T142" s="8">
        <f>(P52*($E52/365))+(P53*($E53/365))</f>
        <v>50.7</v>
      </c>
      <c r="U142" s="8">
        <f>(Q52*($E52/365))+(Q53*($E53/365))</f>
        <v>0</v>
      </c>
      <c r="V142" s="7"/>
      <c r="W142" s="7">
        <f t="shared" si="33"/>
        <v>50.7</v>
      </c>
    </row>
    <row r="143" spans="1:23" ht="9" customHeight="1">
      <c r="A143" s="1">
        <v>1990</v>
      </c>
      <c r="B143" s="469">
        <f>(K54*($E54/365))+(K55*($E55/365))</f>
        <v>0</v>
      </c>
      <c r="C143" s="469">
        <f>(L54*($E54/365))+(L55*($E55/365))</f>
        <v>100</v>
      </c>
      <c r="D143" s="469">
        <f>(M54*($E54/365))+(M55*($E55/365))</f>
        <v>0</v>
      </c>
      <c r="E143" s="504">
        <f t="shared" si="31"/>
        <v>100</v>
      </c>
      <c r="F143" s="505"/>
      <c r="G143" s="1">
        <v>1990</v>
      </c>
      <c r="H143" s="989">
        <f>(O54/$R54*100*($E54/365))+(O55/$R55*100*($E55/365))</f>
        <v>0</v>
      </c>
      <c r="I143" s="989"/>
      <c r="J143" s="989">
        <f>(P54/$R54*100*($E54/365))+(P55/$R55*100*($E55/365))</f>
        <v>100</v>
      </c>
      <c r="K143" s="989"/>
      <c r="L143" s="989">
        <f>(Q54/$R54*100*($E54/365))+(Q55/$R55*100*($E55/365))</f>
        <v>0</v>
      </c>
      <c r="M143" s="989"/>
      <c r="N143" s="1011">
        <f t="shared" ref="N143:N166" si="34">H143+J143+L143</f>
        <v>100</v>
      </c>
      <c r="O143" s="1011"/>
      <c r="P143" s="505"/>
      <c r="Q143" s="505"/>
      <c r="R143" s="1">
        <v>1990</v>
      </c>
      <c r="S143" s="8">
        <f>(O54*($E54/365))+(O55*($E55/365))</f>
        <v>0</v>
      </c>
      <c r="T143" s="8">
        <f>(P54*($E54/365))+(P55*($E55/365))</f>
        <v>50.7</v>
      </c>
      <c r="U143" s="8">
        <f>(Q54*($E54/365))+(Q55*($E55/365))</f>
        <v>0</v>
      </c>
      <c r="V143" s="7"/>
      <c r="W143" s="7">
        <f t="shared" si="33"/>
        <v>50.7</v>
      </c>
    </row>
    <row r="144" spans="1:23" ht="9" customHeight="1">
      <c r="A144" s="1">
        <v>1991</v>
      </c>
      <c r="B144" s="469">
        <f>(K56*($E56/365))+(K57*($E57/365))</f>
        <v>0</v>
      </c>
      <c r="C144" s="469">
        <f>(L56*($E56/365))+(L57*($E57/365))</f>
        <v>100</v>
      </c>
      <c r="D144" s="469">
        <f>(M56*($E56/365))+(M57*($E57/365))</f>
        <v>0</v>
      </c>
      <c r="E144" s="504">
        <f t="shared" si="31"/>
        <v>100</v>
      </c>
      <c r="F144" s="505"/>
      <c r="G144" s="1">
        <v>1991</v>
      </c>
      <c r="H144" s="989">
        <f>(O56/$R56*100*($E56/365))+(O57/$R57*100*($E57/365))</f>
        <v>0</v>
      </c>
      <c r="I144" s="989"/>
      <c r="J144" s="989">
        <f>(P56/$R56*100*($E56/365))+(P57/$R57*100*($E57/365))</f>
        <v>100</v>
      </c>
      <c r="K144" s="989"/>
      <c r="L144" s="989">
        <f>(Q56/$R56*100*($E56/365))+(Q57/$R57*100*($E57/365))</f>
        <v>0</v>
      </c>
      <c r="M144" s="989"/>
      <c r="N144" s="1011">
        <f t="shared" si="34"/>
        <v>100</v>
      </c>
      <c r="O144" s="1011"/>
      <c r="P144" s="505"/>
      <c r="Q144" s="505"/>
      <c r="R144" s="1">
        <v>1991</v>
      </c>
      <c r="S144" s="8">
        <f>(O56*($E56/365))+(O57*($E57/365))</f>
        <v>0</v>
      </c>
      <c r="T144" s="8">
        <f>(P56*($E56/365))+(P57*($E57/365))</f>
        <v>50.7</v>
      </c>
      <c r="U144" s="8">
        <f>(Q56*($E56/365))+(Q57*($E57/365))</f>
        <v>0</v>
      </c>
      <c r="V144" s="7"/>
      <c r="W144" s="7">
        <f t="shared" si="33"/>
        <v>50.7</v>
      </c>
    </row>
    <row r="145" spans="1:23" ht="9" customHeight="1">
      <c r="A145" s="1">
        <v>1992</v>
      </c>
      <c r="B145" s="469">
        <f>(K58*($E58/366))+(K59*($E59/366))</f>
        <v>0</v>
      </c>
      <c r="C145" s="469">
        <f>(L58*($E58/366))+(L59*($E59/366))</f>
        <v>100</v>
      </c>
      <c r="D145" s="469">
        <f>(M58*($E58/366))+(M59*($E59/366))</f>
        <v>0</v>
      </c>
      <c r="E145" s="504">
        <f t="shared" si="31"/>
        <v>100</v>
      </c>
      <c r="F145" s="505"/>
      <c r="G145" s="1">
        <v>1992</v>
      </c>
      <c r="H145" s="989">
        <f>(O58/$R58*100*($E58/366))+(O59/$R59*100*($E59/366))</f>
        <v>0</v>
      </c>
      <c r="I145" s="989"/>
      <c r="J145" s="989">
        <f>(P58/$R58*100*($E58/366))+(P59/$R59*100*($E59/366))</f>
        <v>100</v>
      </c>
      <c r="K145" s="989"/>
      <c r="L145" s="989">
        <f>(Q58/$R58*100*($E58/366))+(Q59/$R59*100*($E59/366))</f>
        <v>0</v>
      </c>
      <c r="M145" s="989"/>
      <c r="N145" s="1011">
        <f t="shared" si="34"/>
        <v>100</v>
      </c>
      <c r="O145" s="1011"/>
      <c r="P145" s="505"/>
      <c r="Q145" s="505"/>
      <c r="R145" s="1">
        <v>1992</v>
      </c>
      <c r="S145" s="8">
        <f>(O58*($E58/366))+(O59*($E59/366))</f>
        <v>0</v>
      </c>
      <c r="T145" s="8">
        <f>(P58*($E58/366))+(P59*($E59/366))</f>
        <v>52.050819672131155</v>
      </c>
      <c r="U145" s="8">
        <f>(Q58*($E58/366))+(Q59*($E59/366))</f>
        <v>0</v>
      </c>
      <c r="V145" s="7"/>
      <c r="W145" s="7">
        <f t="shared" si="33"/>
        <v>52.050819672131155</v>
      </c>
    </row>
    <row r="146" spans="1:23" ht="9" customHeight="1">
      <c r="A146" s="1">
        <v>1993</v>
      </c>
      <c r="B146" s="469">
        <f>(K60*($E60/365))+(K61*($E61/365))</f>
        <v>0</v>
      </c>
      <c r="C146" s="469">
        <f>(L60*($E60/365))+(L61*($E61/365))</f>
        <v>100</v>
      </c>
      <c r="D146" s="469">
        <f>(M60*($E60/365))+(M61*($E61/365))</f>
        <v>0</v>
      </c>
      <c r="E146" s="504">
        <f t="shared" si="31"/>
        <v>100</v>
      </c>
      <c r="F146" s="505"/>
      <c r="G146" s="1">
        <v>1993</v>
      </c>
      <c r="H146" s="989">
        <f>(O60/$R60*100*($E60/365))+(O61/$R61*100*($E61/365))</f>
        <v>0</v>
      </c>
      <c r="I146" s="989"/>
      <c r="J146" s="989">
        <f>(P60/$R60*100*($E60/365))+(P61/$R61*100*($E61/365))</f>
        <v>100</v>
      </c>
      <c r="K146" s="989"/>
      <c r="L146" s="989">
        <f>(Q60/$R60*100*($E60/365))+(Q61/$R61*100*($E61/365))</f>
        <v>0</v>
      </c>
      <c r="M146" s="989"/>
      <c r="N146" s="1011">
        <f t="shared" si="34"/>
        <v>100</v>
      </c>
      <c r="O146" s="1011"/>
      <c r="P146" s="505"/>
      <c r="Q146" s="505"/>
      <c r="R146" s="1">
        <v>1993</v>
      </c>
      <c r="S146" s="8">
        <f>(O60*($E60/365))+(O61*($E61/365))</f>
        <v>0</v>
      </c>
      <c r="T146" s="8">
        <f>(P60*($E60/365))+(P61*($E61/365))</f>
        <v>52.3</v>
      </c>
      <c r="U146" s="8">
        <f>(Q60*($E60/365))+(Q61*($E61/365))</f>
        <v>0</v>
      </c>
      <c r="V146" s="7"/>
      <c r="W146" s="7">
        <f t="shared" ref="W146:W166" si="35">S146+T146+U146</f>
        <v>52.3</v>
      </c>
    </row>
    <row r="147" spans="1:23" ht="9" customHeight="1">
      <c r="A147" s="1">
        <v>1994</v>
      </c>
      <c r="B147" s="469">
        <f>(K62*($E62/365))+(K63*($E63/365))</f>
        <v>0</v>
      </c>
      <c r="C147" s="469">
        <f>(L62*($E62/365))+(L63*($E63/365))</f>
        <v>100</v>
      </c>
      <c r="D147" s="469">
        <f>(M62*($E62/365))+(M63*($E63/365))</f>
        <v>0</v>
      </c>
      <c r="E147" s="504">
        <f t="shared" si="31"/>
        <v>100</v>
      </c>
      <c r="F147" s="505"/>
      <c r="G147" s="1">
        <v>1994</v>
      </c>
      <c r="H147" s="989">
        <f>(O62/$R62*100*($E62/365))+(O63/$R63*100*($E63/365))</f>
        <v>0</v>
      </c>
      <c r="I147" s="989"/>
      <c r="J147" s="989">
        <f>(P62/$R62*100*($E62/365))+(P63/$R63*100*($E63/365))</f>
        <v>100</v>
      </c>
      <c r="K147" s="989"/>
      <c r="L147" s="989">
        <f>(Q62/$R62*100*($E62/365))+(Q63/$R63*100*($E63/365))</f>
        <v>0</v>
      </c>
      <c r="M147" s="989"/>
      <c r="N147" s="1011">
        <f t="shared" si="34"/>
        <v>100</v>
      </c>
      <c r="O147" s="1011"/>
      <c r="P147" s="505"/>
      <c r="Q147" s="505"/>
      <c r="R147" s="1">
        <v>1994</v>
      </c>
      <c r="S147" s="8">
        <f>(O62*($E62/365))+(O63*($E63/365))</f>
        <v>0</v>
      </c>
      <c r="T147" s="8">
        <f>(P62*($E62/365))+(P63*($E63/365))</f>
        <v>52.3</v>
      </c>
      <c r="U147" s="8">
        <f>(Q62*($E62/365))+(Q63*($E63/365))</f>
        <v>0</v>
      </c>
      <c r="V147" s="7"/>
      <c r="W147" s="7">
        <f t="shared" si="35"/>
        <v>52.3</v>
      </c>
    </row>
    <row r="148" spans="1:23" ht="9" customHeight="1">
      <c r="A148" s="1">
        <v>1995</v>
      </c>
      <c r="B148" s="469">
        <f>(K64*($E64/365))+(K65*($E65/365))</f>
        <v>0</v>
      </c>
      <c r="C148" s="469">
        <f>(L64*($E64/365))+(L65*($E65/365))</f>
        <v>100</v>
      </c>
      <c r="D148" s="469">
        <f>(M64*($E64/365))+(M65*($E65/365))</f>
        <v>0</v>
      </c>
      <c r="E148" s="504">
        <f t="shared" si="31"/>
        <v>100</v>
      </c>
      <c r="F148" s="505"/>
      <c r="G148" s="1">
        <v>1995</v>
      </c>
      <c r="H148" s="989">
        <f>(O64/$R64*100*($E64/365))+(O65/$R65*100*($E65/365))</f>
        <v>0</v>
      </c>
      <c r="I148" s="989"/>
      <c r="J148" s="989">
        <f>(P64/$R64*100*($E64/365))+(P65/$R65*100*($E65/365))</f>
        <v>100</v>
      </c>
      <c r="K148" s="989"/>
      <c r="L148" s="989">
        <f>(Q64/$R64*100*($E64/365))+(Q65/$R65*100*($E65/365))</f>
        <v>0</v>
      </c>
      <c r="M148" s="989"/>
      <c r="N148" s="1011">
        <f t="shared" si="34"/>
        <v>100</v>
      </c>
      <c r="O148" s="1011"/>
      <c r="P148" s="505"/>
      <c r="Q148" s="505"/>
      <c r="R148" s="1">
        <v>1995</v>
      </c>
      <c r="S148" s="8">
        <f>(O64*($E64/365))+(O65*($E65/365))</f>
        <v>0</v>
      </c>
      <c r="T148" s="8">
        <f>(P64*($E64/365))+(P65*($E65/365))</f>
        <v>52.3</v>
      </c>
      <c r="U148" s="8">
        <f>(Q64*($E64/365))+(Q65*($E65/365))</f>
        <v>0</v>
      </c>
      <c r="V148" s="7"/>
      <c r="W148" s="7">
        <f t="shared" si="35"/>
        <v>52.3</v>
      </c>
    </row>
    <row r="149" spans="1:23" ht="9" customHeight="1">
      <c r="A149" s="1">
        <v>1996</v>
      </c>
      <c r="B149" s="469">
        <f>(K66*($E66/366))+(K67*($E67/366))</f>
        <v>0</v>
      </c>
      <c r="C149" s="469">
        <f>(L66*($E66/366))+(L67*($E67/366))</f>
        <v>82.513661202185801</v>
      </c>
      <c r="D149" s="469">
        <f>(M66*($E66/366))+(M67*($E67/366))</f>
        <v>17.486338797814209</v>
      </c>
      <c r="E149" s="504">
        <f t="shared" si="31"/>
        <v>100.00000000000001</v>
      </c>
      <c r="F149" s="505"/>
      <c r="G149" s="1">
        <v>1996</v>
      </c>
      <c r="H149" s="989">
        <f>(O66/$R66*100*($E66/366))+(O67/$R67*100*($E67/366))</f>
        <v>0</v>
      </c>
      <c r="I149" s="989"/>
      <c r="J149" s="989">
        <f>(P66/$R66*100*($E66/366))+(P67/$R67*100*($E67/366))</f>
        <v>82.513661202185801</v>
      </c>
      <c r="K149" s="989"/>
      <c r="L149" s="989">
        <f>(Q66/$R66*100*($E66/366))+(Q67/$R67*100*($E67/366))</f>
        <v>17.486338797814209</v>
      </c>
      <c r="M149" s="989"/>
      <c r="N149" s="1011">
        <f t="shared" si="34"/>
        <v>100.00000000000001</v>
      </c>
      <c r="O149" s="1011"/>
      <c r="P149" s="505"/>
      <c r="Q149" s="505"/>
      <c r="R149" s="1">
        <v>1996</v>
      </c>
      <c r="S149" s="8">
        <f>(O66*($E66/366))+(O67*($E67/366))</f>
        <v>0</v>
      </c>
      <c r="T149" s="8">
        <f>(P66*($E66/366))+(P67*($E67/366))</f>
        <v>43.154644808743171</v>
      </c>
      <c r="U149" s="8">
        <f>(Q66*($E66/366))+(Q67*($E67/366))</f>
        <v>8.8655737704918032</v>
      </c>
      <c r="V149" s="7"/>
      <c r="W149" s="7">
        <f t="shared" si="35"/>
        <v>52.020218579234978</v>
      </c>
    </row>
    <row r="150" spans="1:23" ht="9" customHeight="1">
      <c r="A150" s="1">
        <v>1997</v>
      </c>
      <c r="B150" s="469">
        <f>(K68*($E68/365))+(K69*($E69/365))</f>
        <v>0</v>
      </c>
      <c r="C150" s="469">
        <f>(L68*($E68/365))+(L69*($E69/365))</f>
        <v>0</v>
      </c>
      <c r="D150" s="469">
        <f>(M68*($E68/365))+(M69*($E69/365))</f>
        <v>100</v>
      </c>
      <c r="E150" s="504">
        <f t="shared" si="31"/>
        <v>100</v>
      </c>
      <c r="F150" s="505"/>
      <c r="G150" s="1">
        <v>1997</v>
      </c>
      <c r="H150" s="989">
        <f>(O68/$R68*100*($E68/365))+(O69/$R69*100*($E69/365))</f>
        <v>0</v>
      </c>
      <c r="I150" s="989"/>
      <c r="J150" s="989">
        <f>(P68/$R68*100*($E68/365))+(P69/$R69*100*($E69/365))</f>
        <v>0</v>
      </c>
      <c r="K150" s="989"/>
      <c r="L150" s="989">
        <f>(Q68/$R68*100*($E68/365))+(Q69/$R69*100*($E69/365))</f>
        <v>100</v>
      </c>
      <c r="M150" s="989"/>
      <c r="N150" s="1011">
        <f t="shared" si="34"/>
        <v>100</v>
      </c>
      <c r="O150" s="1011"/>
      <c r="P150" s="505"/>
      <c r="Q150" s="505"/>
      <c r="R150" s="1">
        <v>1997</v>
      </c>
      <c r="S150" s="8">
        <f>(O68*($E68/365))+(O69*($E69/365))</f>
        <v>0</v>
      </c>
      <c r="T150" s="8">
        <f>(P68*($E68/365))+(P69*($E69/365))</f>
        <v>0</v>
      </c>
      <c r="U150" s="8">
        <f>(Q68*($E68/365))+(Q69*($E69/365))</f>
        <v>50.7</v>
      </c>
      <c r="V150" s="7"/>
      <c r="W150" s="7">
        <f t="shared" si="35"/>
        <v>50.7</v>
      </c>
    </row>
    <row r="151" spans="1:23" ht="9" customHeight="1">
      <c r="A151" s="1">
        <v>1998</v>
      </c>
      <c r="B151" s="469">
        <f>(K70*($E70/365))+(K71*($E71/365))</f>
        <v>0</v>
      </c>
      <c r="C151" s="469">
        <f>(L70*($E70/365))+(L71*($E71/365))</f>
        <v>31.506849315068493</v>
      </c>
      <c r="D151" s="469">
        <f>(M70*($E70/365))+(M71*($E71/365))</f>
        <v>68.493150684931507</v>
      </c>
      <c r="E151" s="504">
        <f t="shared" si="31"/>
        <v>100</v>
      </c>
      <c r="F151" s="505"/>
      <c r="G151" s="1">
        <v>1998</v>
      </c>
      <c r="H151" s="989">
        <f>(O70/$R70*100*($E70/365))+(O71/$R71*100*($E71/365))</f>
        <v>0</v>
      </c>
      <c r="I151" s="989"/>
      <c r="J151" s="989">
        <f>(P70/$R70*100*($E70/365))+(P71/$R71*100*($E71/365))</f>
        <v>31.506849315068493</v>
      </c>
      <c r="K151" s="989"/>
      <c r="L151" s="989">
        <f>(Q70/$R70*100*($E70/365))+(Q71/$R71*100*($E71/365))</f>
        <v>68.493150684931507</v>
      </c>
      <c r="M151" s="989"/>
      <c r="N151" s="1011">
        <f t="shared" si="34"/>
        <v>100</v>
      </c>
      <c r="O151" s="1011"/>
      <c r="P151" s="505"/>
      <c r="Q151" s="505"/>
      <c r="R151" s="1">
        <v>1998</v>
      </c>
      <c r="S151" s="8">
        <f>(O70*($E70/365))+(O71*($E71/365))</f>
        <v>0</v>
      </c>
      <c r="T151" s="8">
        <f>(P70*($E70/365))+(P71*($E71/365))</f>
        <v>16.950684931506846</v>
      </c>
      <c r="U151" s="8">
        <f>(Q70*($E70/365))+(Q71*($E71/365))</f>
        <v>34.726027397260275</v>
      </c>
      <c r="V151" s="7"/>
      <c r="W151" s="7">
        <f t="shared" si="35"/>
        <v>51.676712328767124</v>
      </c>
    </row>
    <row r="152" spans="1:23" ht="9" customHeight="1">
      <c r="A152" s="1">
        <v>1999</v>
      </c>
      <c r="B152" s="469">
        <f>(K72*($E72/365))+(K73*($E73/365))</f>
        <v>0</v>
      </c>
      <c r="C152" s="469">
        <f>(L72*($E72/365))+(L73*($E73/365))</f>
        <v>100</v>
      </c>
      <c r="D152" s="469">
        <f>(M72*($E72/365))+(M73*($E73/365))</f>
        <v>0</v>
      </c>
      <c r="E152" s="504">
        <f t="shared" si="31"/>
        <v>100</v>
      </c>
      <c r="F152" s="505"/>
      <c r="G152" s="1">
        <v>1999</v>
      </c>
      <c r="H152" s="989">
        <f>(O72/$R72*100*($E72/365))+(O73/$R73*100*($E73/365))</f>
        <v>0</v>
      </c>
      <c r="I152" s="989"/>
      <c r="J152" s="989">
        <f>(P72/$R72*100*($E72/365))+(P73/$R73*100*($E73/365))</f>
        <v>100</v>
      </c>
      <c r="K152" s="989"/>
      <c r="L152" s="989">
        <f>(Q72/$R72*100*($E72/365))+(Q73/$R73*100*($E73/365))</f>
        <v>0</v>
      </c>
      <c r="M152" s="989"/>
      <c r="N152" s="1011">
        <f t="shared" si="34"/>
        <v>100</v>
      </c>
      <c r="O152" s="1011"/>
      <c r="P152" s="505"/>
      <c r="Q152" s="505"/>
      <c r="R152" s="1">
        <v>1999</v>
      </c>
      <c r="S152" s="8">
        <f>(O72*($E72/365))+(O73*($E73/365))</f>
        <v>0</v>
      </c>
      <c r="T152" s="8">
        <f>(P72*($E72/365))+(P73*($E73/365))</f>
        <v>53.8</v>
      </c>
      <c r="U152" s="8">
        <f>(Q72*($E72/365))+(Q73*($E73/365))</f>
        <v>0</v>
      </c>
      <c r="V152" s="7"/>
      <c r="W152" s="7">
        <f t="shared" si="35"/>
        <v>53.8</v>
      </c>
    </row>
    <row r="153" spans="1:23" ht="9" customHeight="1">
      <c r="A153" s="1">
        <v>2000</v>
      </c>
      <c r="B153" s="469">
        <f>(K74*($E74/366))+(K75*($E75/366))</f>
        <v>0</v>
      </c>
      <c r="C153" s="469">
        <f>(L74*($E74/366))+(L75*($E75/366))</f>
        <v>100</v>
      </c>
      <c r="D153" s="469">
        <f>(M74*($E74/366))+(M75*($E75/366))</f>
        <v>0</v>
      </c>
      <c r="E153" s="504">
        <f t="shared" si="31"/>
        <v>100</v>
      </c>
      <c r="F153" s="505"/>
      <c r="G153" s="1">
        <v>2000</v>
      </c>
      <c r="H153" s="989">
        <f>(O74/$R74*100*($E74/366))+(O75/$R75*100*($E75/366))</f>
        <v>0</v>
      </c>
      <c r="I153" s="989"/>
      <c r="J153" s="989">
        <f>(P74/$R74*100*($E74/366))+(P75/$R75*100*($E75/366))</f>
        <v>100</v>
      </c>
      <c r="K153" s="989"/>
      <c r="L153" s="989">
        <f>(Q74/$R74*100*($E74/366))+(Q75/$R75*100*($E75/366))</f>
        <v>0</v>
      </c>
      <c r="M153" s="989"/>
      <c r="N153" s="1011">
        <f t="shared" si="34"/>
        <v>100</v>
      </c>
      <c r="O153" s="1011"/>
      <c r="P153" s="505"/>
      <c r="Q153" s="505"/>
      <c r="R153" s="1">
        <v>2000</v>
      </c>
      <c r="S153" s="8">
        <f>(O74*($E74/366))+(O75*($E75/366))</f>
        <v>0</v>
      </c>
      <c r="T153" s="8">
        <f>(P74*($E74/366))+(P75*($E75/366))</f>
        <v>53.8</v>
      </c>
      <c r="U153" s="8">
        <f>(Q74*($E74/366))+(Q75*($E75/366))</f>
        <v>0</v>
      </c>
      <c r="V153" s="7"/>
      <c r="W153" s="7">
        <f t="shared" si="35"/>
        <v>53.8</v>
      </c>
    </row>
    <row r="154" spans="1:23" ht="9" customHeight="1">
      <c r="A154" s="1">
        <v>2001</v>
      </c>
      <c r="B154" s="469">
        <f>(K76*($E76/365))+(K77*($E77/365))</f>
        <v>0</v>
      </c>
      <c r="C154" s="469">
        <f>(L76*($E76/365))+(L77*($E77/365))</f>
        <v>100</v>
      </c>
      <c r="D154" s="469">
        <f>(M76*($E76/365))+(M77*($E77/365))</f>
        <v>0</v>
      </c>
      <c r="E154" s="504">
        <f t="shared" si="31"/>
        <v>100</v>
      </c>
      <c r="F154" s="505"/>
      <c r="G154" s="1">
        <v>2001</v>
      </c>
      <c r="H154" s="989">
        <f>(O76/$R76*100*($E76/365))+(O77/$R77*100*($E77/365))</f>
        <v>0</v>
      </c>
      <c r="I154" s="989"/>
      <c r="J154" s="989">
        <f>(P76/$R76*100*($E76/365))+(P77/$R77*100*($E77/365))</f>
        <v>100</v>
      </c>
      <c r="K154" s="989"/>
      <c r="L154" s="989">
        <f>(Q76/$R76*100*($E76/365))+(Q77/$R77*100*($E77/365))</f>
        <v>0</v>
      </c>
      <c r="M154" s="989"/>
      <c r="N154" s="1011">
        <f t="shared" si="34"/>
        <v>100</v>
      </c>
      <c r="O154" s="1011"/>
      <c r="P154" s="505"/>
      <c r="Q154" s="505"/>
      <c r="R154" s="1">
        <v>2001</v>
      </c>
      <c r="S154" s="8">
        <f>(O76*($E76/365))+(O77*($E77/365))</f>
        <v>0</v>
      </c>
      <c r="T154" s="8">
        <f>(P76*($E76/365))+(P77*($E77/365))</f>
        <v>53.8</v>
      </c>
      <c r="U154" s="8">
        <f>(Q76*($E76/365))+(Q77*($E77/365))</f>
        <v>0</v>
      </c>
      <c r="V154" s="7"/>
      <c r="W154" s="7">
        <f t="shared" si="35"/>
        <v>53.8</v>
      </c>
    </row>
    <row r="155" spans="1:23" ht="9" customHeight="1">
      <c r="A155" s="1">
        <v>2002</v>
      </c>
      <c r="B155" s="469">
        <f>(K78*($E78/365))+(K79*($E79/365))</f>
        <v>0</v>
      </c>
      <c r="C155" s="469">
        <f>(L78*($E78/365))+(L79*($E79/365))</f>
        <v>100</v>
      </c>
      <c r="D155" s="469">
        <f>(M78*($E78/365))+(M79*($E79/365))</f>
        <v>0</v>
      </c>
      <c r="E155" s="504">
        <f t="shared" si="31"/>
        <v>100</v>
      </c>
      <c r="F155" s="505"/>
      <c r="G155" s="1">
        <v>2002</v>
      </c>
      <c r="H155" s="989">
        <f>(O78/$R78*100*($E78/365))+(O79/$R79*100*($E79/365))</f>
        <v>0</v>
      </c>
      <c r="I155" s="989"/>
      <c r="J155" s="989">
        <f>(P78/$R78*100*($E78/365))+(P79/$R79*100*($E79/365))</f>
        <v>100</v>
      </c>
      <c r="K155" s="989"/>
      <c r="L155" s="989">
        <f>(Q78/$R78*100*($E78/365))+(Q79/$R79*100*($E79/365))</f>
        <v>0</v>
      </c>
      <c r="M155" s="989"/>
      <c r="N155" s="1011">
        <f t="shared" si="34"/>
        <v>100</v>
      </c>
      <c r="O155" s="1011"/>
      <c r="P155" s="505"/>
      <c r="Q155" s="505"/>
      <c r="R155" s="1">
        <v>2002</v>
      </c>
      <c r="S155" s="8">
        <f>(O78*($E78/365))+(O79*($E79/365))</f>
        <v>0</v>
      </c>
      <c r="T155" s="8">
        <f>(P78*($E78/365))+(P79*($E79/365))</f>
        <v>53.8</v>
      </c>
      <c r="U155" s="8">
        <f>(Q78*($E78/365))+(Q79*($E79/365))</f>
        <v>0</v>
      </c>
      <c r="V155" s="7"/>
      <c r="W155" s="7">
        <f t="shared" si="35"/>
        <v>53.8</v>
      </c>
    </row>
    <row r="156" spans="1:23" ht="9" customHeight="1">
      <c r="A156" s="1">
        <v>2003</v>
      </c>
      <c r="B156" s="469">
        <f>(K80*($E80/365))+(K81*($E81/365))</f>
        <v>0</v>
      </c>
      <c r="C156" s="469">
        <f>(L80*($E80/365))+(L81*($E81/365))</f>
        <v>100</v>
      </c>
      <c r="D156" s="469">
        <f>(M80*($E80/365))+(M81*($E81/365))</f>
        <v>0</v>
      </c>
      <c r="E156" s="504">
        <f t="shared" si="31"/>
        <v>100</v>
      </c>
      <c r="F156" s="505"/>
      <c r="G156" s="1">
        <v>2003</v>
      </c>
      <c r="H156" s="989">
        <f>(O80/$R80*100*($E80/365))+(O81/$R81*100*($E81/365))</f>
        <v>0</v>
      </c>
      <c r="I156" s="989"/>
      <c r="J156" s="989">
        <f>(P80/$R80*100*($E80/365))+(P81/$R81*100*($E81/365))</f>
        <v>100</v>
      </c>
      <c r="K156" s="989"/>
      <c r="L156" s="989">
        <f>(Q80/$R80*100*($E80/365))+(Q81/$R81*100*($E81/365))</f>
        <v>0</v>
      </c>
      <c r="M156" s="989"/>
      <c r="N156" s="1011">
        <f t="shared" si="34"/>
        <v>100</v>
      </c>
      <c r="O156" s="1011"/>
      <c r="P156" s="505"/>
      <c r="Q156" s="505"/>
      <c r="R156" s="1">
        <v>2003</v>
      </c>
      <c r="S156" s="8">
        <f>(O80*($E80/365))+(O81*($E81/365))</f>
        <v>0</v>
      </c>
      <c r="T156" s="8">
        <f>(P80*($E80/365))+(P81*($E81/365))</f>
        <v>53.8</v>
      </c>
      <c r="U156" s="8">
        <f>(Q80*($E80/365))+(Q81*($E81/365))</f>
        <v>0</v>
      </c>
      <c r="V156" s="7"/>
      <c r="W156" s="7">
        <f t="shared" si="35"/>
        <v>53.8</v>
      </c>
    </row>
    <row r="157" spans="1:23" ht="9" customHeight="1">
      <c r="A157" s="1">
        <v>2004</v>
      </c>
      <c r="B157" s="469">
        <f>(K82*($E82/366))+(K83*($E83/366))</f>
        <v>0</v>
      </c>
      <c r="C157" s="469">
        <f>(L82*($E82/366))+(L83*($E83/366))</f>
        <v>100</v>
      </c>
      <c r="D157" s="469">
        <f>(M82*($E82/366))+(M83*($E83/366))</f>
        <v>0</v>
      </c>
      <c r="E157" s="504">
        <f t="shared" si="31"/>
        <v>100</v>
      </c>
      <c r="F157" s="505"/>
      <c r="G157" s="1">
        <v>2004</v>
      </c>
      <c r="H157" s="989">
        <f>(O82/$R82*100*($E82/366))+(O83/$R83*100*($E83/366))</f>
        <v>0</v>
      </c>
      <c r="I157" s="989"/>
      <c r="J157" s="989">
        <f>(P82/$R82*100*($E82/366))+(P83/$R83*100*($E83/366))</f>
        <v>100</v>
      </c>
      <c r="K157" s="989"/>
      <c r="L157" s="989">
        <f>(Q82/$R82*100*($E82/366))+(Q83/$R83*100*($E83/366))</f>
        <v>0</v>
      </c>
      <c r="M157" s="989"/>
      <c r="N157" s="1011">
        <f t="shared" si="34"/>
        <v>100</v>
      </c>
      <c r="O157" s="1011"/>
      <c r="P157" s="505"/>
      <c r="Q157" s="505"/>
      <c r="R157" s="1">
        <v>2004</v>
      </c>
      <c r="S157" s="8">
        <f>(O82*($E82/366))+(O83*($E83/366))</f>
        <v>0</v>
      </c>
      <c r="T157" s="8">
        <f>(P82*($E82/366))+(P83*($E83/366))</f>
        <v>53.8</v>
      </c>
      <c r="U157" s="8">
        <f>(Q82*($E82/366))+(Q83*($E83/366))</f>
        <v>0</v>
      </c>
      <c r="V157" s="7"/>
      <c r="W157" s="7">
        <f t="shared" si="35"/>
        <v>53.8</v>
      </c>
    </row>
    <row r="158" spans="1:23" ht="9" customHeight="1">
      <c r="A158" s="1">
        <v>2005</v>
      </c>
      <c r="B158" s="469">
        <f>(K84*($E84/365))+(K85*($E85/365))</f>
        <v>0</v>
      </c>
      <c r="C158" s="469">
        <f>(L84*($E84/365))+(L85*($E85/365))</f>
        <v>100</v>
      </c>
      <c r="D158" s="469">
        <f>(M84*($E84/365))+(M85*($E85/365))</f>
        <v>0</v>
      </c>
      <c r="E158" s="504">
        <f t="shared" si="31"/>
        <v>100</v>
      </c>
      <c r="F158" s="505"/>
      <c r="G158" s="1">
        <v>2005</v>
      </c>
      <c r="H158" s="989">
        <f>(O84/$R84*100*($E84/365))+(O85/$R85*100*($E85/365))</f>
        <v>0</v>
      </c>
      <c r="I158" s="989"/>
      <c r="J158" s="989">
        <f>(P84/$R84*100*($E84/365))+(P85/$R85*100*($E85/365))</f>
        <v>100</v>
      </c>
      <c r="K158" s="989"/>
      <c r="L158" s="989">
        <f>(Q84/$R84*100*($E84/365))+(Q85/$R85*100*($E85/365))</f>
        <v>0</v>
      </c>
      <c r="M158" s="989"/>
      <c r="N158" s="1011">
        <f t="shared" si="34"/>
        <v>100</v>
      </c>
      <c r="O158" s="1011"/>
      <c r="P158" s="505"/>
      <c r="Q158" s="505"/>
      <c r="R158" s="1">
        <v>2005</v>
      </c>
      <c r="S158" s="8">
        <f>(O84*($E84/365))+(O85*($E85/365))</f>
        <v>0</v>
      </c>
      <c r="T158" s="8">
        <f>(P84*($E84/365))+(P85*($E85/365))</f>
        <v>53.8</v>
      </c>
      <c r="U158" s="8">
        <f>(Q84*($E84/365))+(Q85*($E85/365))</f>
        <v>0</v>
      </c>
      <c r="V158" s="7"/>
      <c r="W158" s="7">
        <f t="shared" si="35"/>
        <v>53.8</v>
      </c>
    </row>
    <row r="159" spans="1:23" ht="9" customHeight="1">
      <c r="A159" s="1">
        <v>2006</v>
      </c>
      <c r="B159" s="469">
        <f>(K86*($E86/365))+(K87*($E87/365))</f>
        <v>0</v>
      </c>
      <c r="C159" s="469">
        <f>(L86*($E86/365))+(L87*($E87/365))</f>
        <v>100</v>
      </c>
      <c r="D159" s="469">
        <f>(M86*($E86/365))+(M87*($E87/365))</f>
        <v>0</v>
      </c>
      <c r="E159" s="504">
        <f t="shared" si="31"/>
        <v>100</v>
      </c>
      <c r="F159" s="505"/>
      <c r="G159" s="1">
        <v>2006</v>
      </c>
      <c r="H159" s="989">
        <f>(O86/$R86*100*($E86/365))+(O87/$R87*100*($E87/365))</f>
        <v>0</v>
      </c>
      <c r="I159" s="989"/>
      <c r="J159" s="989">
        <f>(P86/$R86*100*($E86/365))+(P87/$R87*100*($E87/365))</f>
        <v>100</v>
      </c>
      <c r="K159" s="989"/>
      <c r="L159" s="989">
        <f>(Q86/$R86*100*($E86/365))+(Q87/$R87*100*($E87/365))</f>
        <v>0</v>
      </c>
      <c r="M159" s="989"/>
      <c r="N159" s="1011">
        <f t="shared" si="34"/>
        <v>100</v>
      </c>
      <c r="O159" s="1011"/>
      <c r="P159" s="505"/>
      <c r="Q159" s="505"/>
      <c r="R159" s="1">
        <v>2006</v>
      </c>
      <c r="S159" s="8">
        <f>(O86*($E86/365))+(O87*($E87/365))</f>
        <v>0</v>
      </c>
      <c r="T159" s="8">
        <f>(P86*($E86/365))+(P87*($E87/365))</f>
        <v>53.8</v>
      </c>
      <c r="U159" s="8">
        <f>(Q86*($E86/365))+(Q87*($E87/365))</f>
        <v>0</v>
      </c>
      <c r="V159" s="7"/>
      <c r="W159" s="7">
        <f t="shared" si="35"/>
        <v>53.8</v>
      </c>
    </row>
    <row r="160" spans="1:23" ht="9" customHeight="1">
      <c r="A160" s="1">
        <v>2007</v>
      </c>
      <c r="B160" s="469">
        <f>(K88*($E88/365))+(K89*($E89/365))</f>
        <v>0</v>
      </c>
      <c r="C160" s="469">
        <f>(L88*($E88/365))+(L89*($E89/365))</f>
        <v>100</v>
      </c>
      <c r="D160" s="469">
        <f>(M88*($E88/365))+(M89*($E89/365))</f>
        <v>0</v>
      </c>
      <c r="E160" s="504">
        <f t="shared" si="31"/>
        <v>100</v>
      </c>
      <c r="F160" s="505"/>
      <c r="G160" s="1">
        <v>2007</v>
      </c>
      <c r="H160" s="989">
        <f>(O88/$R88*100*($E88/365))+(O89/$R89*100*($E89/365))</f>
        <v>0</v>
      </c>
      <c r="I160" s="989"/>
      <c r="J160" s="989">
        <f>(P88/$R88*100*($E88/365))+(P89/$R89*100*($E89/365))</f>
        <v>100</v>
      </c>
      <c r="K160" s="989"/>
      <c r="L160" s="989">
        <f>(Q88/$R88*100*($E88/365))+(Q89/$R89*100*($E89/365))</f>
        <v>0</v>
      </c>
      <c r="M160" s="989"/>
      <c r="N160" s="1011">
        <f t="shared" si="34"/>
        <v>100</v>
      </c>
      <c r="O160" s="1011"/>
      <c r="P160" s="505"/>
      <c r="Q160" s="505"/>
      <c r="R160" s="1">
        <v>2007</v>
      </c>
      <c r="S160" s="8">
        <f>(O88*($E88/365))+(O89*($E89/365))</f>
        <v>0</v>
      </c>
      <c r="T160" s="8">
        <f>(P88*($E88/365))+(P89*($E89/365))</f>
        <v>55.8</v>
      </c>
      <c r="U160" s="8">
        <f>(Q88*($E88/365))+(Q89*($E89/365))</f>
        <v>0</v>
      </c>
      <c r="V160" s="7"/>
      <c r="W160" s="7">
        <f t="shared" si="35"/>
        <v>55.8</v>
      </c>
    </row>
    <row r="161" spans="1:23" ht="9" customHeight="1">
      <c r="A161" s="1">
        <v>2008</v>
      </c>
      <c r="B161" s="469">
        <f>(K90*($E90/366))+(K91*($E91/366))</f>
        <v>0</v>
      </c>
      <c r="C161" s="469">
        <f>(L90*($E90/366))+(L91*($E91/366))</f>
        <v>100</v>
      </c>
      <c r="D161" s="469">
        <f>(M90*($E90/366))+(M91*($E91/366))</f>
        <v>0</v>
      </c>
      <c r="E161" s="504">
        <f t="shared" si="31"/>
        <v>100</v>
      </c>
      <c r="F161" s="505"/>
      <c r="G161" s="1">
        <v>2008</v>
      </c>
      <c r="H161" s="989">
        <f>(O90/$R90*100*($E90/366))+(O91/$R91*100*($E91/366))</f>
        <v>0</v>
      </c>
      <c r="I161" s="989"/>
      <c r="J161" s="989">
        <f>(P90/$R90*100*($E90/366))+(P91/$R91*100*($E91/366))</f>
        <v>100</v>
      </c>
      <c r="K161" s="989"/>
      <c r="L161" s="989">
        <f>(Q90/$R90*100*($E90/366))+(Q91/$R91*100*($E91/366))</f>
        <v>0</v>
      </c>
      <c r="M161" s="989"/>
      <c r="N161" s="1011">
        <f t="shared" si="34"/>
        <v>100</v>
      </c>
      <c r="O161" s="1011"/>
      <c r="P161" s="505"/>
      <c r="Q161" s="505"/>
      <c r="R161" s="1">
        <v>2008</v>
      </c>
      <c r="S161" s="8">
        <f>(O90*($E90/366))+(O91*($E91/366))</f>
        <v>0</v>
      </c>
      <c r="T161" s="8">
        <f>(P90*($E90/366))+(P91*($E91/366))</f>
        <v>51.705464480874312</v>
      </c>
      <c r="U161" s="8">
        <f>(Q90*($E90/366))+(Q91*($E91/366))</f>
        <v>0</v>
      </c>
      <c r="V161" s="7"/>
      <c r="W161" s="7">
        <f t="shared" si="35"/>
        <v>51.705464480874312</v>
      </c>
    </row>
    <row r="162" spans="1:23" ht="9" customHeight="1">
      <c r="A162" s="1">
        <v>2009</v>
      </c>
      <c r="B162" s="469">
        <f>(K92*($E92/365))+(K93*($E93/365))</f>
        <v>0</v>
      </c>
      <c r="C162" s="469">
        <f>(L92*($E92/365))+(L93*($E93/365))</f>
        <v>100</v>
      </c>
      <c r="D162" s="469">
        <f>(M92*($E92/365))+(M93*($E93/365))</f>
        <v>0</v>
      </c>
      <c r="E162" s="504">
        <f t="shared" si="31"/>
        <v>100</v>
      </c>
      <c r="F162" s="505"/>
      <c r="G162" s="1">
        <v>2009</v>
      </c>
      <c r="H162" s="989">
        <f>(O92/$R92*100*($E92/365))+(O93/$R93*100*($E93/365))</f>
        <v>0</v>
      </c>
      <c r="I162" s="989"/>
      <c r="J162" s="989">
        <f>(P92/$R92*100*($E92/365))+(P93/$R93*100*($E93/365))</f>
        <v>100</v>
      </c>
      <c r="K162" s="989"/>
      <c r="L162" s="989">
        <f>(Q92/$R92*100*($E92/365))+(Q93/$R93*100*($E93/365))</f>
        <v>0</v>
      </c>
      <c r="M162" s="989"/>
      <c r="N162" s="1011">
        <f t="shared" si="34"/>
        <v>100</v>
      </c>
      <c r="O162" s="1011"/>
      <c r="P162" s="505"/>
      <c r="Q162" s="505"/>
      <c r="R162" s="1">
        <v>2009</v>
      </c>
      <c r="S162" s="8">
        <f>(O92*($E92/365))+(O93*($E93/365))</f>
        <v>0</v>
      </c>
      <c r="T162" s="8">
        <f>(P92*($E92/365))+(P93*($E93/365))</f>
        <v>50.72</v>
      </c>
      <c r="U162" s="8">
        <f>(Q92*($E92/365))+(Q93*($E93/365))</f>
        <v>0</v>
      </c>
      <c r="V162" s="7"/>
      <c r="W162" s="7">
        <f t="shared" si="35"/>
        <v>50.72</v>
      </c>
    </row>
    <row r="163" spans="1:23" ht="9" customHeight="1">
      <c r="A163" s="1">
        <v>2010</v>
      </c>
      <c r="B163" s="469">
        <f>(K94*($E94/365))+(K95*($E95/365))</f>
        <v>0</v>
      </c>
      <c r="C163" s="469">
        <f>(L94*($E94/365))+(L95*($E95/365))</f>
        <v>100</v>
      </c>
      <c r="D163" s="469">
        <f>(M94*($E94/365))+(M95*($E95/365))</f>
        <v>0</v>
      </c>
      <c r="E163" s="504">
        <f t="shared" si="31"/>
        <v>100</v>
      </c>
      <c r="F163" s="505"/>
      <c r="G163" s="1">
        <v>2010</v>
      </c>
      <c r="H163" s="989">
        <f>(O94/$R94*100*($E94/365))+(O95/$R95*100*($E95/365))</f>
        <v>0</v>
      </c>
      <c r="I163" s="989"/>
      <c r="J163" s="989">
        <f>(P94/$R94*100*($E94/365))+(P95/$R95*100*($E95/365))</f>
        <v>100</v>
      </c>
      <c r="K163" s="989"/>
      <c r="L163" s="989">
        <f>(Q94/$R94*100*($E94/365))+(Q95/$R95*100*($E95/365))</f>
        <v>0</v>
      </c>
      <c r="M163" s="989"/>
      <c r="N163" s="1011">
        <f t="shared" si="34"/>
        <v>100</v>
      </c>
      <c r="O163" s="1011"/>
      <c r="P163" s="505"/>
      <c r="Q163" s="505"/>
      <c r="R163" s="1">
        <v>2010</v>
      </c>
      <c r="S163" s="8">
        <f>(O94*($E94/365))+(O95*($E95/365))</f>
        <v>0</v>
      </c>
      <c r="T163" s="8">
        <f>(P94*($E94/365))+(P95*($E95/365))</f>
        <v>50.72</v>
      </c>
      <c r="U163" s="8">
        <f>(Q94*($E94/365))+(Q95*($E95/365))</f>
        <v>0</v>
      </c>
      <c r="V163" s="7"/>
      <c r="W163" s="7">
        <f t="shared" si="35"/>
        <v>50.72</v>
      </c>
    </row>
    <row r="164" spans="1:23" ht="9" customHeight="1">
      <c r="A164" s="1">
        <v>2011</v>
      </c>
      <c r="B164" s="469">
        <f>(K96*($E96/365))+(K97*($E97/365))</f>
        <v>0</v>
      </c>
      <c r="C164" s="469">
        <f>(L96*($E96/365))+(L97*($E97/365))</f>
        <v>100</v>
      </c>
      <c r="D164" s="469">
        <f>(M96*($E96/365))+(M97*($E97/365))</f>
        <v>0</v>
      </c>
      <c r="E164" s="504">
        <f t="shared" si="31"/>
        <v>100</v>
      </c>
      <c r="F164" s="505"/>
      <c r="G164" s="1">
        <v>2011</v>
      </c>
      <c r="H164" s="989">
        <f>(O96/$R96*100*($E96/365))+(O97/$R97*100*($E97/365))</f>
        <v>0</v>
      </c>
      <c r="I164" s="989"/>
      <c r="J164" s="989">
        <f>(P96/$R96*100*($E96/365))+(P97/$R97*100*($E97/365))</f>
        <v>100</v>
      </c>
      <c r="K164" s="989"/>
      <c r="L164" s="989">
        <f>(Q96/$R96*100*($E96/365))+(Q97/$R97*100*($E97/365))</f>
        <v>0</v>
      </c>
      <c r="M164" s="989"/>
      <c r="N164" s="1011">
        <f t="shared" si="34"/>
        <v>100</v>
      </c>
      <c r="O164" s="1011"/>
      <c r="P164" s="505"/>
      <c r="Q164" s="505"/>
      <c r="R164" s="1">
        <v>2011</v>
      </c>
      <c r="S164" s="8">
        <f>(O96*($E96/365))+(O97*($E97/365))</f>
        <v>0</v>
      </c>
      <c r="T164" s="8">
        <f>(P96*($E96/365))+(P97*($E97/365))</f>
        <v>50.72</v>
      </c>
      <c r="U164" s="8">
        <f>(Q96*($E96/365))+(Q97*($E97/365))</f>
        <v>0</v>
      </c>
      <c r="V164" s="7"/>
      <c r="W164" s="7">
        <f t="shared" si="35"/>
        <v>50.72</v>
      </c>
    </row>
    <row r="165" spans="1:23" ht="9" customHeight="1">
      <c r="A165" s="1">
        <v>2012</v>
      </c>
      <c r="B165" s="469">
        <f>(K98*($E98/366))+(K99*($E99/366))</f>
        <v>0</v>
      </c>
      <c r="C165" s="469">
        <f>(L98*($E98/366))+(L99*($E99/366))</f>
        <v>100</v>
      </c>
      <c r="D165" s="469">
        <f>(M98*($E98/366))+(M99*($E99/366))</f>
        <v>0</v>
      </c>
      <c r="E165" s="504">
        <f t="shared" si="31"/>
        <v>100</v>
      </c>
      <c r="F165" s="505"/>
      <c r="G165" s="1">
        <v>2012</v>
      </c>
      <c r="H165" s="989">
        <f>(O98/$R98*100*($E98/366))+(O99/$R99*100*($E99/366))</f>
        <v>0</v>
      </c>
      <c r="I165" s="989"/>
      <c r="J165" s="989">
        <f>(P98/$R98*100*($E98/366))+(P99/$R99*100*($E99/366))</f>
        <v>100</v>
      </c>
      <c r="K165" s="989"/>
      <c r="L165" s="989">
        <f>(Q98/$R98*100*($E98/366))+(Q99/$R99*100*($E99/366))</f>
        <v>0</v>
      </c>
      <c r="M165" s="989"/>
      <c r="N165" s="1011">
        <f t="shared" si="34"/>
        <v>100</v>
      </c>
      <c r="O165" s="1011"/>
      <c r="P165" s="506"/>
      <c r="Q165" s="506"/>
      <c r="R165" s="1">
        <v>2012</v>
      </c>
      <c r="S165" s="8">
        <f>(O98*($E98/366))+(O99*($E99/366))</f>
        <v>0</v>
      </c>
      <c r="T165" s="8">
        <f>(P98*($E98/366))+(P99*($E99/366))</f>
        <v>50.72</v>
      </c>
      <c r="U165" s="8">
        <f>(Q98*($E98/366))+(Q99*($E99/366))</f>
        <v>0</v>
      </c>
      <c r="V165" s="7"/>
      <c r="W165" s="7">
        <f t="shared" si="35"/>
        <v>50.72</v>
      </c>
    </row>
    <row r="166" spans="1:23">
      <c r="A166" s="1">
        <v>2013</v>
      </c>
      <c r="B166" s="469">
        <f>(K100*($E100/365))+(K101*($E101/365))</f>
        <v>0</v>
      </c>
      <c r="C166" s="469">
        <f>(L100*($E100/365))+(L101*($E101/365))</f>
        <v>19.452054794520549</v>
      </c>
      <c r="D166" s="469">
        <f>(M100*($E100/365))+(M101*($E101/365))</f>
        <v>80.547945205479451</v>
      </c>
      <c r="E166" s="504">
        <f t="shared" si="31"/>
        <v>100</v>
      </c>
      <c r="F166" s="505"/>
      <c r="G166" s="1">
        <v>2013</v>
      </c>
      <c r="H166" s="989">
        <f>(O100/$R100*100*($E100/365))+(O101/$R101*100*($E101/365))</f>
        <v>0</v>
      </c>
      <c r="I166" s="989"/>
      <c r="J166" s="989">
        <f>(P100/$R100*100*($E100/365))+(P101/$R101*100*($E101/365))</f>
        <v>19.452054794520549</v>
      </c>
      <c r="K166" s="989"/>
      <c r="L166" s="989">
        <f>(Q100/$R100*100*($E100/365))+(Q101/$R101*100*($E101/365))</f>
        <v>80.547945205479451</v>
      </c>
      <c r="M166" s="989"/>
      <c r="N166" s="1011">
        <f t="shared" si="34"/>
        <v>100</v>
      </c>
      <c r="O166" s="1011"/>
      <c r="P166" s="506"/>
      <c r="Q166" s="506"/>
      <c r="R166" s="1">
        <v>2013</v>
      </c>
      <c r="S166" s="8">
        <f>(O100*($E100/365))+(O101*($E101/365))</f>
        <v>0</v>
      </c>
      <c r="T166" s="8">
        <f>(P100*($E100/365))+(P101*($E101/365))</f>
        <v>9.8660821917808228</v>
      </c>
      <c r="U166" s="8">
        <f>(Q100*($E100/365))+(Q101*($E101/365))</f>
        <v>45.509589041095893</v>
      </c>
      <c r="V166" s="7"/>
      <c r="W166" s="7">
        <f t="shared" si="35"/>
        <v>55.375671232876712</v>
      </c>
    </row>
    <row r="167" spans="1:23">
      <c r="A167" s="1">
        <v>2014</v>
      </c>
      <c r="B167" s="469">
        <f>(K102*($E102/365))+(K103*($E103/365))</f>
        <v>0</v>
      </c>
      <c r="C167" s="469">
        <f>(L102*($E102/365))+(L103*($E103/365))</f>
        <v>0</v>
      </c>
      <c r="D167" s="469">
        <f>(M102*($E102/365))+(M103*($E103/365))</f>
        <v>100</v>
      </c>
      <c r="E167" s="504">
        <f>SUM(B167:D167)</f>
        <v>100</v>
      </c>
      <c r="F167" s="505"/>
      <c r="G167" s="1">
        <v>2014</v>
      </c>
      <c r="H167" s="989">
        <f>(O102/$R102*100*($E102/365))+(O103/$R103*100*($E103/365))</f>
        <v>0</v>
      </c>
      <c r="I167" s="989"/>
      <c r="J167" s="989">
        <f>(P102/$R102*100*($E102/365))+(P103/$R103*100*($E103/365))</f>
        <v>0</v>
      </c>
      <c r="K167" s="989"/>
      <c r="L167" s="989">
        <f>(Q102/$R102*100*($E102/365))+(Q103/$R103*100*($E103/365))</f>
        <v>100</v>
      </c>
      <c r="M167" s="989"/>
      <c r="N167" s="1011">
        <f>H167+J167+L167</f>
        <v>100</v>
      </c>
      <c r="O167" s="1011"/>
      <c r="P167" s="506"/>
      <c r="Q167" s="506"/>
      <c r="R167" s="1">
        <v>2014</v>
      </c>
      <c r="S167" s="8">
        <f>(O102*($E102/365))+(O103*($E103/365))</f>
        <v>0</v>
      </c>
      <c r="T167" s="8">
        <f>(P102*($E102/365))+(P103*($E103/365))</f>
        <v>0</v>
      </c>
      <c r="U167" s="8">
        <f>(Q102*($E102/365))+(Q103*($E103/365))</f>
        <v>56.5</v>
      </c>
      <c r="V167" s="7"/>
      <c r="W167" s="7">
        <f>S167+T167+U167</f>
        <v>56.5</v>
      </c>
    </row>
    <row r="168" spans="1:23" s="738" customFormat="1">
      <c r="A168" s="738">
        <v>2015</v>
      </c>
      <c r="B168" s="729">
        <f>(K104*($E104/365))+(K105*($E105/365))</f>
        <v>0</v>
      </c>
      <c r="C168" s="729">
        <f>(L104*($E104/365))+(L105*($E105/365))</f>
        <v>0</v>
      </c>
      <c r="D168" s="729">
        <f>(M104*($E104/365))+(M105*($E105/365))</f>
        <v>100</v>
      </c>
      <c r="E168" s="504">
        <f>SUM(B168:D168)</f>
        <v>100</v>
      </c>
      <c r="F168" s="505"/>
      <c r="G168" s="738">
        <v>2015</v>
      </c>
      <c r="H168" s="989">
        <f>(O104/$R104*100*($E104/365))+(O105/$R105*100*($E105/365))</f>
        <v>0</v>
      </c>
      <c r="I168" s="989"/>
      <c r="J168" s="989">
        <f>(P104/$R104*100*($E104/365))+(P105/$R105*100*($E105/365))</f>
        <v>0</v>
      </c>
      <c r="K168" s="989"/>
      <c r="L168" s="989">
        <f>(Q104/$R104*100*($E104/365))+(Q105/$R105*100*($E105/365))</f>
        <v>100</v>
      </c>
      <c r="M168" s="989"/>
      <c r="N168" s="1011">
        <f>H168+J168+L168</f>
        <v>100</v>
      </c>
      <c r="O168" s="1011"/>
      <c r="P168" s="506"/>
      <c r="Q168" s="506"/>
      <c r="R168" s="738">
        <v>2015</v>
      </c>
      <c r="S168" s="732">
        <f>(O104*($E104/365))+(O105*($E105/365))</f>
        <v>0</v>
      </c>
      <c r="T168" s="732">
        <f>(P104*($E104/365))+(P105*($E105/365))</f>
        <v>0</v>
      </c>
      <c r="U168" s="732">
        <f>(Q104*($E104/365))+(Q105*($E105/365))</f>
        <v>56.5</v>
      </c>
      <c r="V168" s="737"/>
      <c r="W168" s="737">
        <f>S168+T168+U168</f>
        <v>56.5</v>
      </c>
    </row>
    <row r="169" spans="1:23">
      <c r="A169" s="844">
        <v>2016</v>
      </c>
      <c r="B169" s="835">
        <f>(K106*($E106/366))+(K107*($E107/366))</f>
        <v>0</v>
      </c>
      <c r="C169" s="835">
        <f>(L106*($E106/366))+(L107*($E107/366))</f>
        <v>0</v>
      </c>
      <c r="D169" s="835">
        <f>(M106*($E106/366))+(M107*($E107/366))</f>
        <v>100</v>
      </c>
      <c r="E169" s="504">
        <f t="shared" ref="E169" si="36">SUM(B169:D169)</f>
        <v>100</v>
      </c>
      <c r="F169" s="505"/>
      <c r="G169" s="844">
        <v>2016</v>
      </c>
      <c r="H169" s="989">
        <f>(O106/$R106*100*($E106/366))+(O107/$R107*100*($E107/366))</f>
        <v>0</v>
      </c>
      <c r="I169" s="989"/>
      <c r="J169" s="989">
        <f>(P106/$R106*100*($E106/366))+(P107/$R107*100*($E107/366))</f>
        <v>0</v>
      </c>
      <c r="K169" s="989"/>
      <c r="L169" s="989">
        <f>(Q106/$R106*100*($E106/366))+(Q107/$R107*100*($E107/366))</f>
        <v>100</v>
      </c>
      <c r="M169" s="989"/>
      <c r="N169" s="1011">
        <f t="shared" ref="N169" si="37">H169+J169+L169</f>
        <v>100</v>
      </c>
      <c r="O169" s="1011"/>
      <c r="P169" s="506"/>
      <c r="Q169" s="506"/>
      <c r="R169" s="844">
        <v>2016</v>
      </c>
      <c r="S169" s="838">
        <f>(O106*($E106/366))+(O107*($E107/366))</f>
        <v>0</v>
      </c>
      <c r="T169" s="838">
        <f>(P106*($E106/366))+(P107*($E107/366))</f>
        <v>0</v>
      </c>
      <c r="U169" s="838">
        <f>(Q106*($E106/366))+(Q107*($E107/366))</f>
        <v>56.5</v>
      </c>
      <c r="V169" s="842"/>
      <c r="W169" s="842">
        <f t="shared" ref="W169" si="38">S169+T169+U169</f>
        <v>56.5</v>
      </c>
    </row>
    <row r="170" spans="1:23">
      <c r="A170" s="920">
        <v>2017</v>
      </c>
      <c r="B170" s="913">
        <f>(K108*($E108/365))+(K109*($E109/365))</f>
        <v>0</v>
      </c>
      <c r="C170" s="913">
        <f t="shared" ref="C170:D170" si="39">(L108*($E108/365))+(L109*($E109/365))</f>
        <v>0</v>
      </c>
      <c r="D170" s="913">
        <f t="shared" si="39"/>
        <v>100</v>
      </c>
      <c r="E170" s="504">
        <f t="shared" ref="E170" si="40">SUM(B170:D170)</f>
        <v>100</v>
      </c>
      <c r="F170" s="505"/>
      <c r="G170" s="920">
        <v>2017</v>
      </c>
      <c r="H170" s="989">
        <f>(O108/$R108*100*($E108/365))+(O109/$R109*100*($E109/365))</f>
        <v>0</v>
      </c>
      <c r="I170" s="989"/>
      <c r="J170" s="989">
        <f>(P108/$R108*100*($E108/365))+(P109/$R109*100*($E109/365))</f>
        <v>0</v>
      </c>
      <c r="K170" s="989"/>
      <c r="L170" s="989">
        <f>(Q108/$R108*100*($E108/365))+(Q109/$R109*100*($E109/365))</f>
        <v>100</v>
      </c>
      <c r="M170" s="989"/>
      <c r="N170" s="1011">
        <f t="shared" ref="N170" si="41">H170+J170+L170</f>
        <v>100</v>
      </c>
      <c r="O170" s="1011"/>
      <c r="P170" s="506"/>
      <c r="Q170" s="506"/>
      <c r="R170" s="920">
        <v>2017</v>
      </c>
      <c r="S170" s="915">
        <f>(O108*($E108/365))+(O109*($E109/365))</f>
        <v>0</v>
      </c>
      <c r="T170" s="915">
        <f t="shared" ref="T170:U170" si="42">(P108*($E108/365))+(P109*($E109/365))</f>
        <v>0</v>
      </c>
      <c r="U170" s="915">
        <f t="shared" si="42"/>
        <v>55.766301369863015</v>
      </c>
      <c r="V170" s="917"/>
      <c r="W170" s="917">
        <f t="shared" ref="W170" si="43">S170+T170+U170</f>
        <v>55.766301369863015</v>
      </c>
    </row>
    <row r="171" spans="1:23">
      <c r="A171" s="950">
        <v>2018</v>
      </c>
      <c r="B171" s="941">
        <f>(K110*($E110/365))+(K111*($E111/365))</f>
        <v>0</v>
      </c>
      <c r="C171" s="941">
        <f>(L110*($E110/365))+(L111*($E111/365))</f>
        <v>0</v>
      </c>
      <c r="D171" s="941">
        <f>(M110*($E110/365))+(M111*($E111/365))</f>
        <v>100</v>
      </c>
      <c r="E171" s="504">
        <f t="shared" ref="E171" si="44">SUM(B171:D171)</f>
        <v>100</v>
      </c>
      <c r="F171" s="505"/>
      <c r="G171" s="950">
        <v>2018</v>
      </c>
      <c r="H171" s="989">
        <f>(O110/$R110*100*($E110/365))+(O111/$R111*100*($E111/365))</f>
        <v>0</v>
      </c>
      <c r="I171" s="989"/>
      <c r="J171" s="989">
        <f>(P110/$R110*100*($E110/365))+(P111/$R111*100*($E111/365))</f>
        <v>0</v>
      </c>
      <c r="K171" s="989"/>
      <c r="L171" s="989">
        <f>(Q110/$R110*100*($E110/365))+(Q111/$R111*100*($E111/365))</f>
        <v>100</v>
      </c>
      <c r="M171" s="989"/>
      <c r="N171" s="1011">
        <f t="shared" ref="N171" si="45">H171+J171+L171</f>
        <v>100</v>
      </c>
      <c r="O171" s="1011"/>
      <c r="P171" s="506"/>
      <c r="Q171" s="506"/>
      <c r="R171" s="950">
        <v>2018</v>
      </c>
      <c r="S171" s="947">
        <f>(O110*($E110/365))+(O111*($E111/365))</f>
        <v>0</v>
      </c>
      <c r="T171" s="947">
        <f>(P110*($E110/365))+(P111*($E111/365))</f>
        <v>0</v>
      </c>
      <c r="U171" s="947">
        <f>(Q110*($E110/365))+(Q111*($E111/365))</f>
        <v>55.2</v>
      </c>
      <c r="V171" s="949"/>
      <c r="W171" s="949">
        <f t="shared" ref="W171" si="46">S171+T171+U171</f>
        <v>55.2</v>
      </c>
    </row>
  </sheetData>
  <mergeCells count="344">
    <mergeCell ref="C110:D110"/>
    <mergeCell ref="C111:D111"/>
    <mergeCell ref="H171:I171"/>
    <mergeCell ref="J171:K171"/>
    <mergeCell ref="L171:M171"/>
    <mergeCell ref="N171:O171"/>
    <mergeCell ref="H167:I167"/>
    <mergeCell ref="J167:K167"/>
    <mergeCell ref="L167:M167"/>
    <mergeCell ref="N167:O167"/>
    <mergeCell ref="N125:O125"/>
    <mergeCell ref="N124:O124"/>
    <mergeCell ref="N127:O127"/>
    <mergeCell ref="J151:K151"/>
    <mergeCell ref="N137:O137"/>
    <mergeCell ref="N135:O135"/>
    <mergeCell ref="N148:O148"/>
    <mergeCell ref="J135:K135"/>
    <mergeCell ref="J137:K137"/>
    <mergeCell ref="J138:K138"/>
    <mergeCell ref="J136:K136"/>
    <mergeCell ref="J152:K152"/>
    <mergeCell ref="J149:K149"/>
    <mergeCell ref="J150:K150"/>
    <mergeCell ref="C102:D102"/>
    <mergeCell ref="C103:D103"/>
    <mergeCell ref="L162:M162"/>
    <mergeCell ref="L163:M163"/>
    <mergeCell ref="L164:M164"/>
    <mergeCell ref="L165:M165"/>
    <mergeCell ref="J153:K153"/>
    <mergeCell ref="J165:K165"/>
    <mergeCell ref="J154:K154"/>
    <mergeCell ref="J155:K155"/>
    <mergeCell ref="J156:K156"/>
    <mergeCell ref="J157:K157"/>
    <mergeCell ref="J159:K159"/>
    <mergeCell ref="J162:K162"/>
    <mergeCell ref="J163:K163"/>
    <mergeCell ref="J164:K164"/>
    <mergeCell ref="H119:I119"/>
    <mergeCell ref="J158:K158"/>
    <mergeCell ref="L135:M135"/>
    <mergeCell ref="H151:I151"/>
    <mergeCell ref="L124:M124"/>
    <mergeCell ref="L125:M125"/>
    <mergeCell ref="L126:M126"/>
    <mergeCell ref="J160:K160"/>
    <mergeCell ref="AT4:AW4"/>
    <mergeCell ref="AX4:BA4"/>
    <mergeCell ref="L160:M160"/>
    <mergeCell ref="L161:M161"/>
    <mergeCell ref="N136:O136"/>
    <mergeCell ref="L128:M128"/>
    <mergeCell ref="N129:O129"/>
    <mergeCell ref="L129:M129"/>
    <mergeCell ref="N128:O128"/>
    <mergeCell ref="L139:M139"/>
    <mergeCell ref="N138:O138"/>
    <mergeCell ref="L127:M127"/>
    <mergeCell ref="L130:M130"/>
    <mergeCell ref="N131:O131"/>
    <mergeCell ref="L131:M131"/>
    <mergeCell ref="N130:O130"/>
    <mergeCell ref="L134:M134"/>
    <mergeCell ref="L132:M132"/>
    <mergeCell ref="N133:O133"/>
    <mergeCell ref="L133:M133"/>
    <mergeCell ref="N126:O126"/>
    <mergeCell ref="N121:O121"/>
    <mergeCell ref="N123:O123"/>
    <mergeCell ref="N122:O122"/>
    <mergeCell ref="J127:K127"/>
    <mergeCell ref="L138:M138"/>
    <mergeCell ref="L137:M137"/>
    <mergeCell ref="L140:M140"/>
    <mergeCell ref="L148:M148"/>
    <mergeCell ref="J140:K140"/>
    <mergeCell ref="H148:I148"/>
    <mergeCell ref="J148:K148"/>
    <mergeCell ref="J145:K145"/>
    <mergeCell ref="H144:I144"/>
    <mergeCell ref="H145:I145"/>
    <mergeCell ref="J142:K142"/>
    <mergeCell ref="H135:I135"/>
    <mergeCell ref="H130:I130"/>
    <mergeCell ref="J130:K130"/>
    <mergeCell ref="H133:I133"/>
    <mergeCell ref="J133:K133"/>
    <mergeCell ref="H142:I142"/>
    <mergeCell ref="H136:I136"/>
    <mergeCell ref="H139:I139"/>
    <mergeCell ref="J139:K139"/>
    <mergeCell ref="H134:I134"/>
    <mergeCell ref="J134:K134"/>
    <mergeCell ref="H141:I141"/>
    <mergeCell ref="N147:O147"/>
    <mergeCell ref="L145:M145"/>
    <mergeCell ref="L146:M146"/>
    <mergeCell ref="L147:M147"/>
    <mergeCell ref="N143:O143"/>
    <mergeCell ref="N144:O144"/>
    <mergeCell ref="J146:K146"/>
    <mergeCell ref="L144:M144"/>
    <mergeCell ref="H147:I147"/>
    <mergeCell ref="J144:K144"/>
    <mergeCell ref="H143:I143"/>
    <mergeCell ref="J143:K143"/>
    <mergeCell ref="H131:I131"/>
    <mergeCell ref="J131:K131"/>
    <mergeCell ref="H138:I138"/>
    <mergeCell ref="N132:O132"/>
    <mergeCell ref="N145:O145"/>
    <mergeCell ref="N146:O146"/>
    <mergeCell ref="N141:O141"/>
    <mergeCell ref="L141:M141"/>
    <mergeCell ref="N140:O140"/>
    <mergeCell ref="N142:O142"/>
    <mergeCell ref="L143:M143"/>
    <mergeCell ref="L136:M136"/>
    <mergeCell ref="N139:O139"/>
    <mergeCell ref="N134:O134"/>
    <mergeCell ref="L142:M142"/>
    <mergeCell ref="N166:O166"/>
    <mergeCell ref="N164:O164"/>
    <mergeCell ref="N165:O165"/>
    <mergeCell ref="N162:O162"/>
    <mergeCell ref="N149:O149"/>
    <mergeCell ref="N150:O150"/>
    <mergeCell ref="N153:O153"/>
    <mergeCell ref="N154:O154"/>
    <mergeCell ref="N151:O151"/>
    <mergeCell ref="N152:O152"/>
    <mergeCell ref="N163:O163"/>
    <mergeCell ref="N155:O155"/>
    <mergeCell ref="N156:O156"/>
    <mergeCell ref="N157:O157"/>
    <mergeCell ref="N158:O158"/>
    <mergeCell ref="N159:O159"/>
    <mergeCell ref="N160:O160"/>
    <mergeCell ref="N161:O161"/>
    <mergeCell ref="H122:I122"/>
    <mergeCell ref="J122:K122"/>
    <mergeCell ref="L122:M122"/>
    <mergeCell ref="H123:I123"/>
    <mergeCell ref="J123:K123"/>
    <mergeCell ref="L123:M123"/>
    <mergeCell ref="C78:D78"/>
    <mergeCell ref="C15:D15"/>
    <mergeCell ref="H120:I120"/>
    <mergeCell ref="H121:I121"/>
    <mergeCell ref="J121:K121"/>
    <mergeCell ref="L121:M121"/>
    <mergeCell ref="J119:K119"/>
    <mergeCell ref="L119:M119"/>
    <mergeCell ref="C68:D68"/>
    <mergeCell ref="C69:D69"/>
    <mergeCell ref="C21:D21"/>
    <mergeCell ref="C23:D23"/>
    <mergeCell ref="C100:D100"/>
    <mergeCell ref="C72:D72"/>
    <mergeCell ref="C73:D73"/>
    <mergeCell ref="C74:D74"/>
    <mergeCell ref="C18:D18"/>
    <mergeCell ref="C26:D26"/>
    <mergeCell ref="G3:M3"/>
    <mergeCell ref="O3:Q3"/>
    <mergeCell ref="A4:A5"/>
    <mergeCell ref="B4:B5"/>
    <mergeCell ref="C4:D5"/>
    <mergeCell ref="E4:E5"/>
    <mergeCell ref="F4:F5"/>
    <mergeCell ref="G4:J4"/>
    <mergeCell ref="R116:W116"/>
    <mergeCell ref="C6:D6"/>
    <mergeCell ref="C12:D12"/>
    <mergeCell ref="C14:D14"/>
    <mergeCell ref="C75:D75"/>
    <mergeCell ref="C76:D76"/>
    <mergeCell ref="C101:D101"/>
    <mergeCell ref="C63:D63"/>
    <mergeCell ref="C64:D64"/>
    <mergeCell ref="C65:D65"/>
    <mergeCell ref="C66:D66"/>
    <mergeCell ref="C67:D67"/>
    <mergeCell ref="C70:D70"/>
    <mergeCell ref="C71:D71"/>
    <mergeCell ref="C25:D25"/>
    <mergeCell ref="C27:D27"/>
    <mergeCell ref="C8:D8"/>
    <mergeCell ref="N119:O119"/>
    <mergeCell ref="N120:O120"/>
    <mergeCell ref="J120:K120"/>
    <mergeCell ref="L120:M120"/>
    <mergeCell ref="AP4:AS4"/>
    <mergeCell ref="K4:N4"/>
    <mergeCell ref="O4:R4"/>
    <mergeCell ref="S4:S5"/>
    <mergeCell ref="T4:T5"/>
    <mergeCell ref="Z4:AC4"/>
    <mergeCell ref="AD4:AG4"/>
    <mergeCell ref="AH4:AK4"/>
    <mergeCell ref="AL4:AO4"/>
    <mergeCell ref="U4:U5"/>
    <mergeCell ref="V4:Y4"/>
    <mergeCell ref="J118:K118"/>
    <mergeCell ref="L118:M118"/>
    <mergeCell ref="N118:O118"/>
    <mergeCell ref="C10:D10"/>
    <mergeCell ref="C17:D17"/>
    <mergeCell ref="C62:D62"/>
    <mergeCell ref="C77:D77"/>
    <mergeCell ref="C7:D7"/>
    <mergeCell ref="C9:D9"/>
    <mergeCell ref="C11:D11"/>
    <mergeCell ref="C13:D13"/>
    <mergeCell ref="C16:D16"/>
    <mergeCell ref="C56:D56"/>
    <mergeCell ref="C41:D41"/>
    <mergeCell ref="C43:D43"/>
    <mergeCell ref="C45:D45"/>
    <mergeCell ref="C53:D53"/>
    <mergeCell ref="C51:D51"/>
    <mergeCell ref="C42:D42"/>
    <mergeCell ref="C29:D29"/>
    <mergeCell ref="C31:D31"/>
    <mergeCell ref="C33:D33"/>
    <mergeCell ref="C35:D35"/>
    <mergeCell ref="C37:D37"/>
    <mergeCell ref="C39:D39"/>
    <mergeCell ref="C20:D20"/>
    <mergeCell ref="C22:D22"/>
    <mergeCell ref="C24:D24"/>
    <mergeCell ref="C19:D19"/>
    <mergeCell ref="C52:D52"/>
    <mergeCell ref="C28:D28"/>
    <mergeCell ref="C30:D30"/>
    <mergeCell ref="C32:D32"/>
    <mergeCell ref="C34:D34"/>
    <mergeCell ref="C36:D36"/>
    <mergeCell ref="C40:D40"/>
    <mergeCell ref="C38:D38"/>
    <mergeCell ref="C84:D84"/>
    <mergeCell ref="C44:D44"/>
    <mergeCell ref="C46:D46"/>
    <mergeCell ref="C48:D48"/>
    <mergeCell ref="C50:D50"/>
    <mergeCell ref="C47:D47"/>
    <mergeCell ref="C49:D49"/>
    <mergeCell ref="C57:D57"/>
    <mergeCell ref="C54:D54"/>
    <mergeCell ref="C55:D55"/>
    <mergeCell ref="C58:D58"/>
    <mergeCell ref="C59:D59"/>
    <mergeCell ref="C60:D60"/>
    <mergeCell ref="C61:D61"/>
    <mergeCell ref="C79:D79"/>
    <mergeCell ref="C80:D80"/>
    <mergeCell ref="C81:D81"/>
    <mergeCell ref="C82:D82"/>
    <mergeCell ref="C83:D83"/>
    <mergeCell ref="C98:D98"/>
    <mergeCell ref="C95:D95"/>
    <mergeCell ref="C94:D94"/>
    <mergeCell ref="C88:D88"/>
    <mergeCell ref="C96:D96"/>
    <mergeCell ref="C89:D89"/>
    <mergeCell ref="C90:D90"/>
    <mergeCell ref="C97:D97"/>
    <mergeCell ref="C85:D85"/>
    <mergeCell ref="C86:D86"/>
    <mergeCell ref="C87:D87"/>
    <mergeCell ref="C99:D99"/>
    <mergeCell ref="C91:D91"/>
    <mergeCell ref="C92:D92"/>
    <mergeCell ref="C93:D93"/>
    <mergeCell ref="H132:I132"/>
    <mergeCell ref="J132:K132"/>
    <mergeCell ref="H165:I165"/>
    <mergeCell ref="H154:I154"/>
    <mergeCell ref="H155:I155"/>
    <mergeCell ref="H156:I156"/>
    <mergeCell ref="H157:I157"/>
    <mergeCell ref="J147:K147"/>
    <mergeCell ref="H146:I146"/>
    <mergeCell ref="H137:I137"/>
    <mergeCell ref="J141:K141"/>
    <mergeCell ref="H140:I140"/>
    <mergeCell ref="C104:D104"/>
    <mergeCell ref="H118:I118"/>
    <mergeCell ref="H124:I124"/>
    <mergeCell ref="J124:K124"/>
    <mergeCell ref="H125:I125"/>
    <mergeCell ref="J125:K125"/>
    <mergeCell ref="H126:I126"/>
    <mergeCell ref="J126:K126"/>
    <mergeCell ref="C105:D105"/>
    <mergeCell ref="H168:I168"/>
    <mergeCell ref="J168:K168"/>
    <mergeCell ref="L168:M168"/>
    <mergeCell ref="N168:O168"/>
    <mergeCell ref="J161:K161"/>
    <mergeCell ref="H152:I152"/>
    <mergeCell ref="H149:I149"/>
    <mergeCell ref="H150:I150"/>
    <mergeCell ref="H163:I163"/>
    <mergeCell ref="H164:I164"/>
    <mergeCell ref="H158:I158"/>
    <mergeCell ref="H159:I159"/>
    <mergeCell ref="H160:I160"/>
    <mergeCell ref="H161:I161"/>
    <mergeCell ref="H162:I162"/>
    <mergeCell ref="H153:I153"/>
    <mergeCell ref="L158:M158"/>
    <mergeCell ref="L159:M159"/>
    <mergeCell ref="L153:M153"/>
    <mergeCell ref="L154:M154"/>
    <mergeCell ref="L156:M156"/>
    <mergeCell ref="L149:M149"/>
    <mergeCell ref="L151:M151"/>
    <mergeCell ref="H170:I170"/>
    <mergeCell ref="J170:K170"/>
    <mergeCell ref="L170:M170"/>
    <mergeCell ref="N170:O170"/>
    <mergeCell ref="C108:D108"/>
    <mergeCell ref="C109:D109"/>
    <mergeCell ref="C106:D106"/>
    <mergeCell ref="C107:D107"/>
    <mergeCell ref="H169:I169"/>
    <mergeCell ref="J169:K169"/>
    <mergeCell ref="L169:M169"/>
    <mergeCell ref="N169:O169"/>
    <mergeCell ref="L152:M152"/>
    <mergeCell ref="L155:M155"/>
    <mergeCell ref="L166:M166"/>
    <mergeCell ref="L157:M157"/>
    <mergeCell ref="J166:K166"/>
    <mergeCell ref="H166:I166"/>
    <mergeCell ref="H127:I127"/>
    <mergeCell ref="L150:M150"/>
    <mergeCell ref="H128:I128"/>
    <mergeCell ref="J128:K128"/>
    <mergeCell ref="H129:I129"/>
    <mergeCell ref="J129:K12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A203"/>
  <sheetViews>
    <sheetView zoomScale="135" zoomScaleNormal="120" workbookViewId="0">
      <pane xSplit="1" ySplit="5" topLeftCell="B113" activePane="bottomRight" state="frozen"/>
      <selection pane="topRight" activeCell="B1" sqref="B1"/>
      <selection pane="bottomLeft" activeCell="A6" sqref="A6"/>
      <selection pane="bottomRight" activeCell="W199" sqref="W19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63</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1247</v>
      </c>
      <c r="D6" s="995"/>
      <c r="E6" s="257">
        <v>138</v>
      </c>
      <c r="G6" s="265">
        <v>7</v>
      </c>
      <c r="H6" s="257">
        <v>6</v>
      </c>
      <c r="J6" s="272">
        <v>13</v>
      </c>
      <c r="K6" s="248">
        <f>AC6+AG6</f>
        <v>17.3</v>
      </c>
      <c r="L6" s="248">
        <v>32.700000000000003</v>
      </c>
      <c r="M6" s="248">
        <f>I6/$J6*100</f>
        <v>0</v>
      </c>
      <c r="N6" s="267">
        <f>K6+L6+M6</f>
        <v>50</v>
      </c>
      <c r="O6" s="247">
        <v>30</v>
      </c>
      <c r="P6" s="248">
        <v>32.700000000000003</v>
      </c>
      <c r="Q6" s="248"/>
      <c r="R6" s="249">
        <f>O6+P6+Q6</f>
        <v>62.7</v>
      </c>
      <c r="S6" s="257">
        <v>3</v>
      </c>
      <c r="T6" s="278"/>
      <c r="V6" s="256" t="s">
        <v>493</v>
      </c>
      <c r="W6" s="257" t="s">
        <v>82</v>
      </c>
      <c r="X6" s="257" t="s">
        <v>18</v>
      </c>
      <c r="Y6" s="258">
        <v>32.700000000000003</v>
      </c>
      <c r="Z6" s="257" t="s">
        <v>494</v>
      </c>
      <c r="AA6" s="257" t="s">
        <v>17</v>
      </c>
      <c r="AB6" s="257" t="s">
        <v>11</v>
      </c>
      <c r="AC6" s="257">
        <v>9.3000000000000007</v>
      </c>
      <c r="AD6" s="256" t="s">
        <v>495</v>
      </c>
      <c r="AE6" s="257" t="s">
        <v>86</v>
      </c>
      <c r="AF6" s="257" t="s">
        <v>11</v>
      </c>
      <c r="AG6" s="258">
        <v>8</v>
      </c>
      <c r="AL6" s="256"/>
      <c r="AO6" s="258"/>
      <c r="AP6" s="256"/>
      <c r="AS6" s="258"/>
      <c r="AW6" s="258"/>
      <c r="BA6" s="259"/>
    </row>
    <row r="7" spans="1:53" s="257" customFormat="1">
      <c r="A7" s="263">
        <v>1959</v>
      </c>
      <c r="B7" s="252">
        <v>21689</v>
      </c>
      <c r="C7" s="995" t="s">
        <v>661</v>
      </c>
      <c r="D7" s="995"/>
      <c r="E7" s="257">
        <f>365-E6</f>
        <v>227</v>
      </c>
      <c r="F7" s="257">
        <v>1</v>
      </c>
      <c r="G7" s="265">
        <v>7</v>
      </c>
      <c r="H7" s="257">
        <v>6</v>
      </c>
      <c r="J7" s="272">
        <v>13</v>
      </c>
      <c r="K7" s="248">
        <f>G7/$J7*100</f>
        <v>53.846153846153847</v>
      </c>
      <c r="L7" s="248">
        <f>H7/$J7*100</f>
        <v>46.153846153846153</v>
      </c>
      <c r="M7" s="248">
        <f>I7/$J7*100</f>
        <v>0</v>
      </c>
      <c r="N7" s="267">
        <f>K7+L7+M7</f>
        <v>100</v>
      </c>
      <c r="O7" s="247">
        <v>30</v>
      </c>
      <c r="P7" s="248">
        <v>32.700000000000003</v>
      </c>
      <c r="Q7" s="248"/>
      <c r="R7" s="249">
        <f>O7+P7+Q7</f>
        <v>62.7</v>
      </c>
      <c r="S7" s="257">
        <v>3</v>
      </c>
      <c r="T7" s="251">
        <v>21887</v>
      </c>
      <c r="U7" s="252">
        <v>21689</v>
      </c>
      <c r="V7" s="256" t="s">
        <v>493</v>
      </c>
      <c r="W7" s="257" t="s">
        <v>82</v>
      </c>
      <c r="X7" s="257" t="s">
        <v>18</v>
      </c>
      <c r="Y7" s="258">
        <v>32.700000000000003</v>
      </c>
      <c r="Z7" s="257" t="s">
        <v>494</v>
      </c>
      <c r="AA7" s="257" t="s">
        <v>17</v>
      </c>
      <c r="AB7" s="257" t="s">
        <v>11</v>
      </c>
      <c r="AC7" s="257">
        <v>9.3000000000000007</v>
      </c>
      <c r="AD7" s="256" t="s">
        <v>495</v>
      </c>
      <c r="AE7" s="257" t="s">
        <v>86</v>
      </c>
      <c r="AF7" s="257" t="s">
        <v>11</v>
      </c>
      <c r="AG7" s="258">
        <v>8</v>
      </c>
      <c r="AH7" s="257" t="s">
        <v>496</v>
      </c>
      <c r="AI7" s="257" t="s">
        <v>22</v>
      </c>
      <c r="AJ7" s="257" t="s">
        <v>11</v>
      </c>
      <c r="AK7" s="257">
        <v>12.7</v>
      </c>
      <c r="AL7" s="256"/>
      <c r="AO7" s="258"/>
      <c r="AP7" s="256"/>
      <c r="AS7" s="258"/>
      <c r="AW7" s="258"/>
      <c r="BA7" s="259"/>
    </row>
    <row r="8" spans="1:53" s="208" customFormat="1">
      <c r="A8" s="102">
        <v>1960</v>
      </c>
      <c r="B8" s="207"/>
      <c r="C8" s="988" t="s">
        <v>661</v>
      </c>
      <c r="D8" s="988"/>
      <c r="E8" s="208">
        <v>0</v>
      </c>
      <c r="G8" s="123">
        <v>7</v>
      </c>
      <c r="H8" s="208">
        <v>6</v>
      </c>
      <c r="J8" s="134">
        <v>13</v>
      </c>
      <c r="K8" s="92">
        <f>G8/$J8*100</f>
        <v>53.846153846153847</v>
      </c>
      <c r="L8" s="92">
        <f>H8/$J8*100</f>
        <v>46.153846153846153</v>
      </c>
      <c r="M8" s="92">
        <f>I8/$J8*100</f>
        <v>0</v>
      </c>
      <c r="N8" s="125">
        <f>K8+L8+M8</f>
        <v>100</v>
      </c>
      <c r="O8" s="91">
        <v>30</v>
      </c>
      <c r="P8" s="92">
        <v>32.700000000000003</v>
      </c>
      <c r="Q8" s="92"/>
      <c r="R8" s="93">
        <f>O8+P8+Q8</f>
        <v>62.7</v>
      </c>
      <c r="S8" s="208">
        <v>3</v>
      </c>
      <c r="T8" s="81"/>
      <c r="V8" s="82" t="s">
        <v>493</v>
      </c>
      <c r="W8" s="208" t="s">
        <v>82</v>
      </c>
      <c r="X8" s="208" t="s">
        <v>18</v>
      </c>
      <c r="Y8" s="83">
        <v>32.700000000000003</v>
      </c>
      <c r="Z8" s="208" t="s">
        <v>494</v>
      </c>
      <c r="AA8" s="208" t="s">
        <v>17</v>
      </c>
      <c r="AB8" s="208" t="s">
        <v>11</v>
      </c>
      <c r="AC8" s="208">
        <v>9.3000000000000007</v>
      </c>
      <c r="AD8" s="82" t="s">
        <v>495</v>
      </c>
      <c r="AE8" s="208" t="s">
        <v>86</v>
      </c>
      <c r="AF8" s="208" t="s">
        <v>11</v>
      </c>
      <c r="AG8" s="83">
        <v>8</v>
      </c>
      <c r="AH8" s="208" t="s">
        <v>496</v>
      </c>
      <c r="AI8" s="208" t="s">
        <v>22</v>
      </c>
      <c r="AJ8" s="208" t="s">
        <v>11</v>
      </c>
      <c r="AK8" s="208">
        <v>12.7</v>
      </c>
      <c r="AL8" s="82"/>
      <c r="AO8" s="83"/>
      <c r="AP8" s="82"/>
      <c r="AS8" s="83"/>
      <c r="AW8" s="83"/>
      <c r="BA8" s="84"/>
    </row>
    <row r="9" spans="1:53" s="208" customFormat="1">
      <c r="A9" s="102">
        <v>1960</v>
      </c>
      <c r="B9" s="207"/>
      <c r="C9" s="988" t="s">
        <v>661</v>
      </c>
      <c r="D9" s="988"/>
      <c r="E9" s="208">
        <v>366</v>
      </c>
      <c r="G9" s="123">
        <v>7</v>
      </c>
      <c r="H9" s="208">
        <v>6</v>
      </c>
      <c r="J9" s="134">
        <v>13</v>
      </c>
      <c r="K9" s="92">
        <f t="shared" ref="K9:M59" si="0">G9/$J9*100</f>
        <v>53.846153846153847</v>
      </c>
      <c r="L9" s="92">
        <f t="shared" si="0"/>
        <v>46.153846153846153</v>
      </c>
      <c r="M9" s="92">
        <f t="shared" si="0"/>
        <v>0</v>
      </c>
      <c r="N9" s="125">
        <f t="shared" ref="N9:N72" si="1">K9+L9+M9</f>
        <v>100</v>
      </c>
      <c r="O9" s="91">
        <v>30</v>
      </c>
      <c r="P9" s="92">
        <v>32.700000000000003</v>
      </c>
      <c r="Q9" s="92"/>
      <c r="R9" s="93">
        <f t="shared" ref="R9:R72" si="2">O9+P9+Q9</f>
        <v>62.7</v>
      </c>
      <c r="S9" s="208">
        <v>3</v>
      </c>
      <c r="T9" s="81"/>
      <c r="V9" s="82" t="s">
        <v>493</v>
      </c>
      <c r="W9" s="208" t="s">
        <v>82</v>
      </c>
      <c r="X9" s="208" t="s">
        <v>18</v>
      </c>
      <c r="Y9" s="83">
        <v>32.700000000000003</v>
      </c>
      <c r="Z9" s="208" t="s">
        <v>494</v>
      </c>
      <c r="AA9" s="208" t="s">
        <v>17</v>
      </c>
      <c r="AB9" s="208" t="s">
        <v>11</v>
      </c>
      <c r="AC9" s="208">
        <v>9.3000000000000007</v>
      </c>
      <c r="AD9" s="82" t="s">
        <v>495</v>
      </c>
      <c r="AE9" s="208" t="s">
        <v>86</v>
      </c>
      <c r="AF9" s="208" t="s">
        <v>11</v>
      </c>
      <c r="AG9" s="83">
        <v>8</v>
      </c>
      <c r="AH9" s="208" t="s">
        <v>496</v>
      </c>
      <c r="AI9" s="208" t="s">
        <v>22</v>
      </c>
      <c r="AJ9" s="208" t="s">
        <v>11</v>
      </c>
      <c r="AK9" s="208">
        <v>12.7</v>
      </c>
      <c r="AL9" s="82"/>
      <c r="AO9" s="83"/>
      <c r="AP9" s="82"/>
      <c r="AS9" s="83"/>
      <c r="AW9" s="83"/>
      <c r="BA9" s="84"/>
    </row>
    <row r="10" spans="1:53" s="208" customFormat="1">
      <c r="A10" s="102">
        <v>1961</v>
      </c>
      <c r="B10" s="207"/>
      <c r="C10" s="988" t="s">
        <v>661</v>
      </c>
      <c r="D10" s="988"/>
      <c r="E10" s="208">
        <v>0</v>
      </c>
      <c r="G10" s="123">
        <v>7</v>
      </c>
      <c r="H10" s="208">
        <v>6</v>
      </c>
      <c r="J10" s="134">
        <v>13</v>
      </c>
      <c r="K10" s="92">
        <f t="shared" si="0"/>
        <v>53.846153846153847</v>
      </c>
      <c r="L10" s="92">
        <f t="shared" si="0"/>
        <v>46.153846153846153</v>
      </c>
      <c r="M10" s="92">
        <f t="shared" si="0"/>
        <v>0</v>
      </c>
      <c r="N10" s="125">
        <f t="shared" si="1"/>
        <v>100</v>
      </c>
      <c r="O10" s="91">
        <v>30</v>
      </c>
      <c r="P10" s="92">
        <v>32.700000000000003</v>
      </c>
      <c r="Q10" s="92"/>
      <c r="R10" s="93">
        <f t="shared" si="2"/>
        <v>62.7</v>
      </c>
      <c r="S10" s="208">
        <v>3</v>
      </c>
      <c r="T10" s="81"/>
      <c r="V10" s="82" t="s">
        <v>493</v>
      </c>
      <c r="W10" s="208" t="s">
        <v>82</v>
      </c>
      <c r="X10" s="208" t="s">
        <v>18</v>
      </c>
      <c r="Y10" s="83">
        <v>32.700000000000003</v>
      </c>
      <c r="Z10" s="208" t="s">
        <v>494</v>
      </c>
      <c r="AA10" s="208" t="s">
        <v>17</v>
      </c>
      <c r="AB10" s="208" t="s">
        <v>11</v>
      </c>
      <c r="AC10" s="208">
        <v>9.3000000000000007</v>
      </c>
      <c r="AD10" s="82" t="s">
        <v>495</v>
      </c>
      <c r="AE10" s="208" t="s">
        <v>86</v>
      </c>
      <c r="AF10" s="208" t="s">
        <v>11</v>
      </c>
      <c r="AG10" s="83">
        <v>8</v>
      </c>
      <c r="AH10" s="208" t="s">
        <v>496</v>
      </c>
      <c r="AI10" s="208" t="s">
        <v>22</v>
      </c>
      <c r="AJ10" s="208" t="s">
        <v>11</v>
      </c>
      <c r="AK10" s="208">
        <v>12.7</v>
      </c>
      <c r="AL10" s="82"/>
      <c r="AO10" s="83"/>
      <c r="AP10" s="82"/>
      <c r="AS10" s="83"/>
      <c r="AW10" s="83"/>
      <c r="BA10" s="84"/>
    </row>
    <row r="11" spans="1:53" s="208" customFormat="1">
      <c r="A11" s="102">
        <v>1961</v>
      </c>
      <c r="B11" s="207"/>
      <c r="C11" s="988" t="s">
        <v>661</v>
      </c>
      <c r="D11" s="988"/>
      <c r="E11" s="208">
        <v>365</v>
      </c>
      <c r="G11" s="123">
        <v>7</v>
      </c>
      <c r="H11" s="208">
        <v>6</v>
      </c>
      <c r="J11" s="134">
        <v>13</v>
      </c>
      <c r="K11" s="92">
        <f t="shared" si="0"/>
        <v>53.846153846153847</v>
      </c>
      <c r="L11" s="92">
        <f t="shared" si="0"/>
        <v>46.153846153846153</v>
      </c>
      <c r="M11" s="92">
        <f t="shared" si="0"/>
        <v>0</v>
      </c>
      <c r="N11" s="125">
        <f t="shared" si="1"/>
        <v>100</v>
      </c>
      <c r="O11" s="91">
        <v>30</v>
      </c>
      <c r="P11" s="92">
        <v>32.700000000000003</v>
      </c>
      <c r="Q11" s="92"/>
      <c r="R11" s="93">
        <f t="shared" si="2"/>
        <v>62.7</v>
      </c>
      <c r="S11" s="208">
        <v>3</v>
      </c>
      <c r="T11" s="81"/>
      <c r="V11" s="82" t="s">
        <v>493</v>
      </c>
      <c r="W11" s="208" t="s">
        <v>82</v>
      </c>
      <c r="X11" s="208" t="s">
        <v>18</v>
      </c>
      <c r="Y11" s="83">
        <v>32.700000000000003</v>
      </c>
      <c r="Z11" s="208" t="s">
        <v>494</v>
      </c>
      <c r="AA11" s="208" t="s">
        <v>17</v>
      </c>
      <c r="AB11" s="208" t="s">
        <v>11</v>
      </c>
      <c r="AC11" s="208">
        <v>9.3000000000000007</v>
      </c>
      <c r="AD11" s="82" t="s">
        <v>495</v>
      </c>
      <c r="AE11" s="208" t="s">
        <v>86</v>
      </c>
      <c r="AF11" s="208" t="s">
        <v>11</v>
      </c>
      <c r="AG11" s="83">
        <v>8</v>
      </c>
      <c r="AH11" s="208" t="s">
        <v>496</v>
      </c>
      <c r="AI11" s="208" t="s">
        <v>22</v>
      </c>
      <c r="AJ11" s="208" t="s">
        <v>11</v>
      </c>
      <c r="AK11" s="208">
        <v>12.7</v>
      </c>
      <c r="AL11" s="82"/>
      <c r="AO11" s="83"/>
      <c r="AP11" s="82"/>
      <c r="AS11" s="83"/>
      <c r="AW11" s="83"/>
      <c r="BA11" s="84"/>
    </row>
    <row r="12" spans="1:53" s="208" customFormat="1">
      <c r="A12" s="102">
        <v>1962</v>
      </c>
      <c r="B12" s="207"/>
      <c r="C12" s="988" t="s">
        <v>661</v>
      </c>
      <c r="D12" s="988"/>
      <c r="E12" s="208">
        <v>0</v>
      </c>
      <c r="G12" s="123">
        <v>7</v>
      </c>
      <c r="H12" s="208">
        <v>6</v>
      </c>
      <c r="J12" s="134">
        <v>13</v>
      </c>
      <c r="K12" s="92">
        <f t="shared" si="0"/>
        <v>53.846153846153847</v>
      </c>
      <c r="L12" s="92">
        <f t="shared" si="0"/>
        <v>46.153846153846153</v>
      </c>
      <c r="M12" s="92">
        <f t="shared" si="0"/>
        <v>0</v>
      </c>
      <c r="N12" s="125">
        <f t="shared" si="1"/>
        <v>100</v>
      </c>
      <c r="O12" s="91">
        <v>30</v>
      </c>
      <c r="P12" s="92">
        <v>32.700000000000003</v>
      </c>
      <c r="Q12" s="92"/>
      <c r="R12" s="93">
        <f t="shared" si="2"/>
        <v>62.7</v>
      </c>
      <c r="S12" s="208">
        <v>3</v>
      </c>
      <c r="T12" s="81"/>
      <c r="V12" s="82" t="s">
        <v>493</v>
      </c>
      <c r="W12" s="208" t="s">
        <v>82</v>
      </c>
      <c r="X12" s="208" t="s">
        <v>18</v>
      </c>
      <c r="Y12" s="83">
        <v>32.700000000000003</v>
      </c>
      <c r="Z12" s="208" t="s">
        <v>494</v>
      </c>
      <c r="AA12" s="208" t="s">
        <v>17</v>
      </c>
      <c r="AB12" s="208" t="s">
        <v>11</v>
      </c>
      <c r="AC12" s="208">
        <v>9.3000000000000007</v>
      </c>
      <c r="AD12" s="82" t="s">
        <v>495</v>
      </c>
      <c r="AE12" s="208" t="s">
        <v>86</v>
      </c>
      <c r="AF12" s="208" t="s">
        <v>11</v>
      </c>
      <c r="AG12" s="83">
        <v>8</v>
      </c>
      <c r="AH12" s="208" t="s">
        <v>496</v>
      </c>
      <c r="AI12" s="208" t="s">
        <v>22</v>
      </c>
      <c r="AJ12" s="208" t="s">
        <v>11</v>
      </c>
      <c r="AK12" s="208">
        <v>12.7</v>
      </c>
      <c r="AL12" s="82"/>
      <c r="AO12" s="83"/>
      <c r="AP12" s="82"/>
      <c r="AS12" s="83"/>
      <c r="AW12" s="83"/>
      <c r="BA12" s="84"/>
    </row>
    <row r="13" spans="1:53" s="208" customFormat="1">
      <c r="A13" s="102">
        <v>1962</v>
      </c>
      <c r="B13" s="207"/>
      <c r="C13" s="988" t="s">
        <v>661</v>
      </c>
      <c r="D13" s="988"/>
      <c r="E13" s="208">
        <v>365</v>
      </c>
      <c r="G13" s="123">
        <v>7</v>
      </c>
      <c r="H13" s="208">
        <v>6</v>
      </c>
      <c r="J13" s="134">
        <v>13</v>
      </c>
      <c r="K13" s="92">
        <f t="shared" si="0"/>
        <v>53.846153846153847</v>
      </c>
      <c r="L13" s="92">
        <f t="shared" si="0"/>
        <v>46.153846153846153</v>
      </c>
      <c r="M13" s="92">
        <f t="shared" si="0"/>
        <v>0</v>
      </c>
      <c r="N13" s="125">
        <f t="shared" si="1"/>
        <v>100</v>
      </c>
      <c r="O13" s="91">
        <v>30</v>
      </c>
      <c r="P13" s="92">
        <v>32.700000000000003</v>
      </c>
      <c r="Q13" s="92"/>
      <c r="R13" s="93">
        <f t="shared" si="2"/>
        <v>62.7</v>
      </c>
      <c r="S13" s="208">
        <v>3</v>
      </c>
      <c r="T13" s="81"/>
      <c r="V13" s="82" t="s">
        <v>493</v>
      </c>
      <c r="W13" s="208" t="s">
        <v>82</v>
      </c>
      <c r="X13" s="208" t="s">
        <v>18</v>
      </c>
      <c r="Y13" s="83">
        <v>32.700000000000003</v>
      </c>
      <c r="Z13" s="208" t="s">
        <v>494</v>
      </c>
      <c r="AA13" s="208" t="s">
        <v>17</v>
      </c>
      <c r="AB13" s="208" t="s">
        <v>11</v>
      </c>
      <c r="AC13" s="208">
        <v>9.3000000000000007</v>
      </c>
      <c r="AD13" s="82" t="s">
        <v>495</v>
      </c>
      <c r="AE13" s="208" t="s">
        <v>86</v>
      </c>
      <c r="AF13" s="208" t="s">
        <v>11</v>
      </c>
      <c r="AG13" s="83">
        <v>8</v>
      </c>
      <c r="AH13" s="208" t="s">
        <v>496</v>
      </c>
      <c r="AI13" s="208" t="s">
        <v>22</v>
      </c>
      <c r="AJ13" s="208" t="s">
        <v>11</v>
      </c>
      <c r="AK13" s="208">
        <v>12.7</v>
      </c>
      <c r="AL13" s="82"/>
      <c r="AO13" s="83"/>
      <c r="AP13" s="82"/>
      <c r="AS13" s="83"/>
      <c r="AW13" s="83"/>
      <c r="BA13" s="84"/>
    </row>
    <row r="14" spans="1:53" s="208" customFormat="1">
      <c r="A14" s="102">
        <v>1962.6</v>
      </c>
      <c r="B14" s="207"/>
      <c r="C14" s="988" t="s">
        <v>661</v>
      </c>
      <c r="D14" s="988"/>
      <c r="E14" s="208">
        <v>204</v>
      </c>
      <c r="G14" s="123">
        <v>7</v>
      </c>
      <c r="H14" s="208">
        <v>6</v>
      </c>
      <c r="J14" s="134">
        <v>13</v>
      </c>
      <c r="K14" s="92">
        <f t="shared" si="0"/>
        <v>53.846153846153847</v>
      </c>
      <c r="L14" s="92">
        <f t="shared" si="0"/>
        <v>46.153846153846153</v>
      </c>
      <c r="M14" s="92">
        <f t="shared" si="0"/>
        <v>0</v>
      </c>
      <c r="N14" s="125">
        <f t="shared" si="1"/>
        <v>100</v>
      </c>
      <c r="O14" s="91">
        <v>30</v>
      </c>
      <c r="P14" s="92">
        <v>32.700000000000003</v>
      </c>
      <c r="Q14" s="92"/>
      <c r="R14" s="93">
        <f t="shared" si="2"/>
        <v>62.7</v>
      </c>
      <c r="S14" s="208">
        <v>3</v>
      </c>
      <c r="T14" s="81"/>
      <c r="V14" s="82" t="s">
        <v>493</v>
      </c>
      <c r="W14" s="208" t="s">
        <v>82</v>
      </c>
      <c r="X14" s="208" t="s">
        <v>18</v>
      </c>
      <c r="Y14" s="83">
        <v>32.700000000000003</v>
      </c>
      <c r="Z14" s="208" t="s">
        <v>494</v>
      </c>
      <c r="AA14" s="208" t="s">
        <v>17</v>
      </c>
      <c r="AB14" s="208" t="s">
        <v>11</v>
      </c>
      <c r="AC14" s="208">
        <v>9.3000000000000007</v>
      </c>
      <c r="AD14" s="82" t="s">
        <v>495</v>
      </c>
      <c r="AE14" s="208" t="s">
        <v>86</v>
      </c>
      <c r="AF14" s="208" t="s">
        <v>11</v>
      </c>
      <c r="AG14" s="83">
        <v>8</v>
      </c>
      <c r="AH14" s="208" t="s">
        <v>496</v>
      </c>
      <c r="AI14" s="208" t="s">
        <v>22</v>
      </c>
      <c r="AJ14" s="208" t="s">
        <v>11</v>
      </c>
      <c r="AK14" s="208">
        <v>12.7</v>
      </c>
      <c r="AL14" s="82"/>
      <c r="AO14" s="83"/>
      <c r="AP14" s="82"/>
      <c r="AS14" s="83"/>
      <c r="AW14" s="83"/>
      <c r="BA14" s="84"/>
    </row>
    <row r="15" spans="1:53" s="334" customFormat="1">
      <c r="A15" s="386">
        <v>1963.05714285714</v>
      </c>
      <c r="B15" s="355">
        <v>23216</v>
      </c>
      <c r="C15" s="992" t="s">
        <v>662</v>
      </c>
      <c r="D15" s="992"/>
      <c r="E15" s="334">
        <f>365-E14</f>
        <v>161</v>
      </c>
      <c r="F15" s="334">
        <v>1</v>
      </c>
      <c r="G15" s="419">
        <v>7</v>
      </c>
      <c r="H15" s="334">
        <v>6</v>
      </c>
      <c r="J15" s="435">
        <v>13</v>
      </c>
      <c r="K15" s="384">
        <f t="shared" si="0"/>
        <v>53.846153846153847</v>
      </c>
      <c r="L15" s="384">
        <f t="shared" si="0"/>
        <v>46.153846153846153</v>
      </c>
      <c r="M15" s="384">
        <f t="shared" si="0"/>
        <v>0</v>
      </c>
      <c r="N15" s="421">
        <f t="shared" si="1"/>
        <v>100</v>
      </c>
      <c r="O15" s="383">
        <v>28.099999999999998</v>
      </c>
      <c r="P15" s="384">
        <v>33.299999999999997</v>
      </c>
      <c r="Q15" s="384"/>
      <c r="R15" s="385">
        <f t="shared" si="2"/>
        <v>61.399999999999991</v>
      </c>
      <c r="S15" s="334">
        <v>3</v>
      </c>
      <c r="T15" s="342">
        <v>23146</v>
      </c>
      <c r="U15" s="355">
        <v>23216</v>
      </c>
      <c r="V15" s="343" t="s">
        <v>493</v>
      </c>
      <c r="W15" s="334" t="s">
        <v>82</v>
      </c>
      <c r="X15" s="334" t="s">
        <v>18</v>
      </c>
      <c r="Y15" s="344">
        <v>33.299999999999997</v>
      </c>
      <c r="Z15" s="334" t="s">
        <v>494</v>
      </c>
      <c r="AA15" s="334" t="s">
        <v>17</v>
      </c>
      <c r="AB15" s="334" t="s">
        <v>11</v>
      </c>
      <c r="AC15" s="334">
        <v>8.6999999999999993</v>
      </c>
      <c r="AD15" s="343" t="s">
        <v>495</v>
      </c>
      <c r="AE15" s="334" t="s">
        <v>86</v>
      </c>
      <c r="AF15" s="334" t="s">
        <v>11</v>
      </c>
      <c r="AG15" s="344">
        <v>8.6999999999999993</v>
      </c>
      <c r="AH15" s="334" t="s">
        <v>496</v>
      </c>
      <c r="AI15" s="334" t="s">
        <v>22</v>
      </c>
      <c r="AJ15" s="334" t="s">
        <v>11</v>
      </c>
      <c r="AK15" s="334">
        <v>10.7</v>
      </c>
      <c r="AL15" s="343"/>
      <c r="AO15" s="344"/>
      <c r="AP15" s="343"/>
      <c r="AS15" s="344"/>
      <c r="AW15" s="344"/>
      <c r="BA15" s="345"/>
    </row>
    <row r="16" spans="1:53" s="334" customFormat="1">
      <c r="A16" s="386">
        <v>1963.5142857142901</v>
      </c>
      <c r="B16" s="355"/>
      <c r="C16" s="992" t="s">
        <v>662</v>
      </c>
      <c r="D16" s="992"/>
      <c r="E16" s="334">
        <v>0</v>
      </c>
      <c r="G16" s="419">
        <v>7</v>
      </c>
      <c r="H16" s="334">
        <v>6</v>
      </c>
      <c r="J16" s="435">
        <v>13</v>
      </c>
      <c r="K16" s="384">
        <f t="shared" si="0"/>
        <v>53.846153846153847</v>
      </c>
      <c r="L16" s="384">
        <f t="shared" si="0"/>
        <v>46.153846153846153</v>
      </c>
      <c r="M16" s="384">
        <f t="shared" si="0"/>
        <v>0</v>
      </c>
      <c r="N16" s="421">
        <f t="shared" si="1"/>
        <v>100</v>
      </c>
      <c r="O16" s="383">
        <v>28.099999999999998</v>
      </c>
      <c r="P16" s="384">
        <v>33.299999999999997</v>
      </c>
      <c r="Q16" s="384"/>
      <c r="R16" s="385">
        <f t="shared" si="2"/>
        <v>61.399999999999991</v>
      </c>
      <c r="S16" s="334">
        <v>3</v>
      </c>
      <c r="T16" s="357"/>
      <c r="V16" s="343" t="s">
        <v>493</v>
      </c>
      <c r="W16" s="334" t="s">
        <v>82</v>
      </c>
      <c r="X16" s="334" t="s">
        <v>18</v>
      </c>
      <c r="Y16" s="344">
        <v>33.299999999999997</v>
      </c>
      <c r="Z16" s="334" t="s">
        <v>494</v>
      </c>
      <c r="AA16" s="334" t="s">
        <v>17</v>
      </c>
      <c r="AB16" s="334" t="s">
        <v>11</v>
      </c>
      <c r="AC16" s="334">
        <v>8.6999999999999993</v>
      </c>
      <c r="AD16" s="343" t="s">
        <v>495</v>
      </c>
      <c r="AE16" s="334" t="s">
        <v>86</v>
      </c>
      <c r="AF16" s="334" t="s">
        <v>11</v>
      </c>
      <c r="AG16" s="344">
        <v>8.6999999999999993</v>
      </c>
      <c r="AH16" s="334" t="s">
        <v>496</v>
      </c>
      <c r="AI16" s="334" t="s">
        <v>22</v>
      </c>
      <c r="AJ16" s="334" t="s">
        <v>11</v>
      </c>
      <c r="AK16" s="334">
        <v>10.7</v>
      </c>
      <c r="AL16" s="343"/>
      <c r="AO16" s="344"/>
      <c r="AP16" s="343"/>
      <c r="AS16" s="344"/>
      <c r="AW16" s="344"/>
      <c r="BA16" s="345"/>
    </row>
    <row r="17" spans="1:53" s="334" customFormat="1">
      <c r="A17" s="386">
        <v>1963.9714285714299</v>
      </c>
      <c r="B17" s="355"/>
      <c r="C17" s="992" t="s">
        <v>662</v>
      </c>
      <c r="D17" s="992"/>
      <c r="E17" s="334">
        <v>366</v>
      </c>
      <c r="G17" s="419">
        <v>7</v>
      </c>
      <c r="H17" s="334">
        <v>6</v>
      </c>
      <c r="J17" s="435">
        <v>13</v>
      </c>
      <c r="K17" s="384">
        <f t="shared" si="0"/>
        <v>53.846153846153847</v>
      </c>
      <c r="L17" s="384">
        <f t="shared" si="0"/>
        <v>46.153846153846153</v>
      </c>
      <c r="M17" s="384">
        <f t="shared" si="0"/>
        <v>0</v>
      </c>
      <c r="N17" s="421">
        <f t="shared" si="1"/>
        <v>100</v>
      </c>
      <c r="O17" s="383">
        <v>28.099999999999998</v>
      </c>
      <c r="P17" s="384">
        <v>33.299999999999997</v>
      </c>
      <c r="Q17" s="384"/>
      <c r="R17" s="385">
        <f t="shared" si="2"/>
        <v>61.399999999999991</v>
      </c>
      <c r="S17" s="334">
        <v>3</v>
      </c>
      <c r="T17" s="357"/>
      <c r="V17" s="343" t="s">
        <v>493</v>
      </c>
      <c r="W17" s="334" t="s">
        <v>82</v>
      </c>
      <c r="X17" s="334" t="s">
        <v>18</v>
      </c>
      <c r="Y17" s="344">
        <v>33.299999999999997</v>
      </c>
      <c r="Z17" s="334" t="s">
        <v>494</v>
      </c>
      <c r="AA17" s="334" t="s">
        <v>17</v>
      </c>
      <c r="AB17" s="334" t="s">
        <v>11</v>
      </c>
      <c r="AC17" s="334">
        <v>8.6999999999999993</v>
      </c>
      <c r="AD17" s="343" t="s">
        <v>495</v>
      </c>
      <c r="AE17" s="334" t="s">
        <v>86</v>
      </c>
      <c r="AF17" s="334" t="s">
        <v>11</v>
      </c>
      <c r="AG17" s="344">
        <v>8.6999999999999993</v>
      </c>
      <c r="AH17" s="334" t="s">
        <v>496</v>
      </c>
      <c r="AI17" s="334" t="s">
        <v>22</v>
      </c>
      <c r="AJ17" s="334" t="s">
        <v>11</v>
      </c>
      <c r="AK17" s="334">
        <v>10.7</v>
      </c>
      <c r="AL17" s="343"/>
      <c r="AO17" s="344"/>
      <c r="AP17" s="343"/>
      <c r="AS17" s="344"/>
      <c r="AW17" s="344"/>
      <c r="BA17" s="345"/>
    </row>
    <row r="18" spans="1:53" s="334" customFormat="1">
      <c r="A18" s="386">
        <v>1965</v>
      </c>
      <c r="B18" s="355"/>
      <c r="C18" s="992" t="s">
        <v>662</v>
      </c>
      <c r="D18" s="992"/>
      <c r="E18" s="334">
        <v>116</v>
      </c>
      <c r="G18" s="419">
        <v>7</v>
      </c>
      <c r="H18" s="334">
        <v>6</v>
      </c>
      <c r="J18" s="435">
        <v>13</v>
      </c>
      <c r="K18" s="384">
        <f t="shared" si="0"/>
        <v>53.846153846153847</v>
      </c>
      <c r="L18" s="384">
        <f t="shared" si="0"/>
        <v>46.153846153846153</v>
      </c>
      <c r="M18" s="384">
        <f t="shared" si="0"/>
        <v>0</v>
      </c>
      <c r="N18" s="421">
        <f t="shared" si="1"/>
        <v>100</v>
      </c>
      <c r="O18" s="383">
        <v>28.099999999999998</v>
      </c>
      <c r="P18" s="384">
        <v>33.299999999999997</v>
      </c>
      <c r="Q18" s="384"/>
      <c r="R18" s="385">
        <f t="shared" si="2"/>
        <v>61.399999999999991</v>
      </c>
      <c r="S18" s="334">
        <v>3</v>
      </c>
      <c r="T18" s="357"/>
      <c r="V18" s="343" t="s">
        <v>493</v>
      </c>
      <c r="W18" s="334" t="s">
        <v>82</v>
      </c>
      <c r="X18" s="334" t="s">
        <v>18</v>
      </c>
      <c r="Y18" s="344">
        <v>33.299999999999997</v>
      </c>
      <c r="Z18" s="334" t="s">
        <v>494</v>
      </c>
      <c r="AA18" s="334" t="s">
        <v>17</v>
      </c>
      <c r="AB18" s="334" t="s">
        <v>11</v>
      </c>
      <c r="AC18" s="334">
        <v>8.6999999999999993</v>
      </c>
      <c r="AD18" s="343" t="s">
        <v>495</v>
      </c>
      <c r="AE18" s="334" t="s">
        <v>86</v>
      </c>
      <c r="AF18" s="334" t="s">
        <v>11</v>
      </c>
      <c r="AG18" s="344">
        <v>8.6999999999999993</v>
      </c>
      <c r="AH18" s="334" t="s">
        <v>496</v>
      </c>
      <c r="AI18" s="334" t="s">
        <v>22</v>
      </c>
      <c r="AJ18" s="334" t="s">
        <v>11</v>
      </c>
      <c r="AK18" s="334">
        <v>10.7</v>
      </c>
      <c r="AL18" s="343"/>
      <c r="AO18" s="344"/>
      <c r="AP18" s="343"/>
      <c r="AS18" s="344"/>
      <c r="AW18" s="344"/>
      <c r="BA18" s="345"/>
    </row>
    <row r="19" spans="1:53" s="208" customFormat="1">
      <c r="A19" s="102">
        <v>1964.88571428572</v>
      </c>
      <c r="B19" s="207">
        <v>23859</v>
      </c>
      <c r="C19" s="988" t="s">
        <v>663</v>
      </c>
      <c r="D19" s="988"/>
      <c r="E19" s="208">
        <f>365-E18</f>
        <v>249</v>
      </c>
      <c r="F19" s="208">
        <v>4</v>
      </c>
      <c r="G19" s="123">
        <v>2</v>
      </c>
      <c r="H19" s="208">
        <v>6</v>
      </c>
      <c r="I19" s="208">
        <v>5</v>
      </c>
      <c r="J19" s="134">
        <v>14</v>
      </c>
      <c r="K19" s="92">
        <f t="shared" si="0"/>
        <v>14.285714285714285</v>
      </c>
      <c r="L19" s="92">
        <f t="shared" si="0"/>
        <v>42.857142857142854</v>
      </c>
      <c r="M19" s="92">
        <f t="shared" si="0"/>
        <v>35.714285714285715</v>
      </c>
      <c r="N19" s="125">
        <f t="shared" si="1"/>
        <v>92.857142857142861</v>
      </c>
      <c r="O19" s="91">
        <v>8.6999999999999993</v>
      </c>
      <c r="P19" s="92">
        <v>33.299999999999997</v>
      </c>
      <c r="Q19" s="92">
        <v>28.7</v>
      </c>
      <c r="R19" s="93">
        <f t="shared" si="2"/>
        <v>70.7</v>
      </c>
      <c r="S19" s="208">
        <v>3</v>
      </c>
      <c r="T19" s="81"/>
      <c r="U19" s="207">
        <v>23859</v>
      </c>
      <c r="V19" s="82" t="s">
        <v>493</v>
      </c>
      <c r="W19" s="208" t="s">
        <v>82</v>
      </c>
      <c r="X19" s="208" t="s">
        <v>18</v>
      </c>
      <c r="Y19" s="83">
        <v>33.299999999999997</v>
      </c>
      <c r="Z19" s="208" t="s">
        <v>494</v>
      </c>
      <c r="AA19" s="208" t="s">
        <v>17</v>
      </c>
      <c r="AB19" s="208" t="s">
        <v>11</v>
      </c>
      <c r="AC19" s="208">
        <v>8.6999999999999993</v>
      </c>
      <c r="AD19" s="82" t="s">
        <v>497</v>
      </c>
      <c r="AE19" s="208" t="s">
        <v>20</v>
      </c>
      <c r="AF19" s="208" t="s">
        <v>12</v>
      </c>
      <c r="AG19" s="83">
        <v>28.7</v>
      </c>
      <c r="AL19" s="82"/>
      <c r="AO19" s="83"/>
      <c r="AP19" s="82"/>
      <c r="AS19" s="83"/>
      <c r="AW19" s="83"/>
      <c r="BA19" s="84"/>
    </row>
    <row r="20" spans="1:53" s="208" customFormat="1">
      <c r="A20" s="102">
        <v>1966</v>
      </c>
      <c r="B20" s="207"/>
      <c r="C20" s="988" t="s">
        <v>663</v>
      </c>
      <c r="D20" s="988"/>
      <c r="E20" s="208">
        <v>325</v>
      </c>
      <c r="G20" s="123">
        <v>2</v>
      </c>
      <c r="H20" s="208">
        <v>6</v>
      </c>
      <c r="I20" s="208">
        <v>5</v>
      </c>
      <c r="J20" s="134">
        <v>14</v>
      </c>
      <c r="K20" s="92">
        <f t="shared" si="0"/>
        <v>14.285714285714285</v>
      </c>
      <c r="L20" s="92">
        <f t="shared" si="0"/>
        <v>42.857142857142854</v>
      </c>
      <c r="M20" s="92">
        <f t="shared" si="0"/>
        <v>35.714285714285715</v>
      </c>
      <c r="N20" s="125">
        <f t="shared" si="1"/>
        <v>92.857142857142861</v>
      </c>
      <c r="O20" s="91">
        <v>8.6999999999999993</v>
      </c>
      <c r="P20" s="92">
        <v>33.299999999999997</v>
      </c>
      <c r="Q20" s="92">
        <v>28.7</v>
      </c>
      <c r="R20" s="93">
        <f t="shared" si="2"/>
        <v>70.7</v>
      </c>
      <c r="S20" s="208">
        <v>3</v>
      </c>
      <c r="T20" s="81"/>
      <c r="V20" s="82" t="s">
        <v>493</v>
      </c>
      <c r="W20" s="208" t="s">
        <v>82</v>
      </c>
      <c r="X20" s="208" t="s">
        <v>18</v>
      </c>
      <c r="Y20" s="83">
        <v>33.299999999999997</v>
      </c>
      <c r="Z20" s="208" t="s">
        <v>494</v>
      </c>
      <c r="AA20" s="208" t="s">
        <v>17</v>
      </c>
      <c r="AB20" s="208" t="s">
        <v>11</v>
      </c>
      <c r="AC20" s="208">
        <v>8.6999999999999993</v>
      </c>
      <c r="AD20" s="82" t="s">
        <v>497</v>
      </c>
      <c r="AE20" s="208" t="s">
        <v>20</v>
      </c>
      <c r="AF20" s="208" t="s">
        <v>12</v>
      </c>
      <c r="AG20" s="83">
        <v>28.7</v>
      </c>
      <c r="AL20" s="82"/>
      <c r="AO20" s="83"/>
      <c r="AP20" s="82"/>
      <c r="AS20" s="83"/>
      <c r="AW20" s="83"/>
      <c r="BA20" s="84"/>
    </row>
    <row r="21" spans="1:53" s="334" customFormat="1">
      <c r="A21" s="386">
        <v>1965.8</v>
      </c>
      <c r="B21" s="355">
        <v>24433</v>
      </c>
      <c r="C21" s="992" t="s">
        <v>664</v>
      </c>
      <c r="D21" s="992"/>
      <c r="E21" s="334">
        <f>365-E20</f>
        <v>40</v>
      </c>
      <c r="F21" s="334">
        <v>5</v>
      </c>
      <c r="G21" s="419">
        <v>4</v>
      </c>
      <c r="H21" s="334">
        <v>9</v>
      </c>
      <c r="J21" s="435">
        <v>13</v>
      </c>
      <c r="K21" s="384">
        <f t="shared" si="0"/>
        <v>30.76923076923077</v>
      </c>
      <c r="L21" s="384">
        <f t="shared" si="0"/>
        <v>69.230769230769226</v>
      </c>
      <c r="M21" s="384">
        <f t="shared" si="0"/>
        <v>0</v>
      </c>
      <c r="N21" s="421">
        <f t="shared" si="1"/>
        <v>100</v>
      </c>
      <c r="O21" s="383">
        <v>8.6999999999999993</v>
      </c>
      <c r="P21" s="384">
        <v>33.299999999999997</v>
      </c>
      <c r="Q21" s="384"/>
      <c r="R21" s="385">
        <f t="shared" si="2"/>
        <v>42</v>
      </c>
      <c r="S21" s="334">
        <v>6</v>
      </c>
      <c r="T21" s="357"/>
      <c r="U21" s="355">
        <v>24433</v>
      </c>
      <c r="V21" s="343" t="s">
        <v>493</v>
      </c>
      <c r="W21" s="334" t="s">
        <v>82</v>
      </c>
      <c r="X21" s="334" t="s">
        <v>18</v>
      </c>
      <c r="Y21" s="344">
        <v>33.299999999999997</v>
      </c>
      <c r="Z21" s="334" t="s">
        <v>494</v>
      </c>
      <c r="AA21" s="334" t="s">
        <v>17</v>
      </c>
      <c r="AB21" s="334" t="s">
        <v>11</v>
      </c>
      <c r="AC21" s="334">
        <v>8.6999999999999993</v>
      </c>
      <c r="AD21" s="343"/>
      <c r="AG21" s="344"/>
      <c r="AL21" s="343"/>
      <c r="AO21" s="344"/>
      <c r="AP21" s="343"/>
      <c r="AS21" s="344"/>
      <c r="AW21" s="344"/>
      <c r="BA21" s="345"/>
    </row>
    <row r="22" spans="1:53" s="334" customFormat="1">
      <c r="A22" s="386">
        <v>1967</v>
      </c>
      <c r="B22" s="355"/>
      <c r="C22" s="992" t="s">
        <v>664</v>
      </c>
      <c r="D22" s="992"/>
      <c r="E22" s="334">
        <v>92</v>
      </c>
      <c r="G22" s="419">
        <v>4</v>
      </c>
      <c r="H22" s="334">
        <v>9</v>
      </c>
      <c r="J22" s="435">
        <v>13</v>
      </c>
      <c r="K22" s="384">
        <f t="shared" si="0"/>
        <v>30.76923076923077</v>
      </c>
      <c r="L22" s="384">
        <f t="shared" si="0"/>
        <v>69.230769230769226</v>
      </c>
      <c r="M22" s="384">
        <f t="shared" si="0"/>
        <v>0</v>
      </c>
      <c r="N22" s="421">
        <f t="shared" si="1"/>
        <v>100</v>
      </c>
      <c r="O22" s="383">
        <v>8.6999999999999993</v>
      </c>
      <c r="P22" s="384">
        <v>33.299999999999997</v>
      </c>
      <c r="Q22" s="384"/>
      <c r="R22" s="385">
        <f t="shared" si="2"/>
        <v>42</v>
      </c>
      <c r="S22" s="334">
        <v>6</v>
      </c>
      <c r="T22" s="357"/>
      <c r="V22" s="343" t="s">
        <v>493</v>
      </c>
      <c r="W22" s="334" t="s">
        <v>82</v>
      </c>
      <c r="X22" s="334" t="s">
        <v>18</v>
      </c>
      <c r="Y22" s="344">
        <v>33.299999999999997</v>
      </c>
      <c r="Z22" s="334" t="s">
        <v>494</v>
      </c>
      <c r="AA22" s="334" t="s">
        <v>17</v>
      </c>
      <c r="AB22" s="334" t="s">
        <v>11</v>
      </c>
      <c r="AC22" s="334">
        <v>8.6999999999999993</v>
      </c>
      <c r="AD22" s="343"/>
      <c r="AG22" s="344"/>
      <c r="AL22" s="343"/>
      <c r="AO22" s="344"/>
      <c r="AP22" s="343"/>
      <c r="AS22" s="344"/>
      <c r="AW22" s="344"/>
      <c r="BA22" s="345"/>
    </row>
    <row r="23" spans="1:53" s="208" customFormat="1">
      <c r="A23" s="102">
        <v>1966.7142857142901</v>
      </c>
      <c r="B23" s="207">
        <v>24565</v>
      </c>
      <c r="C23" s="988" t="s">
        <v>818</v>
      </c>
      <c r="D23" s="988"/>
      <c r="E23" s="208">
        <f>365-E22</f>
        <v>273</v>
      </c>
      <c r="F23" s="208">
        <v>1</v>
      </c>
      <c r="G23" s="123">
        <v>8</v>
      </c>
      <c r="H23" s="208">
        <v>6</v>
      </c>
      <c r="J23" s="134">
        <v>14</v>
      </c>
      <c r="K23" s="92">
        <f t="shared" si="0"/>
        <v>57.142857142857139</v>
      </c>
      <c r="L23" s="92">
        <f t="shared" si="0"/>
        <v>42.857142857142854</v>
      </c>
      <c r="M23" s="92">
        <f t="shared" si="0"/>
        <v>0</v>
      </c>
      <c r="N23" s="125">
        <f t="shared" si="1"/>
        <v>100</v>
      </c>
      <c r="O23" s="91">
        <v>29.3</v>
      </c>
      <c r="P23" s="92">
        <v>28</v>
      </c>
      <c r="Q23" s="92"/>
      <c r="R23" s="93">
        <f t="shared" si="2"/>
        <v>57.3</v>
      </c>
      <c r="S23" s="208">
        <v>2</v>
      </c>
      <c r="T23" s="95">
        <v>24518</v>
      </c>
      <c r="U23" s="207">
        <v>24565</v>
      </c>
      <c r="V23" s="82" t="s">
        <v>493</v>
      </c>
      <c r="W23" s="208" t="s">
        <v>82</v>
      </c>
      <c r="X23" s="208" t="s">
        <v>18</v>
      </c>
      <c r="Y23" s="83">
        <v>28</v>
      </c>
      <c r="Z23" s="208" t="s">
        <v>494</v>
      </c>
      <c r="AA23" s="208" t="s">
        <v>17</v>
      </c>
      <c r="AB23" s="208" t="s">
        <v>11</v>
      </c>
      <c r="AC23" s="208">
        <v>10</v>
      </c>
      <c r="AD23" s="82" t="s">
        <v>495</v>
      </c>
      <c r="AE23" s="208" t="s">
        <v>86</v>
      </c>
      <c r="AF23" s="208" t="s">
        <v>11</v>
      </c>
      <c r="AG23" s="83">
        <v>8</v>
      </c>
      <c r="AH23" s="208" t="s">
        <v>496</v>
      </c>
      <c r="AI23" s="208" t="s">
        <v>22</v>
      </c>
      <c r="AJ23" s="208" t="s">
        <v>11</v>
      </c>
      <c r="AK23" s="208">
        <v>11.3</v>
      </c>
      <c r="AL23" s="82"/>
      <c r="AO23" s="83"/>
      <c r="AP23" s="82"/>
      <c r="AS23" s="83"/>
      <c r="AW23" s="83"/>
      <c r="BA23" s="84"/>
    </row>
    <row r="24" spans="1:53" s="208" customFormat="1">
      <c r="A24" s="102">
        <v>1968</v>
      </c>
      <c r="B24" s="207"/>
      <c r="C24" s="988" t="s">
        <v>818</v>
      </c>
      <c r="D24" s="988"/>
      <c r="E24" s="208">
        <v>0</v>
      </c>
      <c r="G24" s="123">
        <v>8</v>
      </c>
      <c r="H24" s="208">
        <v>6</v>
      </c>
      <c r="J24" s="134">
        <v>14</v>
      </c>
      <c r="K24" s="92">
        <f t="shared" si="0"/>
        <v>57.142857142857139</v>
      </c>
      <c r="L24" s="92">
        <f t="shared" si="0"/>
        <v>42.857142857142854</v>
      </c>
      <c r="M24" s="92">
        <f t="shared" si="0"/>
        <v>0</v>
      </c>
      <c r="N24" s="125">
        <f t="shared" si="1"/>
        <v>100</v>
      </c>
      <c r="O24" s="91">
        <v>29.3</v>
      </c>
      <c r="P24" s="92">
        <v>28</v>
      </c>
      <c r="Q24" s="92"/>
      <c r="R24" s="93">
        <f t="shared" si="2"/>
        <v>57.3</v>
      </c>
      <c r="S24" s="208">
        <v>2</v>
      </c>
      <c r="T24" s="81"/>
      <c r="V24" s="82" t="s">
        <v>493</v>
      </c>
      <c r="W24" s="208" t="s">
        <v>82</v>
      </c>
      <c r="X24" s="208" t="s">
        <v>18</v>
      </c>
      <c r="Y24" s="83">
        <v>28</v>
      </c>
      <c r="Z24" s="208" t="s">
        <v>494</v>
      </c>
      <c r="AA24" s="208" t="s">
        <v>17</v>
      </c>
      <c r="AB24" s="208" t="s">
        <v>11</v>
      </c>
      <c r="AC24" s="208">
        <v>10</v>
      </c>
      <c r="AD24" s="82" t="s">
        <v>495</v>
      </c>
      <c r="AE24" s="208" t="s">
        <v>86</v>
      </c>
      <c r="AF24" s="208" t="s">
        <v>11</v>
      </c>
      <c r="AG24" s="83">
        <v>8</v>
      </c>
      <c r="AH24" s="208" t="s">
        <v>496</v>
      </c>
      <c r="AI24" s="208" t="s">
        <v>22</v>
      </c>
      <c r="AJ24" s="208" t="s">
        <v>11</v>
      </c>
      <c r="AK24" s="208">
        <v>11.3</v>
      </c>
      <c r="AL24" s="82"/>
      <c r="AO24" s="83"/>
      <c r="AP24" s="82"/>
      <c r="AS24" s="83"/>
      <c r="AW24" s="83"/>
      <c r="BA24" s="84"/>
    </row>
    <row r="25" spans="1:53" s="208" customFormat="1">
      <c r="A25" s="102">
        <v>1967.62857142857</v>
      </c>
      <c r="B25" s="207"/>
      <c r="C25" s="988" t="s">
        <v>818</v>
      </c>
      <c r="D25" s="988"/>
      <c r="E25" s="208">
        <v>366</v>
      </c>
      <c r="G25" s="123">
        <v>8</v>
      </c>
      <c r="H25" s="208">
        <v>6</v>
      </c>
      <c r="J25" s="134">
        <v>14</v>
      </c>
      <c r="K25" s="92">
        <f t="shared" si="0"/>
        <v>57.142857142857139</v>
      </c>
      <c r="L25" s="92">
        <f t="shared" si="0"/>
        <v>42.857142857142854</v>
      </c>
      <c r="M25" s="92">
        <f t="shared" si="0"/>
        <v>0</v>
      </c>
      <c r="N25" s="125">
        <f t="shared" si="1"/>
        <v>100</v>
      </c>
      <c r="O25" s="91">
        <v>29.3</v>
      </c>
      <c r="P25" s="92">
        <v>28</v>
      </c>
      <c r="Q25" s="92"/>
      <c r="R25" s="93">
        <f t="shared" si="2"/>
        <v>57.3</v>
      </c>
      <c r="S25" s="208">
        <v>2</v>
      </c>
      <c r="T25" s="81"/>
      <c r="V25" s="82" t="s">
        <v>493</v>
      </c>
      <c r="W25" s="208" t="s">
        <v>82</v>
      </c>
      <c r="X25" s="208" t="s">
        <v>18</v>
      </c>
      <c r="Y25" s="83">
        <v>28</v>
      </c>
      <c r="Z25" s="208" t="s">
        <v>494</v>
      </c>
      <c r="AA25" s="208" t="s">
        <v>17</v>
      </c>
      <c r="AB25" s="208" t="s">
        <v>11</v>
      </c>
      <c r="AC25" s="208">
        <v>10</v>
      </c>
      <c r="AD25" s="82" t="s">
        <v>495</v>
      </c>
      <c r="AE25" s="208" t="s">
        <v>86</v>
      </c>
      <c r="AF25" s="208" t="s">
        <v>11</v>
      </c>
      <c r="AG25" s="83">
        <v>8</v>
      </c>
      <c r="AH25" s="208" t="s">
        <v>496</v>
      </c>
      <c r="AI25" s="208" t="s">
        <v>22</v>
      </c>
      <c r="AJ25" s="208" t="s">
        <v>11</v>
      </c>
      <c r="AK25" s="208">
        <v>11.3</v>
      </c>
      <c r="AL25" s="82"/>
      <c r="AO25" s="83"/>
      <c r="AP25" s="82"/>
      <c r="AS25" s="83"/>
      <c r="AW25" s="83"/>
      <c r="BA25" s="84"/>
    </row>
    <row r="26" spans="1:53" s="208" customFormat="1">
      <c r="A26" s="102">
        <v>1969</v>
      </c>
      <c r="B26" s="207"/>
      <c r="C26" s="988" t="s">
        <v>818</v>
      </c>
      <c r="D26" s="988"/>
      <c r="E26" s="208">
        <v>0</v>
      </c>
      <c r="G26" s="123">
        <v>8</v>
      </c>
      <c r="H26" s="208">
        <v>6</v>
      </c>
      <c r="J26" s="134">
        <v>14</v>
      </c>
      <c r="K26" s="92">
        <f t="shared" si="0"/>
        <v>57.142857142857139</v>
      </c>
      <c r="L26" s="92">
        <f t="shared" si="0"/>
        <v>42.857142857142854</v>
      </c>
      <c r="M26" s="92">
        <f t="shared" si="0"/>
        <v>0</v>
      </c>
      <c r="N26" s="125">
        <f t="shared" si="1"/>
        <v>100</v>
      </c>
      <c r="O26" s="91">
        <v>29.3</v>
      </c>
      <c r="P26" s="92">
        <v>28</v>
      </c>
      <c r="Q26" s="92"/>
      <c r="R26" s="93">
        <f t="shared" si="2"/>
        <v>57.3</v>
      </c>
      <c r="S26" s="208">
        <v>2</v>
      </c>
      <c r="T26" s="81"/>
      <c r="V26" s="82" t="s">
        <v>493</v>
      </c>
      <c r="W26" s="208" t="s">
        <v>82</v>
      </c>
      <c r="X26" s="208" t="s">
        <v>18</v>
      </c>
      <c r="Y26" s="83">
        <v>28</v>
      </c>
      <c r="Z26" s="208" t="s">
        <v>494</v>
      </c>
      <c r="AA26" s="208" t="s">
        <v>17</v>
      </c>
      <c r="AB26" s="208" t="s">
        <v>11</v>
      </c>
      <c r="AC26" s="208">
        <v>10</v>
      </c>
      <c r="AD26" s="82" t="s">
        <v>495</v>
      </c>
      <c r="AE26" s="208" t="s">
        <v>86</v>
      </c>
      <c r="AF26" s="208" t="s">
        <v>11</v>
      </c>
      <c r="AG26" s="83">
        <v>8</v>
      </c>
      <c r="AH26" s="208" t="s">
        <v>496</v>
      </c>
      <c r="AI26" s="208" t="s">
        <v>22</v>
      </c>
      <c r="AJ26" s="208" t="s">
        <v>11</v>
      </c>
      <c r="AK26" s="208">
        <v>11.3</v>
      </c>
      <c r="AL26" s="82"/>
      <c r="AO26" s="83"/>
      <c r="AP26" s="82"/>
      <c r="AS26" s="83"/>
      <c r="AW26" s="83"/>
      <c r="BA26" s="84"/>
    </row>
    <row r="27" spans="1:53" s="208" customFormat="1">
      <c r="A27" s="102">
        <v>1968.5428571428599</v>
      </c>
      <c r="B27" s="207"/>
      <c r="C27" s="988" t="s">
        <v>818</v>
      </c>
      <c r="D27" s="988"/>
      <c r="E27" s="208">
        <v>365</v>
      </c>
      <c r="G27" s="123">
        <v>8</v>
      </c>
      <c r="H27" s="208">
        <v>6</v>
      </c>
      <c r="J27" s="134">
        <v>14</v>
      </c>
      <c r="K27" s="92">
        <f t="shared" si="0"/>
        <v>57.142857142857139</v>
      </c>
      <c r="L27" s="92">
        <f t="shared" si="0"/>
        <v>42.857142857142854</v>
      </c>
      <c r="M27" s="92">
        <f t="shared" si="0"/>
        <v>0</v>
      </c>
      <c r="N27" s="125">
        <f t="shared" si="1"/>
        <v>100</v>
      </c>
      <c r="O27" s="91">
        <v>29.3</v>
      </c>
      <c r="P27" s="92">
        <v>28</v>
      </c>
      <c r="Q27" s="92"/>
      <c r="R27" s="93">
        <f t="shared" si="2"/>
        <v>57.3</v>
      </c>
      <c r="S27" s="208">
        <v>2</v>
      </c>
      <c r="T27" s="81"/>
      <c r="V27" s="82" t="s">
        <v>493</v>
      </c>
      <c r="W27" s="208" t="s">
        <v>82</v>
      </c>
      <c r="X27" s="208" t="s">
        <v>18</v>
      </c>
      <c r="Y27" s="83">
        <v>28</v>
      </c>
      <c r="Z27" s="208" t="s">
        <v>494</v>
      </c>
      <c r="AA27" s="208" t="s">
        <v>17</v>
      </c>
      <c r="AB27" s="208" t="s">
        <v>11</v>
      </c>
      <c r="AC27" s="208">
        <v>10</v>
      </c>
      <c r="AD27" s="82" t="s">
        <v>495</v>
      </c>
      <c r="AE27" s="208" t="s">
        <v>86</v>
      </c>
      <c r="AF27" s="208" t="s">
        <v>11</v>
      </c>
      <c r="AG27" s="83">
        <v>8</v>
      </c>
      <c r="AH27" s="208" t="s">
        <v>496</v>
      </c>
      <c r="AI27" s="208" t="s">
        <v>22</v>
      </c>
      <c r="AJ27" s="208" t="s">
        <v>11</v>
      </c>
      <c r="AK27" s="208">
        <v>11.3</v>
      </c>
      <c r="AL27" s="82"/>
      <c r="AO27" s="83"/>
      <c r="AP27" s="82"/>
      <c r="AS27" s="83"/>
      <c r="AW27" s="83"/>
      <c r="BA27" s="84"/>
    </row>
    <row r="28" spans="1:53" s="208" customFormat="1">
      <c r="A28" s="102">
        <v>1970</v>
      </c>
      <c r="B28" s="207"/>
      <c r="C28" s="988" t="s">
        <v>818</v>
      </c>
      <c r="D28" s="988"/>
      <c r="E28" s="208">
        <v>0</v>
      </c>
      <c r="G28" s="123">
        <v>8</v>
      </c>
      <c r="H28" s="208">
        <v>6</v>
      </c>
      <c r="J28" s="134">
        <v>14</v>
      </c>
      <c r="K28" s="92">
        <f t="shared" si="0"/>
        <v>57.142857142857139</v>
      </c>
      <c r="L28" s="92">
        <f t="shared" si="0"/>
        <v>42.857142857142854</v>
      </c>
      <c r="M28" s="92">
        <f t="shared" si="0"/>
        <v>0</v>
      </c>
      <c r="N28" s="125">
        <f t="shared" si="1"/>
        <v>100</v>
      </c>
      <c r="O28" s="91">
        <v>29.3</v>
      </c>
      <c r="P28" s="92">
        <v>28</v>
      </c>
      <c r="Q28" s="92"/>
      <c r="R28" s="93">
        <f t="shared" si="2"/>
        <v>57.3</v>
      </c>
      <c r="S28" s="208">
        <v>2</v>
      </c>
      <c r="T28" s="81"/>
      <c r="V28" s="82" t="s">
        <v>493</v>
      </c>
      <c r="W28" s="208" t="s">
        <v>82</v>
      </c>
      <c r="X28" s="208" t="s">
        <v>18</v>
      </c>
      <c r="Y28" s="83">
        <v>28</v>
      </c>
      <c r="Z28" s="208" t="s">
        <v>494</v>
      </c>
      <c r="AA28" s="208" t="s">
        <v>17</v>
      </c>
      <c r="AB28" s="208" t="s">
        <v>11</v>
      </c>
      <c r="AC28" s="208">
        <v>10</v>
      </c>
      <c r="AD28" s="82" t="s">
        <v>495</v>
      </c>
      <c r="AE28" s="208" t="s">
        <v>86</v>
      </c>
      <c r="AF28" s="208" t="s">
        <v>11</v>
      </c>
      <c r="AG28" s="83">
        <v>8</v>
      </c>
      <c r="AH28" s="208" t="s">
        <v>496</v>
      </c>
      <c r="AI28" s="208" t="s">
        <v>22</v>
      </c>
      <c r="AJ28" s="208" t="s">
        <v>11</v>
      </c>
      <c r="AK28" s="208">
        <v>11.3</v>
      </c>
      <c r="AL28" s="82"/>
      <c r="AO28" s="83"/>
      <c r="AP28" s="82"/>
      <c r="AS28" s="83"/>
      <c r="AW28" s="83"/>
      <c r="BA28" s="84"/>
    </row>
    <row r="29" spans="1:53" s="208" customFormat="1">
      <c r="A29" s="102">
        <v>1970</v>
      </c>
      <c r="B29" s="207"/>
      <c r="C29" s="988" t="s">
        <v>818</v>
      </c>
      <c r="D29" s="988"/>
      <c r="E29" s="208">
        <v>365</v>
      </c>
      <c r="G29" s="123">
        <v>8</v>
      </c>
      <c r="H29" s="208">
        <v>6</v>
      </c>
      <c r="J29" s="134">
        <v>14</v>
      </c>
      <c r="K29" s="92">
        <f t="shared" si="0"/>
        <v>57.142857142857139</v>
      </c>
      <c r="L29" s="92">
        <f t="shared" si="0"/>
        <v>42.857142857142854</v>
      </c>
      <c r="M29" s="92">
        <f t="shared" si="0"/>
        <v>0</v>
      </c>
      <c r="N29" s="125">
        <f t="shared" si="1"/>
        <v>100</v>
      </c>
      <c r="O29" s="91">
        <v>29.3</v>
      </c>
      <c r="P29" s="92">
        <v>28</v>
      </c>
      <c r="Q29" s="92"/>
      <c r="R29" s="93">
        <f t="shared" si="2"/>
        <v>57.3</v>
      </c>
      <c r="S29" s="208">
        <v>2</v>
      </c>
      <c r="T29" s="81"/>
      <c r="V29" s="82" t="s">
        <v>493</v>
      </c>
      <c r="W29" s="208" t="s">
        <v>82</v>
      </c>
      <c r="X29" s="208" t="s">
        <v>18</v>
      </c>
      <c r="Y29" s="83">
        <v>28</v>
      </c>
      <c r="Z29" s="208" t="s">
        <v>494</v>
      </c>
      <c r="AA29" s="208" t="s">
        <v>17</v>
      </c>
      <c r="AB29" s="208" t="s">
        <v>11</v>
      </c>
      <c r="AC29" s="208">
        <v>10</v>
      </c>
      <c r="AD29" s="82" t="s">
        <v>495</v>
      </c>
      <c r="AE29" s="208" t="s">
        <v>86</v>
      </c>
      <c r="AF29" s="208" t="s">
        <v>11</v>
      </c>
      <c r="AG29" s="83">
        <v>8</v>
      </c>
      <c r="AH29" s="208" t="s">
        <v>496</v>
      </c>
      <c r="AI29" s="208" t="s">
        <v>22</v>
      </c>
      <c r="AJ29" s="208" t="s">
        <v>11</v>
      </c>
      <c r="AK29" s="208">
        <v>11.3</v>
      </c>
      <c r="AL29" s="82"/>
      <c r="AO29" s="83"/>
      <c r="AP29" s="82"/>
      <c r="AS29" s="83"/>
      <c r="AW29" s="83"/>
      <c r="BA29" s="84"/>
    </row>
    <row r="30" spans="1:53" s="208" customFormat="1">
      <c r="A30" s="102">
        <v>1971</v>
      </c>
      <c r="B30" s="207"/>
      <c r="C30" s="988" t="s">
        <v>818</v>
      </c>
      <c r="D30" s="988"/>
      <c r="E30" s="208">
        <v>186</v>
      </c>
      <c r="G30" s="123">
        <v>8</v>
      </c>
      <c r="H30" s="208">
        <v>6</v>
      </c>
      <c r="J30" s="134">
        <v>14</v>
      </c>
      <c r="K30" s="92">
        <f t="shared" si="0"/>
        <v>57.142857142857139</v>
      </c>
      <c r="L30" s="92">
        <f t="shared" si="0"/>
        <v>42.857142857142854</v>
      </c>
      <c r="M30" s="92">
        <f t="shared" si="0"/>
        <v>0</v>
      </c>
      <c r="N30" s="125">
        <f t="shared" si="1"/>
        <v>100</v>
      </c>
      <c r="O30" s="91">
        <v>29.3</v>
      </c>
      <c r="P30" s="92">
        <v>28</v>
      </c>
      <c r="Q30" s="92"/>
      <c r="R30" s="93">
        <f t="shared" si="2"/>
        <v>57.3</v>
      </c>
      <c r="S30" s="208">
        <v>2</v>
      </c>
      <c r="T30" s="81"/>
      <c r="V30" s="82" t="s">
        <v>493</v>
      </c>
      <c r="W30" s="208" t="s">
        <v>82</v>
      </c>
      <c r="X30" s="208" t="s">
        <v>18</v>
      </c>
      <c r="Y30" s="83">
        <v>28</v>
      </c>
      <c r="Z30" s="208" t="s">
        <v>494</v>
      </c>
      <c r="AA30" s="208" t="s">
        <v>17</v>
      </c>
      <c r="AB30" s="208" t="s">
        <v>11</v>
      </c>
      <c r="AC30" s="208">
        <v>10</v>
      </c>
      <c r="AD30" s="82" t="s">
        <v>495</v>
      </c>
      <c r="AE30" s="208" t="s">
        <v>86</v>
      </c>
      <c r="AF30" s="208" t="s">
        <v>11</v>
      </c>
      <c r="AG30" s="83">
        <v>8</v>
      </c>
      <c r="AH30" s="208" t="s">
        <v>496</v>
      </c>
      <c r="AI30" s="208" t="s">
        <v>22</v>
      </c>
      <c r="AJ30" s="208" t="s">
        <v>11</v>
      </c>
      <c r="AK30" s="208">
        <v>11.3</v>
      </c>
      <c r="AL30" s="82"/>
      <c r="AO30" s="83"/>
      <c r="AP30" s="82"/>
      <c r="AS30" s="83"/>
      <c r="AW30" s="83"/>
      <c r="BA30" s="84"/>
    </row>
    <row r="31" spans="1:53" s="334" customFormat="1">
      <c r="A31" s="386">
        <v>1971</v>
      </c>
      <c r="B31" s="355">
        <v>26120</v>
      </c>
      <c r="C31" s="992" t="s">
        <v>665</v>
      </c>
      <c r="D31" s="992"/>
      <c r="E31" s="334">
        <v>179</v>
      </c>
      <c r="F31" s="334">
        <v>1</v>
      </c>
      <c r="G31" s="419">
        <v>8</v>
      </c>
      <c r="H31" s="334">
        <v>8</v>
      </c>
      <c r="J31" s="435">
        <v>16</v>
      </c>
      <c r="K31" s="384">
        <f t="shared" si="0"/>
        <v>50</v>
      </c>
      <c r="L31" s="384">
        <f t="shared" si="0"/>
        <v>50</v>
      </c>
      <c r="M31" s="384">
        <f t="shared" si="0"/>
        <v>0</v>
      </c>
      <c r="N31" s="421">
        <f t="shared" si="1"/>
        <v>100</v>
      </c>
      <c r="O31" s="383">
        <v>26.099999999999998</v>
      </c>
      <c r="P31" s="384">
        <v>28.6</v>
      </c>
      <c r="Q31" s="384"/>
      <c r="R31" s="385">
        <f t="shared" si="2"/>
        <v>54.7</v>
      </c>
      <c r="S31" s="334">
        <v>2</v>
      </c>
      <c r="T31" s="342">
        <v>26020</v>
      </c>
      <c r="U31" s="355">
        <v>26120</v>
      </c>
      <c r="V31" s="343" t="s">
        <v>493</v>
      </c>
      <c r="W31" s="334" t="s">
        <v>82</v>
      </c>
      <c r="X31" s="334" t="s">
        <v>18</v>
      </c>
      <c r="Y31" s="344">
        <v>23.3</v>
      </c>
      <c r="Z31" s="334" t="s">
        <v>494</v>
      </c>
      <c r="AA31" s="334" t="s">
        <v>17</v>
      </c>
      <c r="AB31" s="334" t="s">
        <v>11</v>
      </c>
      <c r="AC31" s="334">
        <v>8.6999999999999993</v>
      </c>
      <c r="AD31" s="343" t="s">
        <v>495</v>
      </c>
      <c r="AE31" s="334" t="s">
        <v>86</v>
      </c>
      <c r="AF31" s="334" t="s">
        <v>11</v>
      </c>
      <c r="AG31" s="344">
        <v>6.7</v>
      </c>
      <c r="AH31" s="334" t="s">
        <v>496</v>
      </c>
      <c r="AI31" s="334" t="s">
        <v>22</v>
      </c>
      <c r="AJ31" s="334" t="s">
        <v>11</v>
      </c>
      <c r="AK31" s="334">
        <v>10.7</v>
      </c>
      <c r="AL31" s="343" t="s">
        <v>498</v>
      </c>
      <c r="AM31" s="334" t="s">
        <v>98</v>
      </c>
      <c r="AN31" s="334" t="s">
        <v>18</v>
      </c>
      <c r="AO31" s="344">
        <v>5.3</v>
      </c>
      <c r="AP31" s="343"/>
      <c r="AS31" s="344"/>
      <c r="AW31" s="344"/>
      <c r="BA31" s="345"/>
    </row>
    <row r="32" spans="1:53" s="334" customFormat="1">
      <c r="A32" s="386">
        <v>1972</v>
      </c>
      <c r="B32" s="355"/>
      <c r="C32" s="992" t="s">
        <v>665</v>
      </c>
      <c r="D32" s="992"/>
      <c r="E32" s="334">
        <v>229</v>
      </c>
      <c r="G32" s="419">
        <v>8</v>
      </c>
      <c r="H32" s="334">
        <v>8</v>
      </c>
      <c r="J32" s="435">
        <v>16</v>
      </c>
      <c r="K32" s="384">
        <f t="shared" si="0"/>
        <v>50</v>
      </c>
      <c r="L32" s="384">
        <f t="shared" si="0"/>
        <v>50</v>
      </c>
      <c r="M32" s="384">
        <f t="shared" si="0"/>
        <v>0</v>
      </c>
      <c r="N32" s="421">
        <f t="shared" si="1"/>
        <v>100</v>
      </c>
      <c r="O32" s="383">
        <v>26.099999999999998</v>
      </c>
      <c r="P32" s="384">
        <v>28.6</v>
      </c>
      <c r="Q32" s="384"/>
      <c r="R32" s="385">
        <f t="shared" si="2"/>
        <v>54.7</v>
      </c>
      <c r="S32" s="334">
        <v>2</v>
      </c>
      <c r="T32" s="357"/>
      <c r="V32" s="343" t="s">
        <v>493</v>
      </c>
      <c r="W32" s="334" t="s">
        <v>82</v>
      </c>
      <c r="X32" s="334" t="s">
        <v>18</v>
      </c>
      <c r="Y32" s="344">
        <v>23.3</v>
      </c>
      <c r="Z32" s="334" t="s">
        <v>494</v>
      </c>
      <c r="AA32" s="334" t="s">
        <v>17</v>
      </c>
      <c r="AB32" s="334" t="s">
        <v>11</v>
      </c>
      <c r="AC32" s="334">
        <v>8.6999999999999993</v>
      </c>
      <c r="AD32" s="343" t="s">
        <v>495</v>
      </c>
      <c r="AE32" s="334" t="s">
        <v>86</v>
      </c>
      <c r="AF32" s="334" t="s">
        <v>11</v>
      </c>
      <c r="AG32" s="344">
        <v>6.7</v>
      </c>
      <c r="AH32" s="334" t="s">
        <v>496</v>
      </c>
      <c r="AI32" s="334" t="s">
        <v>22</v>
      </c>
      <c r="AJ32" s="334" t="s">
        <v>11</v>
      </c>
      <c r="AK32" s="334">
        <v>10.7</v>
      </c>
      <c r="AL32" s="343" t="s">
        <v>498</v>
      </c>
      <c r="AM32" s="334" t="s">
        <v>98</v>
      </c>
      <c r="AN32" s="334" t="s">
        <v>18</v>
      </c>
      <c r="AO32" s="344">
        <v>5.3</v>
      </c>
      <c r="AP32" s="343"/>
      <c r="AS32" s="344"/>
      <c r="AW32" s="344"/>
      <c r="BA32" s="345"/>
    </row>
    <row r="33" spans="1:53" s="208" customFormat="1">
      <c r="A33" s="102">
        <v>1972</v>
      </c>
      <c r="B33" s="207">
        <v>26528</v>
      </c>
      <c r="C33" s="988" t="s">
        <v>666</v>
      </c>
      <c r="D33" s="988"/>
      <c r="E33" s="208">
        <f>366-E32</f>
        <v>137</v>
      </c>
      <c r="F33" s="208">
        <v>4</v>
      </c>
      <c r="G33" s="123">
        <v>8</v>
      </c>
      <c r="H33" s="208">
        <v>6</v>
      </c>
      <c r="J33" s="134">
        <v>14</v>
      </c>
      <c r="K33" s="92">
        <f t="shared" si="0"/>
        <v>57.142857142857139</v>
      </c>
      <c r="L33" s="92">
        <f t="shared" si="0"/>
        <v>42.857142857142854</v>
      </c>
      <c r="M33" s="92">
        <f t="shared" si="0"/>
        <v>0</v>
      </c>
      <c r="N33" s="125">
        <f t="shared" si="1"/>
        <v>100</v>
      </c>
      <c r="O33" s="91">
        <v>26.099999999999998</v>
      </c>
      <c r="P33" s="92">
        <v>23.3</v>
      </c>
      <c r="Q33" s="92"/>
      <c r="R33" s="93">
        <f t="shared" si="2"/>
        <v>49.4</v>
      </c>
      <c r="S33" s="208">
        <v>6</v>
      </c>
      <c r="T33" s="95">
        <v>26632</v>
      </c>
      <c r="U33" s="207">
        <v>26528</v>
      </c>
      <c r="V33" s="82" t="s">
        <v>493</v>
      </c>
      <c r="W33" s="208" t="s">
        <v>82</v>
      </c>
      <c r="X33" s="208" t="s">
        <v>18</v>
      </c>
      <c r="Y33" s="83">
        <v>23.3</v>
      </c>
      <c r="Z33" s="208" t="s">
        <v>494</v>
      </c>
      <c r="AA33" s="208" t="s">
        <v>17</v>
      </c>
      <c r="AB33" s="208" t="s">
        <v>11</v>
      </c>
      <c r="AC33" s="208">
        <v>8.6999999999999993</v>
      </c>
      <c r="AD33" s="82" t="s">
        <v>495</v>
      </c>
      <c r="AE33" s="208" t="s">
        <v>86</v>
      </c>
      <c r="AF33" s="208" t="s">
        <v>11</v>
      </c>
      <c r="AG33" s="83">
        <v>6.7</v>
      </c>
      <c r="AH33" s="208" t="s">
        <v>496</v>
      </c>
      <c r="AI33" s="208" t="s">
        <v>22</v>
      </c>
      <c r="AJ33" s="208" t="s">
        <v>11</v>
      </c>
      <c r="AK33" s="208">
        <v>10.7</v>
      </c>
      <c r="AL33" s="82"/>
      <c r="AO33" s="83"/>
      <c r="AP33" s="82"/>
      <c r="AS33" s="83"/>
      <c r="AW33" s="83"/>
      <c r="BA33" s="84"/>
    </row>
    <row r="34" spans="1:53" s="208" customFormat="1">
      <c r="A34" s="102">
        <v>1973</v>
      </c>
      <c r="B34" s="207"/>
      <c r="C34" s="988" t="s">
        <v>666</v>
      </c>
      <c r="D34" s="988"/>
      <c r="E34" s="208">
        <v>130</v>
      </c>
      <c r="G34" s="123">
        <v>8</v>
      </c>
      <c r="H34" s="208">
        <v>6</v>
      </c>
      <c r="J34" s="134">
        <v>14</v>
      </c>
      <c r="K34" s="92">
        <f t="shared" si="0"/>
        <v>57.142857142857139</v>
      </c>
      <c r="L34" s="92">
        <f t="shared" si="0"/>
        <v>42.857142857142854</v>
      </c>
      <c r="M34" s="92">
        <f t="shared" si="0"/>
        <v>0</v>
      </c>
      <c r="N34" s="125">
        <f t="shared" si="1"/>
        <v>100</v>
      </c>
      <c r="O34" s="91">
        <v>26.099999999999998</v>
      </c>
      <c r="P34" s="92">
        <v>23.3</v>
      </c>
      <c r="Q34" s="92"/>
      <c r="R34" s="93">
        <f t="shared" si="2"/>
        <v>49.4</v>
      </c>
      <c r="S34" s="208">
        <v>6</v>
      </c>
      <c r="T34" s="81"/>
      <c r="V34" s="82" t="s">
        <v>493</v>
      </c>
      <c r="W34" s="208" t="s">
        <v>82</v>
      </c>
      <c r="X34" s="208" t="s">
        <v>18</v>
      </c>
      <c r="Y34" s="83">
        <v>23.3</v>
      </c>
      <c r="Z34" s="208" t="s">
        <v>494</v>
      </c>
      <c r="AA34" s="208" t="s">
        <v>17</v>
      </c>
      <c r="AB34" s="208" t="s">
        <v>11</v>
      </c>
      <c r="AC34" s="208">
        <v>8.6999999999999993</v>
      </c>
      <c r="AD34" s="82" t="s">
        <v>495</v>
      </c>
      <c r="AE34" s="208" t="s">
        <v>86</v>
      </c>
      <c r="AF34" s="208" t="s">
        <v>11</v>
      </c>
      <c r="AG34" s="83">
        <v>6.7</v>
      </c>
      <c r="AH34" s="208" t="s">
        <v>496</v>
      </c>
      <c r="AI34" s="208" t="s">
        <v>22</v>
      </c>
      <c r="AJ34" s="208" t="s">
        <v>11</v>
      </c>
      <c r="AK34" s="208">
        <v>10.7</v>
      </c>
      <c r="AL34" s="82"/>
      <c r="AO34" s="83"/>
      <c r="AP34" s="82"/>
      <c r="AS34" s="83"/>
      <c r="AW34" s="83"/>
      <c r="BA34" s="84"/>
    </row>
    <row r="35" spans="1:53" s="334" customFormat="1">
      <c r="A35" s="386">
        <v>1973</v>
      </c>
      <c r="B35" s="355">
        <v>26795</v>
      </c>
      <c r="C35" s="992" t="s">
        <v>819</v>
      </c>
      <c r="D35" s="992"/>
      <c r="E35" s="334">
        <f>365-E34</f>
        <v>235</v>
      </c>
      <c r="F35" s="334">
        <v>1</v>
      </c>
      <c r="G35" s="419">
        <v>2</v>
      </c>
      <c r="H35" s="334">
        <v>5</v>
      </c>
      <c r="I35" s="334">
        <v>9</v>
      </c>
      <c r="J35" s="435">
        <v>16</v>
      </c>
      <c r="K35" s="384">
        <f t="shared" si="0"/>
        <v>12.5</v>
      </c>
      <c r="L35" s="384">
        <f t="shared" si="0"/>
        <v>31.25</v>
      </c>
      <c r="M35" s="384">
        <f t="shared" si="0"/>
        <v>56.25</v>
      </c>
      <c r="N35" s="421">
        <f t="shared" si="1"/>
        <v>100</v>
      </c>
      <c r="O35" s="383">
        <v>9.3000000000000007</v>
      </c>
      <c r="P35" s="384">
        <v>22</v>
      </c>
      <c r="Q35" s="384">
        <v>33.4</v>
      </c>
      <c r="R35" s="385">
        <f t="shared" si="2"/>
        <v>64.7</v>
      </c>
      <c r="S35" s="334">
        <v>3</v>
      </c>
      <c r="T35" s="357"/>
      <c r="U35" s="355">
        <v>26795</v>
      </c>
      <c r="V35" s="343" t="s">
        <v>493</v>
      </c>
      <c r="W35" s="334" t="s">
        <v>82</v>
      </c>
      <c r="X35" s="334" t="s">
        <v>18</v>
      </c>
      <c r="Y35" s="344">
        <v>18</v>
      </c>
      <c r="Z35" s="334" t="s">
        <v>494</v>
      </c>
      <c r="AA35" s="334" t="s">
        <v>17</v>
      </c>
      <c r="AB35" s="334" t="s">
        <v>11</v>
      </c>
      <c r="AC35" s="334">
        <v>9.3000000000000007</v>
      </c>
      <c r="AD35" s="343" t="s">
        <v>497</v>
      </c>
      <c r="AE35" s="334" t="s">
        <v>20</v>
      </c>
      <c r="AF35" s="334" t="s">
        <v>12</v>
      </c>
      <c r="AG35" s="344">
        <v>28.7</v>
      </c>
      <c r="AH35" s="334" t="s">
        <v>499</v>
      </c>
      <c r="AI35" s="334" t="s">
        <v>88</v>
      </c>
      <c r="AJ35" s="334" t="s">
        <v>18</v>
      </c>
      <c r="AK35" s="334">
        <v>4</v>
      </c>
      <c r="AL35" s="343" t="s">
        <v>574</v>
      </c>
      <c r="AM35" s="334" t="s">
        <v>334</v>
      </c>
      <c r="AN35" s="334" t="s">
        <v>12</v>
      </c>
      <c r="AO35" s="344">
        <v>4.7</v>
      </c>
      <c r="AP35" s="343"/>
      <c r="AS35" s="344"/>
      <c r="AW35" s="344"/>
      <c r="BA35" s="345"/>
    </row>
    <row r="36" spans="1:53" s="334" customFormat="1">
      <c r="A36" s="386">
        <v>1974</v>
      </c>
      <c r="B36" s="355"/>
      <c r="C36" s="992" t="s">
        <v>819</v>
      </c>
      <c r="D36" s="992"/>
      <c r="E36" s="334">
        <v>0</v>
      </c>
      <c r="G36" s="419">
        <v>2</v>
      </c>
      <c r="H36" s="334">
        <v>5</v>
      </c>
      <c r="I36" s="334">
        <v>9</v>
      </c>
      <c r="J36" s="435">
        <v>16</v>
      </c>
      <c r="K36" s="384">
        <f t="shared" si="0"/>
        <v>12.5</v>
      </c>
      <c r="L36" s="384">
        <f t="shared" si="0"/>
        <v>31.25</v>
      </c>
      <c r="M36" s="384">
        <f t="shared" si="0"/>
        <v>56.25</v>
      </c>
      <c r="N36" s="421">
        <f t="shared" si="1"/>
        <v>100</v>
      </c>
      <c r="O36" s="383">
        <v>9.3000000000000007</v>
      </c>
      <c r="P36" s="384">
        <v>22</v>
      </c>
      <c r="Q36" s="384">
        <v>33.4</v>
      </c>
      <c r="R36" s="385">
        <f t="shared" si="2"/>
        <v>64.7</v>
      </c>
      <c r="S36" s="334">
        <v>3</v>
      </c>
      <c r="T36" s="357"/>
      <c r="V36" s="343" t="s">
        <v>493</v>
      </c>
      <c r="W36" s="334" t="s">
        <v>82</v>
      </c>
      <c r="X36" s="334" t="s">
        <v>18</v>
      </c>
      <c r="Y36" s="344">
        <v>18</v>
      </c>
      <c r="Z36" s="334" t="s">
        <v>494</v>
      </c>
      <c r="AA36" s="334" t="s">
        <v>17</v>
      </c>
      <c r="AB36" s="334" t="s">
        <v>11</v>
      </c>
      <c r="AC36" s="334">
        <v>9.3000000000000007</v>
      </c>
      <c r="AD36" s="343" t="s">
        <v>497</v>
      </c>
      <c r="AE36" s="334" t="s">
        <v>20</v>
      </c>
      <c r="AF36" s="334" t="s">
        <v>12</v>
      </c>
      <c r="AG36" s="344">
        <v>28.7</v>
      </c>
      <c r="AH36" s="334" t="s">
        <v>499</v>
      </c>
      <c r="AI36" s="334" t="s">
        <v>88</v>
      </c>
      <c r="AJ36" s="334" t="s">
        <v>18</v>
      </c>
      <c r="AK36" s="334">
        <v>4</v>
      </c>
      <c r="AL36" s="343" t="s">
        <v>574</v>
      </c>
      <c r="AM36" s="334" t="s">
        <v>334</v>
      </c>
      <c r="AN36" s="334" t="s">
        <v>12</v>
      </c>
      <c r="AO36" s="344">
        <v>4.7</v>
      </c>
      <c r="AP36" s="343"/>
      <c r="AS36" s="344"/>
      <c r="AW36" s="344"/>
      <c r="BA36" s="345"/>
    </row>
    <row r="37" spans="1:53" s="334" customFormat="1">
      <c r="A37" s="386">
        <v>1974</v>
      </c>
      <c r="B37" s="355"/>
      <c r="C37" s="992" t="s">
        <v>819</v>
      </c>
      <c r="D37" s="992"/>
      <c r="E37" s="334">
        <v>365</v>
      </c>
      <c r="G37" s="419">
        <v>2</v>
      </c>
      <c r="H37" s="334">
        <v>5</v>
      </c>
      <c r="I37" s="334">
        <v>9</v>
      </c>
      <c r="J37" s="435">
        <v>16</v>
      </c>
      <c r="K37" s="384">
        <f t="shared" si="0"/>
        <v>12.5</v>
      </c>
      <c r="L37" s="384">
        <f t="shared" si="0"/>
        <v>31.25</v>
      </c>
      <c r="M37" s="384">
        <f t="shared" si="0"/>
        <v>56.25</v>
      </c>
      <c r="N37" s="421">
        <f t="shared" si="1"/>
        <v>100</v>
      </c>
      <c r="O37" s="383">
        <v>9.3000000000000007</v>
      </c>
      <c r="P37" s="384">
        <v>22</v>
      </c>
      <c r="Q37" s="384">
        <v>33.4</v>
      </c>
      <c r="R37" s="385">
        <f t="shared" si="2"/>
        <v>64.7</v>
      </c>
      <c r="S37" s="334">
        <v>3</v>
      </c>
      <c r="T37" s="357"/>
      <c r="V37" s="343" t="s">
        <v>493</v>
      </c>
      <c r="W37" s="334" t="s">
        <v>82</v>
      </c>
      <c r="X37" s="334" t="s">
        <v>18</v>
      </c>
      <c r="Y37" s="344">
        <v>18</v>
      </c>
      <c r="Z37" s="334" t="s">
        <v>494</v>
      </c>
      <c r="AA37" s="334" t="s">
        <v>17</v>
      </c>
      <c r="AB37" s="334" t="s">
        <v>11</v>
      </c>
      <c r="AC37" s="334">
        <v>9.3000000000000007</v>
      </c>
      <c r="AD37" s="343" t="s">
        <v>497</v>
      </c>
      <c r="AE37" s="334" t="s">
        <v>20</v>
      </c>
      <c r="AF37" s="334" t="s">
        <v>12</v>
      </c>
      <c r="AG37" s="344">
        <v>28.7</v>
      </c>
      <c r="AH37" s="334" t="s">
        <v>499</v>
      </c>
      <c r="AI37" s="334" t="s">
        <v>88</v>
      </c>
      <c r="AJ37" s="334" t="s">
        <v>18</v>
      </c>
      <c r="AK37" s="334">
        <v>4</v>
      </c>
      <c r="AL37" s="343" t="s">
        <v>574</v>
      </c>
      <c r="AM37" s="334" t="s">
        <v>334</v>
      </c>
      <c r="AN37" s="334" t="s">
        <v>12</v>
      </c>
      <c r="AO37" s="344">
        <v>4.7</v>
      </c>
      <c r="AP37" s="343"/>
      <c r="AS37" s="344"/>
      <c r="AW37" s="344"/>
      <c r="BA37" s="345"/>
    </row>
    <row r="38" spans="1:53" s="334" customFormat="1">
      <c r="A38" s="386">
        <v>1975</v>
      </c>
      <c r="B38" s="355"/>
      <c r="C38" s="992" t="s">
        <v>819</v>
      </c>
      <c r="D38" s="992"/>
      <c r="E38" s="334">
        <v>0</v>
      </c>
      <c r="G38" s="419">
        <v>2</v>
      </c>
      <c r="H38" s="334">
        <v>5</v>
      </c>
      <c r="I38" s="334">
        <v>9</v>
      </c>
      <c r="J38" s="435">
        <v>16</v>
      </c>
      <c r="K38" s="384">
        <f t="shared" si="0"/>
        <v>12.5</v>
      </c>
      <c r="L38" s="384">
        <f t="shared" si="0"/>
        <v>31.25</v>
      </c>
      <c r="M38" s="384">
        <f t="shared" si="0"/>
        <v>56.25</v>
      </c>
      <c r="N38" s="421">
        <f t="shared" si="1"/>
        <v>100</v>
      </c>
      <c r="O38" s="383">
        <v>9.3000000000000007</v>
      </c>
      <c r="P38" s="384">
        <v>22</v>
      </c>
      <c r="Q38" s="384">
        <v>33.4</v>
      </c>
      <c r="R38" s="385">
        <f t="shared" si="2"/>
        <v>64.7</v>
      </c>
      <c r="S38" s="334">
        <v>3</v>
      </c>
      <c r="T38" s="357"/>
      <c r="V38" s="343" t="s">
        <v>493</v>
      </c>
      <c r="W38" s="334" t="s">
        <v>82</v>
      </c>
      <c r="X38" s="334" t="s">
        <v>18</v>
      </c>
      <c r="Y38" s="344">
        <v>18</v>
      </c>
      <c r="Z38" s="334" t="s">
        <v>494</v>
      </c>
      <c r="AA38" s="334" t="s">
        <v>17</v>
      </c>
      <c r="AB38" s="334" t="s">
        <v>11</v>
      </c>
      <c r="AC38" s="334">
        <v>9.3000000000000007</v>
      </c>
      <c r="AD38" s="343" t="s">
        <v>497</v>
      </c>
      <c r="AE38" s="334" t="s">
        <v>20</v>
      </c>
      <c r="AF38" s="334" t="s">
        <v>12</v>
      </c>
      <c r="AG38" s="344">
        <v>28.7</v>
      </c>
      <c r="AH38" s="334" t="s">
        <v>499</v>
      </c>
      <c r="AI38" s="334" t="s">
        <v>88</v>
      </c>
      <c r="AJ38" s="334" t="s">
        <v>18</v>
      </c>
      <c r="AK38" s="334">
        <v>4</v>
      </c>
      <c r="AL38" s="343" t="s">
        <v>574</v>
      </c>
      <c r="AM38" s="334" t="s">
        <v>334</v>
      </c>
      <c r="AN38" s="334" t="s">
        <v>12</v>
      </c>
      <c r="AO38" s="344">
        <v>4.7</v>
      </c>
      <c r="AP38" s="343"/>
      <c r="AS38" s="344"/>
      <c r="AW38" s="344"/>
      <c r="BA38" s="345"/>
    </row>
    <row r="39" spans="1:53" s="334" customFormat="1">
      <c r="A39" s="386">
        <v>1975</v>
      </c>
      <c r="B39" s="355"/>
      <c r="C39" s="992" t="s">
        <v>819</v>
      </c>
      <c r="D39" s="992"/>
      <c r="E39" s="334">
        <v>365</v>
      </c>
      <c r="G39" s="419">
        <v>2</v>
      </c>
      <c r="H39" s="334">
        <v>5</v>
      </c>
      <c r="I39" s="334">
        <v>9</v>
      </c>
      <c r="J39" s="435">
        <v>16</v>
      </c>
      <c r="K39" s="384">
        <f t="shared" si="0"/>
        <v>12.5</v>
      </c>
      <c r="L39" s="384">
        <f t="shared" si="0"/>
        <v>31.25</v>
      </c>
      <c r="M39" s="384">
        <f t="shared" si="0"/>
        <v>56.25</v>
      </c>
      <c r="N39" s="421">
        <f t="shared" si="1"/>
        <v>100</v>
      </c>
      <c r="O39" s="383">
        <v>9.3000000000000007</v>
      </c>
      <c r="P39" s="384">
        <v>22</v>
      </c>
      <c r="Q39" s="384">
        <v>33.4</v>
      </c>
      <c r="R39" s="385">
        <f t="shared" si="2"/>
        <v>64.7</v>
      </c>
      <c r="S39" s="334">
        <v>3</v>
      </c>
      <c r="T39" s="357"/>
      <c r="V39" s="343" t="s">
        <v>493</v>
      </c>
      <c r="W39" s="334" t="s">
        <v>82</v>
      </c>
      <c r="X39" s="334" t="s">
        <v>18</v>
      </c>
      <c r="Y39" s="344">
        <v>18</v>
      </c>
      <c r="Z39" s="334" t="s">
        <v>494</v>
      </c>
      <c r="AA39" s="334" t="s">
        <v>17</v>
      </c>
      <c r="AB39" s="334" t="s">
        <v>11</v>
      </c>
      <c r="AC39" s="334">
        <v>9.3000000000000007</v>
      </c>
      <c r="AD39" s="343" t="s">
        <v>497</v>
      </c>
      <c r="AE39" s="334" t="s">
        <v>20</v>
      </c>
      <c r="AF39" s="334" t="s">
        <v>12</v>
      </c>
      <c r="AG39" s="344">
        <v>28.7</v>
      </c>
      <c r="AH39" s="334" t="s">
        <v>499</v>
      </c>
      <c r="AI39" s="334" t="s">
        <v>88</v>
      </c>
      <c r="AJ39" s="334" t="s">
        <v>18</v>
      </c>
      <c r="AK39" s="334">
        <v>4</v>
      </c>
      <c r="AL39" s="343" t="s">
        <v>574</v>
      </c>
      <c r="AM39" s="334" t="s">
        <v>334</v>
      </c>
      <c r="AN39" s="334" t="s">
        <v>12</v>
      </c>
      <c r="AO39" s="344">
        <v>4.7</v>
      </c>
      <c r="AP39" s="343"/>
      <c r="AS39" s="344"/>
      <c r="AW39" s="344"/>
      <c r="BA39" s="345"/>
    </row>
    <row r="40" spans="1:53" s="334" customFormat="1">
      <c r="A40" s="386">
        <v>1976</v>
      </c>
      <c r="B40" s="355"/>
      <c r="C40" s="992" t="s">
        <v>819</v>
      </c>
      <c r="D40" s="992"/>
      <c r="E40" s="334">
        <v>0</v>
      </c>
      <c r="G40" s="419">
        <v>2</v>
      </c>
      <c r="H40" s="334">
        <v>5</v>
      </c>
      <c r="I40" s="334">
        <v>9</v>
      </c>
      <c r="J40" s="435">
        <v>16</v>
      </c>
      <c r="K40" s="384">
        <f t="shared" si="0"/>
        <v>12.5</v>
      </c>
      <c r="L40" s="384">
        <f t="shared" si="0"/>
        <v>31.25</v>
      </c>
      <c r="M40" s="384">
        <f t="shared" si="0"/>
        <v>56.25</v>
      </c>
      <c r="N40" s="421">
        <f t="shared" si="1"/>
        <v>100</v>
      </c>
      <c r="O40" s="383">
        <v>9.3000000000000007</v>
      </c>
      <c r="P40" s="384">
        <v>22</v>
      </c>
      <c r="Q40" s="384">
        <v>33.4</v>
      </c>
      <c r="R40" s="385">
        <f t="shared" si="2"/>
        <v>64.7</v>
      </c>
      <c r="S40" s="334">
        <v>3</v>
      </c>
      <c r="T40" s="357"/>
      <c r="V40" s="343" t="s">
        <v>493</v>
      </c>
      <c r="W40" s="334" t="s">
        <v>82</v>
      </c>
      <c r="X40" s="334" t="s">
        <v>18</v>
      </c>
      <c r="Y40" s="344">
        <v>18</v>
      </c>
      <c r="Z40" s="334" t="s">
        <v>494</v>
      </c>
      <c r="AA40" s="334" t="s">
        <v>17</v>
      </c>
      <c r="AB40" s="334" t="s">
        <v>11</v>
      </c>
      <c r="AC40" s="334">
        <v>9.3000000000000007</v>
      </c>
      <c r="AD40" s="343" t="s">
        <v>497</v>
      </c>
      <c r="AE40" s="334" t="s">
        <v>20</v>
      </c>
      <c r="AF40" s="334" t="s">
        <v>12</v>
      </c>
      <c r="AG40" s="344">
        <v>28.7</v>
      </c>
      <c r="AH40" s="334" t="s">
        <v>499</v>
      </c>
      <c r="AI40" s="334" t="s">
        <v>88</v>
      </c>
      <c r="AJ40" s="334" t="s">
        <v>18</v>
      </c>
      <c r="AK40" s="334">
        <v>4</v>
      </c>
      <c r="AL40" s="343" t="s">
        <v>574</v>
      </c>
      <c r="AM40" s="334" t="s">
        <v>334</v>
      </c>
      <c r="AN40" s="334" t="s">
        <v>12</v>
      </c>
      <c r="AO40" s="344">
        <v>4.7</v>
      </c>
      <c r="AP40" s="343"/>
      <c r="AS40" s="344"/>
      <c r="AW40" s="344"/>
      <c r="BA40" s="345"/>
    </row>
    <row r="41" spans="1:53" s="334" customFormat="1">
      <c r="A41" s="386">
        <v>1976</v>
      </c>
      <c r="B41" s="355"/>
      <c r="C41" s="992" t="s">
        <v>819</v>
      </c>
      <c r="D41" s="992"/>
      <c r="E41" s="334">
        <v>366</v>
      </c>
      <c r="G41" s="419">
        <v>2</v>
      </c>
      <c r="H41" s="334">
        <v>5</v>
      </c>
      <c r="I41" s="334">
        <v>9</v>
      </c>
      <c r="J41" s="435">
        <v>16</v>
      </c>
      <c r="K41" s="384">
        <f t="shared" si="0"/>
        <v>12.5</v>
      </c>
      <c r="L41" s="384">
        <f t="shared" si="0"/>
        <v>31.25</v>
      </c>
      <c r="M41" s="384">
        <f t="shared" si="0"/>
        <v>56.25</v>
      </c>
      <c r="N41" s="421">
        <f t="shared" si="1"/>
        <v>100</v>
      </c>
      <c r="O41" s="383">
        <v>9.3000000000000007</v>
      </c>
      <c r="P41" s="384">
        <v>22</v>
      </c>
      <c r="Q41" s="384">
        <v>33.4</v>
      </c>
      <c r="R41" s="385">
        <f t="shared" si="2"/>
        <v>64.7</v>
      </c>
      <c r="S41" s="334">
        <v>3</v>
      </c>
      <c r="T41" s="357"/>
      <c r="V41" s="343" t="s">
        <v>493</v>
      </c>
      <c r="W41" s="334" t="s">
        <v>82</v>
      </c>
      <c r="X41" s="334" t="s">
        <v>18</v>
      </c>
      <c r="Y41" s="344">
        <v>18</v>
      </c>
      <c r="Z41" s="334" t="s">
        <v>494</v>
      </c>
      <c r="AA41" s="334" t="s">
        <v>17</v>
      </c>
      <c r="AB41" s="334" t="s">
        <v>11</v>
      </c>
      <c r="AC41" s="334">
        <v>9.3000000000000007</v>
      </c>
      <c r="AD41" s="343" t="s">
        <v>497</v>
      </c>
      <c r="AE41" s="334" t="s">
        <v>20</v>
      </c>
      <c r="AF41" s="334" t="s">
        <v>12</v>
      </c>
      <c r="AG41" s="344">
        <v>28.7</v>
      </c>
      <c r="AH41" s="334" t="s">
        <v>499</v>
      </c>
      <c r="AI41" s="334" t="s">
        <v>88</v>
      </c>
      <c r="AJ41" s="334" t="s">
        <v>18</v>
      </c>
      <c r="AK41" s="334">
        <v>4</v>
      </c>
      <c r="AL41" s="343" t="s">
        <v>574</v>
      </c>
      <c r="AM41" s="334" t="s">
        <v>334</v>
      </c>
      <c r="AN41" s="334" t="s">
        <v>12</v>
      </c>
      <c r="AO41" s="344">
        <v>4.7</v>
      </c>
      <c r="AP41" s="343"/>
      <c r="AS41" s="344"/>
      <c r="AW41" s="344"/>
      <c r="BA41" s="345"/>
    </row>
    <row r="42" spans="1:53" s="334" customFormat="1">
      <c r="A42" s="386">
        <v>1977</v>
      </c>
      <c r="B42" s="355"/>
      <c r="C42" s="992" t="s">
        <v>819</v>
      </c>
      <c r="D42" s="992"/>
      <c r="E42" s="334">
        <v>352</v>
      </c>
      <c r="G42" s="419">
        <v>2</v>
      </c>
      <c r="H42" s="334">
        <v>5</v>
      </c>
      <c r="I42" s="334">
        <v>9</v>
      </c>
      <c r="J42" s="435">
        <v>16</v>
      </c>
      <c r="K42" s="384">
        <f t="shared" si="0"/>
        <v>12.5</v>
      </c>
      <c r="L42" s="384">
        <f t="shared" si="0"/>
        <v>31.25</v>
      </c>
      <c r="M42" s="384">
        <f t="shared" si="0"/>
        <v>56.25</v>
      </c>
      <c r="N42" s="421">
        <f t="shared" si="1"/>
        <v>100</v>
      </c>
      <c r="O42" s="383">
        <v>9.3000000000000007</v>
      </c>
      <c r="P42" s="384">
        <v>22</v>
      </c>
      <c r="Q42" s="384">
        <v>33.4</v>
      </c>
      <c r="R42" s="385">
        <f t="shared" si="2"/>
        <v>64.7</v>
      </c>
      <c r="S42" s="334">
        <v>3</v>
      </c>
      <c r="T42" s="357"/>
      <c r="V42" s="343" t="s">
        <v>493</v>
      </c>
      <c r="W42" s="334" t="s">
        <v>82</v>
      </c>
      <c r="X42" s="334" t="s">
        <v>18</v>
      </c>
      <c r="Y42" s="344">
        <v>18</v>
      </c>
      <c r="Z42" s="334" t="s">
        <v>494</v>
      </c>
      <c r="AA42" s="334" t="s">
        <v>17</v>
      </c>
      <c r="AB42" s="334" t="s">
        <v>11</v>
      </c>
      <c r="AC42" s="334">
        <v>9.3000000000000007</v>
      </c>
      <c r="AD42" s="343" t="s">
        <v>497</v>
      </c>
      <c r="AE42" s="334" t="s">
        <v>20</v>
      </c>
      <c r="AF42" s="334" t="s">
        <v>12</v>
      </c>
      <c r="AG42" s="344">
        <v>28.7</v>
      </c>
      <c r="AH42" s="334" t="s">
        <v>499</v>
      </c>
      <c r="AI42" s="334" t="s">
        <v>88</v>
      </c>
      <c r="AJ42" s="334" t="s">
        <v>18</v>
      </c>
      <c r="AK42" s="334">
        <v>4</v>
      </c>
      <c r="AL42" s="343" t="s">
        <v>574</v>
      </c>
      <c r="AM42" s="334" t="s">
        <v>334</v>
      </c>
      <c r="AN42" s="334" t="s">
        <v>12</v>
      </c>
      <c r="AO42" s="344">
        <v>4.7</v>
      </c>
      <c r="AP42" s="343"/>
      <c r="AS42" s="344"/>
      <c r="AW42" s="344"/>
      <c r="BA42" s="345"/>
    </row>
    <row r="43" spans="1:53" s="208" customFormat="1">
      <c r="A43" s="102">
        <v>1977</v>
      </c>
      <c r="B43" s="207">
        <v>28478</v>
      </c>
      <c r="C43" s="988" t="s">
        <v>820</v>
      </c>
      <c r="D43" s="988"/>
      <c r="E43" s="208">
        <f>365-E42</f>
        <v>13</v>
      </c>
      <c r="F43" s="208">
        <v>4</v>
      </c>
      <c r="G43" s="123">
        <v>5</v>
      </c>
      <c r="H43" s="208">
        <v>10</v>
      </c>
      <c r="J43" s="134">
        <v>15</v>
      </c>
      <c r="K43" s="92">
        <f t="shared" si="0"/>
        <v>33.333333333333329</v>
      </c>
      <c r="L43" s="92">
        <f>H43/$J43*100</f>
        <v>66.666666666666657</v>
      </c>
      <c r="M43" s="92">
        <f>I43/$J43*100</f>
        <v>0</v>
      </c>
      <c r="N43" s="125">
        <f t="shared" si="1"/>
        <v>99.999999999999986</v>
      </c>
      <c r="O43" s="91">
        <v>18.7</v>
      </c>
      <c r="P43" s="92">
        <v>32.700000000000003</v>
      </c>
      <c r="Q43" s="92"/>
      <c r="R43" s="93">
        <f t="shared" si="2"/>
        <v>51.400000000000006</v>
      </c>
      <c r="S43" s="208">
        <v>2</v>
      </c>
      <c r="T43" s="95">
        <v>28270</v>
      </c>
      <c r="U43" s="207">
        <v>28478</v>
      </c>
      <c r="V43" s="82" t="s">
        <v>500</v>
      </c>
      <c r="W43" s="208" t="s">
        <v>335</v>
      </c>
      <c r="X43" s="208" t="s">
        <v>18</v>
      </c>
      <c r="Y43" s="83">
        <v>32.700000000000003</v>
      </c>
      <c r="Z43" s="208" t="s">
        <v>496</v>
      </c>
      <c r="AA43" s="208" t="s">
        <v>22</v>
      </c>
      <c r="AB43" s="208" t="s">
        <v>11</v>
      </c>
      <c r="AC43" s="208">
        <v>18.7</v>
      </c>
      <c r="AD43" s="82"/>
      <c r="AG43" s="83"/>
      <c r="AL43" s="82"/>
      <c r="AO43" s="83"/>
      <c r="AP43" s="82"/>
      <c r="AS43" s="83"/>
      <c r="AW43" s="83"/>
      <c r="BA43" s="84"/>
    </row>
    <row r="44" spans="1:53" s="208" customFormat="1">
      <c r="A44" s="102">
        <v>1978</v>
      </c>
      <c r="B44" s="207"/>
      <c r="C44" s="988" t="s">
        <v>820</v>
      </c>
      <c r="D44" s="988"/>
      <c r="E44" s="208">
        <v>0</v>
      </c>
      <c r="G44" s="123">
        <v>5</v>
      </c>
      <c r="H44" s="208">
        <v>10</v>
      </c>
      <c r="J44" s="134">
        <v>15</v>
      </c>
      <c r="K44" s="92">
        <f>G44/$J44*100</f>
        <v>33.333333333333329</v>
      </c>
      <c r="L44" s="92">
        <f t="shared" si="0"/>
        <v>66.666666666666657</v>
      </c>
      <c r="M44" s="92">
        <f t="shared" si="0"/>
        <v>0</v>
      </c>
      <c r="N44" s="125">
        <f t="shared" si="1"/>
        <v>99.999999999999986</v>
      </c>
      <c r="O44" s="91">
        <v>18.7</v>
      </c>
      <c r="P44" s="92">
        <v>32.700000000000003</v>
      </c>
      <c r="Q44" s="92"/>
      <c r="R44" s="93">
        <f t="shared" si="2"/>
        <v>51.400000000000006</v>
      </c>
      <c r="S44" s="208">
        <v>2</v>
      </c>
      <c r="T44" s="81"/>
      <c r="V44" s="82" t="s">
        <v>500</v>
      </c>
      <c r="W44" s="208" t="s">
        <v>335</v>
      </c>
      <c r="X44" s="208" t="s">
        <v>18</v>
      </c>
      <c r="Y44" s="83">
        <v>32.700000000000003</v>
      </c>
      <c r="Z44" s="208" t="s">
        <v>496</v>
      </c>
      <c r="AA44" s="208" t="s">
        <v>22</v>
      </c>
      <c r="AB44" s="208" t="s">
        <v>11</v>
      </c>
      <c r="AC44" s="208">
        <v>18.7</v>
      </c>
      <c r="AD44" s="82"/>
      <c r="AG44" s="83"/>
      <c r="AL44" s="82"/>
      <c r="AO44" s="83"/>
      <c r="AP44" s="82"/>
      <c r="AS44" s="83"/>
      <c r="AW44" s="83"/>
      <c r="BA44" s="84"/>
    </row>
    <row r="45" spans="1:53" s="208" customFormat="1">
      <c r="A45" s="102">
        <v>1978</v>
      </c>
      <c r="B45" s="207"/>
      <c r="C45" s="988" t="s">
        <v>820</v>
      </c>
      <c r="D45" s="988"/>
      <c r="E45" s="208">
        <v>365</v>
      </c>
      <c r="G45" s="123">
        <v>5</v>
      </c>
      <c r="H45" s="208">
        <v>10</v>
      </c>
      <c r="J45" s="134">
        <v>15</v>
      </c>
      <c r="K45" s="92">
        <f t="shared" si="0"/>
        <v>33.333333333333329</v>
      </c>
      <c r="L45" s="92">
        <f t="shared" si="0"/>
        <v>66.666666666666657</v>
      </c>
      <c r="M45" s="92">
        <f t="shared" si="0"/>
        <v>0</v>
      </c>
      <c r="N45" s="125">
        <f t="shared" si="1"/>
        <v>99.999999999999986</v>
      </c>
      <c r="O45" s="91">
        <v>18.7</v>
      </c>
      <c r="P45" s="92">
        <v>32.700000000000003</v>
      </c>
      <c r="Q45" s="92"/>
      <c r="R45" s="93">
        <f t="shared" si="2"/>
        <v>51.400000000000006</v>
      </c>
      <c r="S45" s="208">
        <v>2</v>
      </c>
      <c r="T45" s="81"/>
      <c r="V45" s="82" t="s">
        <v>500</v>
      </c>
      <c r="W45" s="208" t="s">
        <v>335</v>
      </c>
      <c r="X45" s="208" t="s">
        <v>18</v>
      </c>
      <c r="Y45" s="83">
        <v>32.700000000000003</v>
      </c>
      <c r="Z45" s="208" t="s">
        <v>496</v>
      </c>
      <c r="AA45" s="208" t="s">
        <v>22</v>
      </c>
      <c r="AB45" s="208" t="s">
        <v>11</v>
      </c>
      <c r="AC45" s="208">
        <v>18.7</v>
      </c>
      <c r="AD45" s="82"/>
      <c r="AG45" s="83"/>
      <c r="AL45" s="82"/>
      <c r="AO45" s="83"/>
      <c r="AP45" s="82"/>
      <c r="AS45" s="83"/>
      <c r="AW45" s="83"/>
      <c r="BA45" s="84"/>
    </row>
    <row r="46" spans="1:53" s="208" customFormat="1">
      <c r="A46" s="102">
        <v>1979</v>
      </c>
      <c r="B46" s="207"/>
      <c r="C46" s="988" t="s">
        <v>820</v>
      </c>
      <c r="D46" s="988"/>
      <c r="E46" s="208">
        <v>0</v>
      </c>
      <c r="G46" s="123">
        <v>5</v>
      </c>
      <c r="H46" s="208">
        <v>10</v>
      </c>
      <c r="J46" s="134">
        <v>15</v>
      </c>
      <c r="K46" s="92">
        <f t="shared" si="0"/>
        <v>33.333333333333329</v>
      </c>
      <c r="L46" s="92">
        <f t="shared" si="0"/>
        <v>66.666666666666657</v>
      </c>
      <c r="M46" s="92">
        <f t="shared" si="0"/>
        <v>0</v>
      </c>
      <c r="N46" s="125">
        <f t="shared" si="1"/>
        <v>99.999999999999986</v>
      </c>
      <c r="O46" s="91">
        <v>18.7</v>
      </c>
      <c r="P46" s="92">
        <v>32.700000000000003</v>
      </c>
      <c r="Q46" s="92"/>
      <c r="R46" s="93">
        <f t="shared" si="2"/>
        <v>51.400000000000006</v>
      </c>
      <c r="S46" s="208">
        <v>2</v>
      </c>
      <c r="T46" s="81"/>
      <c r="V46" s="82" t="s">
        <v>500</v>
      </c>
      <c r="W46" s="208" t="s">
        <v>335</v>
      </c>
      <c r="X46" s="208" t="s">
        <v>18</v>
      </c>
      <c r="Y46" s="83">
        <v>32.700000000000003</v>
      </c>
      <c r="Z46" s="208" t="s">
        <v>496</v>
      </c>
      <c r="AA46" s="208" t="s">
        <v>22</v>
      </c>
      <c r="AB46" s="208" t="s">
        <v>11</v>
      </c>
      <c r="AC46" s="208">
        <v>18.7</v>
      </c>
      <c r="AD46" s="82"/>
      <c r="AG46" s="83"/>
      <c r="AL46" s="82"/>
      <c r="AO46" s="83"/>
      <c r="AP46" s="82"/>
      <c r="AS46" s="83"/>
      <c r="AW46" s="83"/>
      <c r="BA46" s="84"/>
    </row>
    <row r="47" spans="1:53" s="208" customFormat="1">
      <c r="A47" s="102">
        <v>1979</v>
      </c>
      <c r="B47" s="207"/>
      <c r="C47" s="988" t="s">
        <v>820</v>
      </c>
      <c r="D47" s="988"/>
      <c r="E47" s="208">
        <v>365</v>
      </c>
      <c r="G47" s="123">
        <v>5</v>
      </c>
      <c r="H47" s="208">
        <v>10</v>
      </c>
      <c r="J47" s="134">
        <v>15</v>
      </c>
      <c r="K47" s="92">
        <f t="shared" si="0"/>
        <v>33.333333333333329</v>
      </c>
      <c r="L47" s="92">
        <f t="shared" si="0"/>
        <v>66.666666666666657</v>
      </c>
      <c r="M47" s="92">
        <f t="shared" si="0"/>
        <v>0</v>
      </c>
      <c r="N47" s="125">
        <f t="shared" si="1"/>
        <v>99.999999999999986</v>
      </c>
      <c r="O47" s="91">
        <v>18.7</v>
      </c>
      <c r="P47" s="92">
        <v>32.700000000000003</v>
      </c>
      <c r="Q47" s="92"/>
      <c r="R47" s="93">
        <f t="shared" si="2"/>
        <v>51.400000000000006</v>
      </c>
      <c r="S47" s="208">
        <v>2</v>
      </c>
      <c r="T47" s="81"/>
      <c r="V47" s="82" t="s">
        <v>500</v>
      </c>
      <c r="W47" s="208" t="s">
        <v>335</v>
      </c>
      <c r="X47" s="208" t="s">
        <v>18</v>
      </c>
      <c r="Y47" s="83">
        <v>32.700000000000003</v>
      </c>
      <c r="Z47" s="208" t="s">
        <v>496</v>
      </c>
      <c r="AA47" s="208" t="s">
        <v>22</v>
      </c>
      <c r="AB47" s="208" t="s">
        <v>11</v>
      </c>
      <c r="AC47" s="208">
        <v>18.7</v>
      </c>
      <c r="AD47" s="82"/>
      <c r="AG47" s="83"/>
      <c r="AL47" s="82"/>
      <c r="AO47" s="83"/>
      <c r="AP47" s="82"/>
      <c r="AS47" s="83"/>
      <c r="AW47" s="83"/>
      <c r="BA47" s="84"/>
    </row>
    <row r="48" spans="1:53" s="208" customFormat="1">
      <c r="A48" s="102">
        <v>1980</v>
      </c>
      <c r="B48" s="207"/>
      <c r="C48" s="988" t="s">
        <v>820</v>
      </c>
      <c r="D48" s="988"/>
      <c r="E48" s="208">
        <v>0</v>
      </c>
      <c r="G48" s="123">
        <v>5</v>
      </c>
      <c r="H48" s="208">
        <v>10</v>
      </c>
      <c r="J48" s="134">
        <v>15</v>
      </c>
      <c r="K48" s="92">
        <f t="shared" si="0"/>
        <v>33.333333333333329</v>
      </c>
      <c r="L48" s="92">
        <f t="shared" si="0"/>
        <v>66.666666666666657</v>
      </c>
      <c r="M48" s="92">
        <f t="shared" si="0"/>
        <v>0</v>
      </c>
      <c r="N48" s="125">
        <f t="shared" si="1"/>
        <v>99.999999999999986</v>
      </c>
      <c r="O48" s="91">
        <v>18.7</v>
      </c>
      <c r="P48" s="92">
        <v>32.700000000000003</v>
      </c>
      <c r="Q48" s="92"/>
      <c r="R48" s="93">
        <f t="shared" si="2"/>
        <v>51.400000000000006</v>
      </c>
      <c r="S48" s="208">
        <v>2</v>
      </c>
      <c r="T48" s="81"/>
      <c r="V48" s="82" t="s">
        <v>500</v>
      </c>
      <c r="W48" s="208" t="s">
        <v>335</v>
      </c>
      <c r="X48" s="208" t="s">
        <v>18</v>
      </c>
      <c r="Y48" s="83">
        <v>32.700000000000003</v>
      </c>
      <c r="Z48" s="208" t="s">
        <v>496</v>
      </c>
      <c r="AA48" s="208" t="s">
        <v>22</v>
      </c>
      <c r="AB48" s="208" t="s">
        <v>11</v>
      </c>
      <c r="AC48" s="208">
        <v>18.7</v>
      </c>
      <c r="AD48" s="82"/>
      <c r="AG48" s="83"/>
      <c r="AL48" s="82"/>
      <c r="AO48" s="83"/>
      <c r="AP48" s="82"/>
      <c r="AS48" s="83"/>
      <c r="AW48" s="83"/>
      <c r="BA48" s="84"/>
    </row>
    <row r="49" spans="1:53" s="208" customFormat="1">
      <c r="A49" s="102">
        <v>1980</v>
      </c>
      <c r="B49" s="207"/>
      <c r="C49" s="988" t="s">
        <v>820</v>
      </c>
      <c r="D49" s="988"/>
      <c r="E49" s="208">
        <v>366</v>
      </c>
      <c r="G49" s="123">
        <v>5</v>
      </c>
      <c r="H49" s="208">
        <v>10</v>
      </c>
      <c r="J49" s="134">
        <v>15</v>
      </c>
      <c r="K49" s="92">
        <f t="shared" si="0"/>
        <v>33.333333333333329</v>
      </c>
      <c r="L49" s="92">
        <f t="shared" si="0"/>
        <v>66.666666666666657</v>
      </c>
      <c r="M49" s="92">
        <f t="shared" si="0"/>
        <v>0</v>
      </c>
      <c r="N49" s="125">
        <f t="shared" si="1"/>
        <v>99.999999999999986</v>
      </c>
      <c r="O49" s="91">
        <v>18.7</v>
      </c>
      <c r="P49" s="92">
        <v>32.700000000000003</v>
      </c>
      <c r="Q49" s="92"/>
      <c r="R49" s="93">
        <f t="shared" si="2"/>
        <v>51.400000000000006</v>
      </c>
      <c r="S49" s="208">
        <v>2</v>
      </c>
      <c r="T49" s="81"/>
      <c r="V49" s="82" t="s">
        <v>500</v>
      </c>
      <c r="W49" s="208" t="s">
        <v>335</v>
      </c>
      <c r="X49" s="208" t="s">
        <v>18</v>
      </c>
      <c r="Y49" s="83">
        <v>32.700000000000003</v>
      </c>
      <c r="Z49" s="208" t="s">
        <v>496</v>
      </c>
      <c r="AA49" s="208" t="s">
        <v>22</v>
      </c>
      <c r="AB49" s="208" t="s">
        <v>11</v>
      </c>
      <c r="AC49" s="208">
        <v>18.7</v>
      </c>
      <c r="AD49" s="82"/>
      <c r="AG49" s="83"/>
      <c r="AL49" s="82"/>
      <c r="AO49" s="83"/>
      <c r="AP49" s="82"/>
      <c r="AS49" s="83"/>
      <c r="AW49" s="83"/>
      <c r="BA49" s="84"/>
    </row>
    <row r="50" spans="1:53" s="208" customFormat="1">
      <c r="A50" s="102">
        <v>1981</v>
      </c>
      <c r="B50" s="207"/>
      <c r="C50" s="988" t="s">
        <v>820</v>
      </c>
      <c r="D50" s="988"/>
      <c r="E50" s="208">
        <v>253</v>
      </c>
      <c r="G50" s="123">
        <v>5</v>
      </c>
      <c r="H50" s="208">
        <v>10</v>
      </c>
      <c r="J50" s="134">
        <v>15</v>
      </c>
      <c r="K50" s="92">
        <f t="shared" si="0"/>
        <v>33.333333333333329</v>
      </c>
      <c r="L50" s="92">
        <f t="shared" si="0"/>
        <v>66.666666666666657</v>
      </c>
      <c r="M50" s="92">
        <f t="shared" si="0"/>
        <v>0</v>
      </c>
      <c r="N50" s="125">
        <f t="shared" si="1"/>
        <v>99.999999999999986</v>
      </c>
      <c r="O50" s="91">
        <v>18.7</v>
      </c>
      <c r="P50" s="92">
        <v>32.700000000000003</v>
      </c>
      <c r="Q50" s="92"/>
      <c r="R50" s="93">
        <f t="shared" si="2"/>
        <v>51.400000000000006</v>
      </c>
      <c r="S50" s="208">
        <v>2</v>
      </c>
      <c r="T50" s="81"/>
      <c r="V50" s="82" t="s">
        <v>500</v>
      </c>
      <c r="W50" s="208" t="s">
        <v>335</v>
      </c>
      <c r="X50" s="208" t="s">
        <v>18</v>
      </c>
      <c r="Y50" s="83">
        <v>32.700000000000003</v>
      </c>
      <c r="Z50" s="208" t="s">
        <v>496</v>
      </c>
      <c r="AA50" s="208" t="s">
        <v>22</v>
      </c>
      <c r="AB50" s="208" t="s">
        <v>11</v>
      </c>
      <c r="AC50" s="208">
        <v>18.7</v>
      </c>
      <c r="AD50" s="82"/>
      <c r="AG50" s="83"/>
      <c r="AL50" s="82"/>
      <c r="AO50" s="83"/>
      <c r="AP50" s="82"/>
      <c r="AS50" s="83"/>
      <c r="AW50" s="83"/>
      <c r="BA50" s="84"/>
    </row>
    <row r="51" spans="1:53" s="334" customFormat="1">
      <c r="A51" s="386">
        <v>1981</v>
      </c>
      <c r="B51" s="355">
        <v>29840</v>
      </c>
      <c r="C51" s="992" t="s">
        <v>821</v>
      </c>
      <c r="D51" s="992"/>
      <c r="E51" s="334">
        <f>365-E50</f>
        <v>112</v>
      </c>
      <c r="F51" s="334">
        <v>1</v>
      </c>
      <c r="G51" s="419"/>
      <c r="H51" s="334">
        <v>9</v>
      </c>
      <c r="I51" s="334">
        <v>6</v>
      </c>
      <c r="J51" s="435">
        <v>15</v>
      </c>
      <c r="K51" s="384">
        <f t="shared" si="0"/>
        <v>0</v>
      </c>
      <c r="L51" s="384">
        <f t="shared" si="0"/>
        <v>60</v>
      </c>
      <c r="M51" s="384">
        <f t="shared" si="0"/>
        <v>40</v>
      </c>
      <c r="N51" s="421">
        <f t="shared" si="1"/>
        <v>100</v>
      </c>
      <c r="O51" s="383"/>
      <c r="P51" s="384">
        <v>43.3</v>
      </c>
      <c r="Q51" s="384">
        <v>29.3</v>
      </c>
      <c r="R51" s="385">
        <f t="shared" si="2"/>
        <v>72.599999999999994</v>
      </c>
      <c r="S51" s="334">
        <v>3</v>
      </c>
      <c r="T51" s="342">
        <v>29732</v>
      </c>
      <c r="U51" s="355">
        <v>29840</v>
      </c>
      <c r="V51" s="343" t="s">
        <v>500</v>
      </c>
      <c r="W51" s="334" t="s">
        <v>335</v>
      </c>
      <c r="X51" s="334" t="s">
        <v>18</v>
      </c>
      <c r="Y51" s="344">
        <v>32</v>
      </c>
      <c r="Z51" s="343" t="s">
        <v>497</v>
      </c>
      <c r="AA51" s="334" t="s">
        <v>20</v>
      </c>
      <c r="AB51" s="334" t="s">
        <v>12</v>
      </c>
      <c r="AC51" s="334">
        <v>29.3</v>
      </c>
      <c r="AD51" s="343" t="s">
        <v>499</v>
      </c>
      <c r="AE51" s="334" t="s">
        <v>88</v>
      </c>
      <c r="AF51" s="334" t="s">
        <v>18</v>
      </c>
      <c r="AG51" s="344">
        <v>11.3</v>
      </c>
      <c r="AL51" s="343"/>
      <c r="AO51" s="344"/>
      <c r="AP51" s="343"/>
      <c r="AS51" s="344"/>
      <c r="AW51" s="344"/>
      <c r="BA51" s="345"/>
    </row>
    <row r="52" spans="1:53" s="334" customFormat="1">
      <c r="A52" s="386">
        <v>1982</v>
      </c>
      <c r="B52" s="355"/>
      <c r="C52" s="992" t="s">
        <v>821</v>
      </c>
      <c r="D52" s="992"/>
      <c r="E52" s="334">
        <v>148</v>
      </c>
      <c r="G52" s="419"/>
      <c r="H52" s="334">
        <v>9</v>
      </c>
      <c r="I52" s="334">
        <v>6</v>
      </c>
      <c r="J52" s="435">
        <v>15</v>
      </c>
      <c r="K52" s="384">
        <f t="shared" si="0"/>
        <v>0</v>
      </c>
      <c r="L52" s="384">
        <f t="shared" si="0"/>
        <v>60</v>
      </c>
      <c r="M52" s="384">
        <f t="shared" si="0"/>
        <v>40</v>
      </c>
      <c r="N52" s="421">
        <f t="shared" si="1"/>
        <v>100</v>
      </c>
      <c r="O52" s="383"/>
      <c r="P52" s="384">
        <v>43.3</v>
      </c>
      <c r="Q52" s="384">
        <v>29.3</v>
      </c>
      <c r="R52" s="385">
        <f t="shared" si="2"/>
        <v>72.599999999999994</v>
      </c>
      <c r="S52" s="334">
        <v>3</v>
      </c>
      <c r="T52" s="357"/>
      <c r="V52" s="343" t="s">
        <v>500</v>
      </c>
      <c r="W52" s="334" t="s">
        <v>335</v>
      </c>
      <c r="X52" s="334" t="s">
        <v>18</v>
      </c>
      <c r="Y52" s="344">
        <v>32</v>
      </c>
      <c r="Z52" s="343" t="s">
        <v>497</v>
      </c>
      <c r="AA52" s="334" t="s">
        <v>20</v>
      </c>
      <c r="AB52" s="334" t="s">
        <v>12</v>
      </c>
      <c r="AC52" s="334">
        <v>29.3</v>
      </c>
      <c r="AD52" s="343" t="s">
        <v>499</v>
      </c>
      <c r="AE52" s="334" t="s">
        <v>88</v>
      </c>
      <c r="AF52" s="334" t="s">
        <v>18</v>
      </c>
      <c r="AG52" s="344">
        <v>11.3</v>
      </c>
      <c r="AL52" s="343"/>
      <c r="AO52" s="344"/>
      <c r="AP52" s="343"/>
      <c r="AS52" s="344"/>
      <c r="AW52" s="344"/>
      <c r="BA52" s="345"/>
    </row>
    <row r="53" spans="1:53" s="208" customFormat="1">
      <c r="A53" s="102">
        <v>1982</v>
      </c>
      <c r="B53" s="207">
        <v>30100</v>
      </c>
      <c r="C53" s="988" t="s">
        <v>822</v>
      </c>
      <c r="D53" s="988"/>
      <c r="E53" s="208">
        <v>159</v>
      </c>
      <c r="F53" s="208">
        <v>4</v>
      </c>
      <c r="G53" s="123"/>
      <c r="H53" s="208">
        <v>9</v>
      </c>
      <c r="I53" s="208">
        <v>6</v>
      </c>
      <c r="J53" s="134">
        <v>15</v>
      </c>
      <c r="K53" s="92">
        <f t="shared" si="0"/>
        <v>0</v>
      </c>
      <c r="L53" s="92">
        <f t="shared" si="0"/>
        <v>60</v>
      </c>
      <c r="M53" s="92">
        <f t="shared" si="0"/>
        <v>40</v>
      </c>
      <c r="N53" s="125">
        <f t="shared" si="1"/>
        <v>100</v>
      </c>
      <c r="O53" s="91"/>
      <c r="P53" s="92">
        <v>43.3</v>
      </c>
      <c r="Q53" s="92"/>
      <c r="R53" s="93">
        <f t="shared" si="2"/>
        <v>43.3</v>
      </c>
      <c r="S53" s="208">
        <v>6</v>
      </c>
      <c r="T53" s="81"/>
      <c r="U53" s="207">
        <v>30100</v>
      </c>
      <c r="V53" s="82" t="s">
        <v>500</v>
      </c>
      <c r="W53" s="208" t="s">
        <v>335</v>
      </c>
      <c r="X53" s="208" t="s">
        <v>18</v>
      </c>
      <c r="Y53" s="83">
        <v>32</v>
      </c>
      <c r="Z53" s="208" t="s">
        <v>499</v>
      </c>
      <c r="AA53" s="208" t="s">
        <v>88</v>
      </c>
      <c r="AB53" s="208" t="s">
        <v>18</v>
      </c>
      <c r="AC53" s="208">
        <v>11.3</v>
      </c>
      <c r="AD53" s="82"/>
      <c r="AG53" s="83"/>
      <c r="AL53" s="82"/>
      <c r="AO53" s="83"/>
      <c r="AP53" s="82"/>
      <c r="AS53" s="83"/>
      <c r="AW53" s="83"/>
      <c r="BA53" s="84"/>
    </row>
    <row r="54" spans="1:53" s="334" customFormat="1">
      <c r="A54" s="386">
        <v>1982</v>
      </c>
      <c r="B54" s="355">
        <v>30259</v>
      </c>
      <c r="C54" s="992" t="s">
        <v>667</v>
      </c>
      <c r="D54" s="992"/>
      <c r="E54" s="334">
        <f>365-E52-E53</f>
        <v>58</v>
      </c>
      <c r="F54" s="334">
        <v>1</v>
      </c>
      <c r="G54" s="419"/>
      <c r="H54" s="334">
        <v>14</v>
      </c>
      <c r="J54" s="435">
        <v>14</v>
      </c>
      <c r="K54" s="384">
        <f t="shared" si="0"/>
        <v>0</v>
      </c>
      <c r="L54" s="384">
        <f t="shared" si="0"/>
        <v>100</v>
      </c>
      <c r="M54" s="384">
        <f t="shared" si="0"/>
        <v>0</v>
      </c>
      <c r="N54" s="421">
        <f t="shared" si="1"/>
        <v>100</v>
      </c>
      <c r="O54" s="383">
        <v>24</v>
      </c>
      <c r="P54" s="384">
        <v>30</v>
      </c>
      <c r="Q54" s="384"/>
      <c r="R54" s="385">
        <f t="shared" si="2"/>
        <v>54</v>
      </c>
      <c r="S54" s="334">
        <v>2</v>
      </c>
      <c r="T54" s="342">
        <v>30202</v>
      </c>
      <c r="U54" s="355">
        <v>30259</v>
      </c>
      <c r="V54" s="343" t="s">
        <v>500</v>
      </c>
      <c r="W54" s="334" t="s">
        <v>335</v>
      </c>
      <c r="X54" s="334" t="s">
        <v>18</v>
      </c>
      <c r="Y54" s="344">
        <v>30</v>
      </c>
      <c r="Z54" s="334" t="s">
        <v>496</v>
      </c>
      <c r="AA54" s="334" t="s">
        <v>22</v>
      </c>
      <c r="AB54" s="334" t="s">
        <v>11</v>
      </c>
      <c r="AC54" s="334">
        <v>24</v>
      </c>
      <c r="AD54" s="343"/>
      <c r="AG54" s="344"/>
      <c r="AL54" s="343"/>
      <c r="AO54" s="344"/>
      <c r="AP54" s="343"/>
      <c r="AS54" s="344"/>
      <c r="AW54" s="344"/>
      <c r="BA54" s="345"/>
    </row>
    <row r="55" spans="1:53" s="334" customFormat="1">
      <c r="A55" s="386">
        <v>1983</v>
      </c>
      <c r="B55" s="355"/>
      <c r="C55" s="992" t="s">
        <v>667</v>
      </c>
      <c r="D55" s="992"/>
      <c r="E55" s="334">
        <v>0</v>
      </c>
      <c r="G55" s="419"/>
      <c r="H55" s="334">
        <v>14</v>
      </c>
      <c r="J55" s="435">
        <v>14</v>
      </c>
      <c r="K55" s="384">
        <f t="shared" si="0"/>
        <v>0</v>
      </c>
      <c r="L55" s="384">
        <f t="shared" si="0"/>
        <v>100</v>
      </c>
      <c r="M55" s="384">
        <f t="shared" si="0"/>
        <v>0</v>
      </c>
      <c r="N55" s="421">
        <f t="shared" si="1"/>
        <v>100</v>
      </c>
      <c r="O55" s="383">
        <v>24</v>
      </c>
      <c r="P55" s="384">
        <v>30</v>
      </c>
      <c r="Q55" s="384"/>
      <c r="R55" s="385">
        <f t="shared" si="2"/>
        <v>54</v>
      </c>
      <c r="S55" s="334">
        <v>2</v>
      </c>
      <c r="T55" s="357"/>
      <c r="V55" s="343" t="s">
        <v>500</v>
      </c>
      <c r="W55" s="334" t="s">
        <v>335</v>
      </c>
      <c r="X55" s="334" t="s">
        <v>18</v>
      </c>
      <c r="Y55" s="344">
        <v>30</v>
      </c>
      <c r="Z55" s="334" t="s">
        <v>496</v>
      </c>
      <c r="AA55" s="334" t="s">
        <v>22</v>
      </c>
      <c r="AB55" s="334" t="s">
        <v>11</v>
      </c>
      <c r="AC55" s="334">
        <v>24</v>
      </c>
      <c r="AD55" s="343"/>
      <c r="AG55" s="344"/>
      <c r="AL55" s="343"/>
      <c r="AO55" s="344"/>
      <c r="AP55" s="343"/>
      <c r="AS55" s="344"/>
      <c r="AW55" s="344"/>
      <c r="BA55" s="345"/>
    </row>
    <row r="56" spans="1:53" s="334" customFormat="1">
      <c r="A56" s="386">
        <v>1983</v>
      </c>
      <c r="B56" s="355"/>
      <c r="C56" s="992" t="s">
        <v>667</v>
      </c>
      <c r="D56" s="992"/>
      <c r="E56" s="334">
        <v>365</v>
      </c>
      <c r="G56" s="419"/>
      <c r="H56" s="334">
        <v>14</v>
      </c>
      <c r="J56" s="435">
        <v>14</v>
      </c>
      <c r="K56" s="384">
        <f t="shared" si="0"/>
        <v>0</v>
      </c>
      <c r="L56" s="384">
        <f t="shared" si="0"/>
        <v>100</v>
      </c>
      <c r="M56" s="384">
        <f t="shared" si="0"/>
        <v>0</v>
      </c>
      <c r="N56" s="421">
        <f t="shared" si="1"/>
        <v>100</v>
      </c>
      <c r="O56" s="383">
        <v>24</v>
      </c>
      <c r="P56" s="384">
        <v>30</v>
      </c>
      <c r="Q56" s="384"/>
      <c r="R56" s="385">
        <f t="shared" si="2"/>
        <v>54</v>
      </c>
      <c r="S56" s="334">
        <v>2</v>
      </c>
      <c r="T56" s="357"/>
      <c r="V56" s="343" t="s">
        <v>500</v>
      </c>
      <c r="W56" s="334" t="s">
        <v>335</v>
      </c>
      <c r="X56" s="334" t="s">
        <v>18</v>
      </c>
      <c r="Y56" s="344">
        <v>30</v>
      </c>
      <c r="Z56" s="334" t="s">
        <v>496</v>
      </c>
      <c r="AA56" s="334" t="s">
        <v>22</v>
      </c>
      <c r="AB56" s="334" t="s">
        <v>11</v>
      </c>
      <c r="AC56" s="334">
        <v>24</v>
      </c>
      <c r="AD56" s="343"/>
      <c r="AG56" s="344"/>
      <c r="AL56" s="343"/>
      <c r="AO56" s="344"/>
      <c r="AP56" s="343"/>
      <c r="AS56" s="344"/>
      <c r="AW56" s="344"/>
      <c r="BA56" s="345"/>
    </row>
    <row r="57" spans="1:53" s="334" customFormat="1">
      <c r="A57" s="386">
        <v>1984</v>
      </c>
      <c r="B57" s="355"/>
      <c r="C57" s="992" t="s">
        <v>667</v>
      </c>
      <c r="D57" s="992"/>
      <c r="E57" s="334">
        <v>0</v>
      </c>
      <c r="G57" s="419"/>
      <c r="H57" s="334">
        <v>14</v>
      </c>
      <c r="J57" s="435">
        <v>14</v>
      </c>
      <c r="K57" s="384">
        <f t="shared" si="0"/>
        <v>0</v>
      </c>
      <c r="L57" s="384">
        <f t="shared" si="0"/>
        <v>100</v>
      </c>
      <c r="M57" s="384">
        <f t="shared" si="0"/>
        <v>0</v>
      </c>
      <c r="N57" s="421">
        <f t="shared" si="1"/>
        <v>100</v>
      </c>
      <c r="O57" s="383">
        <v>24</v>
      </c>
      <c r="P57" s="384">
        <v>30</v>
      </c>
      <c r="Q57" s="384"/>
      <c r="R57" s="385">
        <f t="shared" si="2"/>
        <v>54</v>
      </c>
      <c r="S57" s="334">
        <v>2</v>
      </c>
      <c r="T57" s="357"/>
      <c r="V57" s="343" t="s">
        <v>500</v>
      </c>
      <c r="W57" s="334" t="s">
        <v>335</v>
      </c>
      <c r="X57" s="334" t="s">
        <v>18</v>
      </c>
      <c r="Y57" s="344">
        <v>30</v>
      </c>
      <c r="Z57" s="334" t="s">
        <v>496</v>
      </c>
      <c r="AA57" s="334" t="s">
        <v>22</v>
      </c>
      <c r="AB57" s="334" t="s">
        <v>11</v>
      </c>
      <c r="AC57" s="334">
        <v>24</v>
      </c>
      <c r="AD57" s="343"/>
      <c r="AG57" s="344"/>
      <c r="AL57" s="343"/>
      <c r="AO57" s="344"/>
      <c r="AP57" s="343"/>
      <c r="AS57" s="344"/>
      <c r="AW57" s="344"/>
      <c r="BA57" s="345"/>
    </row>
    <row r="58" spans="1:53" s="334" customFormat="1">
      <c r="A58" s="386">
        <v>1984</v>
      </c>
      <c r="B58" s="355"/>
      <c r="C58" s="992" t="s">
        <v>667</v>
      </c>
      <c r="D58" s="992"/>
      <c r="E58" s="334">
        <v>366</v>
      </c>
      <c r="G58" s="419"/>
      <c r="H58" s="334">
        <v>14</v>
      </c>
      <c r="J58" s="435">
        <v>14</v>
      </c>
      <c r="K58" s="384">
        <f t="shared" si="0"/>
        <v>0</v>
      </c>
      <c r="L58" s="384">
        <f t="shared" si="0"/>
        <v>100</v>
      </c>
      <c r="M58" s="384">
        <f t="shared" si="0"/>
        <v>0</v>
      </c>
      <c r="N58" s="421">
        <f t="shared" si="1"/>
        <v>100</v>
      </c>
      <c r="O58" s="383">
        <v>24</v>
      </c>
      <c r="P58" s="384">
        <v>30</v>
      </c>
      <c r="Q58" s="384"/>
      <c r="R58" s="385">
        <f t="shared" si="2"/>
        <v>54</v>
      </c>
      <c r="S58" s="334">
        <v>2</v>
      </c>
      <c r="T58" s="357"/>
      <c r="V58" s="343" t="s">
        <v>500</v>
      </c>
      <c r="W58" s="334" t="s">
        <v>335</v>
      </c>
      <c r="X58" s="334" t="s">
        <v>18</v>
      </c>
      <c r="Y58" s="344">
        <v>30</v>
      </c>
      <c r="Z58" s="334" t="s">
        <v>496</v>
      </c>
      <c r="AA58" s="334" t="s">
        <v>22</v>
      </c>
      <c r="AB58" s="334" t="s">
        <v>11</v>
      </c>
      <c r="AC58" s="334">
        <v>24</v>
      </c>
      <c r="AD58" s="343"/>
      <c r="AG58" s="344"/>
      <c r="AL58" s="343"/>
      <c r="AO58" s="344"/>
      <c r="AP58" s="343"/>
      <c r="AS58" s="344"/>
      <c r="AW58" s="344"/>
      <c r="BA58" s="345"/>
    </row>
    <row r="59" spans="1:53" s="334" customFormat="1">
      <c r="A59" s="386">
        <v>1985</v>
      </c>
      <c r="B59" s="355"/>
      <c r="C59" s="992" t="s">
        <v>667</v>
      </c>
      <c r="D59" s="992"/>
      <c r="E59" s="334">
        <v>0</v>
      </c>
      <c r="G59" s="419"/>
      <c r="H59" s="334">
        <v>14</v>
      </c>
      <c r="J59" s="435">
        <v>14</v>
      </c>
      <c r="K59" s="384">
        <f t="shared" si="0"/>
        <v>0</v>
      </c>
      <c r="L59" s="384">
        <f t="shared" si="0"/>
        <v>100</v>
      </c>
      <c r="M59" s="384">
        <f t="shared" si="0"/>
        <v>0</v>
      </c>
      <c r="N59" s="421">
        <f t="shared" si="1"/>
        <v>100</v>
      </c>
      <c r="O59" s="383">
        <v>24</v>
      </c>
      <c r="P59" s="384">
        <v>30</v>
      </c>
      <c r="Q59" s="384"/>
      <c r="R59" s="385">
        <f t="shared" si="2"/>
        <v>54</v>
      </c>
      <c r="S59" s="334">
        <v>2</v>
      </c>
      <c r="T59" s="357"/>
      <c r="V59" s="343" t="s">
        <v>500</v>
      </c>
      <c r="W59" s="334" t="s">
        <v>335</v>
      </c>
      <c r="X59" s="334" t="s">
        <v>18</v>
      </c>
      <c r="Y59" s="344">
        <v>30</v>
      </c>
      <c r="Z59" s="334" t="s">
        <v>496</v>
      </c>
      <c r="AA59" s="334" t="s">
        <v>22</v>
      </c>
      <c r="AB59" s="334" t="s">
        <v>11</v>
      </c>
      <c r="AC59" s="334">
        <v>24</v>
      </c>
      <c r="AD59" s="343"/>
      <c r="AG59" s="344"/>
      <c r="AL59" s="343"/>
      <c r="AO59" s="344"/>
      <c r="AP59" s="343"/>
      <c r="AS59" s="344"/>
      <c r="AW59" s="344"/>
      <c r="BA59" s="345"/>
    </row>
    <row r="60" spans="1:53" s="334" customFormat="1">
      <c r="A60" s="386">
        <v>1985</v>
      </c>
      <c r="B60" s="355"/>
      <c r="C60" s="992" t="s">
        <v>667</v>
      </c>
      <c r="D60" s="992"/>
      <c r="E60" s="334">
        <v>365</v>
      </c>
      <c r="G60" s="419"/>
      <c r="H60" s="334">
        <v>14</v>
      </c>
      <c r="J60" s="435">
        <v>14</v>
      </c>
      <c r="K60" s="384">
        <f>G60/$J60*100</f>
        <v>0</v>
      </c>
      <c r="L60" s="384">
        <f t="shared" ref="L60:M112" si="3">H60/$J60*100</f>
        <v>100</v>
      </c>
      <c r="M60" s="384">
        <f t="shared" si="3"/>
        <v>0</v>
      </c>
      <c r="N60" s="421">
        <f t="shared" si="1"/>
        <v>100</v>
      </c>
      <c r="O60" s="383">
        <v>24</v>
      </c>
      <c r="P60" s="384">
        <v>30</v>
      </c>
      <c r="Q60" s="384"/>
      <c r="R60" s="385">
        <f t="shared" si="2"/>
        <v>54</v>
      </c>
      <c r="S60" s="334">
        <v>2</v>
      </c>
      <c r="T60" s="357"/>
      <c r="V60" s="343" t="s">
        <v>500</v>
      </c>
      <c r="W60" s="334" t="s">
        <v>335</v>
      </c>
      <c r="X60" s="334" t="s">
        <v>18</v>
      </c>
      <c r="Y60" s="344">
        <v>30</v>
      </c>
      <c r="Z60" s="334" t="s">
        <v>496</v>
      </c>
      <c r="AA60" s="334" t="s">
        <v>22</v>
      </c>
      <c r="AB60" s="334" t="s">
        <v>11</v>
      </c>
      <c r="AC60" s="334">
        <v>24</v>
      </c>
      <c r="AD60" s="343"/>
      <c r="AG60" s="344"/>
      <c r="AL60" s="343"/>
      <c r="AO60" s="344"/>
      <c r="AP60" s="343"/>
      <c r="AS60" s="344"/>
      <c r="AW60" s="344"/>
      <c r="BA60" s="345"/>
    </row>
    <row r="61" spans="1:53" s="334" customFormat="1">
      <c r="A61" s="386">
        <v>1986</v>
      </c>
      <c r="B61" s="355"/>
      <c r="C61" s="992" t="s">
        <v>667</v>
      </c>
      <c r="D61" s="992"/>
      <c r="E61" s="334">
        <v>317</v>
      </c>
      <c r="G61" s="419"/>
      <c r="H61" s="334">
        <v>14</v>
      </c>
      <c r="J61" s="435">
        <v>14</v>
      </c>
      <c r="K61" s="384">
        <f t="shared" ref="K61:K102" si="4">G61/$J61*100</f>
        <v>0</v>
      </c>
      <c r="L61" s="384">
        <f t="shared" si="3"/>
        <v>100</v>
      </c>
      <c r="M61" s="384">
        <f t="shared" si="3"/>
        <v>0</v>
      </c>
      <c r="N61" s="421">
        <f t="shared" si="1"/>
        <v>100</v>
      </c>
      <c r="O61" s="383">
        <v>24</v>
      </c>
      <c r="P61" s="384">
        <v>30</v>
      </c>
      <c r="Q61" s="384"/>
      <c r="R61" s="385">
        <f t="shared" si="2"/>
        <v>54</v>
      </c>
      <c r="S61" s="334">
        <v>2</v>
      </c>
      <c r="T61" s="357"/>
      <c r="V61" s="343" t="s">
        <v>500</v>
      </c>
      <c r="W61" s="334" t="s">
        <v>335</v>
      </c>
      <c r="X61" s="334" t="s">
        <v>18</v>
      </c>
      <c r="Y61" s="344">
        <v>30</v>
      </c>
      <c r="Z61" s="334" t="s">
        <v>496</v>
      </c>
      <c r="AA61" s="334" t="s">
        <v>22</v>
      </c>
      <c r="AB61" s="334" t="s">
        <v>11</v>
      </c>
      <c r="AC61" s="334">
        <v>24</v>
      </c>
      <c r="AD61" s="343"/>
      <c r="AG61" s="344"/>
      <c r="AL61" s="343"/>
      <c r="AO61" s="344"/>
      <c r="AP61" s="343"/>
      <c r="AS61" s="344"/>
      <c r="AW61" s="344"/>
      <c r="BA61" s="345"/>
    </row>
    <row r="62" spans="1:53" s="208" customFormat="1">
      <c r="A62" s="102">
        <v>1986</v>
      </c>
      <c r="B62" s="207">
        <v>31730</v>
      </c>
      <c r="C62" s="988" t="s">
        <v>668</v>
      </c>
      <c r="D62" s="988"/>
      <c r="E62" s="208">
        <f>365-E61</f>
        <v>48</v>
      </c>
      <c r="F62" s="208">
        <v>1</v>
      </c>
      <c r="G62" s="123">
        <v>5</v>
      </c>
      <c r="H62" s="208">
        <v>9</v>
      </c>
      <c r="J62" s="134">
        <v>14</v>
      </c>
      <c r="K62" s="92">
        <f t="shared" si="4"/>
        <v>35.714285714285715</v>
      </c>
      <c r="L62" s="92">
        <f t="shared" si="3"/>
        <v>64.285714285714292</v>
      </c>
      <c r="M62" s="92">
        <f t="shared" si="3"/>
        <v>0</v>
      </c>
      <c r="N62" s="125">
        <f t="shared" si="1"/>
        <v>100</v>
      </c>
      <c r="O62" s="91">
        <v>18</v>
      </c>
      <c r="P62" s="92">
        <v>36</v>
      </c>
      <c r="Q62" s="92"/>
      <c r="R62" s="93">
        <f t="shared" si="2"/>
        <v>54</v>
      </c>
      <c r="S62" s="208">
        <v>2</v>
      </c>
      <c r="T62" s="95">
        <v>31553</v>
      </c>
      <c r="U62" s="207">
        <v>31730</v>
      </c>
      <c r="V62" s="82" t="s">
        <v>500</v>
      </c>
      <c r="W62" s="208" t="s">
        <v>335</v>
      </c>
      <c r="X62" s="208" t="s">
        <v>18</v>
      </c>
      <c r="Y62" s="83">
        <v>36</v>
      </c>
      <c r="Z62" s="208" t="s">
        <v>496</v>
      </c>
      <c r="AA62" s="208" t="s">
        <v>22</v>
      </c>
      <c r="AB62" s="208" t="s">
        <v>11</v>
      </c>
      <c r="AC62" s="208">
        <v>18</v>
      </c>
      <c r="AD62" s="82"/>
      <c r="AG62" s="83"/>
      <c r="AL62" s="82"/>
      <c r="AO62" s="83"/>
      <c r="AP62" s="82"/>
      <c r="AS62" s="83"/>
      <c r="AW62" s="83"/>
      <c r="BA62" s="84"/>
    </row>
    <row r="63" spans="1:53" s="208" customFormat="1">
      <c r="A63" s="102">
        <v>1987</v>
      </c>
      <c r="B63" s="207"/>
      <c r="C63" s="988" t="s">
        <v>668</v>
      </c>
      <c r="D63" s="988"/>
      <c r="E63" s="208">
        <v>0</v>
      </c>
      <c r="G63" s="123">
        <v>5</v>
      </c>
      <c r="H63" s="208">
        <v>9</v>
      </c>
      <c r="J63" s="134">
        <v>14</v>
      </c>
      <c r="K63" s="92">
        <f t="shared" si="4"/>
        <v>35.714285714285715</v>
      </c>
      <c r="L63" s="92">
        <f t="shared" si="3"/>
        <v>64.285714285714292</v>
      </c>
      <c r="M63" s="92">
        <f t="shared" si="3"/>
        <v>0</v>
      </c>
      <c r="N63" s="125">
        <f t="shared" si="1"/>
        <v>100</v>
      </c>
      <c r="O63" s="91">
        <v>18</v>
      </c>
      <c r="P63" s="92">
        <v>36</v>
      </c>
      <c r="Q63" s="92"/>
      <c r="R63" s="93">
        <f t="shared" si="2"/>
        <v>54</v>
      </c>
      <c r="S63" s="208">
        <v>2</v>
      </c>
      <c r="T63" s="81"/>
      <c r="V63" s="82" t="s">
        <v>500</v>
      </c>
      <c r="W63" s="208" t="s">
        <v>335</v>
      </c>
      <c r="X63" s="208" t="s">
        <v>18</v>
      </c>
      <c r="Y63" s="83">
        <v>36</v>
      </c>
      <c r="Z63" s="208" t="s">
        <v>496</v>
      </c>
      <c r="AA63" s="208" t="s">
        <v>22</v>
      </c>
      <c r="AB63" s="208" t="s">
        <v>11</v>
      </c>
      <c r="AC63" s="208">
        <v>18</v>
      </c>
      <c r="AD63" s="82"/>
      <c r="AG63" s="83"/>
      <c r="AL63" s="82"/>
      <c r="AO63" s="83"/>
      <c r="AP63" s="82"/>
      <c r="AS63" s="83"/>
      <c r="AW63" s="83"/>
      <c r="BA63" s="84"/>
    </row>
    <row r="64" spans="1:53" s="208" customFormat="1">
      <c r="A64" s="102">
        <v>1987</v>
      </c>
      <c r="B64" s="207"/>
      <c r="C64" s="988" t="s">
        <v>668</v>
      </c>
      <c r="D64" s="988"/>
      <c r="E64" s="208">
        <v>365</v>
      </c>
      <c r="G64" s="123">
        <v>5</v>
      </c>
      <c r="H64" s="208">
        <v>9</v>
      </c>
      <c r="J64" s="134">
        <v>14</v>
      </c>
      <c r="K64" s="92">
        <f t="shared" si="4"/>
        <v>35.714285714285715</v>
      </c>
      <c r="L64" s="92">
        <f t="shared" si="3"/>
        <v>64.285714285714292</v>
      </c>
      <c r="M64" s="92">
        <f t="shared" si="3"/>
        <v>0</v>
      </c>
      <c r="N64" s="125">
        <f t="shared" si="1"/>
        <v>100</v>
      </c>
      <c r="O64" s="91">
        <v>18</v>
      </c>
      <c r="P64" s="92">
        <v>36</v>
      </c>
      <c r="Q64" s="92"/>
      <c r="R64" s="93">
        <f t="shared" si="2"/>
        <v>54</v>
      </c>
      <c r="S64" s="208">
        <v>2</v>
      </c>
      <c r="T64" s="81"/>
      <c r="V64" s="82" t="s">
        <v>500</v>
      </c>
      <c r="W64" s="208" t="s">
        <v>335</v>
      </c>
      <c r="X64" s="208" t="s">
        <v>18</v>
      </c>
      <c r="Y64" s="83">
        <v>36</v>
      </c>
      <c r="Z64" s="208" t="s">
        <v>496</v>
      </c>
      <c r="AA64" s="208" t="s">
        <v>22</v>
      </c>
      <c r="AB64" s="208" t="s">
        <v>11</v>
      </c>
      <c r="AC64" s="208">
        <v>18</v>
      </c>
      <c r="AD64" s="82"/>
      <c r="AG64" s="83"/>
      <c r="AL64" s="82"/>
      <c r="AO64" s="83"/>
      <c r="AP64" s="82"/>
      <c r="AS64" s="83"/>
      <c r="AW64" s="83"/>
      <c r="BA64" s="84"/>
    </row>
    <row r="65" spans="1:53" s="208" customFormat="1">
      <c r="A65" s="102">
        <v>1988</v>
      </c>
      <c r="B65" s="207"/>
      <c r="C65" s="988" t="s">
        <v>668</v>
      </c>
      <c r="D65" s="988"/>
      <c r="E65" s="208">
        <v>0</v>
      </c>
      <c r="G65" s="123">
        <v>5</v>
      </c>
      <c r="H65" s="208">
        <v>9</v>
      </c>
      <c r="J65" s="134">
        <v>14</v>
      </c>
      <c r="K65" s="92">
        <f t="shared" si="4"/>
        <v>35.714285714285715</v>
      </c>
      <c r="L65" s="92">
        <f t="shared" si="3"/>
        <v>64.285714285714292</v>
      </c>
      <c r="M65" s="92">
        <f t="shared" si="3"/>
        <v>0</v>
      </c>
      <c r="N65" s="125">
        <f t="shared" si="1"/>
        <v>100</v>
      </c>
      <c r="O65" s="91">
        <v>18</v>
      </c>
      <c r="P65" s="92">
        <v>36</v>
      </c>
      <c r="Q65" s="92"/>
      <c r="R65" s="93">
        <f t="shared" si="2"/>
        <v>54</v>
      </c>
      <c r="S65" s="208">
        <v>2</v>
      </c>
      <c r="T65" s="81"/>
      <c r="V65" s="82" t="s">
        <v>500</v>
      </c>
      <c r="W65" s="208" t="s">
        <v>335</v>
      </c>
      <c r="X65" s="208" t="s">
        <v>18</v>
      </c>
      <c r="Y65" s="83">
        <v>36</v>
      </c>
      <c r="Z65" s="208" t="s">
        <v>496</v>
      </c>
      <c r="AA65" s="208" t="s">
        <v>22</v>
      </c>
      <c r="AB65" s="208" t="s">
        <v>11</v>
      </c>
      <c r="AC65" s="208">
        <v>18</v>
      </c>
      <c r="AD65" s="82"/>
      <c r="AG65" s="83"/>
      <c r="AL65" s="82"/>
      <c r="AO65" s="83"/>
      <c r="AP65" s="82"/>
      <c r="AS65" s="83"/>
      <c r="AW65" s="83"/>
      <c r="BA65" s="84"/>
    </row>
    <row r="66" spans="1:53" s="208" customFormat="1">
      <c r="A66" s="102">
        <v>1988</v>
      </c>
      <c r="B66" s="207"/>
      <c r="C66" s="988" t="s">
        <v>668</v>
      </c>
      <c r="D66" s="988"/>
      <c r="E66" s="208">
        <v>366</v>
      </c>
      <c r="G66" s="123">
        <v>5</v>
      </c>
      <c r="H66" s="208">
        <v>9</v>
      </c>
      <c r="J66" s="134">
        <v>14</v>
      </c>
      <c r="K66" s="92">
        <f t="shared" si="4"/>
        <v>35.714285714285715</v>
      </c>
      <c r="L66" s="92">
        <f t="shared" si="3"/>
        <v>64.285714285714292</v>
      </c>
      <c r="M66" s="92">
        <f t="shared" si="3"/>
        <v>0</v>
      </c>
      <c r="N66" s="125">
        <f t="shared" si="1"/>
        <v>100</v>
      </c>
      <c r="O66" s="91">
        <v>18</v>
      </c>
      <c r="P66" s="92">
        <v>36</v>
      </c>
      <c r="Q66" s="92"/>
      <c r="R66" s="93">
        <f t="shared" si="2"/>
        <v>54</v>
      </c>
      <c r="S66" s="208">
        <v>2</v>
      </c>
      <c r="T66" s="81"/>
      <c r="V66" s="82" t="s">
        <v>500</v>
      </c>
      <c r="W66" s="208" t="s">
        <v>335</v>
      </c>
      <c r="X66" s="208" t="s">
        <v>18</v>
      </c>
      <c r="Y66" s="83">
        <v>36</v>
      </c>
      <c r="Z66" s="208" t="s">
        <v>496</v>
      </c>
      <c r="AA66" s="208" t="s">
        <v>22</v>
      </c>
      <c r="AB66" s="208" t="s">
        <v>11</v>
      </c>
      <c r="AC66" s="208">
        <v>18</v>
      </c>
      <c r="AD66" s="82"/>
      <c r="AG66" s="83"/>
      <c r="AL66" s="82"/>
      <c r="AO66" s="83"/>
      <c r="AP66" s="82"/>
      <c r="AS66" s="83"/>
      <c r="AW66" s="83"/>
      <c r="BA66" s="84"/>
    </row>
    <row r="67" spans="1:53" s="208" customFormat="1">
      <c r="A67" s="102">
        <v>1989</v>
      </c>
      <c r="B67" s="207"/>
      <c r="C67" s="988" t="s">
        <v>668</v>
      </c>
      <c r="D67" s="988"/>
      <c r="E67" s="208">
        <v>310</v>
      </c>
      <c r="G67" s="123">
        <v>5</v>
      </c>
      <c r="H67" s="208">
        <v>9</v>
      </c>
      <c r="J67" s="134">
        <v>14</v>
      </c>
      <c r="K67" s="92">
        <f t="shared" si="4"/>
        <v>35.714285714285715</v>
      </c>
      <c r="L67" s="92">
        <f t="shared" si="3"/>
        <v>64.285714285714292</v>
      </c>
      <c r="M67" s="92">
        <f t="shared" si="3"/>
        <v>0</v>
      </c>
      <c r="N67" s="125">
        <f t="shared" si="1"/>
        <v>100</v>
      </c>
      <c r="O67" s="91">
        <v>18</v>
      </c>
      <c r="P67" s="92">
        <v>36</v>
      </c>
      <c r="Q67" s="92"/>
      <c r="R67" s="93">
        <f t="shared" si="2"/>
        <v>54</v>
      </c>
      <c r="S67" s="208">
        <v>2</v>
      </c>
      <c r="T67" s="81"/>
      <c r="V67" s="82" t="s">
        <v>500</v>
      </c>
      <c r="W67" s="208" t="s">
        <v>335</v>
      </c>
      <c r="X67" s="208" t="s">
        <v>18</v>
      </c>
      <c r="Y67" s="83">
        <v>36</v>
      </c>
      <c r="Z67" s="208" t="s">
        <v>496</v>
      </c>
      <c r="AA67" s="208" t="s">
        <v>22</v>
      </c>
      <c r="AB67" s="208" t="s">
        <v>11</v>
      </c>
      <c r="AC67" s="208">
        <v>18</v>
      </c>
      <c r="AD67" s="82"/>
      <c r="AG67" s="83"/>
      <c r="AL67" s="82"/>
      <c r="AO67" s="83"/>
      <c r="AP67" s="82"/>
      <c r="AS67" s="83"/>
      <c r="AW67" s="83"/>
      <c r="BA67" s="84"/>
    </row>
    <row r="68" spans="1:53" s="104" customFormat="1">
      <c r="A68" s="201">
        <v>1989</v>
      </c>
      <c r="B68" s="407">
        <v>32819</v>
      </c>
      <c r="C68" s="998" t="s">
        <v>669</v>
      </c>
      <c r="D68" s="998"/>
      <c r="E68" s="104">
        <f>365-E67</f>
        <v>55</v>
      </c>
      <c r="F68" s="104">
        <v>5</v>
      </c>
      <c r="G68" s="447"/>
      <c r="H68" s="104">
        <v>7</v>
      </c>
      <c r="I68" s="104">
        <v>7</v>
      </c>
      <c r="J68" s="448">
        <v>14</v>
      </c>
      <c r="K68" s="403">
        <f t="shared" si="4"/>
        <v>0</v>
      </c>
      <c r="L68" s="404">
        <f t="shared" si="3"/>
        <v>50</v>
      </c>
      <c r="M68" s="404">
        <f t="shared" si="3"/>
        <v>50</v>
      </c>
      <c r="N68" s="405">
        <f t="shared" si="1"/>
        <v>100</v>
      </c>
      <c r="O68" s="403"/>
      <c r="P68" s="404">
        <v>36</v>
      </c>
      <c r="Q68" s="404">
        <v>32.700000000000003</v>
      </c>
      <c r="R68" s="405">
        <f t="shared" si="2"/>
        <v>68.7</v>
      </c>
      <c r="S68" s="458">
        <v>2</v>
      </c>
      <c r="T68" s="406">
        <v>32757</v>
      </c>
      <c r="U68" s="407">
        <v>32819</v>
      </c>
      <c r="V68" s="105" t="s">
        <v>500</v>
      </c>
      <c r="W68" s="104" t="s">
        <v>335</v>
      </c>
      <c r="X68" s="104" t="s">
        <v>18</v>
      </c>
      <c r="Y68" s="106">
        <v>36</v>
      </c>
      <c r="Z68" s="105" t="s">
        <v>497</v>
      </c>
      <c r="AA68" s="104" t="s">
        <v>20</v>
      </c>
      <c r="AB68" s="104" t="s">
        <v>12</v>
      </c>
      <c r="AC68" s="104">
        <v>32.700000000000003</v>
      </c>
      <c r="AD68" s="105"/>
      <c r="AG68" s="106"/>
      <c r="AL68" s="105"/>
      <c r="AO68" s="106"/>
      <c r="AP68" s="105"/>
      <c r="AS68" s="106"/>
      <c r="AW68" s="106"/>
      <c r="BA68" s="107"/>
    </row>
    <row r="69" spans="1:53" s="334" customFormat="1">
      <c r="A69" s="334">
        <v>1990</v>
      </c>
      <c r="C69" s="992" t="s">
        <v>669</v>
      </c>
      <c r="D69" s="992"/>
      <c r="E69" s="334">
        <v>0</v>
      </c>
      <c r="G69" s="419"/>
      <c r="H69" s="334">
        <v>7</v>
      </c>
      <c r="I69" s="334">
        <v>7</v>
      </c>
      <c r="J69" s="435">
        <v>14</v>
      </c>
      <c r="K69" s="384">
        <f t="shared" si="4"/>
        <v>0</v>
      </c>
      <c r="L69" s="384">
        <f t="shared" si="3"/>
        <v>50</v>
      </c>
      <c r="M69" s="384">
        <f t="shared" si="3"/>
        <v>50</v>
      </c>
      <c r="N69" s="421">
        <f t="shared" si="1"/>
        <v>100</v>
      </c>
      <c r="O69" s="383"/>
      <c r="P69" s="384">
        <v>36</v>
      </c>
      <c r="Q69" s="384">
        <v>32.700000000000003</v>
      </c>
      <c r="R69" s="385">
        <f t="shared" si="2"/>
        <v>68.7</v>
      </c>
      <c r="S69" s="334">
        <v>2</v>
      </c>
      <c r="T69" s="357"/>
      <c r="V69" s="343" t="s">
        <v>500</v>
      </c>
      <c r="W69" s="334" t="s">
        <v>335</v>
      </c>
      <c r="X69" s="334" t="s">
        <v>18</v>
      </c>
      <c r="Y69" s="334">
        <v>36</v>
      </c>
      <c r="Z69" s="343" t="s">
        <v>497</v>
      </c>
      <c r="AA69" s="334" t="s">
        <v>20</v>
      </c>
      <c r="AB69" s="334" t="s">
        <v>12</v>
      </c>
      <c r="AC69" s="334">
        <v>32.700000000000003</v>
      </c>
      <c r="AD69" s="343"/>
      <c r="AG69" s="344"/>
      <c r="AL69" s="343"/>
      <c r="AO69" s="344"/>
      <c r="AP69" s="343"/>
      <c r="AS69" s="344"/>
      <c r="AW69" s="344"/>
      <c r="BA69" s="345"/>
    </row>
    <row r="70" spans="1:53" s="334" customFormat="1">
      <c r="A70" s="334">
        <v>1990</v>
      </c>
      <c r="C70" s="992" t="s">
        <v>669</v>
      </c>
      <c r="D70" s="992"/>
      <c r="E70" s="334">
        <f>365-E69</f>
        <v>365</v>
      </c>
      <c r="G70" s="419"/>
      <c r="H70" s="334">
        <v>7</v>
      </c>
      <c r="I70" s="334">
        <v>7</v>
      </c>
      <c r="J70" s="435">
        <v>14</v>
      </c>
      <c r="K70" s="384">
        <f t="shared" si="4"/>
        <v>0</v>
      </c>
      <c r="L70" s="384">
        <f t="shared" si="3"/>
        <v>50</v>
      </c>
      <c r="M70" s="384">
        <f t="shared" si="3"/>
        <v>50</v>
      </c>
      <c r="N70" s="421">
        <f t="shared" si="1"/>
        <v>100</v>
      </c>
      <c r="O70" s="383"/>
      <c r="P70" s="384">
        <v>36</v>
      </c>
      <c r="Q70" s="384">
        <v>32.700000000000003</v>
      </c>
      <c r="R70" s="385">
        <f t="shared" si="2"/>
        <v>68.7</v>
      </c>
      <c r="S70" s="334">
        <v>2</v>
      </c>
      <c r="T70" s="357"/>
      <c r="V70" s="343" t="s">
        <v>500</v>
      </c>
      <c r="W70" s="334" t="s">
        <v>335</v>
      </c>
      <c r="X70" s="334" t="s">
        <v>18</v>
      </c>
      <c r="Y70" s="334">
        <v>36</v>
      </c>
      <c r="Z70" s="343" t="s">
        <v>497</v>
      </c>
      <c r="AA70" s="334" t="s">
        <v>20</v>
      </c>
      <c r="AB70" s="334" t="s">
        <v>12</v>
      </c>
      <c r="AC70" s="334">
        <v>32.700000000000003</v>
      </c>
      <c r="AD70" s="343"/>
      <c r="AG70" s="344"/>
      <c r="AL70" s="343"/>
      <c r="AO70" s="344"/>
      <c r="AP70" s="343"/>
      <c r="AS70" s="344"/>
      <c r="AW70" s="344"/>
      <c r="BA70" s="345"/>
    </row>
    <row r="71" spans="1:53" s="334" customFormat="1">
      <c r="A71" s="334">
        <v>1991</v>
      </c>
      <c r="C71" s="992" t="s">
        <v>669</v>
      </c>
      <c r="D71" s="992"/>
      <c r="E71" s="334">
        <v>0</v>
      </c>
      <c r="G71" s="419"/>
      <c r="H71" s="334">
        <v>7</v>
      </c>
      <c r="I71" s="334">
        <v>7</v>
      </c>
      <c r="J71" s="435">
        <v>14</v>
      </c>
      <c r="K71" s="384">
        <f t="shared" si="4"/>
        <v>0</v>
      </c>
      <c r="L71" s="384">
        <f t="shared" si="3"/>
        <v>50</v>
      </c>
      <c r="M71" s="384">
        <f t="shared" si="3"/>
        <v>50</v>
      </c>
      <c r="N71" s="421">
        <f t="shared" si="1"/>
        <v>100</v>
      </c>
      <c r="O71" s="383"/>
      <c r="P71" s="384">
        <v>36</v>
      </c>
      <c r="Q71" s="384">
        <v>32.700000000000003</v>
      </c>
      <c r="R71" s="385">
        <f t="shared" si="2"/>
        <v>68.7</v>
      </c>
      <c r="S71" s="334">
        <v>2</v>
      </c>
      <c r="T71" s="357"/>
      <c r="V71" s="343" t="s">
        <v>500</v>
      </c>
      <c r="W71" s="334" t="s">
        <v>335</v>
      </c>
      <c r="X71" s="334" t="s">
        <v>18</v>
      </c>
      <c r="Y71" s="334">
        <v>36</v>
      </c>
      <c r="Z71" s="343" t="s">
        <v>497</v>
      </c>
      <c r="AA71" s="334" t="s">
        <v>20</v>
      </c>
      <c r="AB71" s="334" t="s">
        <v>12</v>
      </c>
      <c r="AC71" s="334">
        <v>32.700000000000003</v>
      </c>
      <c r="AD71" s="343"/>
      <c r="AG71" s="344"/>
      <c r="AL71" s="343"/>
      <c r="AO71" s="344"/>
      <c r="AP71" s="343"/>
      <c r="AS71" s="344"/>
      <c r="AW71" s="344"/>
      <c r="BA71" s="345"/>
    </row>
    <row r="72" spans="1:53" s="334" customFormat="1">
      <c r="A72" s="334">
        <v>1991</v>
      </c>
      <c r="C72" s="992" t="s">
        <v>669</v>
      </c>
      <c r="D72" s="992"/>
      <c r="E72" s="334">
        <f>365-E71</f>
        <v>365</v>
      </c>
      <c r="G72" s="419"/>
      <c r="H72" s="334">
        <v>7</v>
      </c>
      <c r="I72" s="334">
        <v>7</v>
      </c>
      <c r="J72" s="435">
        <v>14</v>
      </c>
      <c r="K72" s="384">
        <f t="shared" si="4"/>
        <v>0</v>
      </c>
      <c r="L72" s="384">
        <f t="shared" si="3"/>
        <v>50</v>
      </c>
      <c r="M72" s="384">
        <f t="shared" si="3"/>
        <v>50</v>
      </c>
      <c r="N72" s="421">
        <f t="shared" si="1"/>
        <v>100</v>
      </c>
      <c r="O72" s="383"/>
      <c r="P72" s="384">
        <v>36</v>
      </c>
      <c r="Q72" s="384">
        <v>32.700000000000003</v>
      </c>
      <c r="R72" s="385">
        <f t="shared" si="2"/>
        <v>68.7</v>
      </c>
      <c r="S72" s="334">
        <v>2</v>
      </c>
      <c r="T72" s="357"/>
      <c r="V72" s="343" t="s">
        <v>500</v>
      </c>
      <c r="W72" s="334" t="s">
        <v>335</v>
      </c>
      <c r="X72" s="334" t="s">
        <v>18</v>
      </c>
      <c r="Y72" s="334">
        <v>36</v>
      </c>
      <c r="Z72" s="343" t="s">
        <v>497</v>
      </c>
      <c r="AA72" s="334" t="s">
        <v>20</v>
      </c>
      <c r="AB72" s="334" t="s">
        <v>12</v>
      </c>
      <c r="AC72" s="334">
        <v>32.700000000000003</v>
      </c>
      <c r="AD72" s="343"/>
      <c r="AG72" s="344"/>
      <c r="AL72" s="343"/>
      <c r="AO72" s="344"/>
      <c r="AP72" s="343"/>
      <c r="AS72" s="344"/>
      <c r="AW72" s="344"/>
      <c r="BA72" s="345"/>
    </row>
    <row r="73" spans="1:53" s="334" customFormat="1">
      <c r="A73" s="334">
        <v>1992</v>
      </c>
      <c r="C73" s="992" t="s">
        <v>669</v>
      </c>
      <c r="D73" s="992"/>
      <c r="E73" s="334">
        <v>0</v>
      </c>
      <c r="G73" s="419"/>
      <c r="H73" s="334">
        <v>7</v>
      </c>
      <c r="I73" s="334">
        <v>7</v>
      </c>
      <c r="J73" s="435">
        <v>14</v>
      </c>
      <c r="K73" s="384">
        <f t="shared" si="4"/>
        <v>0</v>
      </c>
      <c r="L73" s="384">
        <f t="shared" si="3"/>
        <v>50</v>
      </c>
      <c r="M73" s="384">
        <f t="shared" si="3"/>
        <v>50</v>
      </c>
      <c r="N73" s="421">
        <f t="shared" ref="N73:N120" si="5">K73+L73+M73</f>
        <v>100</v>
      </c>
      <c r="O73" s="383"/>
      <c r="P73" s="384">
        <v>36</v>
      </c>
      <c r="Q73" s="384">
        <v>32.700000000000003</v>
      </c>
      <c r="R73" s="385">
        <f t="shared" ref="R73:R118" si="6">O73+P73+Q73</f>
        <v>68.7</v>
      </c>
      <c r="S73" s="334">
        <v>2</v>
      </c>
      <c r="T73" s="357"/>
      <c r="V73" s="343" t="s">
        <v>500</v>
      </c>
      <c r="W73" s="334" t="s">
        <v>335</v>
      </c>
      <c r="X73" s="334" t="s">
        <v>18</v>
      </c>
      <c r="Y73" s="334">
        <v>36</v>
      </c>
      <c r="Z73" s="343" t="s">
        <v>497</v>
      </c>
      <c r="AA73" s="334" t="s">
        <v>20</v>
      </c>
      <c r="AB73" s="334" t="s">
        <v>12</v>
      </c>
      <c r="AC73" s="334">
        <v>32.700000000000003</v>
      </c>
      <c r="AD73" s="343"/>
      <c r="AG73" s="344"/>
      <c r="AL73" s="343"/>
      <c r="AO73" s="344"/>
      <c r="AP73" s="343"/>
      <c r="AS73" s="344"/>
      <c r="AW73" s="344"/>
      <c r="BA73" s="345"/>
    </row>
    <row r="74" spans="1:53" s="334" customFormat="1">
      <c r="A74" s="334">
        <v>1992</v>
      </c>
      <c r="C74" s="992" t="s">
        <v>669</v>
      </c>
      <c r="D74" s="992"/>
      <c r="E74" s="334">
        <v>366</v>
      </c>
      <c r="G74" s="419"/>
      <c r="H74" s="334">
        <v>7</v>
      </c>
      <c r="I74" s="334">
        <v>7</v>
      </c>
      <c r="J74" s="435">
        <v>14</v>
      </c>
      <c r="K74" s="384">
        <f t="shared" si="4"/>
        <v>0</v>
      </c>
      <c r="L74" s="384">
        <f t="shared" si="3"/>
        <v>50</v>
      </c>
      <c r="M74" s="384">
        <f t="shared" si="3"/>
        <v>50</v>
      </c>
      <c r="N74" s="421">
        <f t="shared" si="5"/>
        <v>100</v>
      </c>
      <c r="O74" s="383"/>
      <c r="P74" s="384">
        <v>36</v>
      </c>
      <c r="Q74" s="384">
        <v>32.700000000000003</v>
      </c>
      <c r="R74" s="385">
        <f t="shared" si="6"/>
        <v>68.7</v>
      </c>
      <c r="S74" s="334">
        <v>2</v>
      </c>
      <c r="T74" s="357"/>
      <c r="V74" s="343" t="s">
        <v>500</v>
      </c>
      <c r="W74" s="334" t="s">
        <v>335</v>
      </c>
      <c r="X74" s="334" t="s">
        <v>18</v>
      </c>
      <c r="Y74" s="334">
        <v>36</v>
      </c>
      <c r="Z74" s="343" t="s">
        <v>497</v>
      </c>
      <c r="AA74" s="334" t="s">
        <v>20</v>
      </c>
      <c r="AB74" s="334" t="s">
        <v>12</v>
      </c>
      <c r="AC74" s="334">
        <v>32.700000000000003</v>
      </c>
      <c r="AD74" s="343"/>
      <c r="AG74" s="344"/>
      <c r="AL74" s="343"/>
      <c r="AO74" s="344"/>
      <c r="AP74" s="343"/>
      <c r="AS74" s="344"/>
      <c r="AW74" s="344"/>
      <c r="BA74" s="345"/>
    </row>
    <row r="75" spans="1:53" s="334" customFormat="1">
      <c r="A75" s="334">
        <v>1993</v>
      </c>
      <c r="C75" s="992" t="s">
        <v>669</v>
      </c>
      <c r="D75" s="992"/>
      <c r="E75" s="334">
        <v>0</v>
      </c>
      <c r="G75" s="419"/>
      <c r="H75" s="334">
        <v>7</v>
      </c>
      <c r="I75" s="334">
        <v>7</v>
      </c>
      <c r="J75" s="435">
        <v>14</v>
      </c>
      <c r="K75" s="384">
        <f t="shared" si="4"/>
        <v>0</v>
      </c>
      <c r="L75" s="384">
        <f t="shared" si="3"/>
        <v>50</v>
      </c>
      <c r="M75" s="384">
        <f t="shared" si="3"/>
        <v>50</v>
      </c>
      <c r="N75" s="421">
        <f t="shared" si="5"/>
        <v>100</v>
      </c>
      <c r="O75" s="383"/>
      <c r="P75" s="384">
        <v>36</v>
      </c>
      <c r="Q75" s="384">
        <v>32.700000000000003</v>
      </c>
      <c r="R75" s="385">
        <f t="shared" si="6"/>
        <v>68.7</v>
      </c>
      <c r="S75" s="334">
        <v>2</v>
      </c>
      <c r="T75" s="357"/>
      <c r="V75" s="343" t="s">
        <v>500</v>
      </c>
      <c r="W75" s="334" t="s">
        <v>335</v>
      </c>
      <c r="X75" s="334" t="s">
        <v>18</v>
      </c>
      <c r="Y75" s="334">
        <v>36</v>
      </c>
      <c r="Z75" s="343" t="s">
        <v>497</v>
      </c>
      <c r="AA75" s="334" t="s">
        <v>20</v>
      </c>
      <c r="AB75" s="334" t="s">
        <v>12</v>
      </c>
      <c r="AC75" s="334">
        <v>32.700000000000003</v>
      </c>
      <c r="AD75" s="343"/>
      <c r="AG75" s="344"/>
      <c r="AL75" s="343"/>
      <c r="AO75" s="344"/>
      <c r="AP75" s="343"/>
      <c r="AS75" s="344"/>
      <c r="AW75" s="344"/>
      <c r="BA75" s="345"/>
    </row>
    <row r="76" spans="1:53" s="334" customFormat="1">
      <c r="A76" s="334">
        <v>1993</v>
      </c>
      <c r="C76" s="992" t="s">
        <v>669</v>
      </c>
      <c r="D76" s="992"/>
      <c r="E76" s="334">
        <f>365-E75</f>
        <v>365</v>
      </c>
      <c r="G76" s="419"/>
      <c r="H76" s="334">
        <v>7</v>
      </c>
      <c r="I76" s="334">
        <v>7</v>
      </c>
      <c r="J76" s="435">
        <v>14</v>
      </c>
      <c r="K76" s="384">
        <f t="shared" si="4"/>
        <v>0</v>
      </c>
      <c r="L76" s="384">
        <f t="shared" si="3"/>
        <v>50</v>
      </c>
      <c r="M76" s="384">
        <f t="shared" si="3"/>
        <v>50</v>
      </c>
      <c r="N76" s="421">
        <f t="shared" si="5"/>
        <v>100</v>
      </c>
      <c r="O76" s="383"/>
      <c r="P76" s="384">
        <v>36</v>
      </c>
      <c r="Q76" s="384">
        <v>32.700000000000003</v>
      </c>
      <c r="R76" s="385">
        <f t="shared" si="6"/>
        <v>68.7</v>
      </c>
      <c r="S76" s="334">
        <v>2</v>
      </c>
      <c r="T76" s="357"/>
      <c r="V76" s="343" t="s">
        <v>500</v>
      </c>
      <c r="W76" s="334" t="s">
        <v>335</v>
      </c>
      <c r="X76" s="334" t="s">
        <v>18</v>
      </c>
      <c r="Y76" s="334">
        <v>36</v>
      </c>
      <c r="Z76" s="343" t="s">
        <v>497</v>
      </c>
      <c r="AA76" s="334" t="s">
        <v>20</v>
      </c>
      <c r="AB76" s="334" t="s">
        <v>12</v>
      </c>
      <c r="AC76" s="334">
        <v>32.700000000000003</v>
      </c>
      <c r="AD76" s="343"/>
      <c r="AG76" s="344"/>
      <c r="AL76" s="343"/>
      <c r="AO76" s="344"/>
      <c r="AP76" s="343"/>
      <c r="AS76" s="344"/>
      <c r="AW76" s="344"/>
      <c r="BA76" s="345"/>
    </row>
    <row r="77" spans="1:53" s="334" customFormat="1">
      <c r="A77" s="334">
        <v>1994</v>
      </c>
      <c r="C77" s="992" t="s">
        <v>669</v>
      </c>
      <c r="D77" s="992"/>
      <c r="E77" s="334">
        <v>233</v>
      </c>
      <c r="G77" s="419"/>
      <c r="H77" s="334">
        <v>7</v>
      </c>
      <c r="I77" s="334">
        <v>7</v>
      </c>
      <c r="J77" s="435">
        <v>14</v>
      </c>
      <c r="K77" s="384">
        <f t="shared" si="4"/>
        <v>0</v>
      </c>
      <c r="L77" s="384">
        <f t="shared" si="3"/>
        <v>50</v>
      </c>
      <c r="M77" s="384">
        <f t="shared" si="3"/>
        <v>50</v>
      </c>
      <c r="N77" s="421">
        <f t="shared" si="5"/>
        <v>100</v>
      </c>
      <c r="O77" s="383"/>
      <c r="P77" s="384">
        <v>36</v>
      </c>
      <c r="Q77" s="384">
        <v>32.700000000000003</v>
      </c>
      <c r="R77" s="385">
        <f t="shared" si="6"/>
        <v>68.7</v>
      </c>
      <c r="S77" s="334">
        <v>2</v>
      </c>
      <c r="T77" s="357"/>
      <c r="V77" s="343" t="s">
        <v>500</v>
      </c>
      <c r="W77" s="334" t="s">
        <v>335</v>
      </c>
      <c r="X77" s="334" t="s">
        <v>18</v>
      </c>
      <c r="Y77" s="334">
        <v>36</v>
      </c>
      <c r="Z77" s="343" t="s">
        <v>497</v>
      </c>
      <c r="AA77" s="334" t="s">
        <v>20</v>
      </c>
      <c r="AB77" s="334" t="s">
        <v>12</v>
      </c>
      <c r="AC77" s="334">
        <v>32.700000000000003</v>
      </c>
      <c r="AD77" s="343"/>
      <c r="AG77" s="344"/>
      <c r="AL77" s="343"/>
      <c r="AO77" s="344"/>
      <c r="AP77" s="343"/>
      <c r="AS77" s="344"/>
      <c r="AW77" s="344"/>
      <c r="BA77" s="345"/>
    </row>
    <row r="78" spans="1:53" s="208" customFormat="1">
      <c r="A78" s="208">
        <v>1994</v>
      </c>
      <c r="B78" s="207">
        <v>34568</v>
      </c>
      <c r="C78" s="988" t="s">
        <v>670</v>
      </c>
      <c r="D78" s="988"/>
      <c r="E78" s="208">
        <f>365-E77</f>
        <v>132</v>
      </c>
      <c r="F78" s="208">
        <v>1</v>
      </c>
      <c r="G78" s="123">
        <v>5</v>
      </c>
      <c r="H78" s="208">
        <v>4</v>
      </c>
      <c r="I78" s="208">
        <v>5</v>
      </c>
      <c r="J78" s="134">
        <v>14</v>
      </c>
      <c r="K78" s="92">
        <f t="shared" si="4"/>
        <v>35.714285714285715</v>
      </c>
      <c r="L78" s="92">
        <f t="shared" si="3"/>
        <v>28.571428571428569</v>
      </c>
      <c r="M78" s="92">
        <f t="shared" si="3"/>
        <v>35.714285714285715</v>
      </c>
      <c r="N78" s="125">
        <f t="shared" si="5"/>
        <v>100</v>
      </c>
      <c r="O78" s="91">
        <v>20.7</v>
      </c>
      <c r="P78" s="92">
        <v>16</v>
      </c>
      <c r="Q78" s="92">
        <v>24.7</v>
      </c>
      <c r="R78" s="93">
        <f t="shared" si="6"/>
        <v>61.400000000000006</v>
      </c>
      <c r="S78" s="208">
        <v>2</v>
      </c>
      <c r="T78" s="95">
        <v>34457</v>
      </c>
      <c r="U78" s="207">
        <v>34568</v>
      </c>
      <c r="V78" s="82" t="s">
        <v>497</v>
      </c>
      <c r="W78" s="208" t="s">
        <v>20</v>
      </c>
      <c r="X78" s="208" t="s">
        <v>12</v>
      </c>
      <c r="Y78" s="83">
        <v>24.7</v>
      </c>
      <c r="Z78" s="208" t="s">
        <v>496</v>
      </c>
      <c r="AA78" s="208" t="s">
        <v>22</v>
      </c>
      <c r="AB78" s="208" t="s">
        <v>11</v>
      </c>
      <c r="AC78" s="208">
        <v>20.7</v>
      </c>
      <c r="AD78" s="82" t="s">
        <v>499</v>
      </c>
      <c r="AE78" s="208" t="s">
        <v>88</v>
      </c>
      <c r="AF78" s="208" t="s">
        <v>18</v>
      </c>
      <c r="AG78" s="83">
        <v>16</v>
      </c>
      <c r="AL78" s="82"/>
      <c r="AO78" s="83"/>
      <c r="AP78" s="82"/>
      <c r="AS78" s="83"/>
      <c r="AW78" s="83"/>
      <c r="BA78" s="84"/>
    </row>
    <row r="79" spans="1:53" s="208" customFormat="1">
      <c r="A79" s="208">
        <v>1995</v>
      </c>
      <c r="C79" s="988" t="s">
        <v>670</v>
      </c>
      <c r="D79" s="988"/>
      <c r="E79" s="208">
        <v>0</v>
      </c>
      <c r="G79" s="123">
        <v>5</v>
      </c>
      <c r="H79" s="208">
        <v>4</v>
      </c>
      <c r="I79" s="208">
        <v>5</v>
      </c>
      <c r="J79" s="134">
        <v>14</v>
      </c>
      <c r="K79" s="92">
        <f t="shared" si="4"/>
        <v>35.714285714285715</v>
      </c>
      <c r="L79" s="92">
        <f t="shared" si="3"/>
        <v>28.571428571428569</v>
      </c>
      <c r="M79" s="92">
        <f t="shared" si="3"/>
        <v>35.714285714285715</v>
      </c>
      <c r="N79" s="125">
        <f t="shared" si="5"/>
        <v>100</v>
      </c>
      <c r="O79" s="91">
        <v>20.7</v>
      </c>
      <c r="P79" s="92">
        <v>16</v>
      </c>
      <c r="Q79" s="92">
        <v>24.7</v>
      </c>
      <c r="R79" s="93">
        <f t="shared" si="6"/>
        <v>61.400000000000006</v>
      </c>
      <c r="S79" s="208">
        <v>2</v>
      </c>
      <c r="T79" s="81"/>
      <c r="V79" s="82" t="s">
        <v>497</v>
      </c>
      <c r="W79" s="208" t="s">
        <v>20</v>
      </c>
      <c r="X79" s="208" t="s">
        <v>12</v>
      </c>
      <c r="Y79" s="83">
        <v>24.7</v>
      </c>
      <c r="Z79" s="208" t="s">
        <v>496</v>
      </c>
      <c r="AA79" s="208" t="s">
        <v>22</v>
      </c>
      <c r="AB79" s="208" t="s">
        <v>11</v>
      </c>
      <c r="AC79" s="208">
        <v>20.7</v>
      </c>
      <c r="AD79" s="82" t="s">
        <v>499</v>
      </c>
      <c r="AE79" s="208" t="s">
        <v>88</v>
      </c>
      <c r="AF79" s="208" t="s">
        <v>18</v>
      </c>
      <c r="AG79" s="83">
        <v>16</v>
      </c>
      <c r="AL79" s="82"/>
      <c r="AO79" s="83"/>
      <c r="AP79" s="82"/>
      <c r="AS79" s="83"/>
      <c r="AW79" s="83"/>
      <c r="BA79" s="84"/>
    </row>
    <row r="80" spans="1:53" s="208" customFormat="1">
      <c r="A80" s="208">
        <v>1995</v>
      </c>
      <c r="C80" s="988" t="s">
        <v>670</v>
      </c>
      <c r="D80" s="988"/>
      <c r="E80" s="208">
        <f>365-E79</f>
        <v>365</v>
      </c>
      <c r="G80" s="123">
        <v>5</v>
      </c>
      <c r="H80" s="208">
        <v>4</v>
      </c>
      <c r="I80" s="208">
        <v>5</v>
      </c>
      <c r="J80" s="134">
        <v>14</v>
      </c>
      <c r="K80" s="92">
        <f t="shared" si="4"/>
        <v>35.714285714285715</v>
      </c>
      <c r="L80" s="92">
        <f t="shared" si="3"/>
        <v>28.571428571428569</v>
      </c>
      <c r="M80" s="92">
        <f t="shared" si="3"/>
        <v>35.714285714285715</v>
      </c>
      <c r="N80" s="125">
        <f t="shared" si="5"/>
        <v>100</v>
      </c>
      <c r="O80" s="91">
        <v>20.7</v>
      </c>
      <c r="P80" s="92">
        <v>16</v>
      </c>
      <c r="Q80" s="92">
        <v>24.7</v>
      </c>
      <c r="R80" s="93">
        <f t="shared" si="6"/>
        <v>61.400000000000006</v>
      </c>
      <c r="S80" s="208">
        <v>2</v>
      </c>
      <c r="T80" s="81"/>
      <c r="V80" s="82" t="s">
        <v>497</v>
      </c>
      <c r="W80" s="208" t="s">
        <v>20</v>
      </c>
      <c r="X80" s="208" t="s">
        <v>12</v>
      </c>
      <c r="Y80" s="83">
        <v>24.7</v>
      </c>
      <c r="Z80" s="208" t="s">
        <v>496</v>
      </c>
      <c r="AA80" s="208" t="s">
        <v>22</v>
      </c>
      <c r="AB80" s="208" t="s">
        <v>11</v>
      </c>
      <c r="AC80" s="208">
        <v>20.7</v>
      </c>
      <c r="AD80" s="82" t="s">
        <v>499</v>
      </c>
      <c r="AE80" s="208" t="s">
        <v>88</v>
      </c>
      <c r="AF80" s="208" t="s">
        <v>18</v>
      </c>
      <c r="AG80" s="83">
        <v>16</v>
      </c>
      <c r="AL80" s="82"/>
      <c r="AO80" s="83"/>
      <c r="AP80" s="82"/>
      <c r="AS80" s="83"/>
      <c r="AW80" s="83"/>
      <c r="BA80" s="84"/>
    </row>
    <row r="81" spans="1:53" s="208" customFormat="1">
      <c r="A81" s="208">
        <v>1996</v>
      </c>
      <c r="C81" s="988" t="s">
        <v>670</v>
      </c>
      <c r="D81" s="988"/>
      <c r="E81" s="208">
        <v>0</v>
      </c>
      <c r="G81" s="123">
        <v>5</v>
      </c>
      <c r="H81" s="208">
        <v>4</v>
      </c>
      <c r="I81" s="208">
        <v>5</v>
      </c>
      <c r="J81" s="134">
        <v>14</v>
      </c>
      <c r="K81" s="92">
        <f t="shared" si="4"/>
        <v>35.714285714285715</v>
      </c>
      <c r="L81" s="92">
        <f t="shared" si="3"/>
        <v>28.571428571428569</v>
      </c>
      <c r="M81" s="92">
        <f t="shared" si="3"/>
        <v>35.714285714285715</v>
      </c>
      <c r="N81" s="125">
        <f t="shared" si="5"/>
        <v>100</v>
      </c>
      <c r="O81" s="91">
        <v>20.7</v>
      </c>
      <c r="P81" s="92">
        <v>16</v>
      </c>
      <c r="Q81" s="92">
        <v>24.7</v>
      </c>
      <c r="R81" s="93">
        <f t="shared" si="6"/>
        <v>61.400000000000006</v>
      </c>
      <c r="S81" s="208">
        <v>2</v>
      </c>
      <c r="T81" s="81"/>
      <c r="V81" s="82" t="s">
        <v>497</v>
      </c>
      <c r="W81" s="208" t="s">
        <v>20</v>
      </c>
      <c r="X81" s="208" t="s">
        <v>12</v>
      </c>
      <c r="Y81" s="83">
        <v>24.7</v>
      </c>
      <c r="Z81" s="208" t="s">
        <v>496</v>
      </c>
      <c r="AA81" s="208" t="s">
        <v>22</v>
      </c>
      <c r="AB81" s="208" t="s">
        <v>11</v>
      </c>
      <c r="AC81" s="208">
        <v>20.7</v>
      </c>
      <c r="AD81" s="82" t="s">
        <v>499</v>
      </c>
      <c r="AE81" s="208" t="s">
        <v>88</v>
      </c>
      <c r="AF81" s="208" t="s">
        <v>18</v>
      </c>
      <c r="AG81" s="83">
        <v>16</v>
      </c>
      <c r="AL81" s="82"/>
      <c r="AO81" s="83"/>
      <c r="AP81" s="82"/>
      <c r="AS81" s="83"/>
      <c r="AW81" s="83"/>
      <c r="BA81" s="84"/>
    </row>
    <row r="82" spans="1:53" s="208" customFormat="1">
      <c r="A82" s="208">
        <v>1996</v>
      </c>
      <c r="C82" s="988" t="s">
        <v>670</v>
      </c>
      <c r="D82" s="988"/>
      <c r="E82" s="208">
        <v>366</v>
      </c>
      <c r="G82" s="123">
        <v>5</v>
      </c>
      <c r="H82" s="208">
        <v>4</v>
      </c>
      <c r="I82" s="208">
        <v>5</v>
      </c>
      <c r="J82" s="134">
        <v>14</v>
      </c>
      <c r="K82" s="92">
        <f t="shared" si="4"/>
        <v>35.714285714285715</v>
      </c>
      <c r="L82" s="92">
        <f t="shared" si="3"/>
        <v>28.571428571428569</v>
      </c>
      <c r="M82" s="92">
        <f t="shared" si="3"/>
        <v>35.714285714285715</v>
      </c>
      <c r="N82" s="125">
        <f t="shared" si="5"/>
        <v>100</v>
      </c>
      <c r="O82" s="91">
        <v>20.7</v>
      </c>
      <c r="P82" s="92">
        <v>16</v>
      </c>
      <c r="Q82" s="92">
        <v>24.7</v>
      </c>
      <c r="R82" s="93">
        <f t="shared" si="6"/>
        <v>61.400000000000006</v>
      </c>
      <c r="S82" s="208">
        <v>2</v>
      </c>
      <c r="T82" s="81"/>
      <c r="V82" s="82" t="s">
        <v>497</v>
      </c>
      <c r="W82" s="208" t="s">
        <v>20</v>
      </c>
      <c r="X82" s="208" t="s">
        <v>12</v>
      </c>
      <c r="Y82" s="83">
        <v>24.7</v>
      </c>
      <c r="Z82" s="208" t="s">
        <v>496</v>
      </c>
      <c r="AA82" s="208" t="s">
        <v>22</v>
      </c>
      <c r="AB82" s="208" t="s">
        <v>11</v>
      </c>
      <c r="AC82" s="208">
        <v>20.7</v>
      </c>
      <c r="AD82" s="82" t="s">
        <v>499</v>
      </c>
      <c r="AE82" s="208" t="s">
        <v>88</v>
      </c>
      <c r="AF82" s="208" t="s">
        <v>18</v>
      </c>
      <c r="AG82" s="83">
        <v>16</v>
      </c>
      <c r="AL82" s="82"/>
      <c r="AO82" s="83"/>
      <c r="AP82" s="82"/>
      <c r="AS82" s="83"/>
      <c r="AW82" s="83"/>
      <c r="BA82" s="84"/>
    </row>
    <row r="83" spans="1:53" s="208" customFormat="1">
      <c r="A83" s="208">
        <v>1997</v>
      </c>
      <c r="C83" s="988" t="s">
        <v>670</v>
      </c>
      <c r="D83" s="988"/>
      <c r="E83" s="208">
        <v>0</v>
      </c>
      <c r="G83" s="123">
        <v>5</v>
      </c>
      <c r="H83" s="208">
        <v>4</v>
      </c>
      <c r="I83" s="208">
        <v>5</v>
      </c>
      <c r="J83" s="134">
        <v>14</v>
      </c>
      <c r="K83" s="92">
        <f t="shared" si="4"/>
        <v>35.714285714285715</v>
      </c>
      <c r="L83" s="92">
        <f t="shared" si="3"/>
        <v>28.571428571428569</v>
      </c>
      <c r="M83" s="92">
        <f t="shared" si="3"/>
        <v>35.714285714285715</v>
      </c>
      <c r="N83" s="125">
        <f t="shared" si="5"/>
        <v>100</v>
      </c>
      <c r="O83" s="91">
        <v>20.7</v>
      </c>
      <c r="P83" s="92">
        <v>16</v>
      </c>
      <c r="Q83" s="92">
        <v>24.7</v>
      </c>
      <c r="R83" s="93">
        <f t="shared" si="6"/>
        <v>61.400000000000006</v>
      </c>
      <c r="S83" s="208">
        <v>2</v>
      </c>
      <c r="T83" s="81"/>
      <c r="V83" s="82" t="s">
        <v>497</v>
      </c>
      <c r="W83" s="208" t="s">
        <v>20</v>
      </c>
      <c r="X83" s="208" t="s">
        <v>12</v>
      </c>
      <c r="Y83" s="83">
        <v>24.7</v>
      </c>
      <c r="Z83" s="208" t="s">
        <v>496</v>
      </c>
      <c r="AA83" s="208" t="s">
        <v>22</v>
      </c>
      <c r="AB83" s="208" t="s">
        <v>11</v>
      </c>
      <c r="AC83" s="208">
        <v>20.7</v>
      </c>
      <c r="AD83" s="82" t="s">
        <v>499</v>
      </c>
      <c r="AE83" s="208" t="s">
        <v>88</v>
      </c>
      <c r="AF83" s="208" t="s">
        <v>18</v>
      </c>
      <c r="AG83" s="83">
        <v>16</v>
      </c>
      <c r="AL83" s="82"/>
      <c r="AO83" s="83"/>
      <c r="AP83" s="82"/>
      <c r="AS83" s="83"/>
      <c r="AW83" s="83"/>
      <c r="BA83" s="84"/>
    </row>
    <row r="84" spans="1:53" s="208" customFormat="1">
      <c r="A84" s="208">
        <v>1997</v>
      </c>
      <c r="C84" s="988" t="s">
        <v>670</v>
      </c>
      <c r="D84" s="988"/>
      <c r="E84" s="208">
        <f>365-E83</f>
        <v>365</v>
      </c>
      <c r="G84" s="123">
        <v>5</v>
      </c>
      <c r="H84" s="208">
        <v>4</v>
      </c>
      <c r="I84" s="208">
        <v>5</v>
      </c>
      <c r="J84" s="134">
        <v>14</v>
      </c>
      <c r="K84" s="92">
        <f t="shared" si="4"/>
        <v>35.714285714285715</v>
      </c>
      <c r="L84" s="92">
        <f t="shared" si="3"/>
        <v>28.571428571428569</v>
      </c>
      <c r="M84" s="92">
        <f t="shared" si="3"/>
        <v>35.714285714285715</v>
      </c>
      <c r="N84" s="125">
        <f t="shared" si="5"/>
        <v>100</v>
      </c>
      <c r="O84" s="91">
        <v>20.7</v>
      </c>
      <c r="P84" s="92">
        <v>16</v>
      </c>
      <c r="Q84" s="92">
        <v>24.7</v>
      </c>
      <c r="R84" s="93">
        <f t="shared" si="6"/>
        <v>61.400000000000006</v>
      </c>
      <c r="S84" s="208">
        <v>2</v>
      </c>
      <c r="T84" s="81"/>
      <c r="V84" s="82" t="s">
        <v>497</v>
      </c>
      <c r="W84" s="208" t="s">
        <v>20</v>
      </c>
      <c r="X84" s="208" t="s">
        <v>12</v>
      </c>
      <c r="Y84" s="83">
        <v>24.7</v>
      </c>
      <c r="Z84" s="208" t="s">
        <v>496</v>
      </c>
      <c r="AA84" s="208" t="s">
        <v>22</v>
      </c>
      <c r="AB84" s="208" t="s">
        <v>11</v>
      </c>
      <c r="AC84" s="208">
        <v>20.7</v>
      </c>
      <c r="AD84" s="82" t="s">
        <v>499</v>
      </c>
      <c r="AE84" s="208" t="s">
        <v>88</v>
      </c>
      <c r="AF84" s="208" t="s">
        <v>18</v>
      </c>
      <c r="AG84" s="83">
        <v>16</v>
      </c>
      <c r="AL84" s="82"/>
      <c r="AO84" s="83"/>
      <c r="AP84" s="82"/>
      <c r="AS84" s="83"/>
      <c r="AW84" s="83"/>
      <c r="BA84" s="84"/>
    </row>
    <row r="85" spans="1:53" s="208" customFormat="1">
      <c r="A85" s="208">
        <v>1998</v>
      </c>
      <c r="C85" s="988" t="s">
        <v>670</v>
      </c>
      <c r="D85" s="988"/>
      <c r="E85" s="208">
        <v>214</v>
      </c>
      <c r="G85" s="123">
        <v>5</v>
      </c>
      <c r="H85" s="208">
        <v>4</v>
      </c>
      <c r="I85" s="208">
        <v>5</v>
      </c>
      <c r="J85" s="134">
        <v>14</v>
      </c>
      <c r="K85" s="92">
        <f t="shared" si="4"/>
        <v>35.714285714285715</v>
      </c>
      <c r="L85" s="92">
        <f t="shared" si="3"/>
        <v>28.571428571428569</v>
      </c>
      <c r="M85" s="92">
        <f t="shared" si="3"/>
        <v>35.714285714285715</v>
      </c>
      <c r="N85" s="125">
        <f t="shared" si="5"/>
        <v>100</v>
      </c>
      <c r="O85" s="91">
        <v>20.7</v>
      </c>
      <c r="P85" s="92">
        <v>16</v>
      </c>
      <c r="Q85" s="92">
        <v>24.7</v>
      </c>
      <c r="R85" s="93">
        <f t="shared" si="6"/>
        <v>61.400000000000006</v>
      </c>
      <c r="S85" s="208">
        <v>2</v>
      </c>
      <c r="T85" s="81"/>
      <c r="V85" s="82" t="s">
        <v>497</v>
      </c>
      <c r="W85" s="208" t="s">
        <v>20</v>
      </c>
      <c r="X85" s="208" t="s">
        <v>12</v>
      </c>
      <c r="Y85" s="83">
        <v>24.7</v>
      </c>
      <c r="Z85" s="208" t="s">
        <v>496</v>
      </c>
      <c r="AA85" s="208" t="s">
        <v>22</v>
      </c>
      <c r="AB85" s="208" t="s">
        <v>11</v>
      </c>
      <c r="AC85" s="208">
        <v>20.7</v>
      </c>
      <c r="AD85" s="82" t="s">
        <v>499</v>
      </c>
      <c r="AE85" s="208" t="s">
        <v>88</v>
      </c>
      <c r="AF85" s="208" t="s">
        <v>18</v>
      </c>
      <c r="AG85" s="83">
        <v>16</v>
      </c>
      <c r="AL85" s="82"/>
      <c r="AO85" s="83"/>
      <c r="AP85" s="82"/>
      <c r="AS85" s="83"/>
      <c r="AW85" s="83"/>
      <c r="BA85" s="84"/>
    </row>
    <row r="86" spans="1:53" s="334" customFormat="1">
      <c r="A86" s="334">
        <v>1998</v>
      </c>
      <c r="B86" s="355">
        <v>36010</v>
      </c>
      <c r="C86" s="992" t="s">
        <v>671</v>
      </c>
      <c r="D86" s="992"/>
      <c r="E86" s="334">
        <f>365-E85</f>
        <v>151</v>
      </c>
      <c r="F86" s="334">
        <v>1</v>
      </c>
      <c r="G86" s="419">
        <v>6</v>
      </c>
      <c r="H86" s="334">
        <v>3</v>
      </c>
      <c r="I86" s="334">
        <v>5</v>
      </c>
      <c r="J86" s="435">
        <v>14</v>
      </c>
      <c r="K86" s="384">
        <f t="shared" si="4"/>
        <v>42.857142857142854</v>
      </c>
      <c r="L86" s="384">
        <f t="shared" si="3"/>
        <v>21.428571428571427</v>
      </c>
      <c r="M86" s="384">
        <f t="shared" si="3"/>
        <v>35.714285714285715</v>
      </c>
      <c r="N86" s="421">
        <f t="shared" si="5"/>
        <v>100</v>
      </c>
      <c r="O86" s="383">
        <v>25.3</v>
      </c>
      <c r="P86" s="384">
        <v>9.3000000000000007</v>
      </c>
      <c r="Q86" s="384">
        <v>30</v>
      </c>
      <c r="R86" s="385">
        <f t="shared" si="6"/>
        <v>64.599999999999994</v>
      </c>
      <c r="S86" s="334">
        <v>3</v>
      </c>
      <c r="T86" s="342">
        <v>35921</v>
      </c>
      <c r="U86" s="355">
        <v>36010</v>
      </c>
      <c r="V86" s="343" t="s">
        <v>497</v>
      </c>
      <c r="W86" s="334" t="s">
        <v>20</v>
      </c>
      <c r="X86" s="334" t="s">
        <v>12</v>
      </c>
      <c r="Y86" s="344">
        <v>30</v>
      </c>
      <c r="Z86" s="334" t="s">
        <v>496</v>
      </c>
      <c r="AA86" s="334" t="s">
        <v>22</v>
      </c>
      <c r="AB86" s="334" t="s">
        <v>11</v>
      </c>
      <c r="AC86" s="334">
        <v>25.3</v>
      </c>
      <c r="AD86" s="343" t="s">
        <v>499</v>
      </c>
      <c r="AE86" s="334" t="s">
        <v>88</v>
      </c>
      <c r="AF86" s="334" t="s">
        <v>18</v>
      </c>
      <c r="AG86" s="344">
        <v>9.3000000000000007</v>
      </c>
      <c r="AL86" s="343"/>
      <c r="AO86" s="344"/>
      <c r="AP86" s="343"/>
      <c r="AS86" s="344"/>
      <c r="AW86" s="344"/>
      <c r="BA86" s="345"/>
    </row>
    <row r="87" spans="1:53" s="334" customFormat="1">
      <c r="A87" s="334">
        <v>1999</v>
      </c>
      <c r="C87" s="992" t="s">
        <v>671</v>
      </c>
      <c r="D87" s="992"/>
      <c r="E87" s="334">
        <v>0</v>
      </c>
      <c r="G87" s="419">
        <v>6</v>
      </c>
      <c r="H87" s="334">
        <v>3</v>
      </c>
      <c r="I87" s="334">
        <v>6</v>
      </c>
      <c r="J87" s="435">
        <v>15</v>
      </c>
      <c r="K87" s="384">
        <f t="shared" si="4"/>
        <v>40</v>
      </c>
      <c r="L87" s="384">
        <f t="shared" si="3"/>
        <v>20</v>
      </c>
      <c r="M87" s="384">
        <f t="shared" si="3"/>
        <v>40</v>
      </c>
      <c r="N87" s="421">
        <f t="shared" si="5"/>
        <v>100</v>
      </c>
      <c r="O87" s="383">
        <v>25.3</v>
      </c>
      <c r="P87" s="384">
        <v>9.3000000000000007</v>
      </c>
      <c r="Q87" s="384">
        <v>30</v>
      </c>
      <c r="R87" s="385">
        <f t="shared" si="6"/>
        <v>64.599999999999994</v>
      </c>
      <c r="S87" s="334">
        <v>3</v>
      </c>
      <c r="T87" s="357"/>
      <c r="V87" s="343" t="s">
        <v>497</v>
      </c>
      <c r="W87" s="334" t="s">
        <v>20</v>
      </c>
      <c r="X87" s="334" t="s">
        <v>12</v>
      </c>
      <c r="Y87" s="344">
        <v>30</v>
      </c>
      <c r="Z87" s="334" t="s">
        <v>496</v>
      </c>
      <c r="AA87" s="334" t="s">
        <v>22</v>
      </c>
      <c r="AB87" s="334" t="s">
        <v>11</v>
      </c>
      <c r="AC87" s="334">
        <v>25.3</v>
      </c>
      <c r="AD87" s="343" t="s">
        <v>499</v>
      </c>
      <c r="AE87" s="334" t="s">
        <v>88</v>
      </c>
      <c r="AF87" s="334" t="s">
        <v>18</v>
      </c>
      <c r="AG87" s="344">
        <v>9.3000000000000007</v>
      </c>
      <c r="AL87" s="343"/>
      <c r="AO87" s="344"/>
      <c r="AP87" s="343"/>
      <c r="AS87" s="344"/>
      <c r="AW87" s="344"/>
      <c r="BA87" s="345"/>
    </row>
    <row r="88" spans="1:53" s="334" customFormat="1">
      <c r="A88" s="334">
        <v>1999</v>
      </c>
      <c r="C88" s="992" t="s">
        <v>671</v>
      </c>
      <c r="D88" s="992"/>
      <c r="E88" s="334">
        <f>365-E87</f>
        <v>365</v>
      </c>
      <c r="G88" s="419">
        <v>6</v>
      </c>
      <c r="H88" s="334">
        <v>3</v>
      </c>
      <c r="I88" s="334">
        <v>6</v>
      </c>
      <c r="J88" s="435">
        <v>15</v>
      </c>
      <c r="K88" s="384">
        <f t="shared" si="4"/>
        <v>40</v>
      </c>
      <c r="L88" s="384">
        <f t="shared" si="3"/>
        <v>20</v>
      </c>
      <c r="M88" s="384">
        <f t="shared" si="3"/>
        <v>40</v>
      </c>
      <c r="N88" s="421">
        <f t="shared" si="5"/>
        <v>100</v>
      </c>
      <c r="O88" s="383">
        <v>25.3</v>
      </c>
      <c r="P88" s="384">
        <v>9.3000000000000007</v>
      </c>
      <c r="Q88" s="384">
        <v>30</v>
      </c>
      <c r="R88" s="385">
        <f t="shared" si="6"/>
        <v>64.599999999999994</v>
      </c>
      <c r="S88" s="334">
        <v>3</v>
      </c>
      <c r="T88" s="357"/>
      <c r="V88" s="343" t="s">
        <v>497</v>
      </c>
      <c r="W88" s="334" t="s">
        <v>20</v>
      </c>
      <c r="X88" s="334" t="s">
        <v>12</v>
      </c>
      <c r="Y88" s="344">
        <v>30</v>
      </c>
      <c r="Z88" s="334" t="s">
        <v>496</v>
      </c>
      <c r="AA88" s="334" t="s">
        <v>22</v>
      </c>
      <c r="AB88" s="334" t="s">
        <v>11</v>
      </c>
      <c r="AC88" s="334">
        <v>25.3</v>
      </c>
      <c r="AD88" s="343" t="s">
        <v>499</v>
      </c>
      <c r="AE88" s="334" t="s">
        <v>88</v>
      </c>
      <c r="AF88" s="334" t="s">
        <v>18</v>
      </c>
      <c r="AG88" s="344">
        <v>9.3000000000000007</v>
      </c>
      <c r="AL88" s="343"/>
      <c r="AO88" s="344"/>
      <c r="AP88" s="343"/>
      <c r="AS88" s="344"/>
      <c r="AW88" s="344"/>
      <c r="BA88" s="345"/>
    </row>
    <row r="89" spans="1:53" s="334" customFormat="1">
      <c r="A89" s="334">
        <v>2000</v>
      </c>
      <c r="C89" s="992" t="s">
        <v>671</v>
      </c>
      <c r="D89" s="992"/>
      <c r="E89" s="334">
        <v>0</v>
      </c>
      <c r="G89" s="419">
        <v>6</v>
      </c>
      <c r="H89" s="334">
        <v>3</v>
      </c>
      <c r="I89" s="334">
        <v>6</v>
      </c>
      <c r="J89" s="435">
        <v>15</v>
      </c>
      <c r="K89" s="384">
        <f t="shared" si="4"/>
        <v>40</v>
      </c>
      <c r="L89" s="384">
        <f t="shared" si="3"/>
        <v>20</v>
      </c>
      <c r="M89" s="384">
        <f t="shared" si="3"/>
        <v>40</v>
      </c>
      <c r="N89" s="421">
        <f t="shared" si="5"/>
        <v>100</v>
      </c>
      <c r="O89" s="383">
        <v>25.3</v>
      </c>
      <c r="P89" s="384">
        <v>9.3000000000000007</v>
      </c>
      <c r="Q89" s="384">
        <v>30</v>
      </c>
      <c r="R89" s="385">
        <f t="shared" si="6"/>
        <v>64.599999999999994</v>
      </c>
      <c r="S89" s="334">
        <v>3</v>
      </c>
      <c r="T89" s="357"/>
      <c r="V89" s="343" t="s">
        <v>497</v>
      </c>
      <c r="W89" s="334" t="s">
        <v>20</v>
      </c>
      <c r="X89" s="334" t="s">
        <v>12</v>
      </c>
      <c r="Y89" s="344">
        <v>30</v>
      </c>
      <c r="Z89" s="334" t="s">
        <v>496</v>
      </c>
      <c r="AA89" s="334" t="s">
        <v>22</v>
      </c>
      <c r="AB89" s="334" t="s">
        <v>11</v>
      </c>
      <c r="AC89" s="334">
        <v>25.3</v>
      </c>
      <c r="AD89" s="343" t="s">
        <v>499</v>
      </c>
      <c r="AE89" s="334" t="s">
        <v>88</v>
      </c>
      <c r="AF89" s="334" t="s">
        <v>18</v>
      </c>
      <c r="AG89" s="344">
        <v>9.3000000000000007</v>
      </c>
      <c r="AL89" s="343"/>
      <c r="AO89" s="344"/>
      <c r="AP89" s="343"/>
      <c r="AS89" s="344"/>
      <c r="AW89" s="344"/>
      <c r="BA89" s="345"/>
    </row>
    <row r="90" spans="1:53" s="334" customFormat="1">
      <c r="A90" s="334">
        <v>2000</v>
      </c>
      <c r="C90" s="992" t="s">
        <v>671</v>
      </c>
      <c r="D90" s="992"/>
      <c r="E90" s="334">
        <v>366</v>
      </c>
      <c r="G90" s="419">
        <v>6</v>
      </c>
      <c r="H90" s="334">
        <v>3</v>
      </c>
      <c r="I90" s="334">
        <v>6</v>
      </c>
      <c r="J90" s="435">
        <v>15</v>
      </c>
      <c r="K90" s="384">
        <f t="shared" si="4"/>
        <v>40</v>
      </c>
      <c r="L90" s="384">
        <f t="shared" si="3"/>
        <v>20</v>
      </c>
      <c r="M90" s="384">
        <f t="shared" si="3"/>
        <v>40</v>
      </c>
      <c r="N90" s="421">
        <f t="shared" si="5"/>
        <v>100</v>
      </c>
      <c r="O90" s="383">
        <v>25.3</v>
      </c>
      <c r="P90" s="384">
        <v>9.3000000000000007</v>
      </c>
      <c r="Q90" s="384">
        <v>30</v>
      </c>
      <c r="R90" s="385">
        <f t="shared" si="6"/>
        <v>64.599999999999994</v>
      </c>
      <c r="S90" s="334">
        <v>3</v>
      </c>
      <c r="T90" s="357"/>
      <c r="V90" s="343" t="s">
        <v>497</v>
      </c>
      <c r="W90" s="334" t="s">
        <v>20</v>
      </c>
      <c r="X90" s="334" t="s">
        <v>12</v>
      </c>
      <c r="Y90" s="344">
        <v>30</v>
      </c>
      <c r="Z90" s="334" t="s">
        <v>496</v>
      </c>
      <c r="AA90" s="334" t="s">
        <v>22</v>
      </c>
      <c r="AB90" s="334" t="s">
        <v>11</v>
      </c>
      <c r="AC90" s="334">
        <v>25.3</v>
      </c>
      <c r="AD90" s="343" t="s">
        <v>499</v>
      </c>
      <c r="AE90" s="334" t="s">
        <v>88</v>
      </c>
      <c r="AF90" s="334" t="s">
        <v>18</v>
      </c>
      <c r="AG90" s="344">
        <v>9.3000000000000007</v>
      </c>
      <c r="AL90" s="343"/>
      <c r="AO90" s="344"/>
      <c r="AP90" s="343"/>
      <c r="AS90" s="344"/>
      <c r="AW90" s="344"/>
      <c r="BA90" s="345"/>
    </row>
    <row r="91" spans="1:53" s="334" customFormat="1">
      <c r="A91" s="334">
        <v>2001</v>
      </c>
      <c r="C91" s="992" t="s">
        <v>671</v>
      </c>
      <c r="D91" s="992"/>
      <c r="E91" s="334">
        <v>0</v>
      </c>
      <c r="G91" s="419">
        <v>6</v>
      </c>
      <c r="H91" s="334">
        <v>3</v>
      </c>
      <c r="I91" s="334">
        <v>6</v>
      </c>
      <c r="J91" s="435">
        <v>15</v>
      </c>
      <c r="K91" s="384">
        <f t="shared" si="4"/>
        <v>40</v>
      </c>
      <c r="L91" s="384">
        <f t="shared" si="3"/>
        <v>20</v>
      </c>
      <c r="M91" s="384">
        <f t="shared" si="3"/>
        <v>40</v>
      </c>
      <c r="N91" s="421">
        <f t="shared" si="5"/>
        <v>100</v>
      </c>
      <c r="O91" s="383">
        <v>25.3</v>
      </c>
      <c r="P91" s="384">
        <v>9.3000000000000007</v>
      </c>
      <c r="Q91" s="384">
        <v>30</v>
      </c>
      <c r="R91" s="385">
        <f t="shared" si="6"/>
        <v>64.599999999999994</v>
      </c>
      <c r="S91" s="334">
        <v>3</v>
      </c>
      <c r="T91" s="357"/>
      <c r="V91" s="343" t="s">
        <v>497</v>
      </c>
      <c r="W91" s="334" t="s">
        <v>20</v>
      </c>
      <c r="X91" s="334" t="s">
        <v>12</v>
      </c>
      <c r="Y91" s="344">
        <v>30</v>
      </c>
      <c r="Z91" s="334" t="s">
        <v>496</v>
      </c>
      <c r="AA91" s="334" t="s">
        <v>22</v>
      </c>
      <c r="AB91" s="334" t="s">
        <v>11</v>
      </c>
      <c r="AC91" s="334">
        <v>25.3</v>
      </c>
      <c r="AD91" s="343" t="s">
        <v>499</v>
      </c>
      <c r="AE91" s="334" t="s">
        <v>88</v>
      </c>
      <c r="AF91" s="334" t="s">
        <v>18</v>
      </c>
      <c r="AG91" s="344">
        <v>9.3000000000000007</v>
      </c>
      <c r="AL91" s="343"/>
      <c r="AO91" s="344"/>
      <c r="AP91" s="343"/>
      <c r="AS91" s="344"/>
      <c r="AW91" s="344"/>
      <c r="BA91" s="345"/>
    </row>
    <row r="92" spans="1:53" s="334" customFormat="1">
      <c r="A92" s="334">
        <v>2001</v>
      </c>
      <c r="C92" s="992" t="s">
        <v>671</v>
      </c>
      <c r="D92" s="992"/>
      <c r="E92" s="334">
        <f>365-E91</f>
        <v>365</v>
      </c>
      <c r="G92" s="419">
        <v>6</v>
      </c>
      <c r="H92" s="334">
        <v>3</v>
      </c>
      <c r="I92" s="334">
        <v>6</v>
      </c>
      <c r="J92" s="435">
        <v>15</v>
      </c>
      <c r="K92" s="384">
        <f t="shared" si="4"/>
        <v>40</v>
      </c>
      <c r="L92" s="384">
        <f t="shared" si="3"/>
        <v>20</v>
      </c>
      <c r="M92" s="384">
        <f t="shared" si="3"/>
        <v>40</v>
      </c>
      <c r="N92" s="421">
        <f t="shared" si="5"/>
        <v>100</v>
      </c>
      <c r="O92" s="383">
        <v>25.3</v>
      </c>
      <c r="P92" s="384">
        <v>9.3000000000000007</v>
      </c>
      <c r="Q92" s="384">
        <v>30</v>
      </c>
      <c r="R92" s="385">
        <f t="shared" si="6"/>
        <v>64.599999999999994</v>
      </c>
      <c r="S92" s="334">
        <v>3</v>
      </c>
      <c r="T92" s="357"/>
      <c r="V92" s="343" t="s">
        <v>497</v>
      </c>
      <c r="W92" s="334" t="s">
        <v>20</v>
      </c>
      <c r="X92" s="334" t="s">
        <v>12</v>
      </c>
      <c r="Y92" s="344">
        <v>30</v>
      </c>
      <c r="Z92" s="334" t="s">
        <v>496</v>
      </c>
      <c r="AA92" s="334" t="s">
        <v>22</v>
      </c>
      <c r="AB92" s="334" t="s">
        <v>11</v>
      </c>
      <c r="AC92" s="334">
        <v>25.3</v>
      </c>
      <c r="AD92" s="343" t="s">
        <v>499</v>
      </c>
      <c r="AE92" s="334" t="s">
        <v>88</v>
      </c>
      <c r="AF92" s="334" t="s">
        <v>18</v>
      </c>
      <c r="AG92" s="344">
        <v>9.3000000000000007</v>
      </c>
      <c r="AL92" s="343"/>
      <c r="AO92" s="344"/>
      <c r="AP92" s="343"/>
      <c r="AS92" s="344"/>
      <c r="AW92" s="344"/>
      <c r="BA92" s="345"/>
    </row>
    <row r="93" spans="1:53" s="334" customFormat="1">
      <c r="A93" s="334">
        <v>2002</v>
      </c>
      <c r="C93" s="992" t="s">
        <v>671</v>
      </c>
      <c r="D93" s="992"/>
      <c r="E93" s="334">
        <v>105</v>
      </c>
      <c r="G93" s="419">
        <v>6</v>
      </c>
      <c r="H93" s="334">
        <v>3</v>
      </c>
      <c r="I93" s="334">
        <v>6</v>
      </c>
      <c r="J93" s="435">
        <v>15</v>
      </c>
      <c r="K93" s="384">
        <f t="shared" si="4"/>
        <v>40</v>
      </c>
      <c r="L93" s="384">
        <f t="shared" si="3"/>
        <v>20</v>
      </c>
      <c r="M93" s="384">
        <f t="shared" si="3"/>
        <v>40</v>
      </c>
      <c r="N93" s="421">
        <f t="shared" si="5"/>
        <v>100</v>
      </c>
      <c r="O93" s="383">
        <v>25.3</v>
      </c>
      <c r="P93" s="384">
        <v>9.3000000000000007</v>
      </c>
      <c r="Q93" s="384">
        <v>30</v>
      </c>
      <c r="R93" s="385">
        <f t="shared" si="6"/>
        <v>64.599999999999994</v>
      </c>
      <c r="S93" s="334">
        <v>3</v>
      </c>
      <c r="T93" s="357"/>
      <c r="V93" s="343" t="s">
        <v>497</v>
      </c>
      <c r="W93" s="334" t="s">
        <v>20</v>
      </c>
      <c r="X93" s="334" t="s">
        <v>12</v>
      </c>
      <c r="Y93" s="344">
        <v>30</v>
      </c>
      <c r="Z93" s="334" t="s">
        <v>496</v>
      </c>
      <c r="AA93" s="334" t="s">
        <v>22</v>
      </c>
      <c r="AB93" s="334" t="s">
        <v>11</v>
      </c>
      <c r="AC93" s="334">
        <v>25.3</v>
      </c>
      <c r="AD93" s="343" t="s">
        <v>499</v>
      </c>
      <c r="AE93" s="334" t="s">
        <v>88</v>
      </c>
      <c r="AF93" s="334" t="s">
        <v>18</v>
      </c>
      <c r="AG93" s="344">
        <v>9.3000000000000007</v>
      </c>
      <c r="AL93" s="343"/>
      <c r="AO93" s="344"/>
      <c r="AP93" s="343"/>
      <c r="AS93" s="344"/>
      <c r="AW93" s="344"/>
      <c r="BA93" s="345"/>
    </row>
    <row r="94" spans="1:53" s="208" customFormat="1">
      <c r="A94" s="208">
        <v>2002</v>
      </c>
      <c r="B94" s="207">
        <v>37362</v>
      </c>
      <c r="C94" s="988" t="s">
        <v>672</v>
      </c>
      <c r="D94" s="988"/>
      <c r="E94" s="208">
        <v>97</v>
      </c>
      <c r="F94" s="208">
        <v>2</v>
      </c>
      <c r="G94" s="123">
        <v>6</v>
      </c>
      <c r="H94" s="208">
        <v>3</v>
      </c>
      <c r="I94" s="208">
        <v>6</v>
      </c>
      <c r="J94" s="134">
        <v>15</v>
      </c>
      <c r="K94" s="92">
        <f t="shared" si="4"/>
        <v>40</v>
      </c>
      <c r="L94" s="92">
        <f t="shared" si="3"/>
        <v>20</v>
      </c>
      <c r="M94" s="92">
        <f t="shared" si="3"/>
        <v>40</v>
      </c>
      <c r="N94" s="125">
        <f t="shared" si="5"/>
        <v>100</v>
      </c>
      <c r="O94" s="91">
        <v>25.3</v>
      </c>
      <c r="P94" s="92">
        <v>9.3000000000000007</v>
      </c>
      <c r="Q94" s="92">
        <v>30</v>
      </c>
      <c r="R94" s="93">
        <f t="shared" si="6"/>
        <v>64.599999999999994</v>
      </c>
      <c r="S94" s="208">
        <v>6</v>
      </c>
      <c r="T94" s="81"/>
      <c r="U94" s="207">
        <v>37362</v>
      </c>
      <c r="V94" s="82" t="s">
        <v>497</v>
      </c>
      <c r="W94" s="208" t="s">
        <v>20</v>
      </c>
      <c r="X94" s="208" t="s">
        <v>12</v>
      </c>
      <c r="Y94" s="83">
        <v>30</v>
      </c>
      <c r="Z94" s="208" t="s">
        <v>496</v>
      </c>
      <c r="AA94" s="208" t="s">
        <v>22</v>
      </c>
      <c r="AB94" s="208" t="s">
        <v>11</v>
      </c>
      <c r="AC94" s="208">
        <v>25.3</v>
      </c>
      <c r="AD94" s="82" t="s">
        <v>499</v>
      </c>
      <c r="AE94" s="208" t="s">
        <v>88</v>
      </c>
      <c r="AF94" s="208" t="s">
        <v>18</v>
      </c>
      <c r="AG94" s="83">
        <v>9.3000000000000007</v>
      </c>
      <c r="AL94" s="82"/>
      <c r="AO94" s="83"/>
      <c r="AP94" s="82"/>
      <c r="AS94" s="83"/>
      <c r="AW94" s="83"/>
      <c r="BA94" s="84"/>
    </row>
    <row r="95" spans="1:53" s="334" customFormat="1">
      <c r="A95" s="334">
        <v>2002</v>
      </c>
      <c r="B95" s="355">
        <v>37459</v>
      </c>
      <c r="C95" s="992" t="s">
        <v>673</v>
      </c>
      <c r="D95" s="992"/>
      <c r="E95" s="334">
        <v>86</v>
      </c>
      <c r="F95" s="334">
        <v>1</v>
      </c>
      <c r="G95" s="419">
        <v>5</v>
      </c>
      <c r="H95" s="334">
        <v>6</v>
      </c>
      <c r="J95" s="435">
        <v>11</v>
      </c>
      <c r="K95" s="384">
        <f t="shared" si="4"/>
        <v>45.454545454545453</v>
      </c>
      <c r="L95" s="384">
        <f t="shared" si="3"/>
        <v>54.54545454545454</v>
      </c>
      <c r="M95" s="384">
        <f t="shared" si="3"/>
        <v>0</v>
      </c>
      <c r="N95" s="421">
        <f t="shared" si="5"/>
        <v>100</v>
      </c>
      <c r="O95" s="383">
        <v>33.299999999999997</v>
      </c>
      <c r="P95" s="384">
        <v>28.7</v>
      </c>
      <c r="Q95" s="384"/>
      <c r="R95" s="385">
        <f t="shared" si="6"/>
        <v>62</v>
      </c>
      <c r="S95" s="334">
        <v>2</v>
      </c>
      <c r="T95" s="342">
        <v>37391</v>
      </c>
      <c r="U95" s="355">
        <v>37459</v>
      </c>
      <c r="V95" s="343" t="s">
        <v>500</v>
      </c>
      <c r="W95" s="334" t="s">
        <v>335</v>
      </c>
      <c r="X95" s="334" t="s">
        <v>18</v>
      </c>
      <c r="Y95" s="344">
        <v>28.7</v>
      </c>
      <c r="Z95" s="334" t="s">
        <v>496</v>
      </c>
      <c r="AA95" s="334" t="s">
        <v>22</v>
      </c>
      <c r="AB95" s="334" t="s">
        <v>11</v>
      </c>
      <c r="AC95" s="334">
        <v>16</v>
      </c>
      <c r="AD95" s="343" t="s">
        <v>501</v>
      </c>
      <c r="AE95" s="334" t="s">
        <v>304</v>
      </c>
      <c r="AF95" s="334" t="s">
        <v>11</v>
      </c>
      <c r="AG95" s="344">
        <v>17.3</v>
      </c>
      <c r="AL95" s="343"/>
      <c r="AO95" s="344"/>
      <c r="AP95" s="343"/>
      <c r="AS95" s="344"/>
      <c r="AW95" s="344"/>
      <c r="BA95" s="345"/>
    </row>
    <row r="96" spans="1:53" s="208" customFormat="1">
      <c r="A96" s="208">
        <v>2002</v>
      </c>
      <c r="B96" s="207">
        <v>37545</v>
      </c>
      <c r="C96" s="988" t="s">
        <v>674</v>
      </c>
      <c r="D96" s="988"/>
      <c r="E96" s="208">
        <v>57</v>
      </c>
      <c r="F96" s="208">
        <v>2</v>
      </c>
      <c r="G96" s="123">
        <v>3</v>
      </c>
      <c r="H96" s="208">
        <v>6</v>
      </c>
      <c r="J96" s="134">
        <v>9</v>
      </c>
      <c r="K96" s="92">
        <f t="shared" si="4"/>
        <v>33.333333333333329</v>
      </c>
      <c r="L96" s="92">
        <f t="shared" si="3"/>
        <v>66.666666666666657</v>
      </c>
      <c r="M96" s="92">
        <f t="shared" si="3"/>
        <v>0</v>
      </c>
      <c r="N96" s="125">
        <f t="shared" si="5"/>
        <v>99.999999999999986</v>
      </c>
      <c r="O96" s="91">
        <v>16</v>
      </c>
      <c r="P96" s="92">
        <v>28.7</v>
      </c>
      <c r="Q96" s="92"/>
      <c r="R96" s="93">
        <f t="shared" si="6"/>
        <v>44.7</v>
      </c>
      <c r="S96" s="208">
        <v>6</v>
      </c>
      <c r="T96" s="95"/>
      <c r="U96" s="207">
        <v>37545</v>
      </c>
      <c r="V96" s="82" t="s">
        <v>500</v>
      </c>
      <c r="W96" s="208" t="s">
        <v>335</v>
      </c>
      <c r="X96" s="208" t="s">
        <v>18</v>
      </c>
      <c r="Y96" s="83">
        <v>28.7</v>
      </c>
      <c r="Z96" s="208" t="s">
        <v>496</v>
      </c>
      <c r="AA96" s="208" t="s">
        <v>22</v>
      </c>
      <c r="AB96" s="208" t="s">
        <v>11</v>
      </c>
      <c r="AC96" s="208">
        <v>16</v>
      </c>
      <c r="AD96" s="82"/>
      <c r="AG96" s="83"/>
      <c r="AL96" s="82"/>
      <c r="AO96" s="83"/>
      <c r="AP96" s="82"/>
      <c r="AS96" s="83"/>
      <c r="AW96" s="83"/>
      <c r="BA96" s="84"/>
    </row>
    <row r="97" spans="1:53" s="208" customFormat="1">
      <c r="A97" s="208">
        <v>2002</v>
      </c>
      <c r="B97" s="149">
        <v>37602</v>
      </c>
      <c r="C97" s="988" t="s">
        <v>674</v>
      </c>
      <c r="D97" s="988"/>
      <c r="E97" s="208">
        <f>365-E93-E94-E95-E96</f>
        <v>20</v>
      </c>
      <c r="F97" s="150">
        <v>0</v>
      </c>
      <c r="G97" s="123">
        <v>2</v>
      </c>
      <c r="H97" s="208">
        <v>6</v>
      </c>
      <c r="J97" s="134">
        <v>8</v>
      </c>
      <c r="K97" s="92">
        <f t="shared" si="4"/>
        <v>25</v>
      </c>
      <c r="L97" s="92">
        <f t="shared" si="3"/>
        <v>75</v>
      </c>
      <c r="M97" s="92">
        <f t="shared" si="3"/>
        <v>0</v>
      </c>
      <c r="N97" s="125">
        <f t="shared" si="5"/>
        <v>100</v>
      </c>
      <c r="O97" s="91">
        <v>16</v>
      </c>
      <c r="P97" s="92">
        <v>28.7</v>
      </c>
      <c r="Q97" s="92"/>
      <c r="R97" s="93">
        <f>O97+P97+Q97</f>
        <v>44.7</v>
      </c>
      <c r="S97" s="208">
        <v>6</v>
      </c>
      <c r="T97" s="95"/>
      <c r="U97" s="207"/>
      <c r="V97" s="82" t="s">
        <v>500</v>
      </c>
      <c r="W97" s="208" t="s">
        <v>335</v>
      </c>
      <c r="X97" s="208" t="s">
        <v>18</v>
      </c>
      <c r="Y97" s="83">
        <v>28.7</v>
      </c>
      <c r="Z97" s="208" t="s">
        <v>496</v>
      </c>
      <c r="AA97" s="208" t="s">
        <v>22</v>
      </c>
      <c r="AB97" s="208" t="s">
        <v>11</v>
      </c>
      <c r="AC97" s="208">
        <v>16</v>
      </c>
      <c r="AD97" s="82"/>
      <c r="AG97" s="83"/>
      <c r="AL97" s="82"/>
      <c r="AO97" s="83"/>
      <c r="AP97" s="82"/>
      <c r="AS97" s="83"/>
      <c r="AW97" s="83"/>
      <c r="BA97" s="84"/>
    </row>
    <row r="98" spans="1:53" s="208" customFormat="1">
      <c r="A98" s="208">
        <v>2003</v>
      </c>
      <c r="C98" s="988" t="s">
        <v>674</v>
      </c>
      <c r="D98" s="988"/>
      <c r="E98" s="208">
        <v>146</v>
      </c>
      <c r="G98" s="123">
        <v>2</v>
      </c>
      <c r="H98" s="208">
        <v>6</v>
      </c>
      <c r="J98" s="134">
        <v>8</v>
      </c>
      <c r="K98" s="92">
        <f t="shared" si="4"/>
        <v>25</v>
      </c>
      <c r="L98" s="92">
        <f t="shared" si="3"/>
        <v>75</v>
      </c>
      <c r="M98" s="92">
        <f t="shared" si="3"/>
        <v>0</v>
      </c>
      <c r="N98" s="125">
        <f t="shared" si="5"/>
        <v>100</v>
      </c>
      <c r="O98" s="91">
        <v>16</v>
      </c>
      <c r="P98" s="92">
        <v>28.7</v>
      </c>
      <c r="Q98" s="92"/>
      <c r="R98" s="93">
        <f t="shared" si="6"/>
        <v>44.7</v>
      </c>
      <c r="S98" s="208">
        <v>6</v>
      </c>
      <c r="T98" s="81"/>
      <c r="V98" s="82" t="s">
        <v>500</v>
      </c>
      <c r="W98" s="208" t="s">
        <v>335</v>
      </c>
      <c r="X98" s="208" t="s">
        <v>18</v>
      </c>
      <c r="Y98" s="83">
        <v>28.7</v>
      </c>
      <c r="Z98" s="208" t="s">
        <v>496</v>
      </c>
      <c r="AA98" s="208" t="s">
        <v>22</v>
      </c>
      <c r="AB98" s="208" t="s">
        <v>11</v>
      </c>
      <c r="AC98" s="208">
        <v>16</v>
      </c>
      <c r="AD98" s="82"/>
      <c r="AG98" s="83"/>
      <c r="AL98" s="82"/>
      <c r="AO98" s="83"/>
      <c r="AP98" s="82"/>
      <c r="AS98" s="83"/>
      <c r="AW98" s="83"/>
      <c r="BA98" s="84"/>
    </row>
    <row r="99" spans="1:53" s="334" customFormat="1">
      <c r="A99" s="334">
        <v>2003</v>
      </c>
      <c r="B99" s="355">
        <v>37768</v>
      </c>
      <c r="C99" s="992" t="s">
        <v>675</v>
      </c>
      <c r="D99" s="992"/>
      <c r="E99" s="334">
        <f>365-E98</f>
        <v>219</v>
      </c>
      <c r="F99" s="334">
        <v>1</v>
      </c>
      <c r="G99" s="419">
        <v>6</v>
      </c>
      <c r="H99" s="334">
        <v>10</v>
      </c>
      <c r="J99" s="435">
        <v>16</v>
      </c>
      <c r="K99" s="384">
        <f t="shared" si="4"/>
        <v>37.5</v>
      </c>
      <c r="L99" s="384">
        <f t="shared" si="3"/>
        <v>62.5</v>
      </c>
      <c r="M99" s="384">
        <f t="shared" si="3"/>
        <v>0</v>
      </c>
      <c r="N99" s="421">
        <f t="shared" si="5"/>
        <v>100</v>
      </c>
      <c r="O99" s="383">
        <v>18.7</v>
      </c>
      <c r="P99" s="384">
        <v>33.299999999999997</v>
      </c>
      <c r="Q99" s="384"/>
      <c r="R99" s="385">
        <f t="shared" si="6"/>
        <v>52</v>
      </c>
      <c r="S99" s="334">
        <v>2</v>
      </c>
      <c r="T99" s="342">
        <v>37643</v>
      </c>
      <c r="U99" s="355">
        <v>37768</v>
      </c>
      <c r="V99" s="343" t="s">
        <v>500</v>
      </c>
      <c r="W99" s="334" t="s">
        <v>335</v>
      </c>
      <c r="X99" s="334" t="s">
        <v>18</v>
      </c>
      <c r="Y99" s="344">
        <v>29.3</v>
      </c>
      <c r="Z99" s="334" t="s">
        <v>496</v>
      </c>
      <c r="AA99" s="334" t="s">
        <v>22</v>
      </c>
      <c r="AB99" s="334" t="s">
        <v>11</v>
      </c>
      <c r="AC99" s="334">
        <v>18.7</v>
      </c>
      <c r="AD99" s="343" t="s">
        <v>499</v>
      </c>
      <c r="AE99" s="334" t="s">
        <v>88</v>
      </c>
      <c r="AF99" s="334" t="s">
        <v>18</v>
      </c>
      <c r="AG99" s="344">
        <v>4</v>
      </c>
      <c r="AL99" s="343"/>
      <c r="AO99" s="344"/>
      <c r="AP99" s="343"/>
      <c r="AS99" s="344"/>
      <c r="AW99" s="344"/>
      <c r="BA99" s="345"/>
    </row>
    <row r="100" spans="1:53" s="334" customFormat="1">
      <c r="A100" s="334">
        <v>2004</v>
      </c>
      <c r="C100" s="992" t="s">
        <v>675</v>
      </c>
      <c r="D100" s="992"/>
      <c r="E100" s="334">
        <v>0</v>
      </c>
      <c r="G100" s="419">
        <v>6</v>
      </c>
      <c r="H100" s="334">
        <v>10</v>
      </c>
      <c r="J100" s="435">
        <v>16</v>
      </c>
      <c r="K100" s="384">
        <f t="shared" si="4"/>
        <v>37.5</v>
      </c>
      <c r="L100" s="384">
        <f t="shared" si="3"/>
        <v>62.5</v>
      </c>
      <c r="M100" s="384">
        <f t="shared" si="3"/>
        <v>0</v>
      </c>
      <c r="N100" s="421">
        <f t="shared" si="5"/>
        <v>100</v>
      </c>
      <c r="O100" s="383">
        <v>18.7</v>
      </c>
      <c r="P100" s="384">
        <v>33.299999999999997</v>
      </c>
      <c r="Q100" s="384"/>
      <c r="R100" s="385">
        <f t="shared" si="6"/>
        <v>52</v>
      </c>
      <c r="S100" s="334">
        <v>2</v>
      </c>
      <c r="T100" s="357"/>
      <c r="V100" s="343" t="s">
        <v>500</v>
      </c>
      <c r="W100" s="334" t="s">
        <v>335</v>
      </c>
      <c r="X100" s="334" t="s">
        <v>18</v>
      </c>
      <c r="Y100" s="344">
        <v>29.3</v>
      </c>
      <c r="Z100" s="334" t="s">
        <v>496</v>
      </c>
      <c r="AA100" s="334" t="s">
        <v>22</v>
      </c>
      <c r="AB100" s="334" t="s">
        <v>11</v>
      </c>
      <c r="AC100" s="334">
        <v>18.7</v>
      </c>
      <c r="AD100" s="343" t="s">
        <v>499</v>
      </c>
      <c r="AE100" s="334" t="s">
        <v>88</v>
      </c>
      <c r="AF100" s="334" t="s">
        <v>18</v>
      </c>
      <c r="AG100" s="344">
        <v>4</v>
      </c>
      <c r="AL100" s="343"/>
      <c r="AO100" s="344"/>
      <c r="AP100" s="343"/>
      <c r="AS100" s="344"/>
      <c r="AW100" s="344"/>
      <c r="BA100" s="345"/>
    </row>
    <row r="101" spans="1:53" s="334" customFormat="1">
      <c r="A101" s="334">
        <v>2004</v>
      </c>
      <c r="C101" s="992" t="s">
        <v>675</v>
      </c>
      <c r="D101" s="992"/>
      <c r="E101" s="334">
        <v>366</v>
      </c>
      <c r="G101" s="419">
        <v>6</v>
      </c>
      <c r="H101" s="334">
        <v>10</v>
      </c>
      <c r="J101" s="435">
        <v>16</v>
      </c>
      <c r="K101" s="384">
        <f t="shared" si="4"/>
        <v>37.5</v>
      </c>
      <c r="L101" s="384">
        <f t="shared" si="3"/>
        <v>62.5</v>
      </c>
      <c r="M101" s="384">
        <f t="shared" si="3"/>
        <v>0</v>
      </c>
      <c r="N101" s="421">
        <f t="shared" si="5"/>
        <v>100</v>
      </c>
      <c r="O101" s="383">
        <v>18.7</v>
      </c>
      <c r="P101" s="384">
        <v>33.299999999999997</v>
      </c>
      <c r="Q101" s="384"/>
      <c r="R101" s="385">
        <f t="shared" si="6"/>
        <v>52</v>
      </c>
      <c r="S101" s="334">
        <v>2</v>
      </c>
      <c r="T101" s="357"/>
      <c r="V101" s="343" t="s">
        <v>500</v>
      </c>
      <c r="W101" s="334" t="s">
        <v>335</v>
      </c>
      <c r="X101" s="334" t="s">
        <v>18</v>
      </c>
      <c r="Y101" s="344">
        <v>29.3</v>
      </c>
      <c r="Z101" s="334" t="s">
        <v>496</v>
      </c>
      <c r="AA101" s="334" t="s">
        <v>22</v>
      </c>
      <c r="AB101" s="334" t="s">
        <v>11</v>
      </c>
      <c r="AC101" s="334">
        <v>18.7</v>
      </c>
      <c r="AD101" s="343" t="s">
        <v>499</v>
      </c>
      <c r="AE101" s="334" t="s">
        <v>88</v>
      </c>
      <c r="AF101" s="334" t="s">
        <v>18</v>
      </c>
      <c r="AG101" s="344">
        <v>4</v>
      </c>
      <c r="AL101" s="343"/>
      <c r="AO101" s="344"/>
      <c r="AP101" s="343"/>
      <c r="AS101" s="344"/>
      <c r="AW101" s="344"/>
      <c r="BA101" s="345"/>
    </row>
    <row r="102" spans="1:53" s="334" customFormat="1">
      <c r="A102" s="334">
        <v>2005</v>
      </c>
      <c r="C102" s="992" t="s">
        <v>675</v>
      </c>
      <c r="D102" s="992"/>
      <c r="E102" s="334">
        <v>0</v>
      </c>
      <c r="G102" s="419">
        <v>6</v>
      </c>
      <c r="H102" s="334">
        <v>10</v>
      </c>
      <c r="J102" s="435">
        <v>16</v>
      </c>
      <c r="K102" s="384">
        <f t="shared" si="4"/>
        <v>37.5</v>
      </c>
      <c r="L102" s="384">
        <f t="shared" si="3"/>
        <v>62.5</v>
      </c>
      <c r="M102" s="384">
        <f t="shared" si="3"/>
        <v>0</v>
      </c>
      <c r="N102" s="421">
        <f t="shared" si="5"/>
        <v>100</v>
      </c>
      <c r="O102" s="383">
        <v>18.7</v>
      </c>
      <c r="P102" s="384">
        <v>33.299999999999997</v>
      </c>
      <c r="Q102" s="384"/>
      <c r="R102" s="385">
        <f t="shared" si="6"/>
        <v>52</v>
      </c>
      <c r="S102" s="334">
        <v>2</v>
      </c>
      <c r="T102" s="357"/>
      <c r="V102" s="343" t="s">
        <v>500</v>
      </c>
      <c r="W102" s="334" t="s">
        <v>335</v>
      </c>
      <c r="X102" s="334" t="s">
        <v>18</v>
      </c>
      <c r="Y102" s="344">
        <v>29.3</v>
      </c>
      <c r="Z102" s="334" t="s">
        <v>496</v>
      </c>
      <c r="AA102" s="334" t="s">
        <v>22</v>
      </c>
      <c r="AB102" s="334" t="s">
        <v>11</v>
      </c>
      <c r="AC102" s="334">
        <v>18.7</v>
      </c>
      <c r="AD102" s="343" t="s">
        <v>499</v>
      </c>
      <c r="AE102" s="334" t="s">
        <v>88</v>
      </c>
      <c r="AF102" s="334" t="s">
        <v>18</v>
      </c>
      <c r="AG102" s="344">
        <v>4</v>
      </c>
      <c r="AL102" s="343"/>
      <c r="AO102" s="344"/>
      <c r="AP102" s="343"/>
      <c r="AS102" s="344"/>
      <c r="AW102" s="344"/>
      <c r="BA102" s="345"/>
    </row>
    <row r="103" spans="1:53" s="334" customFormat="1">
      <c r="A103" s="334">
        <v>2005</v>
      </c>
      <c r="C103" s="992" t="s">
        <v>675</v>
      </c>
      <c r="D103" s="992"/>
      <c r="E103" s="334">
        <f>365-E102</f>
        <v>365</v>
      </c>
      <c r="G103" s="419">
        <v>6</v>
      </c>
      <c r="H103" s="334">
        <v>10</v>
      </c>
      <c r="J103" s="435">
        <v>16</v>
      </c>
      <c r="K103" s="384">
        <f>G103/$J103*100</f>
        <v>37.5</v>
      </c>
      <c r="L103" s="384">
        <f t="shared" si="3"/>
        <v>62.5</v>
      </c>
      <c r="M103" s="384">
        <f t="shared" si="3"/>
        <v>0</v>
      </c>
      <c r="N103" s="421">
        <f t="shared" si="5"/>
        <v>100</v>
      </c>
      <c r="O103" s="383">
        <v>18.7</v>
      </c>
      <c r="P103" s="384">
        <v>33.299999999999997</v>
      </c>
      <c r="Q103" s="384"/>
      <c r="R103" s="385">
        <f t="shared" si="6"/>
        <v>52</v>
      </c>
      <c r="S103" s="334">
        <v>2</v>
      </c>
      <c r="T103" s="357"/>
      <c r="V103" s="343" t="s">
        <v>500</v>
      </c>
      <c r="W103" s="334" t="s">
        <v>335</v>
      </c>
      <c r="X103" s="334" t="s">
        <v>18</v>
      </c>
      <c r="Y103" s="344">
        <v>29.3</v>
      </c>
      <c r="Z103" s="334" t="s">
        <v>496</v>
      </c>
      <c r="AA103" s="334" t="s">
        <v>22</v>
      </c>
      <c r="AB103" s="334" t="s">
        <v>11</v>
      </c>
      <c r="AC103" s="334">
        <v>18.7</v>
      </c>
      <c r="AD103" s="343" t="s">
        <v>499</v>
      </c>
      <c r="AE103" s="334" t="s">
        <v>88</v>
      </c>
      <c r="AF103" s="334" t="s">
        <v>18</v>
      </c>
      <c r="AG103" s="344">
        <v>4</v>
      </c>
      <c r="AL103" s="343"/>
      <c r="AO103" s="344"/>
      <c r="AP103" s="343"/>
      <c r="AS103" s="344"/>
      <c r="AW103" s="344"/>
      <c r="BA103" s="345"/>
    </row>
    <row r="104" spans="1:53" s="334" customFormat="1">
      <c r="A104" s="334">
        <v>2006</v>
      </c>
      <c r="C104" s="992" t="s">
        <v>675</v>
      </c>
      <c r="D104" s="992"/>
      <c r="E104" s="334">
        <v>187</v>
      </c>
      <c r="G104" s="419">
        <v>6</v>
      </c>
      <c r="H104" s="334">
        <v>10</v>
      </c>
      <c r="J104" s="435">
        <v>16</v>
      </c>
      <c r="K104" s="384">
        <f t="shared" ref="K104:M120" si="7">G104/$J104*100</f>
        <v>37.5</v>
      </c>
      <c r="L104" s="384">
        <f t="shared" si="3"/>
        <v>62.5</v>
      </c>
      <c r="M104" s="384">
        <f t="shared" si="3"/>
        <v>0</v>
      </c>
      <c r="N104" s="421">
        <f t="shared" si="5"/>
        <v>100</v>
      </c>
      <c r="O104" s="383">
        <v>18.7</v>
      </c>
      <c r="P104" s="384">
        <v>33.299999999999997</v>
      </c>
      <c r="Q104" s="384"/>
      <c r="R104" s="385">
        <f t="shared" si="6"/>
        <v>52</v>
      </c>
      <c r="S104" s="334">
        <v>2</v>
      </c>
      <c r="T104" s="357"/>
      <c r="V104" s="343" t="s">
        <v>500</v>
      </c>
      <c r="W104" s="334" t="s">
        <v>335</v>
      </c>
      <c r="X104" s="334" t="s">
        <v>18</v>
      </c>
      <c r="Y104" s="344">
        <v>29.3</v>
      </c>
      <c r="Z104" s="334" t="s">
        <v>496</v>
      </c>
      <c r="AA104" s="334" t="s">
        <v>22</v>
      </c>
      <c r="AB104" s="334" t="s">
        <v>11</v>
      </c>
      <c r="AC104" s="334">
        <v>18.7</v>
      </c>
      <c r="AD104" s="343" t="s">
        <v>499</v>
      </c>
      <c r="AE104" s="334" t="s">
        <v>88</v>
      </c>
      <c r="AF104" s="334" t="s">
        <v>18</v>
      </c>
      <c r="AG104" s="344">
        <v>4</v>
      </c>
      <c r="AL104" s="343"/>
      <c r="AO104" s="344"/>
      <c r="AP104" s="343"/>
      <c r="AS104" s="344"/>
      <c r="AW104" s="344"/>
      <c r="BA104" s="345"/>
    </row>
    <row r="105" spans="1:53" s="208" customFormat="1">
      <c r="A105" s="208">
        <v>2006</v>
      </c>
      <c r="B105" s="207">
        <v>38905</v>
      </c>
      <c r="C105" s="988" t="s">
        <v>676</v>
      </c>
      <c r="D105" s="988"/>
      <c r="E105" s="208">
        <f>365-E104</f>
        <v>178</v>
      </c>
      <c r="F105" s="208">
        <v>4</v>
      </c>
      <c r="G105" s="123">
        <v>7</v>
      </c>
      <c r="H105" s="208">
        <v>9</v>
      </c>
      <c r="J105" s="134">
        <v>16</v>
      </c>
      <c r="K105" s="92">
        <f t="shared" si="7"/>
        <v>43.75</v>
      </c>
      <c r="L105" s="92">
        <f t="shared" si="3"/>
        <v>56.25</v>
      </c>
      <c r="M105" s="92">
        <f t="shared" si="3"/>
        <v>0</v>
      </c>
      <c r="N105" s="125">
        <f t="shared" si="5"/>
        <v>100</v>
      </c>
      <c r="O105" s="91">
        <v>18.7</v>
      </c>
      <c r="P105" s="92">
        <v>29.3</v>
      </c>
      <c r="Q105" s="92"/>
      <c r="R105" s="93">
        <f t="shared" si="6"/>
        <v>48</v>
      </c>
      <c r="S105" s="208">
        <v>5</v>
      </c>
      <c r="T105" s="95"/>
      <c r="U105" s="207">
        <v>38905</v>
      </c>
      <c r="V105" s="82" t="s">
        <v>500</v>
      </c>
      <c r="W105" s="208" t="s">
        <v>335</v>
      </c>
      <c r="X105" s="208" t="s">
        <v>18</v>
      </c>
      <c r="Y105" s="83">
        <v>29.3</v>
      </c>
      <c r="Z105" s="208" t="s">
        <v>496</v>
      </c>
      <c r="AA105" s="208" t="s">
        <v>22</v>
      </c>
      <c r="AB105" s="208" t="s">
        <v>11</v>
      </c>
      <c r="AC105" s="208">
        <v>18.7</v>
      </c>
      <c r="AD105" s="82"/>
      <c r="AG105" s="83"/>
      <c r="AL105" s="82"/>
      <c r="AO105" s="83"/>
      <c r="AP105" s="82"/>
      <c r="AS105" s="83"/>
      <c r="AW105" s="83"/>
      <c r="BA105" s="84"/>
    </row>
    <row r="106" spans="1:53" s="208" customFormat="1">
      <c r="A106" s="208">
        <v>2007</v>
      </c>
      <c r="C106" s="988" t="s">
        <v>676</v>
      </c>
      <c r="D106" s="988"/>
      <c r="E106" s="208">
        <v>52</v>
      </c>
      <c r="G106" s="123">
        <v>7</v>
      </c>
      <c r="H106" s="208">
        <v>9</v>
      </c>
      <c r="J106" s="134">
        <v>16</v>
      </c>
      <c r="K106" s="92">
        <f t="shared" si="7"/>
        <v>43.75</v>
      </c>
      <c r="L106" s="92">
        <f t="shared" si="3"/>
        <v>56.25</v>
      </c>
      <c r="M106" s="92">
        <f t="shared" si="3"/>
        <v>0</v>
      </c>
      <c r="N106" s="125">
        <f t="shared" si="5"/>
        <v>100</v>
      </c>
      <c r="O106" s="91">
        <v>18.7</v>
      </c>
      <c r="P106" s="92">
        <v>29.3</v>
      </c>
      <c r="Q106" s="92"/>
      <c r="R106" s="93">
        <f t="shared" si="6"/>
        <v>48</v>
      </c>
      <c r="S106" s="208">
        <v>5</v>
      </c>
      <c r="T106" s="95">
        <v>39043</v>
      </c>
      <c r="V106" s="82" t="s">
        <v>500</v>
      </c>
      <c r="W106" s="208" t="s">
        <v>335</v>
      </c>
      <c r="X106" s="208" t="s">
        <v>18</v>
      </c>
      <c r="Y106" s="83">
        <v>29.3</v>
      </c>
      <c r="Z106" s="208" t="s">
        <v>496</v>
      </c>
      <c r="AA106" s="208" t="s">
        <v>22</v>
      </c>
      <c r="AB106" s="208" t="s">
        <v>11</v>
      </c>
      <c r="AC106" s="208">
        <v>18.7</v>
      </c>
      <c r="AD106" s="82"/>
      <c r="AG106" s="83"/>
      <c r="AL106" s="82"/>
      <c r="AO106" s="83"/>
      <c r="AP106" s="82"/>
      <c r="AS106" s="83"/>
      <c r="AW106" s="83"/>
      <c r="BA106" s="84"/>
    </row>
    <row r="107" spans="1:53" s="334" customFormat="1">
      <c r="A107" s="334">
        <v>2007</v>
      </c>
      <c r="B107" s="355">
        <v>39135</v>
      </c>
      <c r="C107" s="992" t="s">
        <v>677</v>
      </c>
      <c r="D107" s="992"/>
      <c r="E107" s="334">
        <f>365-E106</f>
        <v>313</v>
      </c>
      <c r="F107" s="334">
        <v>1</v>
      </c>
      <c r="G107" s="419"/>
      <c r="H107" s="334">
        <v>10</v>
      </c>
      <c r="I107" s="334">
        <v>6</v>
      </c>
      <c r="J107" s="435">
        <v>16</v>
      </c>
      <c r="K107" s="384">
        <f t="shared" si="7"/>
        <v>0</v>
      </c>
      <c r="L107" s="384">
        <f t="shared" si="3"/>
        <v>62.5</v>
      </c>
      <c r="M107" s="384">
        <f t="shared" si="3"/>
        <v>37.5</v>
      </c>
      <c r="N107" s="421">
        <f t="shared" si="5"/>
        <v>100</v>
      </c>
      <c r="O107" s="383"/>
      <c r="P107" s="384">
        <v>31.3</v>
      </c>
      <c r="Q107" s="384">
        <v>22</v>
      </c>
      <c r="R107" s="385">
        <f t="shared" si="6"/>
        <v>53.3</v>
      </c>
      <c r="S107" s="334">
        <v>2</v>
      </c>
      <c r="T107" s="357"/>
      <c r="U107" s="355">
        <v>39135</v>
      </c>
      <c r="V107" s="343" t="s">
        <v>500</v>
      </c>
      <c r="W107" s="334" t="s">
        <v>335</v>
      </c>
      <c r="X107" s="334" t="s">
        <v>18</v>
      </c>
      <c r="Y107" s="344">
        <v>27.3</v>
      </c>
      <c r="Z107" s="343" t="s">
        <v>497</v>
      </c>
      <c r="AA107" s="334" t="s">
        <v>20</v>
      </c>
      <c r="AB107" s="334" t="s">
        <v>12</v>
      </c>
      <c r="AC107" s="334">
        <v>22</v>
      </c>
      <c r="AD107" s="343" t="s">
        <v>575</v>
      </c>
      <c r="AE107" s="334" t="s">
        <v>336</v>
      </c>
      <c r="AF107" s="334" t="s">
        <v>18</v>
      </c>
      <c r="AG107" s="344">
        <v>4</v>
      </c>
      <c r="AL107" s="343"/>
      <c r="AO107" s="344"/>
      <c r="AP107" s="343"/>
      <c r="AS107" s="344"/>
      <c r="AW107" s="344"/>
      <c r="BA107" s="345"/>
    </row>
    <row r="108" spans="1:53" s="334" customFormat="1">
      <c r="A108" s="334">
        <v>2008</v>
      </c>
      <c r="C108" s="992" t="s">
        <v>677</v>
      </c>
      <c r="D108" s="992"/>
      <c r="E108" s="334">
        <v>0</v>
      </c>
      <c r="G108" s="419"/>
      <c r="H108" s="334">
        <v>10</v>
      </c>
      <c r="I108" s="334">
        <v>6</v>
      </c>
      <c r="J108" s="435">
        <v>16</v>
      </c>
      <c r="K108" s="384">
        <f t="shared" si="7"/>
        <v>0</v>
      </c>
      <c r="L108" s="384">
        <f t="shared" si="3"/>
        <v>62.5</v>
      </c>
      <c r="M108" s="384">
        <f t="shared" si="3"/>
        <v>37.5</v>
      </c>
      <c r="N108" s="421">
        <f t="shared" si="5"/>
        <v>100</v>
      </c>
      <c r="O108" s="383"/>
      <c r="P108" s="384">
        <v>31.3</v>
      </c>
      <c r="Q108" s="384">
        <v>22</v>
      </c>
      <c r="R108" s="385">
        <f t="shared" si="6"/>
        <v>53.3</v>
      </c>
      <c r="S108" s="334">
        <v>2</v>
      </c>
      <c r="T108" s="357"/>
      <c r="V108" s="343" t="s">
        <v>500</v>
      </c>
      <c r="W108" s="334" t="s">
        <v>335</v>
      </c>
      <c r="X108" s="334" t="s">
        <v>18</v>
      </c>
      <c r="Y108" s="344">
        <v>27.3</v>
      </c>
      <c r="Z108" s="343" t="s">
        <v>497</v>
      </c>
      <c r="AA108" s="334" t="s">
        <v>20</v>
      </c>
      <c r="AB108" s="334" t="s">
        <v>12</v>
      </c>
      <c r="AC108" s="334">
        <v>22</v>
      </c>
      <c r="AD108" s="343" t="s">
        <v>575</v>
      </c>
      <c r="AE108" s="334" t="s">
        <v>336</v>
      </c>
      <c r="AF108" s="334" t="s">
        <v>18</v>
      </c>
      <c r="AG108" s="344">
        <v>4</v>
      </c>
      <c r="AL108" s="343"/>
      <c r="AO108" s="344"/>
      <c r="AP108" s="343"/>
      <c r="AS108" s="344"/>
      <c r="AW108" s="344"/>
      <c r="BA108" s="345"/>
    </row>
    <row r="109" spans="1:53" s="334" customFormat="1">
      <c r="A109" s="334">
        <v>2008</v>
      </c>
      <c r="C109" s="992" t="s">
        <v>677</v>
      </c>
      <c r="D109" s="992"/>
      <c r="E109" s="334">
        <v>366</v>
      </c>
      <c r="G109" s="419"/>
      <c r="H109" s="334">
        <v>10</v>
      </c>
      <c r="I109" s="334">
        <v>6</v>
      </c>
      <c r="J109" s="435">
        <v>16</v>
      </c>
      <c r="K109" s="384">
        <f t="shared" si="7"/>
        <v>0</v>
      </c>
      <c r="L109" s="384">
        <f t="shared" si="3"/>
        <v>62.5</v>
      </c>
      <c r="M109" s="384">
        <f t="shared" si="3"/>
        <v>37.5</v>
      </c>
      <c r="N109" s="421">
        <f t="shared" si="5"/>
        <v>100</v>
      </c>
      <c r="O109" s="383"/>
      <c r="P109" s="384">
        <v>31.3</v>
      </c>
      <c r="Q109" s="384">
        <v>22</v>
      </c>
      <c r="R109" s="385">
        <f t="shared" si="6"/>
        <v>53.3</v>
      </c>
      <c r="S109" s="334">
        <v>2</v>
      </c>
      <c r="T109" s="357"/>
      <c r="V109" s="343" t="s">
        <v>500</v>
      </c>
      <c r="W109" s="334" t="s">
        <v>335</v>
      </c>
      <c r="X109" s="334" t="s">
        <v>18</v>
      </c>
      <c r="Y109" s="344">
        <v>27.3</v>
      </c>
      <c r="Z109" s="343" t="s">
        <v>497</v>
      </c>
      <c r="AA109" s="334" t="s">
        <v>20</v>
      </c>
      <c r="AB109" s="334" t="s">
        <v>12</v>
      </c>
      <c r="AC109" s="334">
        <v>22</v>
      </c>
      <c r="AD109" s="343" t="s">
        <v>575</v>
      </c>
      <c r="AE109" s="334" t="s">
        <v>336</v>
      </c>
      <c r="AF109" s="334" t="s">
        <v>18</v>
      </c>
      <c r="AG109" s="344">
        <v>4</v>
      </c>
      <c r="AL109" s="343"/>
      <c r="AO109" s="344"/>
      <c r="AP109" s="343"/>
      <c r="AS109" s="344"/>
      <c r="AW109" s="344"/>
      <c r="BA109" s="345"/>
    </row>
    <row r="110" spans="1:53" s="334" customFormat="1">
      <c r="A110" s="334">
        <v>2009</v>
      </c>
      <c r="C110" s="992" t="s">
        <v>677</v>
      </c>
      <c r="D110" s="992"/>
      <c r="E110" s="334">
        <v>0</v>
      </c>
      <c r="G110" s="419"/>
      <c r="H110" s="334">
        <v>10</v>
      </c>
      <c r="I110" s="334">
        <v>6</v>
      </c>
      <c r="J110" s="435">
        <v>16</v>
      </c>
      <c r="K110" s="384">
        <f t="shared" si="7"/>
        <v>0</v>
      </c>
      <c r="L110" s="384">
        <f t="shared" si="3"/>
        <v>62.5</v>
      </c>
      <c r="M110" s="384">
        <f t="shared" si="3"/>
        <v>37.5</v>
      </c>
      <c r="N110" s="421">
        <f t="shared" si="5"/>
        <v>100</v>
      </c>
      <c r="O110" s="383"/>
      <c r="P110" s="384">
        <v>31.3</v>
      </c>
      <c r="Q110" s="384">
        <v>22</v>
      </c>
      <c r="R110" s="385">
        <f t="shared" si="6"/>
        <v>53.3</v>
      </c>
      <c r="S110" s="334">
        <v>2</v>
      </c>
      <c r="T110" s="357"/>
      <c r="V110" s="343" t="s">
        <v>500</v>
      </c>
      <c r="W110" s="334" t="s">
        <v>335</v>
      </c>
      <c r="X110" s="334" t="s">
        <v>18</v>
      </c>
      <c r="Y110" s="344">
        <v>27.3</v>
      </c>
      <c r="Z110" s="343" t="s">
        <v>497</v>
      </c>
      <c r="AA110" s="334" t="s">
        <v>20</v>
      </c>
      <c r="AB110" s="334" t="s">
        <v>12</v>
      </c>
      <c r="AC110" s="334">
        <v>22</v>
      </c>
      <c r="AD110" s="343" t="s">
        <v>575</v>
      </c>
      <c r="AE110" s="334" t="s">
        <v>336</v>
      </c>
      <c r="AF110" s="334" t="s">
        <v>18</v>
      </c>
      <c r="AG110" s="344">
        <v>4</v>
      </c>
      <c r="AL110" s="343"/>
      <c r="AO110" s="344"/>
      <c r="AP110" s="343"/>
      <c r="AS110" s="344"/>
      <c r="AW110" s="344"/>
      <c r="BA110" s="345"/>
    </row>
    <row r="111" spans="1:53" s="334" customFormat="1">
      <c r="A111" s="334">
        <v>2009</v>
      </c>
      <c r="C111" s="992" t="s">
        <v>677</v>
      </c>
      <c r="D111" s="992"/>
      <c r="E111" s="334">
        <v>365</v>
      </c>
      <c r="G111" s="419"/>
      <c r="H111" s="334">
        <v>10</v>
      </c>
      <c r="I111" s="334">
        <v>6</v>
      </c>
      <c r="J111" s="435">
        <v>16</v>
      </c>
      <c r="K111" s="384">
        <f t="shared" si="7"/>
        <v>0</v>
      </c>
      <c r="L111" s="384">
        <f t="shared" si="3"/>
        <v>62.5</v>
      </c>
      <c r="M111" s="384">
        <f t="shared" si="3"/>
        <v>37.5</v>
      </c>
      <c r="N111" s="421">
        <f t="shared" si="5"/>
        <v>100</v>
      </c>
      <c r="O111" s="383"/>
      <c r="P111" s="384">
        <v>31.3</v>
      </c>
      <c r="Q111" s="384">
        <v>22</v>
      </c>
      <c r="R111" s="385">
        <f t="shared" si="6"/>
        <v>53.3</v>
      </c>
      <c r="S111" s="334">
        <v>2</v>
      </c>
      <c r="T111" s="357"/>
      <c r="V111" s="343" t="s">
        <v>500</v>
      </c>
      <c r="W111" s="334" t="s">
        <v>335</v>
      </c>
      <c r="X111" s="334" t="s">
        <v>18</v>
      </c>
      <c r="Y111" s="344">
        <v>27.3</v>
      </c>
      <c r="Z111" s="343" t="s">
        <v>497</v>
      </c>
      <c r="AA111" s="334" t="s">
        <v>20</v>
      </c>
      <c r="AB111" s="334" t="s">
        <v>12</v>
      </c>
      <c r="AC111" s="334">
        <v>22</v>
      </c>
      <c r="AD111" s="343" t="s">
        <v>575</v>
      </c>
      <c r="AE111" s="334" t="s">
        <v>336</v>
      </c>
      <c r="AF111" s="334" t="s">
        <v>18</v>
      </c>
      <c r="AG111" s="344">
        <v>4</v>
      </c>
      <c r="AL111" s="343"/>
      <c r="AO111" s="344"/>
      <c r="AP111" s="343"/>
      <c r="AS111" s="344"/>
      <c r="AW111" s="344"/>
      <c r="BA111" s="345"/>
    </row>
    <row r="112" spans="1:53" s="334" customFormat="1">
      <c r="A112" s="334">
        <v>2010</v>
      </c>
      <c r="C112" s="992" t="s">
        <v>677</v>
      </c>
      <c r="D112" s="992"/>
      <c r="E112" s="334">
        <v>50</v>
      </c>
      <c r="G112" s="419"/>
      <c r="H112" s="334">
        <v>10</v>
      </c>
      <c r="I112" s="334">
        <v>6</v>
      </c>
      <c r="J112" s="435">
        <v>16</v>
      </c>
      <c r="K112" s="384">
        <f t="shared" si="7"/>
        <v>0</v>
      </c>
      <c r="L112" s="384">
        <f t="shared" si="3"/>
        <v>62.5</v>
      </c>
      <c r="M112" s="384">
        <f t="shared" si="3"/>
        <v>37.5</v>
      </c>
      <c r="N112" s="421">
        <f t="shared" si="5"/>
        <v>100</v>
      </c>
      <c r="O112" s="383"/>
      <c r="P112" s="384">
        <v>31.3</v>
      </c>
      <c r="Q112" s="384">
        <v>22</v>
      </c>
      <c r="R112" s="385">
        <f t="shared" si="6"/>
        <v>53.3</v>
      </c>
      <c r="S112" s="334">
        <v>2</v>
      </c>
      <c r="T112" s="357"/>
      <c r="V112" s="343" t="s">
        <v>500</v>
      </c>
      <c r="W112" s="334" t="s">
        <v>335</v>
      </c>
      <c r="X112" s="334" t="s">
        <v>18</v>
      </c>
      <c r="Y112" s="344">
        <v>27.3</v>
      </c>
      <c r="Z112" s="343" t="s">
        <v>497</v>
      </c>
      <c r="AA112" s="334" t="s">
        <v>20</v>
      </c>
      <c r="AB112" s="334" t="s">
        <v>12</v>
      </c>
      <c r="AC112" s="334">
        <v>22</v>
      </c>
      <c r="AD112" s="343" t="s">
        <v>575</v>
      </c>
      <c r="AE112" s="334" t="s">
        <v>336</v>
      </c>
      <c r="AF112" s="334" t="s">
        <v>18</v>
      </c>
      <c r="AG112" s="344">
        <v>4</v>
      </c>
      <c r="AL112" s="343"/>
      <c r="AO112" s="344"/>
      <c r="AP112" s="343"/>
      <c r="AS112" s="344"/>
      <c r="AW112" s="344"/>
      <c r="BA112" s="345"/>
    </row>
    <row r="113" spans="1:53" s="208" customFormat="1">
      <c r="A113" s="208">
        <v>2010</v>
      </c>
      <c r="B113" s="207">
        <v>40229</v>
      </c>
      <c r="C113" s="988" t="s">
        <v>678</v>
      </c>
      <c r="D113" s="988"/>
      <c r="E113" s="208">
        <f>365-E112-E114</f>
        <v>236</v>
      </c>
      <c r="F113" s="208">
        <v>4</v>
      </c>
      <c r="G113" s="123"/>
      <c r="H113" s="208">
        <v>10</v>
      </c>
      <c r="J113" s="134">
        <v>10</v>
      </c>
      <c r="K113" s="92">
        <f t="shared" si="7"/>
        <v>0</v>
      </c>
      <c r="L113" s="92">
        <f t="shared" si="7"/>
        <v>100</v>
      </c>
      <c r="M113" s="92">
        <f t="shared" si="7"/>
        <v>0</v>
      </c>
      <c r="N113" s="125">
        <f t="shared" si="5"/>
        <v>100</v>
      </c>
      <c r="O113" s="91"/>
      <c r="P113" s="92">
        <v>31.3</v>
      </c>
      <c r="Q113" s="92"/>
      <c r="R113" s="93">
        <f t="shared" si="6"/>
        <v>31.3</v>
      </c>
      <c r="S113" s="208">
        <v>6</v>
      </c>
      <c r="T113" s="81"/>
      <c r="U113" s="207">
        <v>40229</v>
      </c>
      <c r="V113" s="82" t="s">
        <v>500</v>
      </c>
      <c r="W113" s="208" t="s">
        <v>335</v>
      </c>
      <c r="X113" s="208" t="s">
        <v>18</v>
      </c>
      <c r="Y113" s="83">
        <v>27.3</v>
      </c>
      <c r="Z113" s="82" t="s">
        <v>575</v>
      </c>
      <c r="AA113" s="208" t="s">
        <v>336</v>
      </c>
      <c r="AB113" s="208" t="s">
        <v>18</v>
      </c>
      <c r="AC113" s="208">
        <v>4</v>
      </c>
      <c r="AD113" s="82"/>
      <c r="AG113" s="83"/>
      <c r="AL113" s="82"/>
      <c r="AO113" s="83"/>
      <c r="AP113" s="82"/>
      <c r="AS113" s="83"/>
      <c r="AW113" s="83"/>
      <c r="BA113" s="84"/>
    </row>
    <row r="114" spans="1:53" s="334" customFormat="1">
      <c r="A114" s="334">
        <v>2010</v>
      </c>
      <c r="B114" s="355">
        <v>40465</v>
      </c>
      <c r="C114" s="992" t="s">
        <v>679</v>
      </c>
      <c r="D114" s="992"/>
      <c r="E114" s="334">
        <v>79</v>
      </c>
      <c r="F114" s="334">
        <v>1</v>
      </c>
      <c r="G114" s="419">
        <v>8</v>
      </c>
      <c r="H114" s="334">
        <v>8</v>
      </c>
      <c r="J114" s="435">
        <v>16</v>
      </c>
      <c r="K114" s="384">
        <f t="shared" si="7"/>
        <v>50</v>
      </c>
      <c r="L114" s="384">
        <f t="shared" si="7"/>
        <v>50</v>
      </c>
      <c r="M114" s="384">
        <f t="shared" si="7"/>
        <v>0</v>
      </c>
      <c r="N114" s="421">
        <f t="shared" si="5"/>
        <v>100</v>
      </c>
      <c r="O114" s="383">
        <v>20.7</v>
      </c>
      <c r="P114" s="384">
        <v>14</v>
      </c>
      <c r="Q114" s="384"/>
      <c r="R114" s="385">
        <f t="shared" si="6"/>
        <v>34.700000000000003</v>
      </c>
      <c r="S114" s="334">
        <v>5</v>
      </c>
      <c r="T114" s="342">
        <v>40338</v>
      </c>
      <c r="U114" s="355">
        <v>40465</v>
      </c>
      <c r="V114" s="343" t="s">
        <v>496</v>
      </c>
      <c r="W114" s="334" t="s">
        <v>22</v>
      </c>
      <c r="X114" s="334" t="s">
        <v>11</v>
      </c>
      <c r="Y114" s="344">
        <v>20.7</v>
      </c>
      <c r="Z114" s="334" t="s">
        <v>500</v>
      </c>
      <c r="AA114" s="334" t="s">
        <v>335</v>
      </c>
      <c r="AB114" s="334" t="s">
        <v>18</v>
      </c>
      <c r="AC114" s="334">
        <v>14</v>
      </c>
      <c r="AD114" s="343"/>
      <c r="AG114" s="344"/>
      <c r="AL114" s="343"/>
      <c r="AO114" s="344"/>
      <c r="AP114" s="343"/>
      <c r="AS114" s="344"/>
      <c r="AW114" s="344"/>
      <c r="BA114" s="345"/>
    </row>
    <row r="115" spans="1:53" s="334" customFormat="1">
      <c r="A115" s="334">
        <v>2011</v>
      </c>
      <c r="C115" s="992" t="s">
        <v>679</v>
      </c>
      <c r="D115" s="992"/>
      <c r="E115" s="334">
        <v>0</v>
      </c>
      <c r="G115" s="419">
        <v>8</v>
      </c>
      <c r="H115" s="334">
        <v>8</v>
      </c>
      <c r="J115" s="435">
        <v>16</v>
      </c>
      <c r="K115" s="384">
        <f t="shared" si="7"/>
        <v>50</v>
      </c>
      <c r="L115" s="384">
        <f t="shared" si="7"/>
        <v>50</v>
      </c>
      <c r="M115" s="384">
        <f t="shared" si="7"/>
        <v>0</v>
      </c>
      <c r="N115" s="421">
        <f t="shared" si="5"/>
        <v>100</v>
      </c>
      <c r="O115" s="383">
        <v>20.7</v>
      </c>
      <c r="P115" s="384">
        <v>14</v>
      </c>
      <c r="Q115" s="384"/>
      <c r="R115" s="385">
        <f t="shared" si="6"/>
        <v>34.700000000000003</v>
      </c>
      <c r="S115" s="334">
        <v>5</v>
      </c>
      <c r="T115" s="357"/>
      <c r="V115" s="343" t="s">
        <v>496</v>
      </c>
      <c r="W115" s="334" t="s">
        <v>22</v>
      </c>
      <c r="X115" s="334" t="s">
        <v>11</v>
      </c>
      <c r="Y115" s="344">
        <v>20.7</v>
      </c>
      <c r="Z115" s="334" t="s">
        <v>500</v>
      </c>
      <c r="AA115" s="334" t="s">
        <v>335</v>
      </c>
      <c r="AB115" s="334" t="s">
        <v>18</v>
      </c>
      <c r="AC115" s="334">
        <v>14</v>
      </c>
      <c r="AD115" s="343"/>
      <c r="AG115" s="344"/>
      <c r="AL115" s="343"/>
      <c r="AO115" s="344"/>
      <c r="AP115" s="343"/>
      <c r="AS115" s="344"/>
      <c r="AW115" s="344"/>
      <c r="BA115" s="345"/>
    </row>
    <row r="116" spans="1:53" s="334" customFormat="1">
      <c r="A116" s="334">
        <v>2011</v>
      </c>
      <c r="C116" s="992" t="s">
        <v>679</v>
      </c>
      <c r="D116" s="992"/>
      <c r="E116" s="334">
        <v>365</v>
      </c>
      <c r="G116" s="419">
        <v>8</v>
      </c>
      <c r="H116" s="334">
        <v>8</v>
      </c>
      <c r="J116" s="435">
        <v>16</v>
      </c>
      <c r="K116" s="384">
        <f t="shared" si="7"/>
        <v>50</v>
      </c>
      <c r="L116" s="384">
        <f t="shared" si="7"/>
        <v>50</v>
      </c>
      <c r="M116" s="384">
        <f t="shared" si="7"/>
        <v>0</v>
      </c>
      <c r="N116" s="421">
        <f t="shared" si="5"/>
        <v>100</v>
      </c>
      <c r="O116" s="383">
        <v>20.7</v>
      </c>
      <c r="P116" s="384">
        <v>14</v>
      </c>
      <c r="Q116" s="384"/>
      <c r="R116" s="385">
        <f t="shared" si="6"/>
        <v>34.700000000000003</v>
      </c>
      <c r="S116" s="334">
        <v>5</v>
      </c>
      <c r="T116" s="357"/>
      <c r="V116" s="343" t="s">
        <v>496</v>
      </c>
      <c r="W116" s="334" t="s">
        <v>22</v>
      </c>
      <c r="X116" s="334" t="s">
        <v>11</v>
      </c>
      <c r="Y116" s="344">
        <v>20.7</v>
      </c>
      <c r="Z116" s="334" t="s">
        <v>500</v>
      </c>
      <c r="AA116" s="334" t="s">
        <v>335</v>
      </c>
      <c r="AB116" s="334" t="s">
        <v>18</v>
      </c>
      <c r="AC116" s="334">
        <v>14</v>
      </c>
      <c r="AD116" s="343"/>
      <c r="AG116" s="344"/>
      <c r="AL116" s="343"/>
      <c r="AO116" s="344"/>
      <c r="AP116" s="343"/>
      <c r="AS116" s="344"/>
      <c r="AW116" s="344"/>
      <c r="BA116" s="345"/>
    </row>
    <row r="117" spans="1:53" s="334" customFormat="1">
      <c r="A117" s="334">
        <v>2012</v>
      </c>
      <c r="C117" s="992" t="s">
        <v>679</v>
      </c>
      <c r="D117" s="992"/>
      <c r="E117" s="334">
        <v>309</v>
      </c>
      <c r="G117" s="419">
        <v>8</v>
      </c>
      <c r="H117" s="334">
        <v>8</v>
      </c>
      <c r="J117" s="435">
        <v>16</v>
      </c>
      <c r="K117" s="384">
        <f t="shared" si="7"/>
        <v>50</v>
      </c>
      <c r="L117" s="384">
        <f t="shared" si="7"/>
        <v>50</v>
      </c>
      <c r="M117" s="384">
        <f t="shared" si="7"/>
        <v>0</v>
      </c>
      <c r="N117" s="421">
        <f t="shared" si="5"/>
        <v>100</v>
      </c>
      <c r="O117" s="383">
        <v>20.7</v>
      </c>
      <c r="P117" s="384">
        <v>14</v>
      </c>
      <c r="Q117" s="384"/>
      <c r="R117" s="385">
        <f t="shared" si="6"/>
        <v>34.700000000000003</v>
      </c>
      <c r="S117" s="334">
        <v>5</v>
      </c>
      <c r="T117" s="357"/>
      <c r="V117" s="343" t="s">
        <v>496</v>
      </c>
      <c r="W117" s="334" t="s">
        <v>22</v>
      </c>
      <c r="X117" s="334" t="s">
        <v>11</v>
      </c>
      <c r="Y117" s="344">
        <v>20.7</v>
      </c>
      <c r="Z117" s="334" t="s">
        <v>500</v>
      </c>
      <c r="AA117" s="334" t="s">
        <v>335</v>
      </c>
      <c r="AB117" s="334" t="s">
        <v>18</v>
      </c>
      <c r="AC117" s="334">
        <v>14</v>
      </c>
      <c r="AD117" s="343"/>
      <c r="AG117" s="344"/>
      <c r="AL117" s="343"/>
      <c r="AO117" s="344"/>
      <c r="AP117" s="343"/>
      <c r="AS117" s="344"/>
      <c r="AW117" s="344"/>
      <c r="BA117" s="345"/>
    </row>
    <row r="118" spans="1:53" s="208" customFormat="1">
      <c r="A118" s="208">
        <v>2012</v>
      </c>
      <c r="B118" s="207">
        <v>41218</v>
      </c>
      <c r="C118" s="988" t="s">
        <v>680</v>
      </c>
      <c r="D118" s="988"/>
      <c r="E118" s="208">
        <v>57</v>
      </c>
      <c r="F118" s="208">
        <v>1</v>
      </c>
      <c r="G118" s="123">
        <v>7</v>
      </c>
      <c r="I118" s="208">
        <v>6</v>
      </c>
      <c r="J118" s="134">
        <v>13</v>
      </c>
      <c r="K118" s="92">
        <f t="shared" si="7"/>
        <v>53.846153846153847</v>
      </c>
      <c r="L118" s="92">
        <f t="shared" si="7"/>
        <v>0</v>
      </c>
      <c r="M118" s="92">
        <f t="shared" si="7"/>
        <v>46.153846153846153</v>
      </c>
      <c r="N118" s="125">
        <f t="shared" si="5"/>
        <v>100</v>
      </c>
      <c r="O118" s="91">
        <v>27.3</v>
      </c>
      <c r="P118" s="92"/>
      <c r="Q118" s="92">
        <v>25.3</v>
      </c>
      <c r="R118" s="93">
        <f t="shared" si="6"/>
        <v>52.6</v>
      </c>
      <c r="S118" s="208">
        <v>2</v>
      </c>
      <c r="T118" s="95">
        <v>41164</v>
      </c>
      <c r="U118" s="207">
        <v>41218</v>
      </c>
      <c r="V118" s="82" t="s">
        <v>496</v>
      </c>
      <c r="W118" s="208" t="s">
        <v>22</v>
      </c>
      <c r="X118" s="208" t="s">
        <v>11</v>
      </c>
      <c r="Y118" s="83">
        <v>27.3</v>
      </c>
      <c r="Z118" s="208" t="s">
        <v>497</v>
      </c>
      <c r="AA118" s="208" t="s">
        <v>20</v>
      </c>
      <c r="AB118" s="208" t="s">
        <v>12</v>
      </c>
      <c r="AC118" s="208">
        <v>25.3</v>
      </c>
      <c r="AD118" s="82"/>
      <c r="AG118" s="83"/>
      <c r="AL118" s="82"/>
      <c r="AO118" s="83"/>
      <c r="AP118" s="82"/>
      <c r="AS118" s="83"/>
      <c r="AW118" s="83"/>
      <c r="BA118" s="84"/>
    </row>
    <row r="119" spans="1:53" s="305" customFormat="1">
      <c r="A119" s="305">
        <v>2013</v>
      </c>
      <c r="B119" s="303"/>
      <c r="C119" s="988" t="s">
        <v>680</v>
      </c>
      <c r="D119" s="988"/>
      <c r="E119" s="305">
        <v>0</v>
      </c>
      <c r="G119" s="123">
        <v>7</v>
      </c>
      <c r="I119" s="305">
        <v>6</v>
      </c>
      <c r="J119" s="134">
        <v>13</v>
      </c>
      <c r="K119" s="92">
        <f t="shared" si="7"/>
        <v>53.846153846153847</v>
      </c>
      <c r="L119" s="92">
        <f t="shared" si="7"/>
        <v>0</v>
      </c>
      <c r="M119" s="92">
        <f t="shared" si="7"/>
        <v>46.153846153846153</v>
      </c>
      <c r="N119" s="125">
        <f t="shared" si="5"/>
        <v>100</v>
      </c>
      <c r="O119" s="91">
        <v>27.3</v>
      </c>
      <c r="P119" s="92"/>
      <c r="Q119" s="92">
        <v>25.3</v>
      </c>
      <c r="R119" s="93">
        <f>O119+P119+Q119</f>
        <v>52.6</v>
      </c>
      <c r="S119" s="305">
        <v>2</v>
      </c>
      <c r="T119" s="95"/>
      <c r="U119" s="303"/>
      <c r="V119" s="82" t="s">
        <v>496</v>
      </c>
      <c r="W119" s="305" t="s">
        <v>22</v>
      </c>
      <c r="X119" s="305" t="s">
        <v>11</v>
      </c>
      <c r="Y119" s="83">
        <v>27.3</v>
      </c>
      <c r="Z119" s="305" t="s">
        <v>497</v>
      </c>
      <c r="AA119" s="305" t="s">
        <v>20</v>
      </c>
      <c r="AB119" s="305" t="s">
        <v>12</v>
      </c>
      <c r="AC119" s="305">
        <v>25.3</v>
      </c>
      <c r="AD119" s="82"/>
      <c r="AG119" s="83"/>
      <c r="AL119" s="82"/>
      <c r="AO119" s="83"/>
      <c r="AP119" s="82"/>
      <c r="AS119" s="83"/>
      <c r="AW119" s="83"/>
      <c r="BA119" s="84"/>
    </row>
    <row r="120" spans="1:53" s="305" customFormat="1">
      <c r="A120" s="305">
        <v>2013</v>
      </c>
      <c r="B120" s="303"/>
      <c r="C120" s="988" t="s">
        <v>680</v>
      </c>
      <c r="D120" s="988"/>
      <c r="E120" s="305">
        <v>365</v>
      </c>
      <c r="G120" s="123">
        <v>7</v>
      </c>
      <c r="I120" s="305">
        <v>6</v>
      </c>
      <c r="J120" s="134">
        <v>13</v>
      </c>
      <c r="K120" s="92">
        <f t="shared" si="7"/>
        <v>53.846153846153847</v>
      </c>
      <c r="L120" s="92">
        <f t="shared" si="7"/>
        <v>0</v>
      </c>
      <c r="M120" s="92">
        <f t="shared" si="7"/>
        <v>46.153846153846153</v>
      </c>
      <c r="N120" s="125">
        <f t="shared" si="5"/>
        <v>100</v>
      </c>
      <c r="O120" s="91">
        <v>27.3</v>
      </c>
      <c r="P120" s="92"/>
      <c r="Q120" s="92">
        <v>25.3</v>
      </c>
      <c r="R120" s="93">
        <f>O120+P120+Q120</f>
        <v>52.6</v>
      </c>
      <c r="S120" s="305">
        <v>2</v>
      </c>
      <c r="T120" s="95"/>
      <c r="U120" s="303"/>
      <c r="V120" s="82" t="s">
        <v>496</v>
      </c>
      <c r="W120" s="305" t="s">
        <v>22</v>
      </c>
      <c r="X120" s="305" t="s">
        <v>11</v>
      </c>
      <c r="Y120" s="83">
        <v>27.3</v>
      </c>
      <c r="Z120" s="305" t="s">
        <v>497</v>
      </c>
      <c r="AA120" s="305" t="s">
        <v>20</v>
      </c>
      <c r="AB120" s="305" t="s">
        <v>12</v>
      </c>
      <c r="AC120" s="305">
        <v>25.3</v>
      </c>
      <c r="AD120" s="82"/>
      <c r="AG120" s="83"/>
      <c r="AL120" s="82"/>
      <c r="AO120" s="83"/>
      <c r="AP120" s="82"/>
      <c r="AS120" s="83"/>
      <c r="AW120" s="83"/>
      <c r="BA120" s="84"/>
    </row>
    <row r="121" spans="1:53" s="650" customFormat="1">
      <c r="A121" s="650">
        <v>2014</v>
      </c>
      <c r="B121" s="647"/>
      <c r="C121" s="988" t="s">
        <v>680</v>
      </c>
      <c r="D121" s="988"/>
      <c r="E121" s="650">
        <v>0</v>
      </c>
      <c r="G121" s="596">
        <v>7</v>
      </c>
      <c r="I121" s="650">
        <v>6</v>
      </c>
      <c r="J121" s="598">
        <v>13</v>
      </c>
      <c r="K121" s="593">
        <f t="shared" ref="K121:M122" si="8">G121/$J121*100</f>
        <v>53.846153846153847</v>
      </c>
      <c r="L121" s="593">
        <f t="shared" si="8"/>
        <v>0</v>
      </c>
      <c r="M121" s="593">
        <f t="shared" si="8"/>
        <v>46.153846153846153</v>
      </c>
      <c r="N121" s="597">
        <f>K121+L121+M121</f>
        <v>100</v>
      </c>
      <c r="O121" s="592">
        <v>27.3</v>
      </c>
      <c r="P121" s="593"/>
      <c r="Q121" s="593">
        <v>25.3</v>
      </c>
      <c r="R121" s="594">
        <f>O121+P121+Q121</f>
        <v>52.6</v>
      </c>
      <c r="S121" s="650">
        <v>2</v>
      </c>
      <c r="T121" s="595"/>
      <c r="U121" s="647"/>
      <c r="V121" s="588" t="s">
        <v>496</v>
      </c>
      <c r="W121" s="650" t="s">
        <v>22</v>
      </c>
      <c r="X121" s="650" t="s">
        <v>11</v>
      </c>
      <c r="Y121" s="589">
        <v>27.3</v>
      </c>
      <c r="Z121" s="650" t="s">
        <v>497</v>
      </c>
      <c r="AA121" s="650" t="s">
        <v>20</v>
      </c>
      <c r="AB121" s="650" t="s">
        <v>12</v>
      </c>
      <c r="AC121" s="650">
        <v>25.3</v>
      </c>
      <c r="AD121" s="588"/>
      <c r="AG121" s="589"/>
      <c r="AL121" s="588"/>
      <c r="AO121" s="589"/>
      <c r="AP121" s="588"/>
      <c r="AS121" s="589"/>
      <c r="AW121" s="589"/>
      <c r="BA121" s="590"/>
    </row>
    <row r="122" spans="1:53" s="650" customFormat="1">
      <c r="A122" s="650">
        <v>2014</v>
      </c>
      <c r="B122" s="647"/>
      <c r="C122" s="988" t="s">
        <v>680</v>
      </c>
      <c r="D122" s="988"/>
      <c r="E122" s="650">
        <v>365</v>
      </c>
      <c r="G122" s="596">
        <v>7</v>
      </c>
      <c r="I122" s="650">
        <v>6</v>
      </c>
      <c r="J122" s="598">
        <v>13</v>
      </c>
      <c r="K122" s="593">
        <f t="shared" si="8"/>
        <v>53.846153846153847</v>
      </c>
      <c r="L122" s="593">
        <f t="shared" si="8"/>
        <v>0</v>
      </c>
      <c r="M122" s="593">
        <f t="shared" si="8"/>
        <v>46.153846153846153</v>
      </c>
      <c r="N122" s="597">
        <f>K122+L122+M122</f>
        <v>100</v>
      </c>
      <c r="O122" s="592">
        <v>27.3</v>
      </c>
      <c r="P122" s="593"/>
      <c r="Q122" s="593">
        <v>25.3</v>
      </c>
      <c r="R122" s="594">
        <f>O122+P122+Q122</f>
        <v>52.6</v>
      </c>
      <c r="S122" s="650">
        <v>2</v>
      </c>
      <c r="T122" s="595"/>
      <c r="U122" s="647"/>
      <c r="V122" s="588" t="s">
        <v>496</v>
      </c>
      <c r="W122" s="650" t="s">
        <v>22</v>
      </c>
      <c r="X122" s="650" t="s">
        <v>11</v>
      </c>
      <c r="Y122" s="589">
        <v>27.3</v>
      </c>
      <c r="Z122" s="650" t="s">
        <v>497</v>
      </c>
      <c r="AA122" s="650" t="s">
        <v>20</v>
      </c>
      <c r="AB122" s="650" t="s">
        <v>12</v>
      </c>
      <c r="AC122" s="650">
        <v>25.3</v>
      </c>
      <c r="AD122" s="588"/>
      <c r="AG122" s="589"/>
      <c r="AL122" s="588"/>
      <c r="AO122" s="589"/>
      <c r="AP122" s="588"/>
      <c r="AS122" s="589"/>
      <c r="AW122" s="589"/>
      <c r="BA122" s="590"/>
    </row>
    <row r="123" spans="1:53" s="744" customFormat="1">
      <c r="A123" s="744">
        <v>2015</v>
      </c>
      <c r="B123" s="740"/>
      <c r="C123" s="988" t="s">
        <v>680</v>
      </c>
      <c r="D123" s="988"/>
      <c r="E123" s="744">
        <v>0</v>
      </c>
      <c r="G123" s="596">
        <v>7</v>
      </c>
      <c r="I123" s="744">
        <v>6</v>
      </c>
      <c r="J123" s="598">
        <v>13</v>
      </c>
      <c r="K123" s="593">
        <f t="shared" ref="K123:K124" si="9">G123/$J123*100</f>
        <v>53.846153846153847</v>
      </c>
      <c r="L123" s="593">
        <f t="shared" ref="L123:L124" si="10">H123/$J123*100</f>
        <v>0</v>
      </c>
      <c r="M123" s="593">
        <f t="shared" ref="M123:M124" si="11">I123/$J123*100</f>
        <v>46.153846153846153</v>
      </c>
      <c r="N123" s="597">
        <f t="shared" ref="N123:N124" si="12">K123+L123+M123</f>
        <v>100</v>
      </c>
      <c r="O123" s="592">
        <v>27.3</v>
      </c>
      <c r="P123" s="593"/>
      <c r="Q123" s="593">
        <v>25.3</v>
      </c>
      <c r="R123" s="594">
        <f t="shared" ref="R123:R124" si="13">O123+P123+Q123</f>
        <v>52.6</v>
      </c>
      <c r="S123" s="744">
        <v>2</v>
      </c>
      <c r="T123" s="595"/>
      <c r="U123" s="740"/>
      <c r="V123" s="588" t="s">
        <v>496</v>
      </c>
      <c r="W123" s="744" t="s">
        <v>22</v>
      </c>
      <c r="X123" s="744" t="s">
        <v>11</v>
      </c>
      <c r="Y123" s="589">
        <v>27.3</v>
      </c>
      <c r="Z123" s="744" t="s">
        <v>497</v>
      </c>
      <c r="AA123" s="744" t="s">
        <v>20</v>
      </c>
      <c r="AB123" s="744" t="s">
        <v>12</v>
      </c>
      <c r="AC123" s="744">
        <v>25.3</v>
      </c>
      <c r="AD123" s="588"/>
      <c r="AG123" s="589"/>
      <c r="AL123" s="588"/>
      <c r="AO123" s="589"/>
      <c r="AP123" s="588"/>
      <c r="AS123" s="589"/>
      <c r="AW123" s="589"/>
      <c r="BA123" s="590"/>
    </row>
    <row r="124" spans="1:53" s="744" customFormat="1">
      <c r="A124" s="744">
        <v>2015</v>
      </c>
      <c r="B124" s="740"/>
      <c r="C124" s="988" t="s">
        <v>680</v>
      </c>
      <c r="D124" s="988"/>
      <c r="E124" s="744">
        <v>365</v>
      </c>
      <c r="G124" s="596">
        <v>7</v>
      </c>
      <c r="I124" s="744">
        <v>6</v>
      </c>
      <c r="J124" s="598">
        <v>13</v>
      </c>
      <c r="K124" s="593">
        <f t="shared" si="9"/>
        <v>53.846153846153847</v>
      </c>
      <c r="L124" s="593">
        <f t="shared" si="10"/>
        <v>0</v>
      </c>
      <c r="M124" s="593">
        <f t="shared" si="11"/>
        <v>46.153846153846153</v>
      </c>
      <c r="N124" s="597">
        <f t="shared" si="12"/>
        <v>100</v>
      </c>
      <c r="O124" s="592">
        <v>27.3</v>
      </c>
      <c r="P124" s="593"/>
      <c r="Q124" s="593">
        <v>25.3</v>
      </c>
      <c r="R124" s="594">
        <f t="shared" si="13"/>
        <v>52.6</v>
      </c>
      <c r="S124" s="744">
        <v>2</v>
      </c>
      <c r="T124" s="595"/>
      <c r="U124" s="740"/>
      <c r="V124" s="588" t="s">
        <v>496</v>
      </c>
      <c r="W124" s="744" t="s">
        <v>22</v>
      </c>
      <c r="X124" s="744" t="s">
        <v>11</v>
      </c>
      <c r="Y124" s="589">
        <v>27.3</v>
      </c>
      <c r="Z124" s="744" t="s">
        <v>497</v>
      </c>
      <c r="AA124" s="744" t="s">
        <v>20</v>
      </c>
      <c r="AB124" s="744" t="s">
        <v>12</v>
      </c>
      <c r="AC124" s="744">
        <v>25.3</v>
      </c>
      <c r="AD124" s="588"/>
      <c r="AG124" s="589"/>
      <c r="AL124" s="588"/>
      <c r="AO124" s="589"/>
      <c r="AP124" s="588"/>
      <c r="AS124" s="589"/>
      <c r="AW124" s="589"/>
      <c r="BA124" s="590"/>
    </row>
    <row r="125" spans="1:53" s="840" customFormat="1">
      <c r="A125" s="840">
        <v>2016</v>
      </c>
      <c r="B125" s="837"/>
      <c r="C125" s="988" t="s">
        <v>680</v>
      </c>
      <c r="D125" s="988"/>
      <c r="E125" s="840">
        <v>0</v>
      </c>
      <c r="G125" s="596">
        <v>7</v>
      </c>
      <c r="I125" s="840">
        <v>6</v>
      </c>
      <c r="J125" s="598">
        <v>13</v>
      </c>
      <c r="K125" s="593">
        <f t="shared" ref="K125:K126" si="14">G125/$J125*100</f>
        <v>53.846153846153847</v>
      </c>
      <c r="L125" s="593">
        <f t="shared" ref="L125:L126" si="15">H125/$J125*100</f>
        <v>0</v>
      </c>
      <c r="M125" s="593">
        <f t="shared" ref="M125:M126" si="16">I125/$J125*100</f>
        <v>46.153846153846153</v>
      </c>
      <c r="N125" s="597">
        <f t="shared" ref="N125:N126" si="17">K125+L125+M125</f>
        <v>100</v>
      </c>
      <c r="O125" s="592">
        <v>27.3</v>
      </c>
      <c r="P125" s="593"/>
      <c r="Q125" s="593">
        <v>25.3</v>
      </c>
      <c r="R125" s="594">
        <f t="shared" ref="R125:R126" si="18">O125+P125+Q125</f>
        <v>52.6</v>
      </c>
      <c r="S125" s="840">
        <v>2</v>
      </c>
      <c r="T125" s="595"/>
      <c r="U125" s="837"/>
      <c r="V125" s="588" t="s">
        <v>496</v>
      </c>
      <c r="W125" s="840" t="s">
        <v>22</v>
      </c>
      <c r="X125" s="840" t="s">
        <v>11</v>
      </c>
      <c r="Y125" s="589">
        <v>27.3</v>
      </c>
      <c r="Z125" s="840" t="s">
        <v>497</v>
      </c>
      <c r="AA125" s="840" t="s">
        <v>20</v>
      </c>
      <c r="AB125" s="840" t="s">
        <v>12</v>
      </c>
      <c r="AC125" s="840">
        <v>25.3</v>
      </c>
      <c r="AD125" s="588"/>
      <c r="AG125" s="589"/>
      <c r="AL125" s="588"/>
      <c r="AO125" s="589"/>
      <c r="AP125" s="588"/>
      <c r="AS125" s="589"/>
      <c r="AW125" s="589"/>
      <c r="BA125" s="590"/>
    </row>
    <row r="126" spans="1:53" s="840" customFormat="1">
      <c r="A126" s="840">
        <v>2016</v>
      </c>
      <c r="B126" s="837"/>
      <c r="C126" s="988" t="s">
        <v>680</v>
      </c>
      <c r="D126" s="988"/>
      <c r="E126" s="840">
        <v>366</v>
      </c>
      <c r="G126" s="596">
        <v>7</v>
      </c>
      <c r="I126" s="840">
        <v>6</v>
      </c>
      <c r="J126" s="598">
        <v>13</v>
      </c>
      <c r="K126" s="593">
        <f t="shared" si="14"/>
        <v>53.846153846153847</v>
      </c>
      <c r="L126" s="593">
        <f t="shared" si="15"/>
        <v>0</v>
      </c>
      <c r="M126" s="593">
        <f t="shared" si="16"/>
        <v>46.153846153846153</v>
      </c>
      <c r="N126" s="597">
        <f t="shared" si="17"/>
        <v>100</v>
      </c>
      <c r="O126" s="592">
        <v>27.3</v>
      </c>
      <c r="P126" s="593"/>
      <c r="Q126" s="593">
        <v>25.3</v>
      </c>
      <c r="R126" s="594">
        <f t="shared" si="18"/>
        <v>52.6</v>
      </c>
      <c r="S126" s="840">
        <v>2</v>
      </c>
      <c r="T126" s="595"/>
      <c r="U126" s="837"/>
      <c r="V126" s="588" t="s">
        <v>496</v>
      </c>
      <c r="W126" s="840" t="s">
        <v>22</v>
      </c>
      <c r="X126" s="840" t="s">
        <v>11</v>
      </c>
      <c r="Y126" s="589">
        <v>27.3</v>
      </c>
      <c r="Z126" s="840" t="s">
        <v>497</v>
      </c>
      <c r="AA126" s="840" t="s">
        <v>20</v>
      </c>
      <c r="AB126" s="840" t="s">
        <v>12</v>
      </c>
      <c r="AC126" s="840">
        <v>25.3</v>
      </c>
      <c r="AD126" s="588"/>
      <c r="AG126" s="589"/>
      <c r="AL126" s="588"/>
      <c r="AO126" s="589"/>
      <c r="AP126" s="588"/>
      <c r="AS126" s="589"/>
      <c r="AW126" s="589"/>
      <c r="BA126" s="590"/>
    </row>
    <row r="127" spans="1:53" s="896" customFormat="1">
      <c r="A127" s="896">
        <v>2017</v>
      </c>
      <c r="B127" s="894"/>
      <c r="C127" s="988" t="s">
        <v>680</v>
      </c>
      <c r="D127" s="988"/>
      <c r="E127" s="896">
        <v>25</v>
      </c>
      <c r="G127" s="596">
        <v>7</v>
      </c>
      <c r="I127" s="896">
        <v>6</v>
      </c>
      <c r="J127" s="598">
        <v>13</v>
      </c>
      <c r="K127" s="593">
        <f t="shared" ref="K127:K128" si="19">G127/$J127*100</f>
        <v>53.846153846153847</v>
      </c>
      <c r="L127" s="593">
        <f t="shared" ref="L127:L128" si="20">H127/$J127*100</f>
        <v>0</v>
      </c>
      <c r="M127" s="593">
        <f t="shared" ref="M127:M128" si="21">I127/$J127*100</f>
        <v>46.153846153846153</v>
      </c>
      <c r="N127" s="597">
        <f t="shared" ref="N127:N128" si="22">K127+L127+M127</f>
        <v>100</v>
      </c>
      <c r="O127" s="592">
        <v>27.3</v>
      </c>
      <c r="P127" s="593"/>
      <c r="Q127" s="593">
        <v>25.3</v>
      </c>
      <c r="R127" s="594">
        <f t="shared" ref="R127" si="23">O127+P127+Q127</f>
        <v>52.6</v>
      </c>
      <c r="S127" s="896">
        <v>2</v>
      </c>
      <c r="T127" s="595"/>
      <c r="U127" s="894"/>
      <c r="V127" s="588" t="s">
        <v>496</v>
      </c>
      <c r="W127" s="896" t="s">
        <v>22</v>
      </c>
      <c r="X127" s="896" t="s">
        <v>11</v>
      </c>
      <c r="Y127" s="589">
        <v>27.3</v>
      </c>
      <c r="Z127" s="896" t="s">
        <v>497</v>
      </c>
      <c r="AA127" s="896" t="s">
        <v>20</v>
      </c>
      <c r="AB127" s="896" t="s">
        <v>12</v>
      </c>
      <c r="AC127" s="896">
        <v>25.3</v>
      </c>
      <c r="AD127" s="588"/>
      <c r="AG127" s="589"/>
      <c r="AL127" s="588"/>
      <c r="AO127" s="589"/>
      <c r="AP127" s="588"/>
      <c r="AS127" s="589"/>
      <c r="AW127" s="589"/>
      <c r="BA127" s="590"/>
    </row>
    <row r="128" spans="1:53" s="896" customFormat="1">
      <c r="A128" s="896">
        <v>2017</v>
      </c>
      <c r="B128" s="599">
        <v>42761</v>
      </c>
      <c r="C128" s="988" t="s">
        <v>680</v>
      </c>
      <c r="D128" s="988"/>
      <c r="E128" s="896">
        <v>273</v>
      </c>
      <c r="F128" s="600">
        <v>0</v>
      </c>
      <c r="G128" s="596">
        <v>6</v>
      </c>
      <c r="I128" s="896">
        <v>6</v>
      </c>
      <c r="J128" s="598">
        <v>12</v>
      </c>
      <c r="K128" s="593">
        <f t="shared" si="19"/>
        <v>50</v>
      </c>
      <c r="L128" s="593">
        <f t="shared" si="20"/>
        <v>0</v>
      </c>
      <c r="M128" s="593">
        <f t="shared" si="21"/>
        <v>50</v>
      </c>
      <c r="N128" s="597">
        <f t="shared" si="22"/>
        <v>100</v>
      </c>
      <c r="O128" s="592">
        <v>27.3</v>
      </c>
      <c r="P128" s="593"/>
      <c r="Q128" s="593">
        <v>25.3</v>
      </c>
      <c r="R128" s="594">
        <f t="shared" ref="R128:R129" si="24">O128+P128+Q128</f>
        <v>52.6</v>
      </c>
      <c r="S128" s="896">
        <v>2</v>
      </c>
      <c r="T128" s="595"/>
      <c r="U128" s="894"/>
      <c r="V128" s="588" t="s">
        <v>496</v>
      </c>
      <c r="W128" s="896" t="s">
        <v>22</v>
      </c>
      <c r="X128" s="896" t="s">
        <v>11</v>
      </c>
      <c r="Y128" s="589">
        <v>27.3</v>
      </c>
      <c r="Z128" s="896" t="s">
        <v>497</v>
      </c>
      <c r="AA128" s="896" t="s">
        <v>20</v>
      </c>
      <c r="AB128" s="896" t="s">
        <v>12</v>
      </c>
      <c r="AC128" s="896">
        <v>25.3</v>
      </c>
      <c r="AD128" s="588"/>
      <c r="AG128" s="589"/>
      <c r="AL128" s="588"/>
      <c r="AO128" s="589"/>
      <c r="AP128" s="588"/>
      <c r="AS128" s="589"/>
      <c r="AW128" s="589"/>
      <c r="BA128" s="590"/>
    </row>
    <row r="129" spans="1:53" s="895" customFormat="1">
      <c r="A129" s="895">
        <v>2017</v>
      </c>
      <c r="B129" s="893">
        <v>43034</v>
      </c>
      <c r="C129" s="992" t="s">
        <v>1394</v>
      </c>
      <c r="D129" s="992"/>
      <c r="E129" s="895">
        <v>67</v>
      </c>
      <c r="F129" s="895">
        <v>1</v>
      </c>
      <c r="G129" s="642">
        <v>6</v>
      </c>
      <c r="H129" s="895">
        <v>10</v>
      </c>
      <c r="J129" s="644">
        <v>16</v>
      </c>
      <c r="K129" s="640">
        <f t="shared" ref="K129" si="25">G129/$J129*100</f>
        <v>37.5</v>
      </c>
      <c r="L129" s="640">
        <f t="shared" ref="L129" si="26">H129/$J129*100</f>
        <v>62.5</v>
      </c>
      <c r="M129" s="640">
        <f t="shared" ref="M129" si="27">I129/$J129*100</f>
        <v>0</v>
      </c>
      <c r="N129" s="643">
        <f t="shared" ref="N129" si="28">K129+L129+M129</f>
        <v>100</v>
      </c>
      <c r="O129" s="639">
        <v>22</v>
      </c>
      <c r="P129" s="640">
        <v>28.7</v>
      </c>
      <c r="Q129" s="640"/>
      <c r="R129" s="641">
        <f t="shared" si="24"/>
        <v>50.7</v>
      </c>
      <c r="S129" s="895">
        <v>2</v>
      </c>
      <c r="T129" s="487">
        <v>42809</v>
      </c>
      <c r="U129" s="893">
        <v>43034</v>
      </c>
      <c r="V129" s="634" t="s">
        <v>496</v>
      </c>
      <c r="W129" s="895" t="s">
        <v>22</v>
      </c>
      <c r="X129" s="895" t="s">
        <v>11</v>
      </c>
      <c r="Y129" s="635">
        <v>22</v>
      </c>
      <c r="Z129" s="895" t="s">
        <v>500</v>
      </c>
      <c r="AA129" s="895" t="s">
        <v>335</v>
      </c>
      <c r="AB129" s="895" t="s">
        <v>18</v>
      </c>
      <c r="AC129" s="895">
        <v>12.7</v>
      </c>
      <c r="AD129" s="634" t="s">
        <v>499</v>
      </c>
      <c r="AE129" s="895" t="s">
        <v>88</v>
      </c>
      <c r="AF129" s="895" t="s">
        <v>18</v>
      </c>
      <c r="AG129" s="635">
        <v>12.7</v>
      </c>
      <c r="AH129" s="895" t="s">
        <v>575</v>
      </c>
      <c r="AI129" s="895" t="s">
        <v>336</v>
      </c>
      <c r="AJ129" s="895" t="s">
        <v>18</v>
      </c>
      <c r="AK129" s="895">
        <v>3.3</v>
      </c>
      <c r="AL129" s="634"/>
      <c r="AO129" s="635"/>
      <c r="AP129" s="634"/>
      <c r="AS129" s="635"/>
      <c r="AW129" s="635"/>
      <c r="BA129" s="636"/>
    </row>
    <row r="130" spans="1:53" s="945" customFormat="1">
      <c r="A130" s="945">
        <v>2018</v>
      </c>
      <c r="B130" s="944"/>
      <c r="C130" s="992" t="s">
        <v>1394</v>
      </c>
      <c r="D130" s="992"/>
      <c r="E130" s="945">
        <v>0</v>
      </c>
      <c r="G130" s="642">
        <v>6</v>
      </c>
      <c r="H130" s="945">
        <v>10</v>
      </c>
      <c r="J130" s="644">
        <v>16</v>
      </c>
      <c r="K130" s="640">
        <f t="shared" ref="K130:K131" si="29">G130/$J130*100</f>
        <v>37.5</v>
      </c>
      <c r="L130" s="640">
        <f t="shared" ref="L130:L131" si="30">H130/$J130*100</f>
        <v>62.5</v>
      </c>
      <c r="M130" s="640">
        <f t="shared" ref="M130:M131" si="31">I130/$J130*100</f>
        <v>0</v>
      </c>
      <c r="N130" s="643">
        <f t="shared" ref="N130:N131" si="32">K130+L130+M130</f>
        <v>100</v>
      </c>
      <c r="O130" s="639">
        <v>22</v>
      </c>
      <c r="P130" s="640">
        <v>28.7</v>
      </c>
      <c r="Q130" s="640"/>
      <c r="R130" s="641">
        <f t="shared" ref="R130:R131" si="33">O130+P130+Q130</f>
        <v>50.7</v>
      </c>
      <c r="S130" s="945">
        <v>2</v>
      </c>
      <c r="T130" s="487"/>
      <c r="U130" s="944"/>
      <c r="V130" s="634" t="s">
        <v>496</v>
      </c>
      <c r="W130" s="945" t="s">
        <v>22</v>
      </c>
      <c r="X130" s="945" t="s">
        <v>11</v>
      </c>
      <c r="Y130" s="635">
        <v>22</v>
      </c>
      <c r="Z130" s="945" t="s">
        <v>500</v>
      </c>
      <c r="AA130" s="945" t="s">
        <v>335</v>
      </c>
      <c r="AB130" s="945" t="s">
        <v>18</v>
      </c>
      <c r="AC130" s="945">
        <v>12.7</v>
      </c>
      <c r="AD130" s="634" t="s">
        <v>499</v>
      </c>
      <c r="AE130" s="945" t="s">
        <v>88</v>
      </c>
      <c r="AF130" s="945" t="s">
        <v>18</v>
      </c>
      <c r="AG130" s="635">
        <v>12.7</v>
      </c>
      <c r="AH130" s="945" t="s">
        <v>575</v>
      </c>
      <c r="AI130" s="945" t="s">
        <v>336</v>
      </c>
      <c r="AJ130" s="945" t="s">
        <v>18</v>
      </c>
      <c r="AK130" s="945">
        <v>3.3</v>
      </c>
      <c r="AL130" s="634"/>
      <c r="AO130" s="635"/>
      <c r="AP130" s="634"/>
      <c r="AS130" s="635"/>
      <c r="AW130" s="635"/>
      <c r="BA130" s="636"/>
    </row>
    <row r="131" spans="1:53" s="945" customFormat="1">
      <c r="A131" s="945">
        <v>2018</v>
      </c>
      <c r="B131" s="944"/>
      <c r="C131" s="992" t="s">
        <v>1394</v>
      </c>
      <c r="D131" s="992"/>
      <c r="E131" s="945">
        <v>365</v>
      </c>
      <c r="G131" s="642">
        <v>6</v>
      </c>
      <c r="H131" s="945">
        <v>10</v>
      </c>
      <c r="J131" s="644">
        <v>16</v>
      </c>
      <c r="K131" s="640">
        <f t="shared" si="29"/>
        <v>37.5</v>
      </c>
      <c r="L131" s="640">
        <f t="shared" si="30"/>
        <v>62.5</v>
      </c>
      <c r="M131" s="640">
        <f t="shared" si="31"/>
        <v>0</v>
      </c>
      <c r="N131" s="643">
        <f t="shared" si="32"/>
        <v>100</v>
      </c>
      <c r="O131" s="639">
        <v>22</v>
      </c>
      <c r="P131" s="640">
        <v>28.7</v>
      </c>
      <c r="Q131" s="640"/>
      <c r="R131" s="641">
        <f t="shared" si="33"/>
        <v>50.7</v>
      </c>
      <c r="S131" s="945">
        <v>2</v>
      </c>
      <c r="T131" s="487"/>
      <c r="U131" s="944"/>
      <c r="V131" s="634" t="s">
        <v>496</v>
      </c>
      <c r="W131" s="945" t="s">
        <v>22</v>
      </c>
      <c r="X131" s="945" t="s">
        <v>11</v>
      </c>
      <c r="Y131" s="635">
        <v>22</v>
      </c>
      <c r="Z131" s="945" t="s">
        <v>500</v>
      </c>
      <c r="AA131" s="945" t="s">
        <v>335</v>
      </c>
      <c r="AB131" s="945" t="s">
        <v>18</v>
      </c>
      <c r="AC131" s="945">
        <v>12.7</v>
      </c>
      <c r="AD131" s="634" t="s">
        <v>499</v>
      </c>
      <c r="AE131" s="945" t="s">
        <v>88</v>
      </c>
      <c r="AF131" s="945" t="s">
        <v>18</v>
      </c>
      <c r="AG131" s="635">
        <v>12.7</v>
      </c>
      <c r="AH131" s="945" t="s">
        <v>575</v>
      </c>
      <c r="AI131" s="945" t="s">
        <v>336</v>
      </c>
      <c r="AJ131" s="945" t="s">
        <v>18</v>
      </c>
      <c r="AK131" s="945">
        <v>3.3</v>
      </c>
      <c r="AL131" s="634"/>
      <c r="AO131" s="635"/>
      <c r="AP131" s="634"/>
      <c r="AS131" s="635"/>
      <c r="AW131" s="635"/>
      <c r="BA131" s="636"/>
    </row>
    <row r="132" spans="1:53" s="896" customFormat="1">
      <c r="B132" s="894"/>
      <c r="J132" s="899"/>
      <c r="K132" s="593"/>
      <c r="L132" s="593"/>
      <c r="M132" s="593"/>
      <c r="N132" s="597"/>
      <c r="O132" s="593"/>
      <c r="P132" s="593"/>
      <c r="Q132" s="593"/>
      <c r="R132" s="597"/>
      <c r="T132" s="894"/>
      <c r="U132" s="894"/>
    </row>
    <row r="135" spans="1:53" s="2" customFormat="1" ht="18" customHeight="1">
      <c r="B135" s="22" t="s">
        <v>1278</v>
      </c>
      <c r="H135" s="6"/>
    </row>
    <row r="136" spans="1:53" s="2" customFormat="1" ht="9" customHeight="1">
      <c r="H136" s="6"/>
    </row>
    <row r="137" spans="1:53" s="364" customFormat="1" ht="9" customHeight="1">
      <c r="A137" s="362"/>
      <c r="B137" s="363" t="s">
        <v>1229</v>
      </c>
      <c r="C137" s="363"/>
      <c r="D137" s="363"/>
      <c r="E137" s="363"/>
      <c r="F137" s="363"/>
      <c r="G137" s="363" t="s">
        <v>1230</v>
      </c>
      <c r="H137" s="363"/>
      <c r="I137" s="363"/>
      <c r="J137" s="363"/>
      <c r="K137" s="363"/>
      <c r="L137" s="363"/>
      <c r="M137" s="363"/>
      <c r="N137" s="363"/>
      <c r="R137" s="982" t="s">
        <v>1231</v>
      </c>
      <c r="S137" s="982"/>
      <c r="T137" s="982"/>
      <c r="U137" s="982"/>
      <c r="V137" s="982"/>
      <c r="W137" s="982"/>
      <c r="X137" s="365"/>
      <c r="Y137" s="365"/>
      <c r="AA137" s="365"/>
      <c r="AB137" s="365"/>
      <c r="AC137" s="365"/>
      <c r="AD137" s="365"/>
    </row>
    <row r="138" spans="1:53" s="369" customFormat="1" ht="9" customHeight="1">
      <c r="A138" s="366"/>
      <c r="B138" s="367" t="s">
        <v>1233</v>
      </c>
      <c r="C138" s="368"/>
      <c r="D138" s="368"/>
      <c r="E138" s="368"/>
      <c r="F138" s="368"/>
      <c r="G138" s="367" t="s">
        <v>1232</v>
      </c>
      <c r="H138" s="368"/>
      <c r="I138" s="368"/>
      <c r="J138" s="368"/>
      <c r="K138" s="368"/>
      <c r="L138" s="368"/>
      <c r="M138" s="368"/>
      <c r="N138" s="368"/>
      <c r="R138" s="370" t="s">
        <v>1234</v>
      </c>
      <c r="S138" s="371"/>
      <c r="T138" s="372"/>
      <c r="U138" s="372"/>
      <c r="V138" s="372"/>
      <c r="W138" s="370" t="s">
        <v>1235</v>
      </c>
      <c r="X138" s="372"/>
      <c r="Y138" s="372"/>
      <c r="AA138" s="372"/>
      <c r="AB138" s="372"/>
      <c r="AC138" s="372"/>
      <c r="AD138" s="372"/>
    </row>
    <row r="139" spans="1:53" s="351" customFormat="1" ht="12" customHeight="1">
      <c r="A139" s="373" t="s">
        <v>3</v>
      </c>
      <c r="B139" s="374" t="s">
        <v>8</v>
      </c>
      <c r="C139" s="374" t="s">
        <v>9</v>
      </c>
      <c r="D139" s="374" t="s">
        <v>10</v>
      </c>
      <c r="E139" s="375" t="s">
        <v>1209</v>
      </c>
      <c r="F139" s="374"/>
      <c r="G139" s="351" t="s">
        <v>3</v>
      </c>
      <c r="H139" s="983" t="s">
        <v>0</v>
      </c>
      <c r="I139" s="983"/>
      <c r="J139" s="983" t="s">
        <v>1</v>
      </c>
      <c r="K139" s="983"/>
      <c r="L139" s="983" t="s">
        <v>2</v>
      </c>
      <c r="M139" s="983"/>
      <c r="N139" s="984" t="s">
        <v>1209</v>
      </c>
      <c r="O139" s="984"/>
      <c r="P139" s="376"/>
      <c r="Q139" s="376"/>
      <c r="R139" s="377" t="s">
        <v>3</v>
      </c>
      <c r="S139" s="378" t="s">
        <v>136</v>
      </c>
      <c r="T139" s="376" t="s">
        <v>134</v>
      </c>
      <c r="U139" s="374" t="s">
        <v>135</v>
      </c>
      <c r="V139" s="376"/>
      <c r="W139" s="379" t="s">
        <v>26</v>
      </c>
    </row>
    <row r="140" spans="1:53" s="273" customFormat="1">
      <c r="A140" s="273">
        <v>1959</v>
      </c>
      <c r="B140" s="260">
        <f>(K6*($E6/365)) + (K7*($E7/365))</f>
        <v>40.028703898840888</v>
      </c>
      <c r="C140" s="260">
        <f>(L6*($E6/365)) + (L7*($E7/365))</f>
        <v>41.06718651211802</v>
      </c>
      <c r="D140" s="260">
        <f>(M6*($E6/365)) + (M7*($E7/365))</f>
        <v>0</v>
      </c>
      <c r="E140" s="261">
        <f>B140+C140+D140</f>
        <v>81.095890410958901</v>
      </c>
      <c r="G140" s="273">
        <v>1959</v>
      </c>
      <c r="H140" s="991">
        <f>(O6/$R6*100*($E6/365))+(O7/$R7*100*($E7/365))</f>
        <v>47.846889952153113</v>
      </c>
      <c r="I140" s="991"/>
      <c r="J140" s="991">
        <f>(P6/$R6*100*($E6/365))+(P7/$R7*100*($E7/365))</f>
        <v>52.153110047846894</v>
      </c>
      <c r="K140" s="991"/>
      <c r="L140" s="991">
        <f>(Q6/$R6*100*($E6/365))+(Q7/$R7*100*($E7/365))</f>
        <v>0</v>
      </c>
      <c r="M140" s="991"/>
      <c r="N140" s="993">
        <f>H140+J140+L140</f>
        <v>100</v>
      </c>
      <c r="O140" s="993"/>
      <c r="R140" s="273">
        <v>1959</v>
      </c>
      <c r="S140" s="260">
        <f>(O6*($E6/365)) + (O7*($E7/365))</f>
        <v>30</v>
      </c>
      <c r="T140" s="260">
        <f>(P6*($E6/365)) + (P7*($E7/365))</f>
        <v>32.700000000000003</v>
      </c>
      <c r="U140" s="260">
        <f>(Q6*($E6/365)) + (Q7*($E7/365))</f>
        <v>0</v>
      </c>
      <c r="V140" s="274"/>
      <c r="W140" s="274">
        <f>S140+T140+U140</f>
        <v>62.7</v>
      </c>
    </row>
    <row r="141" spans="1:53">
      <c r="A141" s="1">
        <v>1960</v>
      </c>
      <c r="B141" s="8">
        <f>(K8*($E8/366))+(K9*($E9/366))</f>
        <v>53.846153846153847</v>
      </c>
      <c r="C141" s="8">
        <f>(L8*($E8/366))+(L9*($E9/366))</f>
        <v>46.153846153846153</v>
      </c>
      <c r="D141" s="8">
        <f>(M8*($E8/366))+(M9*($E9/366))</f>
        <v>0</v>
      </c>
      <c r="E141" s="48">
        <f>B141+C141+D141</f>
        <v>100</v>
      </c>
      <c r="G141" s="1">
        <v>1960</v>
      </c>
      <c r="H141" s="989">
        <f>(O8/$R8*100*($E8/366))+(O9/$R9*100*($E9/366))</f>
        <v>47.846889952153113</v>
      </c>
      <c r="I141" s="989"/>
      <c r="J141" s="989">
        <f>(P8/$R8*100*($E8/366))+(P9/$R9*100*($E9/366))</f>
        <v>52.153110047846894</v>
      </c>
      <c r="K141" s="989"/>
      <c r="L141" s="989">
        <f>(Q8/$R8*100*($E8/366))+(Q9/$R9*100*($E9/366))</f>
        <v>0</v>
      </c>
      <c r="M141" s="989"/>
      <c r="N141" s="990">
        <f>H141+J141+L141</f>
        <v>100</v>
      </c>
      <c r="O141" s="990"/>
      <c r="R141" s="1">
        <v>1960</v>
      </c>
      <c r="S141" s="8">
        <f>(O8*($E8/366))+(O9*($E9/366))</f>
        <v>30</v>
      </c>
      <c r="T141" s="8">
        <f>(P8*($E8/366))+(P9*($E9/366))</f>
        <v>32.700000000000003</v>
      </c>
      <c r="U141" s="8">
        <f>(Q8*($E8/366))+(Q9*($E9/366))</f>
        <v>0</v>
      </c>
      <c r="V141" s="7"/>
      <c r="W141" s="7">
        <f>S141+T141+U141</f>
        <v>62.7</v>
      </c>
    </row>
    <row r="142" spans="1:53">
      <c r="A142" s="1">
        <v>1961</v>
      </c>
      <c r="B142" s="8">
        <f>(K10*($E10/365))+(K11*($E11/365))</f>
        <v>53.846153846153847</v>
      </c>
      <c r="C142" s="8">
        <f>(L10*($E10/365))+(L11*($E11/365))</f>
        <v>46.153846153846153</v>
      </c>
      <c r="D142" s="8">
        <f>(M10*($E10/365))+(M11*($E11/365))</f>
        <v>0</v>
      </c>
      <c r="E142" s="48">
        <f t="shared" ref="E142:E194" si="34">B142+C142+D142</f>
        <v>100</v>
      </c>
      <c r="G142" s="1">
        <v>1961</v>
      </c>
      <c r="H142" s="989">
        <f>(O10/$R10*100*($E10/365))+(O11/$R11*100*($E11/365))</f>
        <v>47.846889952153113</v>
      </c>
      <c r="I142" s="989"/>
      <c r="J142" s="989">
        <f>(P10/$R10*100*($E10/365))+(P11/$R11*100*($E11/365))</f>
        <v>52.153110047846894</v>
      </c>
      <c r="K142" s="989"/>
      <c r="L142" s="989">
        <f>(Q10/$R10*100*($E10/365))+(Q11/$R11*100*($E11/365))</f>
        <v>0</v>
      </c>
      <c r="M142" s="989"/>
      <c r="N142" s="959">
        <f>H142+J142+L142</f>
        <v>100</v>
      </c>
      <c r="O142" s="959"/>
      <c r="R142" s="1">
        <v>1961</v>
      </c>
      <c r="S142" s="8">
        <f>(O10*($E10/365))+(O11*($E11/365))</f>
        <v>30</v>
      </c>
      <c r="T142" s="8">
        <f>(P10*($E10/365))+(P11*($E11/365))</f>
        <v>32.700000000000003</v>
      </c>
      <c r="U142" s="8">
        <f>(Q10*($E10/365))+(Q11*($E11/365))</f>
        <v>0</v>
      </c>
      <c r="V142" s="7"/>
      <c r="W142" s="7">
        <f t="shared" ref="W142:W194" si="35">S142+T142+U142</f>
        <v>62.7</v>
      </c>
    </row>
    <row r="143" spans="1:53">
      <c r="A143" s="1">
        <v>1962</v>
      </c>
      <c r="B143" s="8">
        <f>(K12*($E12/365))+(K13*($E13/365))</f>
        <v>53.846153846153847</v>
      </c>
      <c r="C143" s="8">
        <f>(L12*($E12/365))+(L13*($E13/365))</f>
        <v>46.153846153846153</v>
      </c>
      <c r="D143" s="8">
        <f>(M12*($E12/365))+(M13*($E13/365))</f>
        <v>0</v>
      </c>
      <c r="E143" s="48">
        <f t="shared" si="34"/>
        <v>100</v>
      </c>
      <c r="G143" s="1">
        <v>1962</v>
      </c>
      <c r="H143" s="989">
        <f>(O12/$R12*100*($E12/365))+(O13/$R13*100*($E13/365))</f>
        <v>47.846889952153113</v>
      </c>
      <c r="I143" s="989"/>
      <c r="J143" s="989">
        <f>(P12/$R12*100*($E12/365))+(P13/$R13*100*($E13/365))</f>
        <v>52.153110047846894</v>
      </c>
      <c r="K143" s="989"/>
      <c r="L143" s="989">
        <f>(Q12/$R12*100*($E12/365))+(Q13/$R13*100*($E13/365))</f>
        <v>0</v>
      </c>
      <c r="M143" s="989"/>
      <c r="N143" s="959">
        <f t="shared" ref="N143:N193" si="36">H143+J143+L143</f>
        <v>100</v>
      </c>
      <c r="O143" s="959"/>
      <c r="R143" s="1">
        <v>1962</v>
      </c>
      <c r="S143" s="8">
        <f>(O12*($E12/365))+(O13*($E13/365))</f>
        <v>30</v>
      </c>
      <c r="T143" s="8">
        <f>(P12*($E12/365))+(P13*($E13/365))</f>
        <v>32.700000000000003</v>
      </c>
      <c r="U143" s="8">
        <f>(Q12*($E12/365))+(Q13*($E13/365))</f>
        <v>0</v>
      </c>
      <c r="V143" s="7"/>
      <c r="W143" s="7">
        <f t="shared" si="35"/>
        <v>62.7</v>
      </c>
    </row>
    <row r="144" spans="1:53">
      <c r="A144" s="1">
        <v>1963</v>
      </c>
      <c r="B144" s="8">
        <f>(K14*($E14/365))+(K15*($E15/365))</f>
        <v>53.846153846153854</v>
      </c>
      <c r="C144" s="8">
        <f>(L14*($E14/365))+(L15*($E15/365))</f>
        <v>46.15384615384616</v>
      </c>
      <c r="D144" s="8">
        <f>(M14*($E14/365))+(M15*($E15/365))</f>
        <v>0</v>
      </c>
      <c r="E144" s="48">
        <f t="shared" si="34"/>
        <v>100.00000000000001</v>
      </c>
      <c r="G144" s="1">
        <v>1963</v>
      </c>
      <c r="H144" s="989">
        <f>(O14/$R14*100*($E14/365))+(O15/$R15*100*($E15/365))</f>
        <v>46.928785185163051</v>
      </c>
      <c r="I144" s="989"/>
      <c r="J144" s="989">
        <f>(P14/$R14*100*($E14/365))+(P15/$R15*100*($E15/365))</f>
        <v>53.071214814836964</v>
      </c>
      <c r="K144" s="989"/>
      <c r="L144" s="989">
        <f>(Q14/$R14*100*($E14/365))+(Q15/$R15*100*($E15/365))</f>
        <v>0</v>
      </c>
      <c r="M144" s="989"/>
      <c r="N144" s="959">
        <f t="shared" si="36"/>
        <v>100.00000000000001</v>
      </c>
      <c r="O144" s="959"/>
      <c r="R144" s="1">
        <v>1963</v>
      </c>
      <c r="S144" s="8">
        <f>(O14*($E14/365))+(O15*($E15/365))</f>
        <v>29.161917808219179</v>
      </c>
      <c r="T144" s="8">
        <f>(P14*($E14/365))+(P15*($E15/365))</f>
        <v>32.964657534246577</v>
      </c>
      <c r="U144" s="8">
        <f>(Q14*($E14/365))+(Q15*($E15/365))</f>
        <v>0</v>
      </c>
      <c r="V144" s="7"/>
      <c r="W144" s="7">
        <f t="shared" si="35"/>
        <v>62.126575342465756</v>
      </c>
    </row>
    <row r="145" spans="1:23">
      <c r="A145" s="1">
        <v>1964</v>
      </c>
      <c r="B145" s="8">
        <f>(K16*($E16/366))+(K17*($E17/366))</f>
        <v>53.846153846153847</v>
      </c>
      <c r="C145" s="8">
        <f>(L16*($E16/366))+(L17*($E17/366))</f>
        <v>46.153846153846153</v>
      </c>
      <c r="D145" s="8">
        <f>(M16*($E16/366))+(M17*($E17/366))</f>
        <v>0</v>
      </c>
      <c r="E145" s="48">
        <f t="shared" si="34"/>
        <v>100</v>
      </c>
      <c r="G145" s="1">
        <v>1964</v>
      </c>
      <c r="H145" s="989">
        <f>(O16/$R16*100*($E16/366))+(O17/$R17*100*($E17/366))</f>
        <v>45.765472312703587</v>
      </c>
      <c r="I145" s="989"/>
      <c r="J145" s="989">
        <f>(P16/$R16*100*($E16/366))+(P17/$R17*100*($E17/366))</f>
        <v>54.234527687296421</v>
      </c>
      <c r="K145" s="989"/>
      <c r="L145" s="989">
        <f>(Q16/$R16*100*($E16/366))+(Q17/$R17*100*($E17/366))</f>
        <v>0</v>
      </c>
      <c r="M145" s="989"/>
      <c r="N145" s="959">
        <f t="shared" si="36"/>
        <v>100</v>
      </c>
      <c r="O145" s="959"/>
      <c r="R145" s="1">
        <v>1964</v>
      </c>
      <c r="S145" s="8">
        <f>(O16*($E16/366))+(O17*($E17/366))</f>
        <v>28.099999999999998</v>
      </c>
      <c r="T145" s="8">
        <f>(P16*($E16/366))+(P17*($E17/366))</f>
        <v>33.299999999999997</v>
      </c>
      <c r="U145" s="8">
        <f>(Q16*($E16/366))+(Q17*($E17/366))</f>
        <v>0</v>
      </c>
      <c r="V145" s="7"/>
      <c r="W145" s="7">
        <f t="shared" si="35"/>
        <v>61.399999999999991</v>
      </c>
    </row>
    <row r="146" spans="1:23">
      <c r="A146" s="1">
        <v>1965</v>
      </c>
      <c r="B146" s="8">
        <f>(K18*($E18/365))+(K19*($E19/365))</f>
        <v>26.858347132319736</v>
      </c>
      <c r="C146" s="8">
        <f>(L18*($E18/365))+(L19*($E19/365))</f>
        <v>43.904862261026643</v>
      </c>
      <c r="D146" s="8">
        <f>(M18*($E18/365))+(M19*($E19/365))</f>
        <v>24.363992172211351</v>
      </c>
      <c r="E146" s="48">
        <f t="shared" si="34"/>
        <v>95.127201565557741</v>
      </c>
      <c r="G146" s="1">
        <v>1965</v>
      </c>
      <c r="H146" s="989">
        <f>(O18/$R18*100*($E18/365))+(O19/$R19*100*($E19/365))</f>
        <v>22.939365310919946</v>
      </c>
      <c r="I146" s="989"/>
      <c r="J146" s="989">
        <f>(P18/$R18*100*($E18/365))+(P19/$R19*100*($E19/365))</f>
        <v>49.367701012150718</v>
      </c>
      <c r="K146" s="989"/>
      <c r="L146" s="989">
        <f>(Q18/$R18*100*($E18/365))+(Q19/$R19*100*($E19/365))</f>
        <v>27.692933676929332</v>
      </c>
      <c r="M146" s="989"/>
      <c r="N146" s="959">
        <f t="shared" si="36"/>
        <v>100</v>
      </c>
      <c r="O146" s="959"/>
      <c r="R146" s="1">
        <v>1965</v>
      </c>
      <c r="S146" s="8">
        <f>(O18*($E18/365))+(O19*($E19/365))</f>
        <v>14.865479452054794</v>
      </c>
      <c r="T146" s="8">
        <f>(P18*($E18/365))+(P19*($E19/365))</f>
        <v>33.299999999999997</v>
      </c>
      <c r="U146" s="8">
        <f>(Q18*($E18/365))+(Q19*($E19/365))</f>
        <v>19.57890410958904</v>
      </c>
      <c r="V146" s="7"/>
      <c r="W146" s="7">
        <f t="shared" si="35"/>
        <v>67.744383561643829</v>
      </c>
    </row>
    <row r="147" spans="1:23">
      <c r="A147" s="1">
        <v>1966</v>
      </c>
      <c r="B147" s="8">
        <f>(K20*($E20/365))+(K21*($E21/365))</f>
        <v>16.092127051031159</v>
      </c>
      <c r="C147" s="8">
        <f>(L20*($E20/365))+(L21*($E21/365))</f>
        <v>45.747403281649852</v>
      </c>
      <c r="D147" s="8">
        <f>(M20*($E20/365))+(M21*($E21/365))</f>
        <v>31.800391389432487</v>
      </c>
      <c r="E147" s="48">
        <f t="shared" si="34"/>
        <v>93.639921722113499</v>
      </c>
      <c r="G147" s="1">
        <v>1966</v>
      </c>
      <c r="H147" s="989">
        <f>(O20/$R20*100*($E20/365))+(O21/$R21*100*($E21/365))</f>
        <v>13.227025246555966</v>
      </c>
      <c r="I147" s="989"/>
      <c r="J147" s="989">
        <f>(P20/$R20*100*($E20/365))+(P21/$R21*100*($E21/365))</f>
        <v>50.627579391990068</v>
      </c>
      <c r="K147" s="989"/>
      <c r="L147" s="989">
        <f>(Q20/$R20*100*($E20/365))+(Q21/$R21*100*($E21/365))</f>
        <v>36.14539536145395</v>
      </c>
      <c r="M147" s="989"/>
      <c r="N147" s="959">
        <f t="shared" si="36"/>
        <v>99.999999999999986</v>
      </c>
      <c r="O147" s="959"/>
      <c r="R147" s="1">
        <v>1966</v>
      </c>
      <c r="S147" s="8">
        <f>(O20*($E20/365))+(O21*($E21/365))</f>
        <v>8.6999999999999993</v>
      </c>
      <c r="T147" s="8">
        <f>(P20*($E20/365))+(P21*($E21/365))</f>
        <v>33.299999999999997</v>
      </c>
      <c r="U147" s="8">
        <f>(Q20*($E20/365))+(Q21*($E21/365))</f>
        <v>25.554794520547944</v>
      </c>
      <c r="V147" s="7"/>
      <c r="W147" s="7">
        <f t="shared" si="35"/>
        <v>67.554794520547944</v>
      </c>
    </row>
    <row r="148" spans="1:23">
      <c r="A148" s="1">
        <v>1967</v>
      </c>
      <c r="B148" s="8">
        <f>(K22*($E22/365))+(K23*($E23/365))</f>
        <v>50.495258166491041</v>
      </c>
      <c r="C148" s="8">
        <f>(L22*($E22/365))+(L23*($E23/365))</f>
        <v>49.504741833508959</v>
      </c>
      <c r="D148" s="8">
        <f>(M22*($E22/365))+(M23*($E23/365))</f>
        <v>0</v>
      </c>
      <c r="E148" s="48">
        <f t="shared" si="34"/>
        <v>100</v>
      </c>
      <c r="G148" s="1">
        <v>1967</v>
      </c>
      <c r="H148" s="989">
        <f>(O22/$R22*100*($E22/365))+(O23/$R23*100*($E23/365))</f>
        <v>43.466849724900364</v>
      </c>
      <c r="I148" s="989"/>
      <c r="J148" s="989">
        <f>(P22/$R22*100*($E22/365))+(P23/$R23*100*($E23/365))</f>
        <v>56.533150275099644</v>
      </c>
      <c r="K148" s="989"/>
      <c r="L148" s="989">
        <f>(Q22/$R22*100*($E22/365))+(Q23/$R23*100*($E23/365))</f>
        <v>0</v>
      </c>
      <c r="M148" s="989"/>
      <c r="N148" s="959">
        <f t="shared" si="36"/>
        <v>100</v>
      </c>
      <c r="O148" s="959"/>
      <c r="R148" s="1">
        <v>1967</v>
      </c>
      <c r="S148" s="8">
        <f>(O22*($E22/365))+(O23*($E23/365))</f>
        <v>24.107671232876715</v>
      </c>
      <c r="T148" s="8">
        <f>(P22*($E22/365))+(P23*($E23/365))</f>
        <v>29.335890410958907</v>
      </c>
      <c r="U148" s="8">
        <f>(Q22*($E22/365))+(Q23*($E23/365))</f>
        <v>0</v>
      </c>
      <c r="V148" s="7"/>
      <c r="W148" s="7">
        <f t="shared" si="35"/>
        <v>53.443561643835622</v>
      </c>
    </row>
    <row r="149" spans="1:23">
      <c r="A149" s="1">
        <v>1968</v>
      </c>
      <c r="B149" s="8">
        <f>(K24*($E24/366))+(K25*($E25/366))</f>
        <v>57.142857142857139</v>
      </c>
      <c r="C149" s="8">
        <f>(L24*($E24/366))+(L25*($E25/366))</f>
        <v>42.857142857142854</v>
      </c>
      <c r="D149" s="8">
        <f>(M24*($E24/366))+(M25*($E25/366))</f>
        <v>0</v>
      </c>
      <c r="E149" s="48">
        <f t="shared" si="34"/>
        <v>100</v>
      </c>
      <c r="G149" s="1">
        <v>1968</v>
      </c>
      <c r="H149" s="989">
        <f>(O24/$R24*100*($E24/366))+(O25/$R25*100*($E25/366))</f>
        <v>51.134380453752179</v>
      </c>
      <c r="I149" s="989"/>
      <c r="J149" s="989">
        <f>(P24/$R24*100*($E24/366))+(P25/$R25*100*($E25/366))</f>
        <v>48.865619546247821</v>
      </c>
      <c r="K149" s="989"/>
      <c r="L149" s="989">
        <f>(Q24/$R24*100*($E24/366))+(Q25/$R25*100*($E25/366))</f>
        <v>0</v>
      </c>
      <c r="M149" s="989"/>
      <c r="N149" s="959">
        <f t="shared" si="36"/>
        <v>100</v>
      </c>
      <c r="O149" s="959"/>
      <c r="R149" s="1">
        <v>1968</v>
      </c>
      <c r="S149" s="8">
        <f>(O24*($E24/366))+(O25*($E25/366))</f>
        <v>29.3</v>
      </c>
      <c r="T149" s="8">
        <f>(P24*($E24/366))+(P25*($E25/366))</f>
        <v>28</v>
      </c>
      <c r="U149" s="8">
        <f>(Q24*($E24/366))+(Q25*($E25/366))</f>
        <v>0</v>
      </c>
      <c r="V149" s="7"/>
      <c r="W149" s="7">
        <f t="shared" si="35"/>
        <v>57.3</v>
      </c>
    </row>
    <row r="150" spans="1:23">
      <c r="A150" s="1">
        <v>1969</v>
      </c>
      <c r="B150" s="8">
        <f>(K26*($E26/365))+(K27*($E27/365))</f>
        <v>57.142857142857139</v>
      </c>
      <c r="C150" s="8">
        <f>(L26*($E26/365))+(L27*($E27/365))</f>
        <v>42.857142857142854</v>
      </c>
      <c r="D150" s="8">
        <f>(M26*($E26/365))+(M27*($E27/365))</f>
        <v>0</v>
      </c>
      <c r="E150" s="48">
        <f t="shared" si="34"/>
        <v>100</v>
      </c>
      <c r="G150" s="1">
        <v>1969</v>
      </c>
      <c r="H150" s="989">
        <f>(O26/$R26*100*($E26/365))+(O27/$R27*100*($E27/365))</f>
        <v>51.134380453752179</v>
      </c>
      <c r="I150" s="989"/>
      <c r="J150" s="989">
        <f>(P26/$R26*100*($E26/365))+(P27/$R27*100*($E27/365))</f>
        <v>48.865619546247821</v>
      </c>
      <c r="K150" s="989"/>
      <c r="L150" s="989">
        <f>(Q26/$R26*100*($E26/365))+(Q27/$R27*100*($E27/365))</f>
        <v>0</v>
      </c>
      <c r="M150" s="989"/>
      <c r="N150" s="959">
        <f t="shared" si="36"/>
        <v>100</v>
      </c>
      <c r="O150" s="959"/>
      <c r="R150" s="1">
        <v>1969</v>
      </c>
      <c r="S150" s="8">
        <f>(O26*($E26/365))+(O27*($E27/365))</f>
        <v>29.3</v>
      </c>
      <c r="T150" s="8">
        <f>(P26*($E26/365))+(P27*($E27/365))</f>
        <v>28</v>
      </c>
      <c r="U150" s="8">
        <f>(Q26*($E26/365))+(Q27*($E27/365))</f>
        <v>0</v>
      </c>
      <c r="V150" s="7"/>
      <c r="W150" s="7">
        <f t="shared" si="35"/>
        <v>57.3</v>
      </c>
    </row>
    <row r="151" spans="1:23">
      <c r="A151" s="1">
        <v>1970</v>
      </c>
      <c r="B151" s="8">
        <f>(K28*($E28/365))+(K29*($E29/365))</f>
        <v>57.142857142857139</v>
      </c>
      <c r="C151" s="8">
        <f>(L28*($E28/365))+(L29*($E29/365))</f>
        <v>42.857142857142854</v>
      </c>
      <c r="D151" s="8">
        <f>(M28*($E28/365))+(M29*($E29/365))</f>
        <v>0</v>
      </c>
      <c r="E151" s="48">
        <f t="shared" si="34"/>
        <v>100</v>
      </c>
      <c r="G151" s="1">
        <v>1970</v>
      </c>
      <c r="H151" s="989">
        <f>(O28/$R28*100*($E28/365))+(O29/$R29*100*($E29/365))</f>
        <v>51.134380453752179</v>
      </c>
      <c r="I151" s="989"/>
      <c r="J151" s="989">
        <f>(P28/$R28*100*($E28/365))+(P29/$R29*100*($E29/365))</f>
        <v>48.865619546247821</v>
      </c>
      <c r="K151" s="989"/>
      <c r="L151" s="989">
        <f>(Q28/$R28*100*($E28/365))+(Q29/$R29*100*($E29/365))</f>
        <v>0</v>
      </c>
      <c r="M151" s="989"/>
      <c r="N151" s="959">
        <f t="shared" si="36"/>
        <v>100</v>
      </c>
      <c r="O151" s="959"/>
      <c r="R151" s="1">
        <v>1970</v>
      </c>
      <c r="S151" s="8">
        <f>(O28*($E28/365))+(O29*($E29/365))</f>
        <v>29.3</v>
      </c>
      <c r="T151" s="8">
        <f>(P28*($E28/365))+(P29*($E29/365))</f>
        <v>28</v>
      </c>
      <c r="U151" s="8">
        <f>(Q28*($E28/365))+(Q29*($E29/365))</f>
        <v>0</v>
      </c>
      <c r="V151" s="7"/>
      <c r="W151" s="7">
        <f t="shared" si="35"/>
        <v>57.3</v>
      </c>
    </row>
    <row r="152" spans="1:23">
      <c r="A152" s="1">
        <v>1971</v>
      </c>
      <c r="B152" s="8">
        <f>(K30*($E30/365))+(K31*($E31/365))</f>
        <v>53.639921722113499</v>
      </c>
      <c r="C152" s="8">
        <f>(L30*($E30/365))+(L31*($E31/365))</f>
        <v>46.360078277886494</v>
      </c>
      <c r="D152" s="8">
        <f>(M30*($E30/365))+(M31*($E31/365))</f>
        <v>0</v>
      </c>
      <c r="E152" s="48">
        <f t="shared" si="34"/>
        <v>100</v>
      </c>
      <c r="G152" s="1">
        <v>1971</v>
      </c>
      <c r="H152" s="989">
        <f>(O30/$R30*100*($E30/365))+(O31/$R31*100*($E31/365))</f>
        <v>49.457384669182602</v>
      </c>
      <c r="I152" s="989"/>
      <c r="J152" s="989">
        <f>(P30/$R30*100*($E30/365))+(P31/$R31*100*($E31/365))</f>
        <v>50.542615330817384</v>
      </c>
      <c r="K152" s="989"/>
      <c r="L152" s="989">
        <f>(Q30/$R30*100*($E30/365))+(Q31/$R31*100*($E31/365))</f>
        <v>0</v>
      </c>
      <c r="M152" s="989"/>
      <c r="N152" s="959">
        <f t="shared" si="36"/>
        <v>99.999999999999986</v>
      </c>
      <c r="O152" s="959"/>
      <c r="R152" s="1">
        <v>1971</v>
      </c>
      <c r="S152" s="8">
        <f>(O30*($E30/365))+(O31*($E31/365))</f>
        <v>27.73068493150685</v>
      </c>
      <c r="T152" s="8">
        <f>(P30*($E30/365))+(P31*($E31/365))</f>
        <v>28.294246575342466</v>
      </c>
      <c r="U152" s="8">
        <f>(Q30*($E30/365))+(Q31*($E31/365))</f>
        <v>0</v>
      </c>
      <c r="V152" s="7"/>
      <c r="W152" s="7">
        <f t="shared" si="35"/>
        <v>56.024931506849313</v>
      </c>
    </row>
    <row r="153" spans="1:23">
      <c r="A153" s="1">
        <v>1972</v>
      </c>
      <c r="B153" s="8">
        <f>(K32*($E32/366))+(K33*($E33/366))</f>
        <v>52.67369242779079</v>
      </c>
      <c r="C153" s="8">
        <f>(L32*($E32/366))+(L33*($E33/366))</f>
        <v>47.326307572209217</v>
      </c>
      <c r="D153" s="8">
        <f>(M32*($E32/366))+(M33*($E33/366))</f>
        <v>0</v>
      </c>
      <c r="E153" s="48">
        <f t="shared" si="34"/>
        <v>100</v>
      </c>
      <c r="G153" s="1">
        <v>1972</v>
      </c>
      <c r="H153" s="989">
        <f>(O32/$R32*100*($E32/366))+(O33/$R33*100*($E33/366))</f>
        <v>49.63101134251167</v>
      </c>
      <c r="I153" s="989"/>
      <c r="J153" s="989">
        <f>(P32/$R32*100*($E32/366))+(P33/$R33*100*($E33/366))</f>
        <v>50.368988657488323</v>
      </c>
      <c r="K153" s="989"/>
      <c r="L153" s="989">
        <f>(Q32/$R32*100*($E32/366))+(Q33/$R33*100*($E33/366))</f>
        <v>0</v>
      </c>
      <c r="M153" s="989"/>
      <c r="N153" s="959">
        <f t="shared" si="36"/>
        <v>100</v>
      </c>
      <c r="O153" s="959"/>
      <c r="R153" s="1">
        <v>1972</v>
      </c>
      <c r="S153" s="8">
        <f>(O32*($E32/366))+(O33*($E33/366))</f>
        <v>26.099999999999998</v>
      </c>
      <c r="T153" s="8">
        <f>(P32*($E32/366))+(P33*($E33/366))</f>
        <v>26.61612021857924</v>
      </c>
      <c r="U153" s="8">
        <f>(Q32*($E32/366))+(Q33*($E33/366))</f>
        <v>0</v>
      </c>
      <c r="V153" s="7"/>
      <c r="W153" s="7">
        <f t="shared" si="35"/>
        <v>52.716120218579235</v>
      </c>
    </row>
    <row r="154" spans="1:23">
      <c r="A154" s="1">
        <v>1973</v>
      </c>
      <c r="B154" s="8">
        <f>(K34*($E34/365))+(K35*($E35/365))</f>
        <v>28.400195694716238</v>
      </c>
      <c r="C154" s="8">
        <f>(L34*($E34/365))+(L35*($E35/365))</f>
        <v>35.384050880626219</v>
      </c>
      <c r="D154" s="8">
        <f>(M34*($E34/365))+(M35*($E35/365))</f>
        <v>36.215753424657535</v>
      </c>
      <c r="E154" s="48">
        <f t="shared" si="34"/>
        <v>100</v>
      </c>
      <c r="G154" s="1">
        <v>1973</v>
      </c>
      <c r="H154" s="989">
        <f>(O34/$R34*100*($E34/365))+(O35/$R35*100*($E35/365))</f>
        <v>28.07210696810413</v>
      </c>
      <c r="I154" s="989"/>
      <c r="J154" s="989">
        <f>(P34/$R34*100*($E34/365))+(P35/$R35*100*($E35/365))</f>
        <v>38.69124760833931</v>
      </c>
      <c r="K154" s="989"/>
      <c r="L154" s="989">
        <f>(Q34/$R34*100*($E34/365))+(Q35/$R35*100*($E35/365))</f>
        <v>33.23664542355656</v>
      </c>
      <c r="M154" s="989"/>
      <c r="N154" s="959">
        <f t="shared" si="36"/>
        <v>100</v>
      </c>
      <c r="O154" s="959"/>
      <c r="R154" s="1">
        <v>1973</v>
      </c>
      <c r="S154" s="8">
        <f>(O34*($E34/365))+(O35*($E35/365))</f>
        <v>15.283561643835615</v>
      </c>
      <c r="T154" s="8">
        <f>(P34*($E34/365))+(P35*($E35/365))</f>
        <v>22.463013698630135</v>
      </c>
      <c r="U154" s="8">
        <f>(Q34*($E34/365))+(Q35*($E35/365))</f>
        <v>21.504109589041096</v>
      </c>
      <c r="V154" s="7"/>
      <c r="W154" s="7">
        <f t="shared" si="35"/>
        <v>59.250684931506839</v>
      </c>
    </row>
    <row r="155" spans="1:23">
      <c r="A155" s="1">
        <v>1974</v>
      </c>
      <c r="B155" s="8">
        <f>(K36*($E36/365))+(K37*($E37/365))</f>
        <v>12.5</v>
      </c>
      <c r="C155" s="8">
        <f>(L36*($E36/365))+(L37*($E37/365))</f>
        <v>31.25</v>
      </c>
      <c r="D155" s="8">
        <f>(M36*($E36/365))+(M37*($E37/365))</f>
        <v>56.25</v>
      </c>
      <c r="E155" s="48">
        <f t="shared" si="34"/>
        <v>100</v>
      </c>
      <c r="G155" s="1">
        <v>1974</v>
      </c>
      <c r="H155" s="989">
        <f>(O36/$R36*100*($E36/365))+(O37/$R37*100*($E37/365))</f>
        <v>14.374034003091191</v>
      </c>
      <c r="I155" s="989"/>
      <c r="J155" s="989">
        <f>(P36/$R36*100*($E36/365))+(P37/$R37*100*($E37/365))</f>
        <v>34.003091190108194</v>
      </c>
      <c r="K155" s="989"/>
      <c r="L155" s="989">
        <f>(Q36/$R36*100*($E36/365))+(Q37/$R37*100*($E37/365))</f>
        <v>51.62287480680061</v>
      </c>
      <c r="M155" s="989"/>
      <c r="N155" s="959">
        <f t="shared" si="36"/>
        <v>100</v>
      </c>
      <c r="O155" s="959"/>
      <c r="R155" s="1">
        <v>1974</v>
      </c>
      <c r="S155" s="8">
        <f>(O36*($E36/365))+(O37*($E37/365))</f>
        <v>9.3000000000000007</v>
      </c>
      <c r="T155" s="8">
        <f>(P36*($E36/365))+(P37*($E37/365))</f>
        <v>22</v>
      </c>
      <c r="U155" s="8">
        <f>(Q36*($E36/365))+(Q37*($E37/365))</f>
        <v>33.4</v>
      </c>
      <c r="V155" s="7"/>
      <c r="W155" s="7">
        <f t="shared" si="35"/>
        <v>64.7</v>
      </c>
    </row>
    <row r="156" spans="1:23">
      <c r="A156" s="1">
        <v>1975</v>
      </c>
      <c r="B156" s="8">
        <f>(K38*($E38/365))+(K39*($E39/365))</f>
        <v>12.5</v>
      </c>
      <c r="C156" s="8">
        <f>(L38*($E38/365))+(L39*($E39/365))</f>
        <v>31.25</v>
      </c>
      <c r="D156" s="8">
        <f>(M38*($E38/365))+(M39*($E39/365))</f>
        <v>56.25</v>
      </c>
      <c r="E156" s="48">
        <f t="shared" si="34"/>
        <v>100</v>
      </c>
      <c r="G156" s="1">
        <v>1975</v>
      </c>
      <c r="H156" s="989">
        <f>(O38/$R38*100*($E38/365))+(O39/$R39*100*($E39/365))</f>
        <v>14.374034003091191</v>
      </c>
      <c r="I156" s="989"/>
      <c r="J156" s="989">
        <f>(P38/$R38*100*($E38/365))+(P39/$R39*100*($E39/365))</f>
        <v>34.003091190108194</v>
      </c>
      <c r="K156" s="989"/>
      <c r="L156" s="989">
        <f>(Q38/$R38*100*($E38/365))+(Q39/$R39*100*($E39/365))</f>
        <v>51.62287480680061</v>
      </c>
      <c r="M156" s="989"/>
      <c r="N156" s="959">
        <f t="shared" si="36"/>
        <v>100</v>
      </c>
      <c r="O156" s="959"/>
      <c r="R156" s="1">
        <v>1975</v>
      </c>
      <c r="S156" s="8">
        <f>(O38*($E38/365))+(O39*($E39/365))</f>
        <v>9.3000000000000007</v>
      </c>
      <c r="T156" s="8">
        <f>(P38*($E38/365))+(P39*($E39/365))</f>
        <v>22</v>
      </c>
      <c r="U156" s="8">
        <f>(Q38*($E38/365))+(Q39*($E39/365))</f>
        <v>33.4</v>
      </c>
      <c r="V156" s="7"/>
      <c r="W156" s="7">
        <f t="shared" si="35"/>
        <v>64.7</v>
      </c>
    </row>
    <row r="157" spans="1:23">
      <c r="A157" s="1">
        <v>1976</v>
      </c>
      <c r="B157" s="8">
        <f>(K40*($E40/366))+(K41*($E41/366))</f>
        <v>12.5</v>
      </c>
      <c r="C157" s="8">
        <f>(L40*($E40/366))+(L41*($E41/366))</f>
        <v>31.25</v>
      </c>
      <c r="D157" s="8">
        <f>(M40*($E40/366))+(M41*($E41/366))</f>
        <v>56.25</v>
      </c>
      <c r="E157" s="48">
        <f t="shared" si="34"/>
        <v>100</v>
      </c>
      <c r="G157" s="1">
        <v>1976</v>
      </c>
      <c r="H157" s="989">
        <f>(O40/$R40*100*($E40/366))+(O41/$R41*100*($E41/366))</f>
        <v>14.374034003091191</v>
      </c>
      <c r="I157" s="989"/>
      <c r="J157" s="989">
        <f>(P40/$R40*100*($E40/366))+(P41/$R41*100*($E41/366))</f>
        <v>34.003091190108194</v>
      </c>
      <c r="K157" s="989"/>
      <c r="L157" s="989">
        <f>(Q40/$R40*100*($E40/366))+(Q41/$R41*100*($E41/366))</f>
        <v>51.62287480680061</v>
      </c>
      <c r="M157" s="989"/>
      <c r="N157" s="959">
        <f t="shared" si="36"/>
        <v>100</v>
      </c>
      <c r="O157" s="959"/>
      <c r="R157" s="1">
        <v>1976</v>
      </c>
      <c r="S157" s="8">
        <f>(O40*($E40/366))+(O41*($E41/366))</f>
        <v>9.3000000000000007</v>
      </c>
      <c r="T157" s="8">
        <f>(P40*($E40/366))+(P41*($E41/366))</f>
        <v>22</v>
      </c>
      <c r="U157" s="8">
        <f>(Q40*($E40/366))+(Q41*($E41/366))</f>
        <v>33.4</v>
      </c>
      <c r="V157" s="7"/>
      <c r="W157" s="7">
        <f t="shared" si="35"/>
        <v>64.7</v>
      </c>
    </row>
    <row r="158" spans="1:23">
      <c r="A158" s="1">
        <v>1977</v>
      </c>
      <c r="B158" s="8">
        <f>(K42*($E42/365))+(K43*($E43/365))</f>
        <v>13.24200913242009</v>
      </c>
      <c r="C158" s="8">
        <f>(L42*($E42/365))+(L43*($E43/365))</f>
        <v>32.511415525114153</v>
      </c>
      <c r="D158" s="8">
        <f>(M42*($E42/365))+(M43*($E43/365))</f>
        <v>54.246575342465754</v>
      </c>
      <c r="E158" s="48">
        <f t="shared" si="34"/>
        <v>100</v>
      </c>
      <c r="G158" s="1">
        <v>1977</v>
      </c>
      <c r="H158" s="989">
        <f>(O42/$R42*100*($E42/365))+(O43/$R43*100*($E43/365))</f>
        <v>15.15785525351145</v>
      </c>
      <c r="I158" s="989"/>
      <c r="J158" s="989">
        <f>(P42/$R42*100*($E42/365))+(P43/$R43*100*($E43/365))</f>
        <v>35.057892878012346</v>
      </c>
      <c r="K158" s="989"/>
      <c r="L158" s="989">
        <f>(Q42/$R42*100*($E42/365))+(Q43/$R43*100*($E43/365))</f>
        <v>49.784251868476204</v>
      </c>
      <c r="M158" s="989"/>
      <c r="N158" s="959">
        <f t="shared" si="36"/>
        <v>100</v>
      </c>
      <c r="O158" s="959"/>
      <c r="R158" s="1">
        <v>1977</v>
      </c>
      <c r="S158" s="8">
        <f>(O42*($E42/365))+(O43*($E43/365))</f>
        <v>9.6347945205479473</v>
      </c>
      <c r="T158" s="8">
        <f>(P42*($E42/365))+(P43*($E43/365))</f>
        <v>22.381095890410961</v>
      </c>
      <c r="U158" s="8">
        <f>(Q42*($E42/365))+(Q43*($E43/365))</f>
        <v>32.210410958904106</v>
      </c>
      <c r="V158" s="7"/>
      <c r="W158" s="7">
        <f t="shared" si="35"/>
        <v>64.226301369863023</v>
      </c>
    </row>
    <row r="159" spans="1:23">
      <c r="A159" s="1">
        <v>1978</v>
      </c>
      <c r="B159" s="8">
        <f>(K44*($E44/365))+(K45*($E45/365))</f>
        <v>33.333333333333329</v>
      </c>
      <c r="C159" s="8">
        <f>(L44*($E44/365))+(L45*($E45/365))</f>
        <v>66.666666666666657</v>
      </c>
      <c r="D159" s="8">
        <f>(M44*($E44/365))+(M45*($E45/365))</f>
        <v>0</v>
      </c>
      <c r="E159" s="48">
        <f t="shared" si="34"/>
        <v>99.999999999999986</v>
      </c>
      <c r="G159" s="1">
        <v>1978</v>
      </c>
      <c r="H159" s="989">
        <f>(O44/$R44*100*($E44/365))+(O45/$R45*100*($E45/365))</f>
        <v>36.381322957198435</v>
      </c>
      <c r="I159" s="989"/>
      <c r="J159" s="989">
        <f>(P44/$R44*100*($E44/365))+(P45/$R45*100*($E45/365))</f>
        <v>63.618677042801551</v>
      </c>
      <c r="K159" s="989"/>
      <c r="L159" s="989">
        <f>(Q44/$R44*100*($E44/365))+(Q45/$R45*100*($E45/365))</f>
        <v>0</v>
      </c>
      <c r="M159" s="989"/>
      <c r="N159" s="959">
        <f t="shared" si="36"/>
        <v>99.999999999999986</v>
      </c>
      <c r="O159" s="959"/>
      <c r="R159" s="1">
        <v>1978</v>
      </c>
      <c r="S159" s="8">
        <f>(O44*($E44/365))+(O45*($E45/365))</f>
        <v>18.7</v>
      </c>
      <c r="T159" s="8">
        <f>(P44*($E44/365))+(P45*($E45/365))</f>
        <v>32.700000000000003</v>
      </c>
      <c r="U159" s="8">
        <f>(Q44*($E44/365))+(Q45*($E45/365))</f>
        <v>0</v>
      </c>
      <c r="V159" s="7"/>
      <c r="W159" s="7">
        <f t="shared" si="35"/>
        <v>51.400000000000006</v>
      </c>
    </row>
    <row r="160" spans="1:23">
      <c r="A160" s="1">
        <v>1979</v>
      </c>
      <c r="B160" s="8">
        <f>(K46*($E46/365))+(K47*($E47/365))</f>
        <v>33.333333333333329</v>
      </c>
      <c r="C160" s="8">
        <f>(L46*($E46/365))+(L47*($E47/365))</f>
        <v>66.666666666666657</v>
      </c>
      <c r="D160" s="8">
        <f>(M46*($E46/365))+(M47*($E47/365))</f>
        <v>0</v>
      </c>
      <c r="E160" s="48">
        <f t="shared" si="34"/>
        <v>99.999999999999986</v>
      </c>
      <c r="G160" s="1">
        <v>1979</v>
      </c>
      <c r="H160" s="989">
        <f>(O46/$R46*100*($E46/365))+(O47/$R47*100*($E47/365))</f>
        <v>36.381322957198435</v>
      </c>
      <c r="I160" s="989"/>
      <c r="J160" s="989">
        <f>(P46/$R46*100*($E46/365))+(P47/$R47*100*($E47/365))</f>
        <v>63.618677042801551</v>
      </c>
      <c r="K160" s="989"/>
      <c r="L160" s="989">
        <f>(Q46/$R46*100*($E46/365))+(Q47/$R47*100*($E47/365))</f>
        <v>0</v>
      </c>
      <c r="M160" s="989"/>
      <c r="N160" s="959">
        <f t="shared" si="36"/>
        <v>99.999999999999986</v>
      </c>
      <c r="O160" s="959"/>
      <c r="R160" s="1">
        <v>1979</v>
      </c>
      <c r="S160" s="8">
        <f>(O46*($E46/365))+(O47*($E47/365))</f>
        <v>18.7</v>
      </c>
      <c r="T160" s="8">
        <f>(P46*($E46/365))+(P47*($E47/365))</f>
        <v>32.700000000000003</v>
      </c>
      <c r="U160" s="8">
        <f>(Q46*($E46/365))+(Q47*($E47/365))</f>
        <v>0</v>
      </c>
      <c r="V160" s="7"/>
      <c r="W160" s="7">
        <f t="shared" si="35"/>
        <v>51.400000000000006</v>
      </c>
    </row>
    <row r="161" spans="1:23">
      <c r="A161" s="1">
        <v>1980</v>
      </c>
      <c r="B161" s="8">
        <f>(K48*($E48/366))+(K49*($E49/366))</f>
        <v>33.333333333333329</v>
      </c>
      <c r="C161" s="8">
        <f>(L48*($E48/366))+(L49*($E49/366))</f>
        <v>66.666666666666657</v>
      </c>
      <c r="D161" s="8">
        <f>(M48*($E48/366))+(M49*($E49/366))</f>
        <v>0</v>
      </c>
      <c r="E161" s="48">
        <f t="shared" si="34"/>
        <v>99.999999999999986</v>
      </c>
      <c r="G161" s="1">
        <v>1980</v>
      </c>
      <c r="H161" s="989">
        <f>(O48/$R48*100*($E48/366))+(O49/$R49*100*($E49/366))</f>
        <v>36.381322957198435</v>
      </c>
      <c r="I161" s="989"/>
      <c r="J161" s="989">
        <f>(P48/$R48*100*($E48/366))+(P49/$R49*100*($E49/366))</f>
        <v>63.618677042801551</v>
      </c>
      <c r="K161" s="989"/>
      <c r="L161" s="989">
        <f>(Q48/$R48*100*($E48/366))+(Q49/$R49*100*($E49/366))</f>
        <v>0</v>
      </c>
      <c r="M161" s="989"/>
      <c r="N161" s="959">
        <f t="shared" si="36"/>
        <v>99.999999999999986</v>
      </c>
      <c r="O161" s="959"/>
      <c r="R161" s="1">
        <v>1980</v>
      </c>
      <c r="S161" s="8">
        <f>(O48*($E48/366))+(O49*($E49/366))</f>
        <v>18.7</v>
      </c>
      <c r="T161" s="8">
        <f>(P48*($E48/366))+(P49*($E49/366))</f>
        <v>32.700000000000003</v>
      </c>
      <c r="U161" s="8">
        <f>(Q48*($E48/366))+(Q49*($E49/366))</f>
        <v>0</v>
      </c>
      <c r="V161" s="7"/>
      <c r="W161" s="7">
        <f t="shared" si="35"/>
        <v>51.400000000000006</v>
      </c>
    </row>
    <row r="162" spans="1:23">
      <c r="A162" s="1">
        <v>1981</v>
      </c>
      <c r="B162" s="8">
        <f>(K50*($E50/365))+(K51*($E51/365))</f>
        <v>23.105022831050228</v>
      </c>
      <c r="C162" s="8">
        <f>(L50*($E50/365))+(L51*($E51/365))</f>
        <v>64.621004566210047</v>
      </c>
      <c r="D162" s="8">
        <f>(M50*($E50/365))+(M51*($E51/365))</f>
        <v>12.273972602739727</v>
      </c>
      <c r="E162" s="48">
        <f t="shared" si="34"/>
        <v>100.00000000000001</v>
      </c>
      <c r="G162" s="1">
        <v>1981</v>
      </c>
      <c r="H162" s="989">
        <f>(O50/$R50*100*($E50/365))+(O51/$R51*100*($E51/365))</f>
        <v>25.217738926496452</v>
      </c>
      <c r="I162" s="989"/>
      <c r="J162" s="989">
        <f>(P50/$R50*100*($E50/365))+(P51/$R51*100*($E51/365))</f>
        <v>62.398397531483099</v>
      </c>
      <c r="K162" s="989"/>
      <c r="L162" s="989">
        <f>(Q50/$R50*100*($E50/365))+(Q51/$R51*100*($E51/365))</f>
        <v>12.383863542020455</v>
      </c>
      <c r="M162" s="989"/>
      <c r="N162" s="959">
        <f t="shared" si="36"/>
        <v>100</v>
      </c>
      <c r="O162" s="959"/>
      <c r="R162" s="1">
        <v>1981</v>
      </c>
      <c r="S162" s="8">
        <f>(O50*($E50/365))+(O51*($E51/365))</f>
        <v>12.961917808219178</v>
      </c>
      <c r="T162" s="8">
        <f>(P50*($E50/365))+(P51*($E51/365))</f>
        <v>35.952602739726032</v>
      </c>
      <c r="U162" s="8">
        <f>(Q50*($E50/365))+(Q51*($E51/365))</f>
        <v>8.9906849315068502</v>
      </c>
      <c r="V162" s="7"/>
      <c r="W162" s="7">
        <f t="shared" si="35"/>
        <v>57.905205479452057</v>
      </c>
    </row>
    <row r="163" spans="1:23">
      <c r="A163" s="1">
        <v>1982</v>
      </c>
      <c r="B163" s="8">
        <f>(K52*($E52/365))+(K53*($E53/365))+(K54*($E54/365))</f>
        <v>0</v>
      </c>
      <c r="C163" s="8">
        <f>(L52*($E52/365))+(L53*($E53/365))+(L54*($E54/365))</f>
        <v>66.356164383561648</v>
      </c>
      <c r="D163" s="8">
        <f>(M52*($E52/365))+(M53*($E53/365))+(M54*($E54/365))</f>
        <v>33.643835616438352</v>
      </c>
      <c r="E163" s="48">
        <f t="shared" si="34"/>
        <v>100</v>
      </c>
      <c r="G163" s="1">
        <v>1982</v>
      </c>
      <c r="H163" s="1001">
        <f>(O52/$R52*100*($E52/365))+(O53/$R53*100*($E53/365))+(O54/$R54*100*($E54/365))</f>
        <v>7.0624048706240492</v>
      </c>
      <c r="I163" s="1001"/>
      <c r="J163" s="1001">
        <f>(P52/$R52*100*($E52/365))+(P53/$R53*100*($E53/365))+(P54/$R54*100*($E54/365))</f>
        <v>76.573204020277501</v>
      </c>
      <c r="K163" s="1001"/>
      <c r="L163" s="1001">
        <f>(Q52/$R52*100*($E52/365))+(Q53/$R53*100*($E53/365))+(Q54/$R54*100*($E54/365))</f>
        <v>16.364391109098456</v>
      </c>
      <c r="M163" s="1001"/>
      <c r="N163" s="959">
        <f t="shared" si="36"/>
        <v>100</v>
      </c>
      <c r="O163" s="959"/>
      <c r="R163" s="1">
        <v>1982</v>
      </c>
      <c r="S163" s="8">
        <f>(O52*($E52/365))+(O53*($E53/365))+(O54*($E54/365))</f>
        <v>3.8136986301369866</v>
      </c>
      <c r="T163" s="8">
        <f>(P52*($E52/365))+(P53*($E53/365))+(P54*($E54/365))</f>
        <v>41.186575342465751</v>
      </c>
      <c r="U163" s="8">
        <f>(Q52*($E52/365))+(Q53*($E53/365))+(Q54*($E54/365))</f>
        <v>11.88054794520548</v>
      </c>
      <c r="V163" s="7"/>
      <c r="W163" s="7">
        <f t="shared" si="35"/>
        <v>56.88082191780822</v>
      </c>
    </row>
    <row r="164" spans="1:23">
      <c r="A164" s="1">
        <v>1983</v>
      </c>
      <c r="B164" s="8">
        <f>(K55*($E55/365))+(K56*($E56/365))</f>
        <v>0</v>
      </c>
      <c r="C164" s="8">
        <f>(L55*($E55/365))+(L56*($E56/365))</f>
        <v>100</v>
      </c>
      <c r="D164" s="8">
        <f>(M55*($E55/365))+(M56*($E56/365))</f>
        <v>0</v>
      </c>
      <c r="E164" s="48">
        <f t="shared" si="34"/>
        <v>100</v>
      </c>
      <c r="G164" s="1">
        <v>1983</v>
      </c>
      <c r="H164" s="1001">
        <f>(O55/$R55*100*($E55/365))+(O56/$R56*100*($E56/365))</f>
        <v>44.444444444444443</v>
      </c>
      <c r="I164" s="1001"/>
      <c r="J164" s="1001">
        <f>(P55/$R55*100*($E55/365))+(P56/$R56*100*($E56/365))</f>
        <v>55.555555555555557</v>
      </c>
      <c r="K164" s="1001"/>
      <c r="L164" s="1001">
        <f>(Q55/$R55*100*($E55/365))+(Q56/$R56*100*($E56/365))</f>
        <v>0</v>
      </c>
      <c r="M164" s="1001"/>
      <c r="N164" s="959">
        <f t="shared" si="36"/>
        <v>100</v>
      </c>
      <c r="O164" s="959"/>
      <c r="R164" s="1">
        <v>1983</v>
      </c>
      <c r="S164" s="8">
        <f>(O55*($E55/365))+(O56*($E56/365))</f>
        <v>24</v>
      </c>
      <c r="T164" s="8">
        <f>(P55*($E55/365))+(P56*($E56/365))</f>
        <v>30</v>
      </c>
      <c r="U164" s="8">
        <f>(Q55*($E55/365))+(Q56*($E56/365))</f>
        <v>0</v>
      </c>
      <c r="V164" s="7"/>
      <c r="W164" s="7">
        <f t="shared" si="35"/>
        <v>54</v>
      </c>
    </row>
    <row r="165" spans="1:23">
      <c r="A165" s="1">
        <v>1984</v>
      </c>
      <c r="B165" s="8">
        <f>(K57*($E57/366))+(K58*($E58/366))</f>
        <v>0</v>
      </c>
      <c r="C165" s="8">
        <f>(L57*($E57/366))+(L58*($E58/366))</f>
        <v>100</v>
      </c>
      <c r="D165" s="8">
        <f>(M57*($E57/366))+(M58*($E58/366))</f>
        <v>0</v>
      </c>
      <c r="E165" s="48">
        <f t="shared" si="34"/>
        <v>100</v>
      </c>
      <c r="G165" s="1">
        <v>1984</v>
      </c>
      <c r="H165" s="1001">
        <f>(O57/$R57*100*($E57/366))+(O58/$R58*100*($E58/366))</f>
        <v>44.444444444444443</v>
      </c>
      <c r="I165" s="1001"/>
      <c r="J165" s="1001">
        <f>(P57/$R57*100*($E57/366))+(P58/$R58*100*($E58/366))</f>
        <v>55.555555555555557</v>
      </c>
      <c r="K165" s="1001"/>
      <c r="L165" s="1001">
        <f>(Q57/$R57*100*($E57/366))+(Q58/$R58*100*($E58/366))</f>
        <v>0</v>
      </c>
      <c r="M165" s="1001"/>
      <c r="N165" s="959">
        <f t="shared" si="36"/>
        <v>100</v>
      </c>
      <c r="O165" s="959"/>
      <c r="R165" s="1">
        <v>1984</v>
      </c>
      <c r="S165" s="8">
        <f>(O57*($E57/366))+(O58*($E58/366))</f>
        <v>24</v>
      </c>
      <c r="T165" s="8">
        <f>(P57*($E57/366))+(P58*($E58/366))</f>
        <v>30</v>
      </c>
      <c r="U165" s="8">
        <f>(Q57*($E57/366))+(Q58*($E58/366))</f>
        <v>0</v>
      </c>
      <c r="V165" s="7"/>
      <c r="W165" s="7">
        <f t="shared" si="35"/>
        <v>54</v>
      </c>
    </row>
    <row r="166" spans="1:23">
      <c r="A166" s="1">
        <v>1985</v>
      </c>
      <c r="B166" s="8">
        <f>(K59*($E59/365))+(K60*($E60/365))</f>
        <v>0</v>
      </c>
      <c r="C166" s="8">
        <f>(L59*($E59/365))+(L60*($E60/365))</f>
        <v>100</v>
      </c>
      <c r="D166" s="8">
        <f>(M59*($E59/365))+(M60*($E60/365))</f>
        <v>0</v>
      </c>
      <c r="E166" s="48">
        <f t="shared" si="34"/>
        <v>100</v>
      </c>
      <c r="G166" s="1">
        <v>1985</v>
      </c>
      <c r="H166" s="1001">
        <f>(O59/$R59*100*($E59/365))+(O60/$R60*100*($E60/365))</f>
        <v>44.444444444444443</v>
      </c>
      <c r="I166" s="1001"/>
      <c r="J166" s="1001">
        <f>(P59/$R59*100*($E59/365))+(P60/$R60*100*($E60/365))</f>
        <v>55.555555555555557</v>
      </c>
      <c r="K166" s="1001"/>
      <c r="L166" s="1001">
        <f>(Q59/$R59*100*($E59/365))+(Q60/$R60*100*($E60/365))</f>
        <v>0</v>
      </c>
      <c r="M166" s="1001"/>
      <c r="N166" s="959">
        <f t="shared" si="36"/>
        <v>100</v>
      </c>
      <c r="O166" s="959"/>
      <c r="R166" s="1">
        <v>1985</v>
      </c>
      <c r="S166" s="8">
        <f>(O59*($E59/365))+(O60*($E60/365))</f>
        <v>24</v>
      </c>
      <c r="T166" s="8">
        <f>(P59*($E59/365))+(P60*($E60/365))</f>
        <v>30</v>
      </c>
      <c r="U166" s="8">
        <f>(Q59*($E59/365))+(Q60*($E60/365))</f>
        <v>0</v>
      </c>
      <c r="V166" s="7"/>
      <c r="W166" s="7">
        <f t="shared" si="35"/>
        <v>54</v>
      </c>
    </row>
    <row r="167" spans="1:23">
      <c r="A167" s="1">
        <v>1986</v>
      </c>
      <c r="B167" s="8">
        <f>(K61*($E61/365))+(K62*($E62/365))</f>
        <v>4.6966731898238745</v>
      </c>
      <c r="C167" s="8">
        <f>(L61*($E61/365))+(L62*($E62/365))</f>
        <v>95.303326810176131</v>
      </c>
      <c r="D167" s="8">
        <f>(M61*($E61/365))+(M62*($E62/365))</f>
        <v>0</v>
      </c>
      <c r="E167" s="48">
        <f t="shared" si="34"/>
        <v>100</v>
      </c>
      <c r="G167" s="1">
        <v>1986</v>
      </c>
      <c r="H167" s="1001">
        <f>(O61/$R61*100*($E61/365))+(O62/$R62*100*($E62/365))</f>
        <v>42.983257229832567</v>
      </c>
      <c r="I167" s="1001"/>
      <c r="J167" s="1001">
        <f>(P61/$R61*100*($E61/365))+(P62/$R62*100*($E62/365))</f>
        <v>57.016742770167426</v>
      </c>
      <c r="K167" s="1001"/>
      <c r="L167" s="1001">
        <f>(Q61/$R61*100*($E61/365))+(Q62/$R62*100*($E62/365))</f>
        <v>0</v>
      </c>
      <c r="M167" s="1001"/>
      <c r="N167" s="959">
        <f t="shared" si="36"/>
        <v>100</v>
      </c>
      <c r="O167" s="959"/>
      <c r="R167" s="1">
        <v>1986</v>
      </c>
      <c r="S167" s="8">
        <f>(O61*($E61/365))+(O62*($E62/365))</f>
        <v>23.210958904109589</v>
      </c>
      <c r="T167" s="8">
        <f>(P61*($E61/365))+(P62*($E62/365))</f>
        <v>30.789041095890408</v>
      </c>
      <c r="U167" s="8">
        <f>(Q61*($E61/365))+(Q62*($E62/365))</f>
        <v>0</v>
      </c>
      <c r="V167" s="7"/>
      <c r="W167" s="7">
        <f t="shared" si="35"/>
        <v>54</v>
      </c>
    </row>
    <row r="168" spans="1:23">
      <c r="A168" s="1">
        <v>1987</v>
      </c>
      <c r="B168" s="8">
        <f>(K63*($E63/365))+(K64*($E64/365))</f>
        <v>35.714285714285715</v>
      </c>
      <c r="C168" s="8">
        <f>(L63*($E63/365))+(L64*($E64/365))</f>
        <v>64.285714285714292</v>
      </c>
      <c r="D168" s="8">
        <f>(M63*($E63/365))+(M64*($E64/365))</f>
        <v>0</v>
      </c>
      <c r="E168" s="48">
        <f t="shared" si="34"/>
        <v>100</v>
      </c>
      <c r="G168" s="1">
        <v>1987</v>
      </c>
      <c r="H168" s="1001">
        <f>(O63/$R63*100*($E63/365))+(O64/$R64*100*($E64/365))</f>
        <v>33.333333333333329</v>
      </c>
      <c r="I168" s="1001"/>
      <c r="J168" s="1001">
        <f>(P63/$R63*100*($E63/365))+(P64/$R64*100*($E64/365))</f>
        <v>66.666666666666657</v>
      </c>
      <c r="K168" s="1001"/>
      <c r="L168" s="1001">
        <f>(Q63/$R63*100*($E63/365))+(Q64/$R64*100*($E64/365))</f>
        <v>0</v>
      </c>
      <c r="M168" s="1001"/>
      <c r="N168" s="959">
        <f t="shared" si="36"/>
        <v>99.999999999999986</v>
      </c>
      <c r="O168" s="959"/>
      <c r="R168" s="1">
        <v>1987</v>
      </c>
      <c r="S168" s="8">
        <f>(O63*($E63/365))+(O64*($E64/365))</f>
        <v>18</v>
      </c>
      <c r="T168" s="8">
        <f>(P63*($E63/365))+(P64*($E64/365))</f>
        <v>36</v>
      </c>
      <c r="U168" s="8">
        <f>(Q63*($E63/365))+(Q64*($E64/365))</f>
        <v>0</v>
      </c>
      <c r="V168" s="7"/>
      <c r="W168" s="7">
        <f t="shared" si="35"/>
        <v>54</v>
      </c>
    </row>
    <row r="169" spans="1:23">
      <c r="A169" s="1">
        <v>1988</v>
      </c>
      <c r="B169" s="8">
        <f>(K65*($E65/366))+(K66*($E66/366))</f>
        <v>35.714285714285715</v>
      </c>
      <c r="C169" s="8">
        <f>(L65*($E65/366))+(L66*($E66/366))</f>
        <v>64.285714285714292</v>
      </c>
      <c r="D169" s="8">
        <f>(M65*($E65/366))+(M66*($E66/366))</f>
        <v>0</v>
      </c>
      <c r="E169" s="48">
        <f t="shared" si="34"/>
        <v>100</v>
      </c>
      <c r="G169" s="1">
        <v>1988</v>
      </c>
      <c r="H169" s="1001">
        <f>(O65/$R65*100*($E65/366))+(O66/$R66*100*($E66/366))</f>
        <v>33.333333333333329</v>
      </c>
      <c r="I169" s="1001"/>
      <c r="J169" s="1001">
        <f>(P65/$R65*100*($E65/366))+(P66/$R66*100*($E66/366))</f>
        <v>66.666666666666657</v>
      </c>
      <c r="K169" s="1001"/>
      <c r="L169" s="1001">
        <f>(Q65/$R65*100*($E65/366))+(Q66/$R66*100*($E66/366))</f>
        <v>0</v>
      </c>
      <c r="M169" s="1001"/>
      <c r="N169" s="959">
        <f t="shared" si="36"/>
        <v>99.999999999999986</v>
      </c>
      <c r="O169" s="959"/>
      <c r="R169" s="1">
        <v>1988</v>
      </c>
      <c r="S169" s="8">
        <f>(O65*($E65/366))+(O66*($E66/366))</f>
        <v>18</v>
      </c>
      <c r="T169" s="8">
        <f>(P65*($E65/366))+(P66*($E66/366))</f>
        <v>36</v>
      </c>
      <c r="U169" s="8">
        <f>(Q65*($E65/366))+(Q66*($E66/366))</f>
        <v>0</v>
      </c>
      <c r="V169" s="7"/>
      <c r="W169" s="7">
        <f t="shared" si="35"/>
        <v>54</v>
      </c>
    </row>
    <row r="170" spans="1:23">
      <c r="A170" s="1">
        <v>1989</v>
      </c>
      <c r="B170" s="8">
        <f>(K67*($E67/365))+(K68*($E68/365))</f>
        <v>30.332681017612522</v>
      </c>
      <c r="C170" s="8">
        <f>(L67*($E67/365))+(L68*($E68/365))</f>
        <v>62.133072407045013</v>
      </c>
      <c r="D170" s="8">
        <f>(M67*($E67/365))+(M68*($E68/365))</f>
        <v>7.5342465753424657</v>
      </c>
      <c r="E170" s="48">
        <f t="shared" si="34"/>
        <v>100</v>
      </c>
      <c r="G170" s="1">
        <v>1989</v>
      </c>
      <c r="H170" s="1001">
        <f>(O67/$R67*100*($E67/365))+(O68/$R68*100*($E68/365))</f>
        <v>28.310502283105016</v>
      </c>
      <c r="I170" s="1001"/>
      <c r="J170" s="1001">
        <f>(P67/$R67*100*($E67/365))+(P68/$R68*100*($E68/365))</f>
        <v>64.517158182289478</v>
      </c>
      <c r="K170" s="1001"/>
      <c r="L170" s="1001">
        <f>(Q67/$R67*100*($E67/365))+(Q68/$R68*100*($E68/365))</f>
        <v>7.1723395346054915</v>
      </c>
      <c r="M170" s="1001"/>
      <c r="N170" s="959">
        <f t="shared" si="36"/>
        <v>100</v>
      </c>
      <c r="O170" s="959"/>
      <c r="R170" s="1">
        <v>1989</v>
      </c>
      <c r="S170" s="8">
        <f>(O67*($E67/365))+(O68*($E68/365))</f>
        <v>15.287671232876711</v>
      </c>
      <c r="T170" s="8">
        <f>(P67*($E67/365))+(P68*($E68/365))</f>
        <v>36</v>
      </c>
      <c r="U170" s="8">
        <f>(Q67*($E67/365))+(Q68*($E68/365))</f>
        <v>4.9273972602739731</v>
      </c>
      <c r="V170" s="7"/>
      <c r="W170" s="7">
        <f t="shared" si="35"/>
        <v>56.215068493150682</v>
      </c>
    </row>
    <row r="171" spans="1:23">
      <c r="A171" s="1">
        <v>1990</v>
      </c>
      <c r="B171" s="8">
        <f>(K69*($E69/365))+(K70*($E70/365))</f>
        <v>0</v>
      </c>
      <c r="C171" s="8">
        <f>(L69*($E69/365))+(L70*($E70/365))</f>
        <v>50</v>
      </c>
      <c r="D171" s="8">
        <f>(M69*($E69/365))+(M70*($E70/365))</f>
        <v>50</v>
      </c>
      <c r="E171" s="48">
        <f t="shared" si="34"/>
        <v>100</v>
      </c>
      <c r="G171" s="1">
        <v>1990</v>
      </c>
      <c r="H171" s="1001">
        <f>(O69/$R69*100*($E69/365))+(O70/$R70*100*($E70/365))</f>
        <v>0</v>
      </c>
      <c r="I171" s="1001"/>
      <c r="J171" s="1001">
        <f>(P69/$R69*100*($E69/365))+(P70/$R70*100*($E70/365))</f>
        <v>52.401746724890828</v>
      </c>
      <c r="K171" s="1001"/>
      <c r="L171" s="1001">
        <f>(Q69/$R69*100*($E69/365))+(Q70/$R70*100*($E70/365))</f>
        <v>47.598253275109172</v>
      </c>
      <c r="M171" s="1001"/>
      <c r="N171" s="959">
        <f t="shared" si="36"/>
        <v>100</v>
      </c>
      <c r="O171" s="959"/>
      <c r="R171" s="1">
        <v>1990</v>
      </c>
      <c r="S171" s="8">
        <f>(O69*($E69/365))+(O70*($E70/365))</f>
        <v>0</v>
      </c>
      <c r="T171" s="8">
        <f>(P69*($E69/365))+(P70*($E70/365))</f>
        <v>36</v>
      </c>
      <c r="U171" s="8">
        <f>(Q69*($E69/365))+(Q70*($E70/365))</f>
        <v>32.700000000000003</v>
      </c>
      <c r="V171" s="7"/>
      <c r="W171" s="7">
        <f t="shared" si="35"/>
        <v>68.7</v>
      </c>
    </row>
    <row r="172" spans="1:23">
      <c r="A172" s="1">
        <v>1991</v>
      </c>
      <c r="B172" s="8">
        <f>(K71*($E71/365))+(K72*($E72/365))</f>
        <v>0</v>
      </c>
      <c r="C172" s="8">
        <f>(L71*($E71/365))+(L72*($E72/365))</f>
        <v>50</v>
      </c>
      <c r="D172" s="8">
        <f>(M71*($E71/365))+(M72*($E72/365))</f>
        <v>50</v>
      </c>
      <c r="E172" s="48">
        <f t="shared" si="34"/>
        <v>100</v>
      </c>
      <c r="G172" s="1">
        <v>1991</v>
      </c>
      <c r="H172" s="1001">
        <f>(O71/$R71*100*($E71/365))+(O72/$R72*100*($E72/365))</f>
        <v>0</v>
      </c>
      <c r="I172" s="1001"/>
      <c r="J172" s="1001">
        <f>(P71/$R71*100*($E71/365))+(P72/$R72*100*($E72/365))</f>
        <v>52.401746724890828</v>
      </c>
      <c r="K172" s="1001"/>
      <c r="L172" s="1001">
        <f>(Q71/$R71*100*($E71/365))+(Q72/$R72*100*($E72/365))</f>
        <v>47.598253275109172</v>
      </c>
      <c r="M172" s="1001"/>
      <c r="N172" s="959">
        <f t="shared" si="36"/>
        <v>100</v>
      </c>
      <c r="O172" s="959"/>
      <c r="R172" s="1">
        <v>1991</v>
      </c>
      <c r="S172" s="8">
        <f>(O71*($E71/365))+(O72*($E72/365))</f>
        <v>0</v>
      </c>
      <c r="T172" s="8">
        <f>(P71*($E71/365))+(P72*($E72/365))</f>
        <v>36</v>
      </c>
      <c r="U172" s="8">
        <f>(Q71*($E71/365))+(Q72*($E72/365))</f>
        <v>32.700000000000003</v>
      </c>
      <c r="V172" s="7"/>
      <c r="W172" s="7">
        <f t="shared" si="35"/>
        <v>68.7</v>
      </c>
    </row>
    <row r="173" spans="1:23">
      <c r="A173" s="1">
        <v>1992</v>
      </c>
      <c r="B173" s="8">
        <f>(K73*($E73/366))+(K74*($E74/366))</f>
        <v>0</v>
      </c>
      <c r="C173" s="8">
        <f>(L73*($E73/366))+(L74*($E74/366))</f>
        <v>50</v>
      </c>
      <c r="D173" s="8">
        <f>(M73*($E73/366))+(M74*($E74/366))</f>
        <v>50</v>
      </c>
      <c r="E173" s="48">
        <f t="shared" si="34"/>
        <v>100</v>
      </c>
      <c r="G173" s="1">
        <v>1992</v>
      </c>
      <c r="H173" s="1001">
        <f>(O73/$R73*100*($E73/366))+(O74/$R74*100*($E74/366))</f>
        <v>0</v>
      </c>
      <c r="I173" s="1001"/>
      <c r="J173" s="1001">
        <f>(P73/$R73*100*($E73/366))+(P74/$R74*100*($E74/366))</f>
        <v>52.401746724890828</v>
      </c>
      <c r="K173" s="1001"/>
      <c r="L173" s="1001">
        <f>(Q73/$R73*100*($E73/366))+(Q74/$R74*100*($E74/366))</f>
        <v>47.598253275109172</v>
      </c>
      <c r="M173" s="1001"/>
      <c r="N173" s="959">
        <f t="shared" si="36"/>
        <v>100</v>
      </c>
      <c r="O173" s="959"/>
      <c r="R173" s="1">
        <v>1992</v>
      </c>
      <c r="S173" s="8">
        <f>(O73*($E73/366))+(O74*($E74/366))</f>
        <v>0</v>
      </c>
      <c r="T173" s="8">
        <f>(P73*($E73/366))+(P74*($E74/366))</f>
        <v>36</v>
      </c>
      <c r="U173" s="8">
        <f>(Q73*($E73/366))+(Q74*($E74/366))</f>
        <v>32.700000000000003</v>
      </c>
      <c r="V173" s="7"/>
      <c r="W173" s="7">
        <f t="shared" si="35"/>
        <v>68.7</v>
      </c>
    </row>
    <row r="174" spans="1:23">
      <c r="A174" s="1">
        <v>1993</v>
      </c>
      <c r="B174" s="8">
        <f>(K75*($E75/365))+(K76*($E76/365))</f>
        <v>0</v>
      </c>
      <c r="C174" s="8">
        <f>(L75*($E75/365))+(L76*($E76/365))</f>
        <v>50</v>
      </c>
      <c r="D174" s="8">
        <f>(M75*($E75/365))+(M76*($E76/365))</f>
        <v>50</v>
      </c>
      <c r="E174" s="48">
        <f t="shared" si="34"/>
        <v>100</v>
      </c>
      <c r="G174" s="1">
        <v>1993</v>
      </c>
      <c r="H174" s="1001">
        <f>(O75/$R75*100*($E75/365))+(O76/$R76*100*($E76/365))</f>
        <v>0</v>
      </c>
      <c r="I174" s="1001"/>
      <c r="J174" s="1001">
        <f>(P75/$R75*100*($E75/365))+(P76/$R76*100*($E76/365))</f>
        <v>52.401746724890828</v>
      </c>
      <c r="K174" s="1001"/>
      <c r="L174" s="1001">
        <f>(Q75/$R75*100*($E75/365))+(Q76/$R76*100*($E76/365))</f>
        <v>47.598253275109172</v>
      </c>
      <c r="M174" s="1001"/>
      <c r="N174" s="959">
        <f t="shared" si="36"/>
        <v>100</v>
      </c>
      <c r="O174" s="959"/>
      <c r="R174" s="1">
        <v>1993</v>
      </c>
      <c r="S174" s="8">
        <f>(O75*($E75/365))+(O76*($E76/365))</f>
        <v>0</v>
      </c>
      <c r="T174" s="8">
        <f>(P75*($E75/365))+(P76*($E76/365))</f>
        <v>36</v>
      </c>
      <c r="U174" s="8">
        <f>(Q75*($E75/365))+(Q76*($E76/365))</f>
        <v>32.700000000000003</v>
      </c>
      <c r="V174" s="7"/>
      <c r="W174" s="7">
        <f t="shared" si="35"/>
        <v>68.7</v>
      </c>
    </row>
    <row r="175" spans="1:23">
      <c r="A175" s="1">
        <v>1994</v>
      </c>
      <c r="B175" s="8">
        <f>(K77*($E77/365))+(K78*($E78/365))</f>
        <v>12.915851272015656</v>
      </c>
      <c r="C175" s="8">
        <f>(L77*($E77/365))+(L78*($E78/365))</f>
        <v>42.250489236790607</v>
      </c>
      <c r="D175" s="8">
        <f>(M77*($E77/365))+(M78*($E78/365))</f>
        <v>44.833659491193742</v>
      </c>
      <c r="E175" s="48">
        <f t="shared" si="34"/>
        <v>100</v>
      </c>
      <c r="G175" s="1">
        <v>1994</v>
      </c>
      <c r="H175" s="1001">
        <f>(O77/$R77*100*($E77/365))+(O78/$R78*100*($E78/365))</f>
        <v>12.192227031368523</v>
      </c>
      <c r="I175" s="1001"/>
      <c r="J175" s="1001">
        <f>(P77/$R77*100*($E77/365))+(P78/$R78*100*($E78/365))</f>
        <v>42.874921645425601</v>
      </c>
      <c r="K175" s="1001"/>
      <c r="L175" s="1001">
        <f>(Q77/$R77*100*($E77/365))+(Q78/$R78*100*($E78/365))</f>
        <v>44.932851323205874</v>
      </c>
      <c r="M175" s="1001"/>
      <c r="N175" s="959">
        <f t="shared" si="36"/>
        <v>100</v>
      </c>
      <c r="O175" s="959"/>
      <c r="R175" s="1">
        <v>1994</v>
      </c>
      <c r="S175" s="8">
        <f>(O77*($E77/365))+(O78*($E78/365))</f>
        <v>7.4860273972602736</v>
      </c>
      <c r="T175" s="8">
        <f>(P77*($E77/365))+(P78*($E78/365))</f>
        <v>28.767123287671236</v>
      </c>
      <c r="U175" s="8">
        <f>(Q77*($E77/365))+(Q78*($E78/365))</f>
        <v>29.806849315068497</v>
      </c>
      <c r="V175" s="7"/>
      <c r="W175" s="7">
        <f t="shared" si="35"/>
        <v>66.06</v>
      </c>
    </row>
    <row r="176" spans="1:23">
      <c r="A176" s="1">
        <v>1995</v>
      </c>
      <c r="B176" s="8">
        <f>(K79*($E79/365))+(K80*($E80/365))</f>
        <v>35.714285714285715</v>
      </c>
      <c r="C176" s="8">
        <f>(L79*($E79/365))+(L80*($E80/365))</f>
        <v>28.571428571428569</v>
      </c>
      <c r="D176" s="8">
        <f>(M79*($E79/365))+(M80*($E80/365))</f>
        <v>35.714285714285715</v>
      </c>
      <c r="E176" s="48">
        <f t="shared" si="34"/>
        <v>100</v>
      </c>
      <c r="G176" s="1">
        <v>1995</v>
      </c>
      <c r="H176" s="1001">
        <f>(O79/$R79*100*($E79/365))+(O80/$R80*100*($E80/365))</f>
        <v>33.713355048859931</v>
      </c>
      <c r="I176" s="1001"/>
      <c r="J176" s="1001">
        <f>(P79/$R79*100*($E79/365))+(P80/$R80*100*($E80/365))</f>
        <v>26.058631921824098</v>
      </c>
      <c r="K176" s="1001"/>
      <c r="L176" s="1001">
        <f>(Q79/$R79*100*($E79/365))+(Q80/$R80*100*($E80/365))</f>
        <v>40.22801302931596</v>
      </c>
      <c r="M176" s="1001"/>
      <c r="N176" s="959">
        <f t="shared" si="36"/>
        <v>99.999999999999986</v>
      </c>
      <c r="O176" s="959"/>
      <c r="R176" s="1">
        <v>1995</v>
      </c>
      <c r="S176" s="8">
        <f>(O79*($E79/365))+(O80*($E80/365))</f>
        <v>20.7</v>
      </c>
      <c r="T176" s="8">
        <f>(P79*($E79/365))+(P80*($E80/365))</f>
        <v>16</v>
      </c>
      <c r="U176" s="8">
        <f>(Q79*($E79/365))+(Q80*($E80/365))</f>
        <v>24.7</v>
      </c>
      <c r="V176" s="7"/>
      <c r="W176" s="7">
        <f t="shared" si="35"/>
        <v>61.400000000000006</v>
      </c>
    </row>
    <row r="177" spans="1:23">
      <c r="A177" s="1">
        <v>1996</v>
      </c>
      <c r="B177" s="8">
        <f>(K81*($E81/366))+(K82*($E82/366))</f>
        <v>35.714285714285715</v>
      </c>
      <c r="C177" s="8">
        <f>(L81*($E81/366))+(L82*($E82/366))</f>
        <v>28.571428571428569</v>
      </c>
      <c r="D177" s="8">
        <f>(M81*($E81/366))+(M82*($E82/366))</f>
        <v>35.714285714285715</v>
      </c>
      <c r="E177" s="48">
        <f t="shared" si="34"/>
        <v>100</v>
      </c>
      <c r="G177" s="1">
        <v>1996</v>
      </c>
      <c r="H177" s="1001">
        <f>(O81/$R81*100*($E81/366))+(O82/$R82*100*($E82/366))</f>
        <v>33.713355048859931</v>
      </c>
      <c r="I177" s="1001"/>
      <c r="J177" s="1001">
        <f>(P81/$R81*100*($E81/366))+(P82/$R82*100*($E82/366))</f>
        <v>26.058631921824098</v>
      </c>
      <c r="K177" s="1001"/>
      <c r="L177" s="1001">
        <f>(Q81/$R81*100*($E81/366))+(Q82/$R82*100*($E82/366))</f>
        <v>40.22801302931596</v>
      </c>
      <c r="M177" s="1001"/>
      <c r="N177" s="959">
        <f t="shared" si="36"/>
        <v>99.999999999999986</v>
      </c>
      <c r="O177" s="959"/>
      <c r="R177" s="1">
        <v>1996</v>
      </c>
      <c r="S177" s="8">
        <f>(O81*($E81/366))+(O82*($E82/366))</f>
        <v>20.7</v>
      </c>
      <c r="T177" s="8">
        <f>(P81*($E81/366))+(P82*($E82/366))</f>
        <v>16</v>
      </c>
      <c r="U177" s="8">
        <f>(Q81*($E81/366))+(Q82*($E82/366))</f>
        <v>24.7</v>
      </c>
      <c r="V177" s="7"/>
      <c r="W177" s="7">
        <f t="shared" si="35"/>
        <v>61.400000000000006</v>
      </c>
    </row>
    <row r="178" spans="1:23">
      <c r="A178" s="1">
        <v>1997</v>
      </c>
      <c r="B178" s="8">
        <f>(K83*($E83/365))+(K84*($E84/365))</f>
        <v>35.714285714285715</v>
      </c>
      <c r="C178" s="8">
        <f>(L83*($E83/365))+(L84*($E84/365))</f>
        <v>28.571428571428569</v>
      </c>
      <c r="D178" s="8">
        <f>(M83*($E83/365))+(M84*($E84/365))</f>
        <v>35.714285714285715</v>
      </c>
      <c r="E178" s="48">
        <f t="shared" si="34"/>
        <v>100</v>
      </c>
      <c r="G178" s="1">
        <v>1997</v>
      </c>
      <c r="H178" s="1001">
        <f>(O83/$R83*100*($E83/365))+(O84/$R84*100*($E84/365))</f>
        <v>33.713355048859931</v>
      </c>
      <c r="I178" s="1001"/>
      <c r="J178" s="1001">
        <f>(P83/$R83*100*($E83/365))+(P84/$R84*100*($E84/365))</f>
        <v>26.058631921824098</v>
      </c>
      <c r="K178" s="1001"/>
      <c r="L178" s="1001">
        <f>(Q83/$R83*100*($E83/365))+(Q84/$R84*100*($E84/365))</f>
        <v>40.22801302931596</v>
      </c>
      <c r="M178" s="1001"/>
      <c r="N178" s="959">
        <f t="shared" si="36"/>
        <v>99.999999999999986</v>
      </c>
      <c r="O178" s="959"/>
      <c r="R178" s="1">
        <v>1997</v>
      </c>
      <c r="S178" s="8">
        <f>(O83*($E83/365))+(O84*($E84/365))</f>
        <v>20.7</v>
      </c>
      <c r="T178" s="8">
        <f>(P83*($E83/365))+(P84*($E84/365))</f>
        <v>16</v>
      </c>
      <c r="U178" s="8">
        <f>(Q83*($E83/365))+(Q84*($E84/365))</f>
        <v>24.7</v>
      </c>
      <c r="V178" s="7"/>
      <c r="W178" s="7">
        <f t="shared" si="35"/>
        <v>61.400000000000006</v>
      </c>
    </row>
    <row r="179" spans="1:23">
      <c r="A179" s="1">
        <v>1998</v>
      </c>
      <c r="B179" s="8">
        <f>(K85*($E85/365))+(K86*($E86/365))</f>
        <v>38.669275929549904</v>
      </c>
      <c r="C179" s="8">
        <f>(L85*($E85/365))+(L86*($E86/365))</f>
        <v>25.616438356164384</v>
      </c>
      <c r="D179" s="8">
        <f>(M85*($E85/365))+(M86*($E86/365))</f>
        <v>35.714285714285715</v>
      </c>
      <c r="E179" s="48">
        <f t="shared" si="34"/>
        <v>100</v>
      </c>
      <c r="G179" s="1">
        <v>1998</v>
      </c>
      <c r="H179" s="1001">
        <f>(O85/$R85*100*($E85/365))+(O86/$R86*100*($E86/365))</f>
        <v>35.968315260929614</v>
      </c>
      <c r="I179" s="1001"/>
      <c r="J179" s="1001">
        <f>(P85/$R85*100*($E85/365))+(P86/$R86*100*($E86/365))</f>
        <v>21.233934905639135</v>
      </c>
      <c r="K179" s="1001"/>
      <c r="L179" s="1001">
        <f>(Q85/$R85*100*($E85/365))+(Q86/$R86*100*($E86/365))</f>
        <v>42.797749833431254</v>
      </c>
      <c r="M179" s="1001"/>
      <c r="N179" s="959">
        <f t="shared" si="36"/>
        <v>100</v>
      </c>
      <c r="O179" s="959"/>
      <c r="R179" s="1">
        <v>1998</v>
      </c>
      <c r="S179" s="8">
        <f>(O85*($E85/365))+(O86*($E86/365))</f>
        <v>22.603013698630136</v>
      </c>
      <c r="T179" s="8">
        <f>(P85*($E85/365))+(P86*($E86/365))</f>
        <v>13.228219178082192</v>
      </c>
      <c r="U179" s="8">
        <f>(Q85*($E85/365))+(Q86*($E86/365))</f>
        <v>26.89260273972603</v>
      </c>
      <c r="V179" s="7"/>
      <c r="W179" s="7">
        <f t="shared" si="35"/>
        <v>62.723835616438357</v>
      </c>
    </row>
    <row r="180" spans="1:23">
      <c r="A180" s="1">
        <v>1999</v>
      </c>
      <c r="B180" s="8">
        <f>(K87*($E87/365))+(K88*($E88/365))</f>
        <v>40</v>
      </c>
      <c r="C180" s="8">
        <f>(L87*($E87/365))+(L88*($E88/365))</f>
        <v>20</v>
      </c>
      <c r="D180" s="8">
        <f>(M87*($E87/365))+(M88*($E88/365))</f>
        <v>40</v>
      </c>
      <c r="E180" s="48">
        <f t="shared" si="34"/>
        <v>100</v>
      </c>
      <c r="G180" s="1">
        <v>1999</v>
      </c>
      <c r="H180" s="1001">
        <f>(O87/$R87*100*($E87/365))+(O88/$R88*100*($E88/365))</f>
        <v>39.164086687306501</v>
      </c>
      <c r="I180" s="1001"/>
      <c r="J180" s="1001">
        <f>(P87/$R87*100*($E87/365))+(P88/$R88*100*($E88/365))</f>
        <v>14.396284829721365</v>
      </c>
      <c r="K180" s="1001"/>
      <c r="L180" s="1001">
        <f>(Q87/$R87*100*($E87/365))+(Q88/$R88*100*($E88/365))</f>
        <v>46.43962848297214</v>
      </c>
      <c r="M180" s="1001"/>
      <c r="N180" s="959">
        <f t="shared" si="36"/>
        <v>100</v>
      </c>
      <c r="O180" s="959"/>
      <c r="R180" s="1">
        <v>1999</v>
      </c>
      <c r="S180" s="8">
        <f>(O87*($E87/365))+(O88*($E88/365))</f>
        <v>25.3</v>
      </c>
      <c r="T180" s="8">
        <f>(P87*($E87/365))+(P88*($E88/365))</f>
        <v>9.3000000000000007</v>
      </c>
      <c r="U180" s="8">
        <f>(Q87*($E87/365))+(Q88*($E88/365))</f>
        <v>30</v>
      </c>
      <c r="V180" s="7"/>
      <c r="W180" s="7">
        <f t="shared" si="35"/>
        <v>64.599999999999994</v>
      </c>
    </row>
    <row r="181" spans="1:23">
      <c r="A181" s="1">
        <v>2000</v>
      </c>
      <c r="B181" s="8">
        <f>(K89*($E89/366))+(K90*($E90/366))</f>
        <v>40</v>
      </c>
      <c r="C181" s="8">
        <f>(L89*($E89/366))+(L90*($E90/366))</f>
        <v>20</v>
      </c>
      <c r="D181" s="8">
        <f>(M89*($E89/366))+(M90*($E90/366))</f>
        <v>40</v>
      </c>
      <c r="E181" s="48">
        <f t="shared" si="34"/>
        <v>100</v>
      </c>
      <c r="G181" s="1">
        <v>2000</v>
      </c>
      <c r="H181" s="1001">
        <f>(O89/$R89*100*($E89/366))+(O90/$R90*100*($E90/366))</f>
        <v>39.164086687306501</v>
      </c>
      <c r="I181" s="1001"/>
      <c r="J181" s="1001">
        <f>(P89/$R89*100*($E89/366))+(P90/$R90*100*($E90/366))</f>
        <v>14.396284829721365</v>
      </c>
      <c r="K181" s="1001"/>
      <c r="L181" s="1001">
        <f>(Q89/$R89*100*($E89/366))+(Q90/$R90*100*($E90/366))</f>
        <v>46.43962848297214</v>
      </c>
      <c r="M181" s="1001"/>
      <c r="N181" s="959">
        <f t="shared" si="36"/>
        <v>100</v>
      </c>
      <c r="O181" s="959"/>
      <c r="R181" s="1">
        <v>2000</v>
      </c>
      <c r="S181" s="8">
        <f>(O89*($E89/366))+(O90*($E90/366))</f>
        <v>25.3</v>
      </c>
      <c r="T181" s="8">
        <f>(P89*($E89/366))+(P90*($E90/366))</f>
        <v>9.3000000000000007</v>
      </c>
      <c r="U181" s="8">
        <f>(Q89*($E89/366))+(Q90*($E90/366))</f>
        <v>30</v>
      </c>
      <c r="V181" s="7"/>
      <c r="W181" s="7">
        <f t="shared" si="35"/>
        <v>64.599999999999994</v>
      </c>
    </row>
    <row r="182" spans="1:23">
      <c r="A182" s="1">
        <v>2001</v>
      </c>
      <c r="B182" s="8">
        <f>(K91*($E91/365))+(K92*($E92/365))</f>
        <v>40</v>
      </c>
      <c r="C182" s="8">
        <f>(L91*($E91/365))+(L92*($E92/365))</f>
        <v>20</v>
      </c>
      <c r="D182" s="8">
        <f>(M91*($E91/365))+(M92*($E92/365))</f>
        <v>40</v>
      </c>
      <c r="E182" s="48">
        <f t="shared" si="34"/>
        <v>100</v>
      </c>
      <c r="G182" s="1">
        <v>2001</v>
      </c>
      <c r="H182" s="1001">
        <f>(O91/$R91*100*($E91/365))+(O92/$R92*100*($E92/365))</f>
        <v>39.164086687306501</v>
      </c>
      <c r="I182" s="1001"/>
      <c r="J182" s="1001">
        <f>(P91/$R91*100*($E91/365))+(P92/$R92*100*($E92/365))</f>
        <v>14.396284829721365</v>
      </c>
      <c r="K182" s="1001"/>
      <c r="L182" s="1001">
        <f>(Q91/$R91*100*($E91/365))+(Q92/$R92*100*($E92/365))</f>
        <v>46.43962848297214</v>
      </c>
      <c r="M182" s="1001"/>
      <c r="N182" s="959">
        <f t="shared" si="36"/>
        <v>100</v>
      </c>
      <c r="O182" s="959"/>
      <c r="R182" s="1">
        <v>2001</v>
      </c>
      <c r="S182" s="8">
        <f>(O91*($E91/365))+(O92*($E92/365))</f>
        <v>25.3</v>
      </c>
      <c r="T182" s="8">
        <f>(P91*($E91/365))+(P92*($E92/365))</f>
        <v>9.3000000000000007</v>
      </c>
      <c r="U182" s="8">
        <f>(Q91*($E91/365))+(Q92*($E92/365))</f>
        <v>30</v>
      </c>
      <c r="V182" s="7"/>
      <c r="W182" s="7">
        <f t="shared" si="35"/>
        <v>64.599999999999994</v>
      </c>
    </row>
    <row r="183" spans="1:23">
      <c r="A183" s="1">
        <v>2002</v>
      </c>
      <c r="B183" s="8">
        <f>(K93*($E93/365))+(K94*($E94/365))+(K95*($E95/365))+(K96*($E96/365))+(K97*($E97/365))</f>
        <v>39.422166874221666</v>
      </c>
      <c r="C183" s="8">
        <f>(L93*($E93/365))+(L94*($E94/365))+(L95*($E95/365))+(L96*($E96/365))+(L97*($E97/365))</f>
        <v>38.440846824408467</v>
      </c>
      <c r="D183" s="8">
        <f>(M93*($E93/365))+(M94*($E94/365))+(M95*($E95/365))+(M96*($E96/365))+(M97*($E97/365))</f>
        <v>22.136986301369863</v>
      </c>
      <c r="E183" s="48">
        <f t="shared" si="34"/>
        <v>100</v>
      </c>
      <c r="G183" s="1">
        <v>2002</v>
      </c>
      <c r="H183" s="1001">
        <f>(O93/$R93*100*($E93/365))+(O94/$R94*100*($E94/365))+(O95/$R95*100*($E95/365))+(O96/$R96*100*($E96/365))+(O97/$R97*100*($E97/365))</f>
        <v>41.880355874465941</v>
      </c>
      <c r="I183" s="1001"/>
      <c r="J183" s="1001">
        <f>(P93/$R93*100*($E93/365))+(P94/$R94*100*($E94/365))+(P95/$R95*100*($E95/365))+(P96/$R96*100*($E96/365))+(P97/$R97*100*($E97/365))</f>
        <v>32.418808636327554</v>
      </c>
      <c r="K183" s="1001"/>
      <c r="L183" s="1001">
        <f>(Q93/$R93*100*($E93/365))+(Q94/$R94*100*($E94/365))+(Q95/$R95*100*($E95/365))+(Q96/$R96*100*($E96/365))+(Q97/$R97*100*($E97/365))</f>
        <v>25.700835489206501</v>
      </c>
      <c r="M183" s="1001"/>
      <c r="N183" s="959">
        <f t="shared" si="36"/>
        <v>100</v>
      </c>
      <c r="O183" s="959"/>
      <c r="R183" s="1">
        <v>2002</v>
      </c>
      <c r="S183" s="8">
        <f>(O93*($E93/365))+(O94*($E94/365))+(O95*($E95/365))+(O96*($E96/365))+(O97*($E97/365))</f>
        <v>25.223013698630133</v>
      </c>
      <c r="T183" s="8">
        <f>(P93*($E93/365))+(P94*($E94/365))+(P95*($E95/365))+(P96*($E96/365))+(P97*($E97/365))</f>
        <v>17.963561643835614</v>
      </c>
      <c r="U183" s="8">
        <f>(Q93*($E93/365))+(Q94*($E94/365))+(Q95*($E95/365))+(Q96*($E96/365))+(Q97*($E97/365))</f>
        <v>16.602739726027398</v>
      </c>
      <c r="V183" s="7"/>
      <c r="W183" s="7">
        <f t="shared" si="35"/>
        <v>59.789315068493138</v>
      </c>
    </row>
    <row r="184" spans="1:23">
      <c r="A184" s="1">
        <v>2003</v>
      </c>
      <c r="B184" s="8">
        <f>(K98*($E98/365))+(K99*($E99/365))</f>
        <v>32.5</v>
      </c>
      <c r="C184" s="8">
        <f>(L98*($E98/365))+(L99*($E99/365))</f>
        <v>67.5</v>
      </c>
      <c r="D184" s="8">
        <f>(M98*($E98/365))+(M99*($E99/365))</f>
        <v>0</v>
      </c>
      <c r="E184" s="48">
        <f t="shared" si="34"/>
        <v>100</v>
      </c>
      <c r="G184" s="1">
        <v>2003</v>
      </c>
      <c r="H184" s="1001">
        <f>(O98/$R98*100*($E98/365))+(O99/$R99*100*($E99/365))</f>
        <v>35.894596454999139</v>
      </c>
      <c r="I184" s="1001"/>
      <c r="J184" s="1001">
        <f>(P98/$R98*100*($E98/365))+(P99/$R99*100*($E99/365))</f>
        <v>64.105403545000854</v>
      </c>
      <c r="K184" s="1001"/>
      <c r="L184" s="1001">
        <f>(Q98/$R98*100*($E98/365))+(Q99/$R99*100*($E99/365))</f>
        <v>0</v>
      </c>
      <c r="M184" s="1001"/>
      <c r="N184" s="959">
        <f t="shared" si="36"/>
        <v>100</v>
      </c>
      <c r="O184" s="959"/>
      <c r="R184" s="1">
        <v>2003</v>
      </c>
      <c r="S184" s="8">
        <f>(O98*($E98/365))+(O99*($E99/365))</f>
        <v>17.619999999999997</v>
      </c>
      <c r="T184" s="8">
        <f>(P98*($E98/365))+(P99*($E99/365))</f>
        <v>31.459999999999997</v>
      </c>
      <c r="U184" s="8">
        <f>(Q98*($E98/365))+(Q99*($E99/365))</f>
        <v>0</v>
      </c>
      <c r="V184" s="7"/>
      <c r="W184" s="7">
        <f t="shared" si="35"/>
        <v>49.08</v>
      </c>
    </row>
    <row r="185" spans="1:23">
      <c r="A185" s="1">
        <v>2004</v>
      </c>
      <c r="B185" s="8">
        <f>(K100*($E100/366))+(K101*($E101/366))</f>
        <v>37.5</v>
      </c>
      <c r="C185" s="8">
        <f>(L100*($E100/366))+(L101*($E101/366))</f>
        <v>62.5</v>
      </c>
      <c r="D185" s="8">
        <f>(M100*($E100/366))+(M101*($E101/366))</f>
        <v>0</v>
      </c>
      <c r="E185" s="48">
        <f t="shared" si="34"/>
        <v>100</v>
      </c>
      <c r="G185" s="1">
        <v>2004</v>
      </c>
      <c r="H185" s="1001">
        <f>(O100/$R100*100*($E100/366))+(O101/$R101*100*($E101/366))</f>
        <v>35.96153846153846</v>
      </c>
      <c r="I185" s="1001"/>
      <c r="J185" s="1001">
        <f>(P100/$R100*100*($E100/366))+(P101/$R101*100*($E101/366))</f>
        <v>64.038461538461533</v>
      </c>
      <c r="K185" s="1001"/>
      <c r="L185" s="1001">
        <f>(Q100/$R100*100*($E100/366))+(Q101/$R101*100*($E101/366))</f>
        <v>0</v>
      </c>
      <c r="M185" s="1001"/>
      <c r="N185" s="959">
        <f t="shared" si="36"/>
        <v>100</v>
      </c>
      <c r="O185" s="959"/>
      <c r="R185" s="1">
        <v>2004</v>
      </c>
      <c r="S185" s="8">
        <f>(O100*($E100/366))+(O101*($E101/366))</f>
        <v>18.7</v>
      </c>
      <c r="T185" s="8">
        <f>(P100*($E100/366))+(P101*($E101/366))</f>
        <v>33.299999999999997</v>
      </c>
      <c r="U185" s="8">
        <f>(Q100*($E100/366))+(Q101*($E101/366))</f>
        <v>0</v>
      </c>
      <c r="V185" s="7"/>
      <c r="W185" s="7">
        <f t="shared" si="35"/>
        <v>52</v>
      </c>
    </row>
    <row r="186" spans="1:23">
      <c r="A186" s="1">
        <v>2005</v>
      </c>
      <c r="B186" s="8">
        <f>(K102*($E102/365))+(K103*($E103/365))</f>
        <v>37.5</v>
      </c>
      <c r="C186" s="8">
        <f>(L102*($E102/365))+(L103*($E103/365))</f>
        <v>62.5</v>
      </c>
      <c r="D186" s="8">
        <f>(M102*($E102/365))+(M103*($E103/365))</f>
        <v>0</v>
      </c>
      <c r="E186" s="48">
        <f t="shared" si="34"/>
        <v>100</v>
      </c>
      <c r="G186" s="1">
        <v>2005</v>
      </c>
      <c r="H186" s="1001">
        <f>(O102/$R102*100*($E102/365))+(O103/$R103*100*($E103/365))</f>
        <v>35.96153846153846</v>
      </c>
      <c r="I186" s="1001"/>
      <c r="J186" s="1001">
        <f>(P102/$R102*100*($E102/365))+(P103/$R103*100*($E103/365))</f>
        <v>64.038461538461533</v>
      </c>
      <c r="K186" s="1001"/>
      <c r="L186" s="1001">
        <f>(Q102/$R102*100*($E102/365))+(Q103/$R103*100*($E103/365))</f>
        <v>0</v>
      </c>
      <c r="M186" s="1001"/>
      <c r="N186" s="959">
        <f t="shared" si="36"/>
        <v>100</v>
      </c>
      <c r="O186" s="959"/>
      <c r="R186" s="1">
        <v>2005</v>
      </c>
      <c r="S186" s="8">
        <f>(O102*($E102/365))+(O103*($E103/365))</f>
        <v>18.7</v>
      </c>
      <c r="T186" s="8">
        <f>(P102*($E102/365))+(P103*($E103/365))</f>
        <v>33.299999999999997</v>
      </c>
      <c r="U186" s="8">
        <f>(Q102*($E102/365))+(Q103*($E103/365))</f>
        <v>0</v>
      </c>
      <c r="V186" s="7"/>
      <c r="W186" s="7">
        <f t="shared" si="35"/>
        <v>52</v>
      </c>
    </row>
    <row r="187" spans="1:23">
      <c r="A187" s="1">
        <v>2006</v>
      </c>
      <c r="B187" s="8">
        <f>(K104*($E104/365))+(K105*($E105/365))</f>
        <v>40.547945205479451</v>
      </c>
      <c r="C187" s="8">
        <f>(L104*($E104/365))+(L105*($E105/365))</f>
        <v>59.452054794520549</v>
      </c>
      <c r="D187" s="8">
        <f>(M104*($E104/365))+(M105*($E105/365))</f>
        <v>0</v>
      </c>
      <c r="E187" s="48">
        <f t="shared" si="34"/>
        <v>100</v>
      </c>
      <c r="G187" s="1">
        <v>2006</v>
      </c>
      <c r="H187" s="1001">
        <f>(O104/$R104*100*($E104/365))+(O105/$R105*100*($E105/365))</f>
        <v>37.422989111345274</v>
      </c>
      <c r="I187" s="1001"/>
      <c r="J187" s="1001">
        <f>(P104/$R104*100*($E104/365))+(P105/$R105*100*($E105/365))</f>
        <v>62.577010888654726</v>
      </c>
      <c r="K187" s="1001"/>
      <c r="L187" s="1001">
        <f>(Q104/$R104*100*($E104/365))+(Q105/$R105*100*($E105/365))</f>
        <v>0</v>
      </c>
      <c r="M187" s="1001"/>
      <c r="N187" s="959">
        <f t="shared" si="36"/>
        <v>100</v>
      </c>
      <c r="O187" s="959"/>
      <c r="R187" s="1">
        <v>2006</v>
      </c>
      <c r="S187" s="8">
        <f>(O104*($E104/365))+(O105*($E105/365))</f>
        <v>18.7</v>
      </c>
      <c r="T187" s="8">
        <f>(P104*($E104/365))+(P105*($E105/365))</f>
        <v>31.349315068493148</v>
      </c>
      <c r="U187" s="8">
        <f>(Q104*($E104/365))+(Q105*($E105/365))</f>
        <v>0</v>
      </c>
      <c r="V187" s="7"/>
      <c r="W187" s="7">
        <f t="shared" si="35"/>
        <v>50.049315068493144</v>
      </c>
    </row>
    <row r="188" spans="1:23">
      <c r="A188" s="1">
        <v>2007</v>
      </c>
      <c r="B188" s="8">
        <f>(K106*($E106/365))+(K107*($E107/365))</f>
        <v>6.2328767123287667</v>
      </c>
      <c r="C188" s="8">
        <f>(L106*($E106/365))+(L107*($E107/365))</f>
        <v>61.609589041095894</v>
      </c>
      <c r="D188" s="8">
        <f>(M106*($E106/365))+(M107*($E107/365))</f>
        <v>32.157534246575345</v>
      </c>
      <c r="E188" s="48">
        <f t="shared" si="34"/>
        <v>100</v>
      </c>
      <c r="G188" s="1">
        <v>2007</v>
      </c>
      <c r="H188" s="1001">
        <f>(O106/$R106*100*($E106/365))+(O107/$R107*100*($E107/365))</f>
        <v>5.5502283105022832</v>
      </c>
      <c r="I188" s="1001"/>
      <c r="J188" s="1001">
        <f>(P106/$R106*100*($E106/365))+(P107/$R107*100*($E107/365))</f>
        <v>59.05436188713837</v>
      </c>
      <c r="K188" s="1001"/>
      <c r="L188" s="1001">
        <f>(Q106/$R106*100*($E106/365))+(Q107/$R107*100*($E107/365))</f>
        <v>35.395409802359353</v>
      </c>
      <c r="M188" s="1001"/>
      <c r="N188" s="959">
        <f t="shared" si="36"/>
        <v>100</v>
      </c>
      <c r="O188" s="959"/>
      <c r="R188" s="1">
        <v>2007</v>
      </c>
      <c r="S188" s="8">
        <f>(O106*($E106/365))+(O107*($E107/365))</f>
        <v>2.6641095890410957</v>
      </c>
      <c r="T188" s="8">
        <f>(P106*($E106/365))+(P107*($E107/365))</f>
        <v>31.015068493150686</v>
      </c>
      <c r="U188" s="8">
        <f>(Q106*($E106/365))+(Q107*($E107/365))</f>
        <v>18.865753424657534</v>
      </c>
      <c r="V188" s="7"/>
      <c r="W188" s="7">
        <f t="shared" si="35"/>
        <v>52.544931506849316</v>
      </c>
    </row>
    <row r="189" spans="1:23">
      <c r="A189" s="1">
        <v>2008</v>
      </c>
      <c r="B189" s="8">
        <f>(K108*($E108/366))+(K109*($E109/366))</f>
        <v>0</v>
      </c>
      <c r="C189" s="8">
        <f>(L108*($E108/366))+(L109*($E109/366))</f>
        <v>62.5</v>
      </c>
      <c r="D189" s="8">
        <f>(M108*($E108/366))+(M109*($E109/366))</f>
        <v>37.5</v>
      </c>
      <c r="E189" s="48">
        <f t="shared" si="34"/>
        <v>100</v>
      </c>
      <c r="G189" s="1">
        <v>2008</v>
      </c>
      <c r="H189" s="1001">
        <f>(O108/$R108*100*($E108/366))+(O109/$R109*100*($E109/366))</f>
        <v>0</v>
      </c>
      <c r="I189" s="1001"/>
      <c r="J189" s="1001">
        <f>(P108/$R108*100*($E108/366))+(P109/$R109*100*($E109/366))</f>
        <v>58.724202626641656</v>
      </c>
      <c r="K189" s="1001"/>
      <c r="L189" s="1001">
        <f>(Q108/$R108*100*($E108/366))+(Q109/$R109*100*($E109/366))</f>
        <v>41.275797373358351</v>
      </c>
      <c r="M189" s="1001"/>
      <c r="N189" s="959">
        <f t="shared" si="36"/>
        <v>100</v>
      </c>
      <c r="O189" s="959"/>
      <c r="R189" s="1">
        <v>2008</v>
      </c>
      <c r="S189" s="8">
        <f>(O108*($E108/366))+(O109*($E109/366))</f>
        <v>0</v>
      </c>
      <c r="T189" s="8">
        <f>(P108*($E108/366))+(P109*($E109/366))</f>
        <v>31.3</v>
      </c>
      <c r="U189" s="8">
        <f>(Q108*($E108/366))+(Q109*($E109/366))</f>
        <v>22</v>
      </c>
      <c r="V189" s="7"/>
      <c r="W189" s="7">
        <f t="shared" si="35"/>
        <v>53.3</v>
      </c>
    </row>
    <row r="190" spans="1:23">
      <c r="A190" s="1">
        <v>2009</v>
      </c>
      <c r="B190" s="8">
        <f>(K110*($E110/365))+(K111*($E111/365))</f>
        <v>0</v>
      </c>
      <c r="C190" s="8">
        <f>(L110*($E110/365))+(L111*($E111/365))</f>
        <v>62.5</v>
      </c>
      <c r="D190" s="8">
        <f>(M110*($E110/365))+(M111*($E111/365))</f>
        <v>37.5</v>
      </c>
      <c r="E190" s="48">
        <f t="shared" si="34"/>
        <v>100</v>
      </c>
      <c r="G190" s="1">
        <v>2009</v>
      </c>
      <c r="H190" s="1001">
        <f>(O110/$R110*100*($E110/365))+(O111/$R111*100*($E111/365))</f>
        <v>0</v>
      </c>
      <c r="I190" s="1001"/>
      <c r="J190" s="1001">
        <f>(P110/$R110*100*($E110/365))+(P111/$R111*100*($E111/365))</f>
        <v>58.724202626641656</v>
      </c>
      <c r="K190" s="1001"/>
      <c r="L190" s="1001">
        <f>(Q110/$R110*100*($E110/365))+(Q111/$R111*100*($E111/365))</f>
        <v>41.275797373358351</v>
      </c>
      <c r="M190" s="1001"/>
      <c r="N190" s="959">
        <f t="shared" si="36"/>
        <v>100</v>
      </c>
      <c r="O190" s="959"/>
      <c r="R190" s="1">
        <v>2009</v>
      </c>
      <c r="S190" s="8">
        <f>(O110*($E110/365))+(O111*($E111/365))</f>
        <v>0</v>
      </c>
      <c r="T190" s="8">
        <f>(P110*($E110/365))+(P111*($E111/365))</f>
        <v>31.3</v>
      </c>
      <c r="U190" s="8">
        <f>(Q110*($E110/365))+(Q111*($E111/365))</f>
        <v>22</v>
      </c>
      <c r="V190" s="7"/>
      <c r="W190" s="7">
        <f t="shared" si="35"/>
        <v>53.3</v>
      </c>
    </row>
    <row r="191" spans="1:23">
      <c r="A191" s="1">
        <v>2010</v>
      </c>
      <c r="B191" s="8">
        <f>(K112*($E112/365))+(K113*($E113/365))+(K114*($E114/365))</f>
        <v>10.821917808219178</v>
      </c>
      <c r="C191" s="8">
        <f>(L112*($E112/365))+(L113*($E113/365))+(L114*($E114/365))</f>
        <v>84.041095890410958</v>
      </c>
      <c r="D191" s="8">
        <f>(M112*($E112/365))+(M113*($E113/365))+(M114*($E114/365))</f>
        <v>5.1369863013698627</v>
      </c>
      <c r="E191" s="48">
        <f t="shared" si="34"/>
        <v>100</v>
      </c>
      <c r="G191" s="1">
        <v>2010</v>
      </c>
      <c r="H191" s="1001">
        <f>(O112/$R112*100*($E112/365))+(O113/$R113*100*($E113/365))+(O114/$R114*100*($E114/365))</f>
        <v>12.91145237061308</v>
      </c>
      <c r="I191" s="1001"/>
      <c r="J191" s="1001">
        <f>(P112/$R112*100*($E112/365))+(P113/$R113*100*($E113/365))+(P114/$R114*100*($E114/365))</f>
        <v>81.434328811118647</v>
      </c>
      <c r="K191" s="1001"/>
      <c r="L191" s="1001">
        <f>(Q112/$R112*100*($E112/365))+(Q113/$R113*100*($E113/365))+(Q114/$R114*100*($E114/365))</f>
        <v>5.6542188182682667</v>
      </c>
      <c r="M191" s="1001"/>
      <c r="N191" s="959">
        <f t="shared" si="36"/>
        <v>99.999999999999986</v>
      </c>
      <c r="O191" s="959"/>
      <c r="R191" s="1">
        <v>2010</v>
      </c>
      <c r="S191" s="8">
        <f>(O112*($E112/365))+(O113*($E113/365))+(O114*($E114/365))</f>
        <v>4.4802739726027392</v>
      </c>
      <c r="T191" s="8">
        <f>(P112*($E112/365))+(P113*($E113/365))+(P114*($E114/365))</f>
        <v>27.555616438356161</v>
      </c>
      <c r="U191" s="8">
        <f>(Q112*($E112/365))+(Q113*($E113/365))+(Q114*($E114/365))</f>
        <v>3.0136986301369859</v>
      </c>
      <c r="V191" s="7"/>
      <c r="W191" s="7">
        <f t="shared" si="35"/>
        <v>35.049589041095885</v>
      </c>
    </row>
    <row r="192" spans="1:23">
      <c r="A192" s="1">
        <v>2011</v>
      </c>
      <c r="B192" s="8">
        <f>(K115*($E115/365))+(K116*($E116/365))</f>
        <v>50</v>
      </c>
      <c r="C192" s="8">
        <f>(L115*($E115/365))+(L116*($E116/365))</f>
        <v>50</v>
      </c>
      <c r="D192" s="8">
        <f>(M115*($E115/365))+(M116*($E116/365))</f>
        <v>0</v>
      </c>
      <c r="E192" s="48">
        <f t="shared" si="34"/>
        <v>100</v>
      </c>
      <c r="G192" s="1">
        <v>2011</v>
      </c>
      <c r="H192" s="1001">
        <f>(O115/$R115*100*($E115/365))+(O116/$R116*100*($E116/365))</f>
        <v>59.654178674351577</v>
      </c>
      <c r="I192" s="1001"/>
      <c r="J192" s="1001">
        <f>(P115/$R115*100*($E115/365))+(P116/$R116*100*($E116/365))</f>
        <v>40.345821325648416</v>
      </c>
      <c r="K192" s="1001"/>
      <c r="L192" s="1001">
        <f>(Q115/$R115*100*($E115/365))+(Q116/$R116*100*($E116/365))</f>
        <v>0</v>
      </c>
      <c r="M192" s="1001"/>
      <c r="N192" s="959">
        <f t="shared" si="36"/>
        <v>100</v>
      </c>
      <c r="O192" s="959"/>
      <c r="R192" s="1">
        <v>2011</v>
      </c>
      <c r="S192" s="8">
        <f>(O115*($E115/365))+(O116*($E116/365))</f>
        <v>20.7</v>
      </c>
      <c r="T192" s="8">
        <f>(P115*($E115/365))+(P116*($E116/365))</f>
        <v>14</v>
      </c>
      <c r="U192" s="8">
        <f>(Q115*($E115/365))+(Q116*($E116/365))</f>
        <v>0</v>
      </c>
      <c r="V192" s="7"/>
      <c r="W192" s="7">
        <f t="shared" si="35"/>
        <v>34.700000000000003</v>
      </c>
    </row>
    <row r="193" spans="1:23">
      <c r="A193" s="1">
        <v>2012</v>
      </c>
      <c r="B193" s="8">
        <f>(K117*($E117/366))+(K118*($E118/366))</f>
        <v>50.598991172761671</v>
      </c>
      <c r="C193" s="8">
        <f>(L117*($E117/366))+(L118*($E118/366))</f>
        <v>42.213114754098363</v>
      </c>
      <c r="D193" s="8">
        <f>(M117*($E117/366))+(M118*($E118/366))</f>
        <v>7.187894073139975</v>
      </c>
      <c r="E193" s="48">
        <f t="shared" si="34"/>
        <v>100</v>
      </c>
      <c r="G193" s="1">
        <v>2012</v>
      </c>
      <c r="H193" s="1001">
        <f>(O117/$R117*100*($E117/366))+(O118/$R118*100*($E118/366))</f>
        <v>58.446738331655865</v>
      </c>
      <c r="I193" s="1001"/>
      <c r="J193" s="1001">
        <f>(P117/$R117*100*($E117/366))+(P118/$R118*100*($E118/366))</f>
        <v>34.062455709358908</v>
      </c>
      <c r="K193" s="1001"/>
      <c r="L193" s="1001">
        <f>(Q117/$R117*100*($E117/366))+(Q118/$R118*100*($E118/366))</f>
        <v>7.4908059589852272</v>
      </c>
      <c r="M193" s="1001"/>
      <c r="N193" s="959">
        <f t="shared" si="36"/>
        <v>100</v>
      </c>
      <c r="O193" s="959"/>
      <c r="R193" s="1">
        <v>2012</v>
      </c>
      <c r="S193" s="8">
        <f>(O117*($E117/366))+(O118*($E118/366))</f>
        <v>21.727868852459014</v>
      </c>
      <c r="T193" s="8">
        <f>(P117*($E117/366))+(P118*($E118/366))</f>
        <v>11.819672131147541</v>
      </c>
      <c r="U193" s="8">
        <f>(Q117*($E117/366))+(Q118*($E118/366))</f>
        <v>3.9401639344262298</v>
      </c>
      <c r="V193" s="7"/>
      <c r="W193" s="7">
        <f t="shared" si="35"/>
        <v>37.487704918032783</v>
      </c>
    </row>
    <row r="194" spans="1:23">
      <c r="A194" s="1">
        <v>2013</v>
      </c>
      <c r="B194" s="8">
        <f>(K119*($E119/365))+(K120*($E120/365))</f>
        <v>53.846153846153847</v>
      </c>
      <c r="C194" s="8">
        <f>(L119*($E119/365))+(L120*($E120/365))</f>
        <v>0</v>
      </c>
      <c r="D194" s="8">
        <f>(M119*($E119/365))+(M120*($E120/365))</f>
        <v>46.153846153846153</v>
      </c>
      <c r="E194" s="304">
        <f t="shared" si="34"/>
        <v>100</v>
      </c>
      <c r="F194" s="8"/>
      <c r="G194" s="1">
        <v>2013</v>
      </c>
      <c r="H194" s="1001">
        <f>(O119/$R119*100*($E119/365))+(O120/$R120*100*($E120/365))</f>
        <v>51.901140684410649</v>
      </c>
      <c r="I194" s="1001"/>
      <c r="J194" s="1001">
        <f>(P119/$R119*100*($E119/365))+(P120/$R120*100*($E120/365))</f>
        <v>0</v>
      </c>
      <c r="K194" s="1001"/>
      <c r="L194" s="1001">
        <f>(Q119/$R119*100*($E119/365))+(Q120/$R120*100*($E120/365))</f>
        <v>48.098859315589351</v>
      </c>
      <c r="M194" s="1001"/>
      <c r="N194" s="959">
        <f>H194+J194+L194</f>
        <v>100</v>
      </c>
      <c r="O194" s="959"/>
      <c r="R194" s="1">
        <v>2013</v>
      </c>
      <c r="S194" s="8">
        <f>(O119*($E119/365))+(O120*($E120/365))</f>
        <v>27.3</v>
      </c>
      <c r="T194" s="8">
        <f>(P119*($E119/365))+(P120*($E120/365))</f>
        <v>0</v>
      </c>
      <c r="U194" s="8">
        <f>(Q119*($E119/365))+(Q120*($E120/365))</f>
        <v>25.3</v>
      </c>
      <c r="W194" s="7">
        <f t="shared" si="35"/>
        <v>52.6</v>
      </c>
    </row>
    <row r="195" spans="1:23">
      <c r="A195" s="1">
        <v>2014</v>
      </c>
      <c r="B195" s="8">
        <f>(K121*($E121/365))+(K122*($E122/365))</f>
        <v>53.846153846153847</v>
      </c>
      <c r="C195" s="8">
        <f>(L121*($E121/365))+(L122*($E122/365))</f>
        <v>0</v>
      </c>
      <c r="D195" s="8">
        <f>(M121*($E121/365))+(M122*($E122/365))</f>
        <v>46.153846153846153</v>
      </c>
      <c r="E195" s="649">
        <f>B195+C195+D195</f>
        <v>100</v>
      </c>
      <c r="F195" s="8"/>
      <c r="G195" s="1">
        <v>2014</v>
      </c>
      <c r="H195" s="1001">
        <f>(O121/$R121*100*($E121/365))+(O122/$R122*100*($E122/365))</f>
        <v>51.901140684410649</v>
      </c>
      <c r="I195" s="1001"/>
      <c r="J195" s="1001">
        <f>(P121/$R121*100*($E121/365))+(P122/$R122*100*($E122/365))</f>
        <v>0</v>
      </c>
      <c r="K195" s="1001"/>
      <c r="L195" s="1001">
        <f>(Q121/$R121*100*($E121/365))+(Q122/$R122*100*($E122/365))</f>
        <v>48.098859315589351</v>
      </c>
      <c r="M195" s="1001"/>
      <c r="N195" s="959">
        <f>H195+J195+L195</f>
        <v>100</v>
      </c>
      <c r="O195" s="959"/>
      <c r="R195" s="1">
        <v>2014</v>
      </c>
      <c r="S195" s="8">
        <f>(O121*($E121/365))+(O122*($E122/365))</f>
        <v>27.3</v>
      </c>
      <c r="T195" s="8">
        <f>(P121*($E121/365))+(P122*($E122/365))</f>
        <v>0</v>
      </c>
      <c r="U195" s="8">
        <f>(Q121*($E121/365))+(Q122*($E122/365))</f>
        <v>25.3</v>
      </c>
      <c r="W195" s="7">
        <f>S195+T195+U195</f>
        <v>52.6</v>
      </c>
    </row>
    <row r="196" spans="1:23" s="747" customFormat="1">
      <c r="A196" s="747">
        <v>2015</v>
      </c>
      <c r="B196" s="742">
        <f>(K123*($E123/365))+(K124*($E124/365))</f>
        <v>53.846153846153847</v>
      </c>
      <c r="C196" s="742">
        <f>(L123*($E123/365))+(L124*($E124/365))</f>
        <v>0</v>
      </c>
      <c r="D196" s="742">
        <f>(M123*($E123/365))+(M124*($E124/365))</f>
        <v>46.153846153846153</v>
      </c>
      <c r="E196" s="743">
        <f>B196+C196+D196</f>
        <v>100</v>
      </c>
      <c r="F196" s="742"/>
      <c r="G196" s="747">
        <v>2015</v>
      </c>
      <c r="H196" s="1001">
        <f>(O123/$R123*100*($E123/365))+(O124/$R124*100*($E124/365))</f>
        <v>51.901140684410649</v>
      </c>
      <c r="I196" s="1001"/>
      <c r="J196" s="1001">
        <f>(P123/$R123*100*($E123/365))+(P124/$R124*100*($E124/365))</f>
        <v>0</v>
      </c>
      <c r="K196" s="1001"/>
      <c r="L196" s="1001">
        <f>(Q123/$R123*100*($E123/365))+(Q124/$R124*100*($E124/365))</f>
        <v>48.098859315589351</v>
      </c>
      <c r="M196" s="1001"/>
      <c r="N196" s="959">
        <f>H196+J196+L196</f>
        <v>100</v>
      </c>
      <c r="O196" s="959"/>
      <c r="R196" s="747">
        <v>2015</v>
      </c>
      <c r="S196" s="742">
        <f>(O123*($E123/365))+(O124*($E124/365))</f>
        <v>27.3</v>
      </c>
      <c r="T196" s="742">
        <f>(P123*($E123/365))+(P124*($E124/365))</f>
        <v>0</v>
      </c>
      <c r="U196" s="742">
        <f>(Q123*($E123/365))+(Q124*($E124/365))</f>
        <v>25.3</v>
      </c>
      <c r="W196" s="746">
        <f>S196+T196+U196</f>
        <v>52.6</v>
      </c>
    </row>
    <row r="197" spans="1:23">
      <c r="A197" s="844">
        <v>2016</v>
      </c>
      <c r="B197" s="838">
        <f>(K125*($E125/366))+(K126*($E126/366))</f>
        <v>53.846153846153847</v>
      </c>
      <c r="C197" s="838">
        <f>(L125*($E125/366))+(L126*($E126/366))</f>
        <v>0</v>
      </c>
      <c r="D197" s="838">
        <f>(M125*($E125/366))+(M126*($E126/366))</f>
        <v>46.153846153846153</v>
      </c>
      <c r="E197" s="839">
        <f t="shared" ref="E197" si="37">B197+C197+D197</f>
        <v>100</v>
      </c>
      <c r="F197" s="838"/>
      <c r="G197" s="844">
        <v>2016</v>
      </c>
      <c r="H197" s="1001">
        <f>(O125/$R125*100*($E125/366))+(O126/$R126*100*($E126/366))</f>
        <v>51.901140684410649</v>
      </c>
      <c r="I197" s="1001"/>
      <c r="J197" s="1001">
        <f>(P125/$R125*100*($E125/366))+(P126/$R126*100*($E126/366))</f>
        <v>0</v>
      </c>
      <c r="K197" s="1001"/>
      <c r="L197" s="1001">
        <f>(Q125/$R125*100*($E125/366))+(Q126/$R126*100*($E126/366))</f>
        <v>48.098859315589351</v>
      </c>
      <c r="M197" s="1001"/>
      <c r="N197" s="959">
        <f t="shared" ref="N197" si="38">H197+J197+L197</f>
        <v>100</v>
      </c>
      <c r="O197" s="959"/>
      <c r="P197" s="844"/>
      <c r="Q197" s="844"/>
      <c r="R197" s="844">
        <v>2016</v>
      </c>
      <c r="S197" s="838">
        <f>(O125*($E125/366))+(O126*($E126/366))</f>
        <v>27.3</v>
      </c>
      <c r="T197" s="838">
        <f>(P125*($E125/366))+(P126*($E126/366))</f>
        <v>0</v>
      </c>
      <c r="U197" s="838">
        <f>(Q125*($E125/366))+(Q126*($E126/366))</f>
        <v>25.3</v>
      </c>
      <c r="V197" s="844"/>
      <c r="W197" s="842">
        <f t="shared" ref="W197" si="39">S197+T197+U197</f>
        <v>52.6</v>
      </c>
    </row>
    <row r="198" spans="1:23" s="920" customFormat="1">
      <c r="A198" s="920">
        <v>2017</v>
      </c>
      <c r="B198" s="915">
        <f>(K127*($E127/365))+(K128*($E128/365))+(K129*($E129/365))</f>
        <v>47.968914646996836</v>
      </c>
      <c r="C198" s="915">
        <f t="shared" ref="C198:D198" si="40">(L127*($E127/365))+(L128*($E128/365))+(L129*($E129/365))</f>
        <v>11.472602739726026</v>
      </c>
      <c r="D198" s="915">
        <f t="shared" si="40"/>
        <v>40.558482613277135</v>
      </c>
      <c r="E198" s="916">
        <f t="shared" ref="E198" si="41">B198+C198+D198</f>
        <v>100</v>
      </c>
      <c r="F198" s="915"/>
      <c r="G198" s="920">
        <v>2017</v>
      </c>
      <c r="H198" s="1001">
        <f>(O127/$R127*100*($E127/365))+(O128/$R128*100*($E128/365))+(O129/$R129*100*($E129/365))</f>
        <v>50.339281518709939</v>
      </c>
      <c r="I198" s="1001"/>
      <c r="J198" s="1001">
        <f>(P127/$R127*100*($E127/365))+(P128/$R128*100*($E128/365))+(P129/$R129*100*($E129/365))</f>
        <v>10.390964848288347</v>
      </c>
      <c r="K198" s="1001"/>
      <c r="L198" s="1001">
        <f>(Q127/$R127*100*($E127/365))+(Q128/$R128*100*($E128/365))+(Q129/$R129*100*($E129/365))</f>
        <v>39.26975363300172</v>
      </c>
      <c r="M198" s="1001"/>
      <c r="N198" s="959">
        <f t="shared" ref="N198" si="42">H198+J198+L198</f>
        <v>100</v>
      </c>
      <c r="O198" s="959"/>
      <c r="R198" s="920">
        <v>2017</v>
      </c>
      <c r="S198" s="915">
        <f>(O127*($E127/365))+(O128*($E128/365))+(O129*($E129/365))</f>
        <v>26.327123287671235</v>
      </c>
      <c r="T198" s="915">
        <f t="shared" ref="T198:U198" si="43">(P127*($E127/365))+(P128*($E128/365))+(P129*($E129/365))</f>
        <v>5.2682191780821919</v>
      </c>
      <c r="U198" s="915">
        <f t="shared" si="43"/>
        <v>20.655890410958907</v>
      </c>
      <c r="W198" s="917">
        <f t="shared" ref="W198" si="44">S198+T198+U198</f>
        <v>52.251232876712336</v>
      </c>
    </row>
    <row r="199" spans="1:23" s="920" customFormat="1">
      <c r="A199" s="920">
        <v>2018</v>
      </c>
      <c r="B199" s="947">
        <f>(K130*($E130/365))+(K131*($E131/365))</f>
        <v>37.5</v>
      </c>
      <c r="C199" s="947">
        <f>(L130*($E130/365))+(L131*($E131/365))</f>
        <v>62.5</v>
      </c>
      <c r="D199" s="947">
        <f>(M130*($E130/365))+(M131*($E131/365))</f>
        <v>0</v>
      </c>
      <c r="E199" s="948">
        <f>B199+C199+D199</f>
        <v>100</v>
      </c>
      <c r="F199" s="915"/>
      <c r="G199" s="920">
        <v>2018</v>
      </c>
      <c r="H199" s="1001">
        <f>(O130/$R130*100*($E130/365))+(O131/$R131*100*($E131/365))</f>
        <v>43.392504930966467</v>
      </c>
      <c r="I199" s="1001"/>
      <c r="J199" s="1001">
        <f>(P130/$R130*100*($E130/365))+(P131/$R131*100*($E131/365))</f>
        <v>56.607495069033533</v>
      </c>
      <c r="K199" s="1001"/>
      <c r="L199" s="1001">
        <f>(Q130/$R130*100*($E130/365))+(Q131/$R131*100*($E131/365))</f>
        <v>0</v>
      </c>
      <c r="M199" s="1001"/>
      <c r="N199" s="959">
        <f t="shared" ref="N199" si="45">H199+J199+L199</f>
        <v>100</v>
      </c>
      <c r="O199" s="959"/>
      <c r="R199" s="920">
        <v>2018</v>
      </c>
      <c r="S199" s="947">
        <f>(O130*($E130/365))+(O131*($E131/365))</f>
        <v>22</v>
      </c>
      <c r="T199" s="947">
        <f>(P130*($E130/365))+(P131*($E131/365))</f>
        <v>28.7</v>
      </c>
      <c r="U199" s="947">
        <f>(Q130*($E130/365))+(Q131*($E131/365))</f>
        <v>0</v>
      </c>
      <c r="V199" s="950"/>
      <c r="W199" s="949">
        <f>S199+T199+U199</f>
        <v>50.7</v>
      </c>
    </row>
    <row r="200" spans="1:23" s="920" customFormat="1">
      <c r="B200" s="915"/>
      <c r="C200" s="915"/>
      <c r="D200" s="915"/>
      <c r="E200" s="916"/>
      <c r="F200" s="915"/>
      <c r="H200" s="1001"/>
      <c r="I200" s="1001"/>
      <c r="J200" s="1001"/>
      <c r="K200" s="1001"/>
      <c r="L200" s="1001"/>
      <c r="M200" s="1001"/>
      <c r="N200" s="959"/>
      <c r="O200" s="959"/>
      <c r="S200" s="915"/>
      <c r="T200" s="915"/>
      <c r="U200" s="915"/>
      <c r="W200" s="917"/>
    </row>
    <row r="201" spans="1:23" s="920" customFormat="1">
      <c r="B201" s="915"/>
      <c r="C201" s="915"/>
      <c r="D201" s="915"/>
      <c r="E201" s="916"/>
      <c r="F201" s="915"/>
      <c r="H201" s="1001"/>
      <c r="I201" s="1001"/>
      <c r="J201" s="1001"/>
      <c r="K201" s="1001"/>
      <c r="L201" s="1001"/>
      <c r="M201" s="1001"/>
      <c r="N201" s="959"/>
      <c r="O201" s="959"/>
      <c r="S201" s="915"/>
      <c r="T201" s="915"/>
      <c r="U201" s="915"/>
      <c r="W201" s="917"/>
    </row>
    <row r="202" spans="1:23" s="920" customFormat="1">
      <c r="B202" s="915"/>
      <c r="C202" s="915"/>
      <c r="D202" s="915"/>
      <c r="E202" s="916"/>
      <c r="F202" s="915"/>
      <c r="H202" s="1001"/>
      <c r="I202" s="1001"/>
      <c r="J202" s="1001"/>
      <c r="K202" s="1001"/>
      <c r="L202" s="1001"/>
      <c r="M202" s="1001"/>
      <c r="N202" s="959"/>
      <c r="O202" s="959"/>
      <c r="S202" s="915"/>
      <c r="T202" s="915"/>
      <c r="U202" s="915"/>
      <c r="W202" s="917"/>
    </row>
    <row r="203" spans="1:23" s="920" customFormat="1">
      <c r="B203" s="1"/>
      <c r="C203" s="1"/>
      <c r="D203" s="1"/>
      <c r="E203" s="1"/>
      <c r="F203" s="915"/>
      <c r="H203" s="1"/>
      <c r="I203" s="1"/>
      <c r="J203" s="1"/>
      <c r="K203" s="1"/>
      <c r="L203" s="1"/>
      <c r="M203" s="1"/>
      <c r="N203" s="1"/>
      <c r="O203" s="1"/>
      <c r="S203" s="1"/>
      <c r="T203" s="1"/>
      <c r="U203" s="1"/>
      <c r="V203" s="1"/>
      <c r="W203" s="1"/>
    </row>
  </sheetData>
  <mergeCells count="404">
    <mergeCell ref="H196:I196"/>
    <mergeCell ref="J196:K196"/>
    <mergeCell ref="L196:M196"/>
    <mergeCell ref="N196:O196"/>
    <mergeCell ref="C121:D121"/>
    <mergeCell ref="C122:D122"/>
    <mergeCell ref="H195:I195"/>
    <mergeCell ref="J195:K195"/>
    <mergeCell ref="L195:M195"/>
    <mergeCell ref="N195:O195"/>
    <mergeCell ref="H193:I193"/>
    <mergeCell ref="J193:K193"/>
    <mergeCell ref="L193:M193"/>
    <mergeCell ref="N193:O193"/>
    <mergeCell ref="L184:M184"/>
    <mergeCell ref="L183:M183"/>
    <mergeCell ref="L185:M185"/>
    <mergeCell ref="L186:M186"/>
    <mergeCell ref="L172:M172"/>
    <mergeCell ref="L173:M173"/>
    <mergeCell ref="L174:M174"/>
    <mergeCell ref="L175:M175"/>
    <mergeCell ref="L178:M178"/>
    <mergeCell ref="L179:M179"/>
    <mergeCell ref="L180:M180"/>
    <mergeCell ref="L181:M181"/>
    <mergeCell ref="J188:K188"/>
    <mergeCell ref="J189:K189"/>
    <mergeCell ref="AT4:AW4"/>
    <mergeCell ref="AX4:BA4"/>
    <mergeCell ref="H192:I192"/>
    <mergeCell ref="J192:K192"/>
    <mergeCell ref="L192:M192"/>
    <mergeCell ref="N192:O192"/>
    <mergeCell ref="N189:O189"/>
    <mergeCell ref="N190:O190"/>
    <mergeCell ref="L190:M190"/>
    <mergeCell ref="H190:I190"/>
    <mergeCell ref="H191:I191"/>
    <mergeCell ref="J191:K191"/>
    <mergeCell ref="L191:M191"/>
    <mergeCell ref="N191:O191"/>
    <mergeCell ref="N187:O187"/>
    <mergeCell ref="N188:O188"/>
    <mergeCell ref="L187:M187"/>
    <mergeCell ref="L188:M188"/>
    <mergeCell ref="L189:M189"/>
    <mergeCell ref="J187:K187"/>
    <mergeCell ref="N183:O183"/>
    <mergeCell ref="N184:O184"/>
    <mergeCell ref="N185:O185"/>
    <mergeCell ref="N186:O186"/>
    <mergeCell ref="C116:D116"/>
    <mergeCell ref="C117:D117"/>
    <mergeCell ref="C118:D118"/>
    <mergeCell ref="L182:M182"/>
    <mergeCell ref="L176:M176"/>
    <mergeCell ref="L177:M177"/>
    <mergeCell ref="J172:K172"/>
    <mergeCell ref="J173:K173"/>
    <mergeCell ref="J174:K174"/>
    <mergeCell ref="H184:I184"/>
    <mergeCell ref="H185:I185"/>
    <mergeCell ref="H186:I186"/>
    <mergeCell ref="H172:I172"/>
    <mergeCell ref="H173:I173"/>
    <mergeCell ref="H174:I174"/>
    <mergeCell ref="H175:I175"/>
    <mergeCell ref="H176:I176"/>
    <mergeCell ref="H177:I177"/>
    <mergeCell ref="H169:I169"/>
    <mergeCell ref="H170:I170"/>
    <mergeCell ref="R137:W137"/>
    <mergeCell ref="N181:O181"/>
    <mergeCell ref="N182:O182"/>
    <mergeCell ref="N166:O166"/>
    <mergeCell ref="N167:O167"/>
    <mergeCell ref="N168:O168"/>
    <mergeCell ref="N169:O169"/>
    <mergeCell ref="N175:O175"/>
    <mergeCell ref="N176:O176"/>
    <mergeCell ref="N177:O177"/>
    <mergeCell ref="N178:O178"/>
    <mergeCell ref="N179:O179"/>
    <mergeCell ref="N180:O180"/>
    <mergeCell ref="N170:O170"/>
    <mergeCell ref="N171:O171"/>
    <mergeCell ref="N172:O172"/>
    <mergeCell ref="N173:O173"/>
    <mergeCell ref="N174:O174"/>
    <mergeCell ref="N164:O164"/>
    <mergeCell ref="N165:O165"/>
    <mergeCell ref="N150:O150"/>
    <mergeCell ref="N157:O157"/>
    <mergeCell ref="J190:K190"/>
    <mergeCell ref="J181:K181"/>
    <mergeCell ref="J182:K182"/>
    <mergeCell ref="J183:K183"/>
    <mergeCell ref="J184:K184"/>
    <mergeCell ref="J185:K185"/>
    <mergeCell ref="J186:K186"/>
    <mergeCell ref="L166:M166"/>
    <mergeCell ref="L167:M167"/>
    <mergeCell ref="L168:M168"/>
    <mergeCell ref="L169:M169"/>
    <mergeCell ref="L170:M170"/>
    <mergeCell ref="L171:M171"/>
    <mergeCell ref="J175:K175"/>
    <mergeCell ref="J176:K176"/>
    <mergeCell ref="J177:K177"/>
    <mergeCell ref="J178:K178"/>
    <mergeCell ref="J179:K179"/>
    <mergeCell ref="J180:K180"/>
    <mergeCell ref="J166:K166"/>
    <mergeCell ref="J167:K167"/>
    <mergeCell ref="J168:K168"/>
    <mergeCell ref="J169:K169"/>
    <mergeCell ref="J170:K170"/>
    <mergeCell ref="H187:I187"/>
    <mergeCell ref="H188:I188"/>
    <mergeCell ref="H189:I189"/>
    <mergeCell ref="H178:I178"/>
    <mergeCell ref="H179:I179"/>
    <mergeCell ref="H180:I180"/>
    <mergeCell ref="H181:I181"/>
    <mergeCell ref="H182:I182"/>
    <mergeCell ref="H183:I183"/>
    <mergeCell ref="H171:I171"/>
    <mergeCell ref="H164:I164"/>
    <mergeCell ref="J164:K164"/>
    <mergeCell ref="L164:M164"/>
    <mergeCell ref="J171:K171"/>
    <mergeCell ref="H165:I165"/>
    <mergeCell ref="J165:K165"/>
    <mergeCell ref="L165:M165"/>
    <mergeCell ref="H166:I166"/>
    <mergeCell ref="H167:I167"/>
    <mergeCell ref="H168:I168"/>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G3:M3"/>
    <mergeCell ref="O3:Q3"/>
    <mergeCell ref="H141:I141"/>
    <mergeCell ref="J141:K141"/>
    <mergeCell ref="L141:M141"/>
    <mergeCell ref="N141:O141"/>
    <mergeCell ref="H140:I140"/>
    <mergeCell ref="J140:K140"/>
    <mergeCell ref="H146:I146"/>
    <mergeCell ref="J146:K146"/>
    <mergeCell ref="L146:M146"/>
    <mergeCell ref="N146:O146"/>
    <mergeCell ref="H144:I144"/>
    <mergeCell ref="J144:K144"/>
    <mergeCell ref="L144:M144"/>
    <mergeCell ref="N144:O144"/>
    <mergeCell ref="H145:I145"/>
    <mergeCell ref="J145:K145"/>
    <mergeCell ref="H142:I142"/>
    <mergeCell ref="J142:K142"/>
    <mergeCell ref="L142:M142"/>
    <mergeCell ref="N142:O142"/>
    <mergeCell ref="H143:I143"/>
    <mergeCell ref="J143:K143"/>
    <mergeCell ref="A4:A5"/>
    <mergeCell ref="B4:B5"/>
    <mergeCell ref="C4:D5"/>
    <mergeCell ref="E4:E5"/>
    <mergeCell ref="H139:I139"/>
    <mergeCell ref="J139:K139"/>
    <mergeCell ref="F4:F5"/>
    <mergeCell ref="G4:J4"/>
    <mergeCell ref="C11:D11"/>
    <mergeCell ref="C12:D12"/>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AH4:AK4"/>
    <mergeCell ref="AL4:AO4"/>
    <mergeCell ref="U4:U5"/>
    <mergeCell ref="V4:Y4"/>
    <mergeCell ref="C7:D7"/>
    <mergeCell ref="C6:D6"/>
    <mergeCell ref="C19:D19"/>
    <mergeCell ref="C20:D20"/>
    <mergeCell ref="AP4:AS4"/>
    <mergeCell ref="C8:D8"/>
    <mergeCell ref="K4:N4"/>
    <mergeCell ref="O4:R4"/>
    <mergeCell ref="S4:S5"/>
    <mergeCell ref="T4:T5"/>
    <mergeCell ref="Z4:AC4"/>
    <mergeCell ref="AD4:AG4"/>
    <mergeCell ref="C13:D13"/>
    <mergeCell ref="C14:D14"/>
    <mergeCell ref="C15:D15"/>
    <mergeCell ref="C16:D16"/>
    <mergeCell ref="C17:D17"/>
    <mergeCell ref="C18:D18"/>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102:D102"/>
    <mergeCell ref="C103:D103"/>
    <mergeCell ref="C112:D112"/>
    <mergeCell ref="C113:D113"/>
    <mergeCell ref="C104:D104"/>
    <mergeCell ref="C105:D105"/>
    <mergeCell ref="C101:D101"/>
    <mergeCell ref="H147:I147"/>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109:D109"/>
    <mergeCell ref="C110:D110"/>
    <mergeCell ref="C111:D111"/>
    <mergeCell ref="N194:O194"/>
    <mergeCell ref="C119:D119"/>
    <mergeCell ref="C120:D120"/>
    <mergeCell ref="H194:I194"/>
    <mergeCell ref="J194:K194"/>
    <mergeCell ref="L194:M194"/>
    <mergeCell ref="L140:M140"/>
    <mergeCell ref="N140:O140"/>
    <mergeCell ref="L139:M139"/>
    <mergeCell ref="N139:O139"/>
    <mergeCell ref="L143:M143"/>
    <mergeCell ref="N143:O143"/>
    <mergeCell ref="C123:D123"/>
    <mergeCell ref="C124:D124"/>
    <mergeCell ref="C125:D125"/>
    <mergeCell ref="C126:D126"/>
    <mergeCell ref="H151:I151"/>
    <mergeCell ref="J151:K151"/>
    <mergeCell ref="H150:I150"/>
    <mergeCell ref="J150:K150"/>
    <mergeCell ref="L150:M150"/>
    <mergeCell ref="H198:I198"/>
    <mergeCell ref="J198:K198"/>
    <mergeCell ref="L198:M198"/>
    <mergeCell ref="N198:O198"/>
    <mergeCell ref="C114:D114"/>
    <mergeCell ref="C115:D115"/>
    <mergeCell ref="L149:M149"/>
    <mergeCell ref="N149:O149"/>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C127:D127"/>
    <mergeCell ref="C128:D128"/>
    <mergeCell ref="C129:D129"/>
    <mergeCell ref="L151:M151"/>
    <mergeCell ref="N151:O151"/>
    <mergeCell ref="H148:I148"/>
    <mergeCell ref="J148:K148"/>
    <mergeCell ref="L148:M148"/>
    <mergeCell ref="N148:O148"/>
    <mergeCell ref="H149:I149"/>
    <mergeCell ref="J149:K149"/>
    <mergeCell ref="C130:D130"/>
    <mergeCell ref="C131:D131"/>
    <mergeCell ref="H197:I197"/>
    <mergeCell ref="J197:K197"/>
    <mergeCell ref="L197:M197"/>
    <mergeCell ref="N197:O197"/>
    <mergeCell ref="J147:K147"/>
    <mergeCell ref="L147:M147"/>
    <mergeCell ref="N147:O147"/>
    <mergeCell ref="L145:M145"/>
    <mergeCell ref="N145:O145"/>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H202:I202"/>
    <mergeCell ref="J202:K202"/>
    <mergeCell ref="L202:M202"/>
    <mergeCell ref="N202:O202"/>
    <mergeCell ref="H199:I199"/>
    <mergeCell ref="J199:K199"/>
    <mergeCell ref="L199:M199"/>
    <mergeCell ref="N199:O199"/>
    <mergeCell ref="H200:I200"/>
    <mergeCell ref="J200:K200"/>
    <mergeCell ref="L200:M200"/>
    <mergeCell ref="N200:O200"/>
    <mergeCell ref="H201:I201"/>
    <mergeCell ref="J201:K201"/>
    <mergeCell ref="L201:M201"/>
    <mergeCell ref="N201:O20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A198"/>
  <sheetViews>
    <sheetView zoomScale="120" zoomScaleNormal="120" workbookViewId="0">
      <pane xSplit="1" ySplit="5" topLeftCell="B116" activePane="bottomRight" state="frozen"/>
      <selection pane="topRight" activeCell="B1" sqref="B1"/>
      <selection pane="bottomLeft" activeCell="A6" sqref="A6"/>
      <selection pane="bottomRight" activeCell="W197" sqref="W19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64</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636</v>
      </c>
      <c r="D6" s="995"/>
      <c r="E6" s="257">
        <v>0</v>
      </c>
      <c r="G6" s="265"/>
      <c r="I6" s="257">
        <v>16</v>
      </c>
      <c r="J6" s="272">
        <v>16</v>
      </c>
      <c r="K6" s="248">
        <f t="shared" ref="K6:M8" si="0">G6/$J6*100</f>
        <v>0</v>
      </c>
      <c r="L6" s="248">
        <f t="shared" si="0"/>
        <v>0</v>
      </c>
      <c r="M6" s="248">
        <f t="shared" si="0"/>
        <v>100</v>
      </c>
      <c r="N6" s="267">
        <f>K6+L6+M6</f>
        <v>100</v>
      </c>
      <c r="O6" s="247"/>
      <c r="P6" s="248"/>
      <c r="Q6" s="248">
        <v>51.3</v>
      </c>
      <c r="R6" s="249">
        <f>O6+P6+Q6</f>
        <v>51.3</v>
      </c>
      <c r="S6" s="257">
        <v>1</v>
      </c>
      <c r="T6" s="278"/>
      <c r="V6" s="256" t="s">
        <v>461</v>
      </c>
      <c r="W6" s="257" t="s">
        <v>20</v>
      </c>
      <c r="X6" s="257" t="s">
        <v>12</v>
      </c>
      <c r="Y6" s="258">
        <v>51.3</v>
      </c>
      <c r="AD6" s="256"/>
      <c r="AG6" s="258"/>
      <c r="AL6" s="256"/>
      <c r="AO6" s="258"/>
      <c r="AP6" s="256"/>
      <c r="AS6" s="258"/>
      <c r="AW6" s="258"/>
      <c r="BA6" s="259"/>
    </row>
    <row r="7" spans="1:53" s="257" customFormat="1">
      <c r="A7" s="263">
        <v>1959</v>
      </c>
      <c r="B7" s="252"/>
      <c r="C7" s="995" t="s">
        <v>636</v>
      </c>
      <c r="D7" s="995"/>
      <c r="E7" s="257">
        <v>365</v>
      </c>
      <c r="G7" s="265"/>
      <c r="I7" s="257">
        <v>16</v>
      </c>
      <c r="J7" s="272">
        <v>16</v>
      </c>
      <c r="K7" s="248">
        <f t="shared" si="0"/>
        <v>0</v>
      </c>
      <c r="L7" s="248">
        <f t="shared" si="0"/>
        <v>0</v>
      </c>
      <c r="M7" s="248">
        <f t="shared" si="0"/>
        <v>100</v>
      </c>
      <c r="N7" s="267">
        <f>K7+L7+M7</f>
        <v>100</v>
      </c>
      <c r="O7" s="247"/>
      <c r="P7" s="248"/>
      <c r="Q7" s="248">
        <v>51.3</v>
      </c>
      <c r="R7" s="249">
        <f>O7+P7+Q7</f>
        <v>51.3</v>
      </c>
      <c r="S7" s="257">
        <v>1</v>
      </c>
      <c r="T7" s="278"/>
      <c r="V7" s="256" t="s">
        <v>461</v>
      </c>
      <c r="W7" s="257" t="s">
        <v>20</v>
      </c>
      <c r="X7" s="257" t="s">
        <v>12</v>
      </c>
      <c r="Y7" s="258">
        <v>51.3</v>
      </c>
      <c r="AD7" s="256"/>
      <c r="AG7" s="258"/>
      <c r="AL7" s="256"/>
      <c r="AO7" s="258"/>
      <c r="AP7" s="256"/>
      <c r="AS7" s="258"/>
      <c r="AW7" s="258"/>
      <c r="BA7" s="259"/>
    </row>
    <row r="8" spans="1:53" s="208" customFormat="1">
      <c r="A8" s="102">
        <v>1960</v>
      </c>
      <c r="B8" s="207"/>
      <c r="C8" s="988" t="s">
        <v>636</v>
      </c>
      <c r="D8" s="988"/>
      <c r="E8" s="208">
        <v>346</v>
      </c>
      <c r="G8" s="123"/>
      <c r="I8" s="208">
        <v>16</v>
      </c>
      <c r="J8" s="134">
        <v>16</v>
      </c>
      <c r="K8" s="92">
        <f t="shared" si="0"/>
        <v>0</v>
      </c>
      <c r="L8" s="92">
        <f t="shared" si="0"/>
        <v>0</v>
      </c>
      <c r="M8" s="92">
        <f t="shared" si="0"/>
        <v>100</v>
      </c>
      <c r="N8" s="125">
        <f>K8+L8+M8</f>
        <v>100</v>
      </c>
      <c r="O8" s="91"/>
      <c r="P8" s="92"/>
      <c r="Q8" s="92">
        <v>51.3</v>
      </c>
      <c r="R8" s="93">
        <f>O8+P8+Q8</f>
        <v>51.3</v>
      </c>
      <c r="S8" s="208">
        <v>1</v>
      </c>
      <c r="T8" s="81"/>
      <c r="V8" s="82" t="s">
        <v>461</v>
      </c>
      <c r="W8" s="208" t="s">
        <v>20</v>
      </c>
      <c r="X8" s="208" t="s">
        <v>12</v>
      </c>
      <c r="Y8" s="83">
        <v>51.3</v>
      </c>
      <c r="AD8" s="82"/>
      <c r="AG8" s="83"/>
      <c r="AL8" s="82"/>
      <c r="AO8" s="83"/>
      <c r="AP8" s="82"/>
      <c r="AS8" s="83"/>
      <c r="AW8" s="83"/>
      <c r="BA8" s="84"/>
    </row>
    <row r="9" spans="1:53" s="334" customFormat="1">
      <c r="A9" s="386">
        <v>1960</v>
      </c>
      <c r="B9" s="355">
        <v>22262</v>
      </c>
      <c r="C9" s="992" t="s">
        <v>637</v>
      </c>
      <c r="D9" s="992"/>
      <c r="E9" s="334">
        <f>366-E8</f>
        <v>20</v>
      </c>
      <c r="F9" s="334">
        <v>1</v>
      </c>
      <c r="G9" s="419">
        <v>16</v>
      </c>
      <c r="J9" s="435">
        <v>16</v>
      </c>
      <c r="K9" s="384">
        <f t="shared" ref="K9:M57" si="1">G9/$J9*100</f>
        <v>100</v>
      </c>
      <c r="L9" s="384">
        <f t="shared" si="1"/>
        <v>0</v>
      </c>
      <c r="M9" s="384">
        <f t="shared" si="1"/>
        <v>0</v>
      </c>
      <c r="N9" s="421">
        <f t="shared" ref="N9:N72" si="2">K9+L9+M9</f>
        <v>100</v>
      </c>
      <c r="O9" s="383">
        <v>57.5</v>
      </c>
      <c r="P9" s="384"/>
      <c r="Q9" s="384"/>
      <c r="R9" s="385">
        <f t="shared" ref="R9:R72" si="3">O9+P9+Q9</f>
        <v>57.5</v>
      </c>
      <c r="S9" s="334">
        <v>1</v>
      </c>
      <c r="T9" s="342">
        <v>22246</v>
      </c>
      <c r="U9" s="355">
        <v>22262</v>
      </c>
      <c r="V9" s="343" t="s">
        <v>462</v>
      </c>
      <c r="W9" s="334" t="s">
        <v>74</v>
      </c>
      <c r="X9" s="334" t="s">
        <v>11</v>
      </c>
      <c r="Y9" s="344">
        <v>57.5</v>
      </c>
      <c r="AD9" s="343"/>
      <c r="AG9" s="344"/>
      <c r="AL9" s="343"/>
      <c r="AO9" s="344"/>
      <c r="AP9" s="343"/>
      <c r="AS9" s="344"/>
      <c r="AW9" s="344"/>
      <c r="BA9" s="345"/>
    </row>
    <row r="10" spans="1:53" s="334" customFormat="1">
      <c r="A10" s="386">
        <v>1961</v>
      </c>
      <c r="B10" s="355"/>
      <c r="C10" s="992" t="s">
        <v>637</v>
      </c>
      <c r="D10" s="992"/>
      <c r="E10" s="334">
        <v>0</v>
      </c>
      <c r="G10" s="419">
        <v>16</v>
      </c>
      <c r="J10" s="435">
        <v>16</v>
      </c>
      <c r="K10" s="384">
        <f t="shared" si="1"/>
        <v>100</v>
      </c>
      <c r="L10" s="384">
        <f t="shared" si="1"/>
        <v>0</v>
      </c>
      <c r="M10" s="384">
        <f t="shared" si="1"/>
        <v>0</v>
      </c>
      <c r="N10" s="421">
        <f t="shared" si="2"/>
        <v>100</v>
      </c>
      <c r="O10" s="383">
        <v>57.5</v>
      </c>
      <c r="P10" s="384"/>
      <c r="Q10" s="384"/>
      <c r="R10" s="385">
        <f t="shared" si="3"/>
        <v>57.5</v>
      </c>
      <c r="S10" s="334">
        <v>1</v>
      </c>
      <c r="T10" s="357"/>
      <c r="V10" s="343" t="s">
        <v>462</v>
      </c>
      <c r="W10" s="334" t="s">
        <v>74</v>
      </c>
      <c r="X10" s="334" t="s">
        <v>11</v>
      </c>
      <c r="Y10" s="344">
        <v>57.5</v>
      </c>
      <c r="AD10" s="343"/>
      <c r="AG10" s="344"/>
      <c r="AL10" s="343"/>
      <c r="AO10" s="344"/>
      <c r="AP10" s="343"/>
      <c r="AS10" s="344"/>
      <c r="AW10" s="344"/>
      <c r="BA10" s="345"/>
    </row>
    <row r="11" spans="1:53" s="334" customFormat="1">
      <c r="A11" s="386">
        <v>1961</v>
      </c>
      <c r="B11" s="355"/>
      <c r="C11" s="992" t="s">
        <v>637</v>
      </c>
      <c r="D11" s="992"/>
      <c r="E11" s="334">
        <v>365</v>
      </c>
      <c r="G11" s="419">
        <v>16</v>
      </c>
      <c r="J11" s="435">
        <v>16</v>
      </c>
      <c r="K11" s="384">
        <f t="shared" si="1"/>
        <v>100</v>
      </c>
      <c r="L11" s="384">
        <f t="shared" si="1"/>
        <v>0</v>
      </c>
      <c r="M11" s="384">
        <f t="shared" si="1"/>
        <v>0</v>
      </c>
      <c r="N11" s="421">
        <f t="shared" si="2"/>
        <v>100</v>
      </c>
      <c r="O11" s="383">
        <v>57.5</v>
      </c>
      <c r="P11" s="384"/>
      <c r="Q11" s="384"/>
      <c r="R11" s="385">
        <f t="shared" si="3"/>
        <v>57.5</v>
      </c>
      <c r="S11" s="334">
        <v>1</v>
      </c>
      <c r="T11" s="357"/>
      <c r="V11" s="343" t="s">
        <v>462</v>
      </c>
      <c r="W11" s="334" t="s">
        <v>74</v>
      </c>
      <c r="X11" s="334" t="s">
        <v>11</v>
      </c>
      <c r="Y11" s="344">
        <v>57.5</v>
      </c>
      <c r="AD11" s="343"/>
      <c r="AG11" s="344"/>
      <c r="AL11" s="343"/>
      <c r="AO11" s="344"/>
      <c r="AP11" s="343"/>
      <c r="AS11" s="344"/>
      <c r="AW11" s="344"/>
      <c r="BA11" s="345"/>
    </row>
    <row r="12" spans="1:53" s="334" customFormat="1">
      <c r="A12" s="386">
        <v>1962</v>
      </c>
      <c r="B12" s="355"/>
      <c r="C12" s="992" t="s">
        <v>637</v>
      </c>
      <c r="D12" s="992"/>
      <c r="E12" s="334">
        <v>0</v>
      </c>
      <c r="G12" s="419">
        <v>16</v>
      </c>
      <c r="J12" s="435">
        <v>16</v>
      </c>
      <c r="K12" s="384">
        <f t="shared" si="1"/>
        <v>100</v>
      </c>
      <c r="L12" s="384">
        <f t="shared" si="1"/>
        <v>0</v>
      </c>
      <c r="M12" s="384">
        <f t="shared" si="1"/>
        <v>0</v>
      </c>
      <c r="N12" s="421">
        <f t="shared" si="2"/>
        <v>100</v>
      </c>
      <c r="O12" s="383">
        <v>57.5</v>
      </c>
      <c r="P12" s="384"/>
      <c r="Q12" s="384"/>
      <c r="R12" s="385">
        <f t="shared" si="3"/>
        <v>57.5</v>
      </c>
      <c r="S12" s="334">
        <v>1</v>
      </c>
      <c r="T12" s="357"/>
      <c r="V12" s="343" t="s">
        <v>462</v>
      </c>
      <c r="W12" s="334" t="s">
        <v>74</v>
      </c>
      <c r="X12" s="334" t="s">
        <v>11</v>
      </c>
      <c r="Y12" s="344">
        <v>57.5</v>
      </c>
      <c r="AD12" s="343"/>
      <c r="AG12" s="344"/>
      <c r="AL12" s="343"/>
      <c r="AO12" s="344"/>
      <c r="AP12" s="343"/>
      <c r="AS12" s="344"/>
      <c r="AW12" s="344"/>
      <c r="BA12" s="345"/>
    </row>
    <row r="13" spans="1:53" s="334" customFormat="1">
      <c r="A13" s="386">
        <v>1962</v>
      </c>
      <c r="B13" s="355"/>
      <c r="C13" s="992" t="s">
        <v>637</v>
      </c>
      <c r="D13" s="992"/>
      <c r="E13" s="334">
        <v>365</v>
      </c>
      <c r="G13" s="419">
        <v>16</v>
      </c>
      <c r="J13" s="435">
        <v>16</v>
      </c>
      <c r="K13" s="384">
        <f t="shared" si="1"/>
        <v>100</v>
      </c>
      <c r="L13" s="384">
        <f t="shared" si="1"/>
        <v>0</v>
      </c>
      <c r="M13" s="384">
        <f t="shared" si="1"/>
        <v>0</v>
      </c>
      <c r="N13" s="421">
        <f t="shared" si="2"/>
        <v>100</v>
      </c>
      <c r="O13" s="383">
        <v>57.5</v>
      </c>
      <c r="P13" s="384"/>
      <c r="Q13" s="384"/>
      <c r="R13" s="385">
        <f t="shared" si="3"/>
        <v>57.5</v>
      </c>
      <c r="S13" s="334">
        <v>1</v>
      </c>
      <c r="T13" s="357"/>
      <c r="V13" s="343" t="s">
        <v>462</v>
      </c>
      <c r="W13" s="334" t="s">
        <v>74</v>
      </c>
      <c r="X13" s="334" t="s">
        <v>11</v>
      </c>
      <c r="Y13" s="344">
        <v>57.5</v>
      </c>
      <c r="AD13" s="343"/>
      <c r="AG13" s="344"/>
      <c r="AL13" s="343"/>
      <c r="AO13" s="344"/>
      <c r="AP13" s="343"/>
      <c r="AS13" s="344"/>
      <c r="AW13" s="344"/>
      <c r="BA13" s="345"/>
    </row>
    <row r="14" spans="1:53" s="334" customFormat="1">
      <c r="A14" s="386">
        <v>1962.6</v>
      </c>
      <c r="B14" s="355"/>
      <c r="C14" s="992" t="s">
        <v>637</v>
      </c>
      <c r="D14" s="992"/>
      <c r="E14" s="334">
        <v>353</v>
      </c>
      <c r="G14" s="419">
        <v>16</v>
      </c>
      <c r="J14" s="435">
        <v>16</v>
      </c>
      <c r="K14" s="384">
        <f t="shared" si="1"/>
        <v>100</v>
      </c>
      <c r="L14" s="384">
        <f t="shared" si="1"/>
        <v>0</v>
      </c>
      <c r="M14" s="384">
        <f t="shared" si="1"/>
        <v>0</v>
      </c>
      <c r="N14" s="421">
        <f t="shared" si="2"/>
        <v>100</v>
      </c>
      <c r="O14" s="383">
        <v>57.5</v>
      </c>
      <c r="P14" s="384"/>
      <c r="Q14" s="384"/>
      <c r="R14" s="385">
        <f t="shared" si="3"/>
        <v>57.5</v>
      </c>
      <c r="S14" s="334">
        <v>1</v>
      </c>
      <c r="T14" s="357"/>
      <c r="V14" s="343" t="s">
        <v>462</v>
      </c>
      <c r="W14" s="334" t="s">
        <v>74</v>
      </c>
      <c r="X14" s="334" t="s">
        <v>11</v>
      </c>
      <c r="Y14" s="344">
        <v>57.5</v>
      </c>
      <c r="AD14" s="343"/>
      <c r="AG14" s="344"/>
      <c r="AL14" s="343"/>
      <c r="AO14" s="344"/>
      <c r="AP14" s="343"/>
      <c r="AS14" s="344"/>
      <c r="AW14" s="344"/>
      <c r="BA14" s="345"/>
    </row>
    <row r="15" spans="1:53" s="208" customFormat="1">
      <c r="A15" s="102">
        <v>1963.05714285714</v>
      </c>
      <c r="B15" s="207">
        <v>23365</v>
      </c>
      <c r="C15" s="988" t="s">
        <v>638</v>
      </c>
      <c r="D15" s="988"/>
      <c r="E15" s="208">
        <f>365-E14</f>
        <v>12</v>
      </c>
      <c r="F15" s="208">
        <v>1</v>
      </c>
      <c r="G15" s="123">
        <v>16</v>
      </c>
      <c r="J15" s="134">
        <v>16</v>
      </c>
      <c r="K15" s="92">
        <f t="shared" si="1"/>
        <v>100</v>
      </c>
      <c r="L15" s="92">
        <f t="shared" si="1"/>
        <v>0</v>
      </c>
      <c r="M15" s="92">
        <f t="shared" si="1"/>
        <v>0</v>
      </c>
      <c r="N15" s="125">
        <f t="shared" si="2"/>
        <v>100</v>
      </c>
      <c r="O15" s="91">
        <v>56.3</v>
      </c>
      <c r="P15" s="92"/>
      <c r="Q15" s="92"/>
      <c r="R15" s="93">
        <f t="shared" si="3"/>
        <v>56.3</v>
      </c>
      <c r="S15" s="208">
        <v>1</v>
      </c>
      <c r="T15" s="95">
        <v>23345</v>
      </c>
      <c r="U15" s="207">
        <v>23365</v>
      </c>
      <c r="V15" s="82" t="s">
        <v>462</v>
      </c>
      <c r="W15" s="208" t="s">
        <v>74</v>
      </c>
      <c r="X15" s="208" t="s">
        <v>11</v>
      </c>
      <c r="Y15" s="83">
        <v>56.3</v>
      </c>
      <c r="AD15" s="82"/>
      <c r="AG15" s="83"/>
      <c r="AL15" s="82"/>
      <c r="AO15" s="83"/>
      <c r="AP15" s="82"/>
      <c r="AS15" s="83"/>
      <c r="AW15" s="83"/>
      <c r="BA15" s="84"/>
    </row>
    <row r="16" spans="1:53" s="208" customFormat="1">
      <c r="A16" s="102">
        <v>1963.5142857142901</v>
      </c>
      <c r="B16" s="207"/>
      <c r="C16" s="988" t="s">
        <v>638</v>
      </c>
      <c r="D16" s="988"/>
      <c r="E16" s="208">
        <v>0</v>
      </c>
      <c r="G16" s="123">
        <v>16</v>
      </c>
      <c r="J16" s="134">
        <v>16</v>
      </c>
      <c r="K16" s="92">
        <f t="shared" si="1"/>
        <v>100</v>
      </c>
      <c r="L16" s="92">
        <f t="shared" si="1"/>
        <v>0</v>
      </c>
      <c r="M16" s="92">
        <f t="shared" si="1"/>
        <v>0</v>
      </c>
      <c r="N16" s="125">
        <f t="shared" si="2"/>
        <v>100</v>
      </c>
      <c r="O16" s="91">
        <v>56.3</v>
      </c>
      <c r="P16" s="92"/>
      <c r="Q16" s="92"/>
      <c r="R16" s="93">
        <f t="shared" si="3"/>
        <v>56.3</v>
      </c>
      <c r="S16" s="208">
        <v>1</v>
      </c>
      <c r="T16" s="81"/>
      <c r="V16" s="82" t="s">
        <v>462</v>
      </c>
      <c r="W16" s="208" t="s">
        <v>74</v>
      </c>
      <c r="X16" s="208" t="s">
        <v>11</v>
      </c>
      <c r="Y16" s="83">
        <v>56.3</v>
      </c>
      <c r="AD16" s="82"/>
      <c r="AG16" s="83"/>
      <c r="AL16" s="82"/>
      <c r="AO16" s="83"/>
      <c r="AP16" s="82"/>
      <c r="AS16" s="83"/>
      <c r="AW16" s="83"/>
      <c r="BA16" s="84"/>
    </row>
    <row r="17" spans="1:53" s="208" customFormat="1">
      <c r="A17" s="102">
        <v>1963.9714285714299</v>
      </c>
      <c r="B17" s="207"/>
      <c r="C17" s="988" t="s">
        <v>638</v>
      </c>
      <c r="D17" s="988"/>
      <c r="E17" s="208">
        <v>366</v>
      </c>
      <c r="G17" s="123">
        <v>16</v>
      </c>
      <c r="J17" s="134">
        <v>16</v>
      </c>
      <c r="K17" s="92">
        <f t="shared" si="1"/>
        <v>100</v>
      </c>
      <c r="L17" s="92">
        <f t="shared" si="1"/>
        <v>0</v>
      </c>
      <c r="M17" s="92">
        <f t="shared" si="1"/>
        <v>0</v>
      </c>
      <c r="N17" s="125">
        <f t="shared" si="2"/>
        <v>100</v>
      </c>
      <c r="O17" s="91">
        <v>56.3</v>
      </c>
      <c r="P17" s="92"/>
      <c r="Q17" s="92"/>
      <c r="R17" s="93">
        <f t="shared" si="3"/>
        <v>56.3</v>
      </c>
      <c r="S17" s="208">
        <v>1</v>
      </c>
      <c r="T17" s="81"/>
      <c r="V17" s="82" t="s">
        <v>462</v>
      </c>
      <c r="W17" s="208" t="s">
        <v>74</v>
      </c>
      <c r="X17" s="208" t="s">
        <v>11</v>
      </c>
      <c r="Y17" s="83">
        <v>56.3</v>
      </c>
      <c r="AD17" s="82"/>
      <c r="AG17" s="83"/>
      <c r="AL17" s="82"/>
      <c r="AO17" s="83"/>
      <c r="AP17" s="82"/>
      <c r="AS17" s="83"/>
      <c r="AW17" s="83"/>
      <c r="BA17" s="84"/>
    </row>
    <row r="18" spans="1:53" s="208" customFormat="1">
      <c r="A18" s="102">
        <v>1965</v>
      </c>
      <c r="B18" s="207"/>
      <c r="C18" s="988" t="s">
        <v>638</v>
      </c>
      <c r="D18" s="988"/>
      <c r="E18" s="208">
        <v>0</v>
      </c>
      <c r="G18" s="123">
        <v>16</v>
      </c>
      <c r="J18" s="134">
        <v>16</v>
      </c>
      <c r="K18" s="92">
        <f t="shared" si="1"/>
        <v>100</v>
      </c>
      <c r="L18" s="92">
        <f t="shared" si="1"/>
        <v>0</v>
      </c>
      <c r="M18" s="92">
        <f t="shared" si="1"/>
        <v>0</v>
      </c>
      <c r="N18" s="125">
        <f t="shared" si="2"/>
        <v>100</v>
      </c>
      <c r="O18" s="91">
        <v>56.3</v>
      </c>
      <c r="P18" s="92"/>
      <c r="Q18" s="92"/>
      <c r="R18" s="93">
        <f t="shared" si="3"/>
        <v>56.3</v>
      </c>
      <c r="S18" s="208">
        <v>1</v>
      </c>
      <c r="T18" s="81"/>
      <c r="V18" s="82" t="s">
        <v>462</v>
      </c>
      <c r="W18" s="208" t="s">
        <v>74</v>
      </c>
      <c r="X18" s="208" t="s">
        <v>11</v>
      </c>
      <c r="Y18" s="83">
        <v>56.3</v>
      </c>
      <c r="AD18" s="82"/>
      <c r="AG18" s="83"/>
      <c r="AL18" s="82"/>
      <c r="AO18" s="83"/>
      <c r="AP18" s="82"/>
      <c r="AS18" s="83"/>
      <c r="AW18" s="83"/>
      <c r="BA18" s="84"/>
    </row>
    <row r="19" spans="1:53" s="208" customFormat="1">
      <c r="A19" s="102">
        <v>1964.88571428572</v>
      </c>
      <c r="B19" s="207"/>
      <c r="C19" s="988" t="s">
        <v>638</v>
      </c>
      <c r="D19" s="988"/>
      <c r="E19" s="208">
        <v>365</v>
      </c>
      <c r="G19" s="123">
        <v>16</v>
      </c>
      <c r="J19" s="134">
        <v>16</v>
      </c>
      <c r="K19" s="92">
        <f t="shared" si="1"/>
        <v>100</v>
      </c>
      <c r="L19" s="92">
        <f t="shared" si="1"/>
        <v>0</v>
      </c>
      <c r="M19" s="92">
        <f t="shared" si="1"/>
        <v>0</v>
      </c>
      <c r="N19" s="125">
        <f t="shared" si="2"/>
        <v>100</v>
      </c>
      <c r="O19" s="91">
        <v>56.3</v>
      </c>
      <c r="P19" s="92"/>
      <c r="Q19" s="92"/>
      <c r="R19" s="93">
        <f t="shared" si="3"/>
        <v>56.3</v>
      </c>
      <c r="S19" s="208">
        <v>1</v>
      </c>
      <c r="T19" s="81"/>
      <c r="V19" s="82" t="s">
        <v>462</v>
      </c>
      <c r="W19" s="208" t="s">
        <v>74</v>
      </c>
      <c r="X19" s="208" t="s">
        <v>11</v>
      </c>
      <c r="Y19" s="83">
        <v>56.3</v>
      </c>
      <c r="AD19" s="82"/>
      <c r="AG19" s="83"/>
      <c r="AL19" s="82"/>
      <c r="AO19" s="83"/>
      <c r="AP19" s="82"/>
      <c r="AS19" s="83"/>
      <c r="AW19" s="83"/>
      <c r="BA19" s="84"/>
    </row>
    <row r="20" spans="1:53" s="208" customFormat="1">
      <c r="A20" s="102">
        <v>1966</v>
      </c>
      <c r="B20" s="207"/>
      <c r="C20" s="988" t="s">
        <v>638</v>
      </c>
      <c r="D20" s="988"/>
      <c r="E20" s="208">
        <v>345</v>
      </c>
      <c r="G20" s="123">
        <v>16</v>
      </c>
      <c r="J20" s="134">
        <v>16</v>
      </c>
      <c r="K20" s="92">
        <f t="shared" si="1"/>
        <v>100</v>
      </c>
      <c r="L20" s="92">
        <f t="shared" si="1"/>
        <v>0</v>
      </c>
      <c r="M20" s="92">
        <f t="shared" si="1"/>
        <v>0</v>
      </c>
      <c r="N20" s="125">
        <f t="shared" si="2"/>
        <v>100</v>
      </c>
      <c r="O20" s="91">
        <v>56.3</v>
      </c>
      <c r="P20" s="92"/>
      <c r="Q20" s="92"/>
      <c r="R20" s="93">
        <f t="shared" si="3"/>
        <v>56.3</v>
      </c>
      <c r="S20" s="208">
        <v>1</v>
      </c>
      <c r="T20" s="81"/>
      <c r="V20" s="82" t="s">
        <v>462</v>
      </c>
      <c r="W20" s="208" t="s">
        <v>74</v>
      </c>
      <c r="X20" s="208" t="s">
        <v>11</v>
      </c>
      <c r="Y20" s="83">
        <v>56.3</v>
      </c>
      <c r="AD20" s="82"/>
      <c r="AG20" s="83"/>
      <c r="AL20" s="82"/>
      <c r="AO20" s="83"/>
      <c r="AP20" s="82"/>
      <c r="AS20" s="83"/>
      <c r="AW20" s="83"/>
      <c r="BA20" s="84"/>
    </row>
    <row r="21" spans="1:53" s="334" customFormat="1">
      <c r="A21" s="386">
        <v>1965.8</v>
      </c>
      <c r="B21" s="355">
        <v>24453</v>
      </c>
      <c r="C21" s="992" t="s">
        <v>639</v>
      </c>
      <c r="D21" s="992"/>
      <c r="E21" s="334">
        <f>365-E20</f>
        <v>20</v>
      </c>
      <c r="F21" s="334">
        <v>1</v>
      </c>
      <c r="G21" s="419">
        <v>16</v>
      </c>
      <c r="J21" s="435">
        <v>16</v>
      </c>
      <c r="K21" s="384">
        <f t="shared" si="1"/>
        <v>100</v>
      </c>
      <c r="L21" s="384">
        <f t="shared" si="1"/>
        <v>0</v>
      </c>
      <c r="M21" s="384">
        <f t="shared" si="1"/>
        <v>0</v>
      </c>
      <c r="N21" s="421">
        <f t="shared" si="2"/>
        <v>100</v>
      </c>
      <c r="O21" s="383">
        <v>55</v>
      </c>
      <c r="P21" s="384"/>
      <c r="Q21" s="384"/>
      <c r="R21" s="385">
        <f t="shared" si="3"/>
        <v>55</v>
      </c>
      <c r="S21" s="334">
        <v>1</v>
      </c>
      <c r="T21" s="342">
        <v>24437</v>
      </c>
      <c r="U21" s="355">
        <v>24453</v>
      </c>
      <c r="V21" s="343" t="s">
        <v>462</v>
      </c>
      <c r="W21" s="334" t="s">
        <v>74</v>
      </c>
      <c r="X21" s="334" t="s">
        <v>11</v>
      </c>
      <c r="Y21" s="344">
        <v>55</v>
      </c>
      <c r="AD21" s="343"/>
      <c r="AG21" s="344"/>
      <c r="AL21" s="343"/>
      <c r="AO21" s="344"/>
      <c r="AP21" s="343"/>
      <c r="AS21" s="344"/>
      <c r="AW21" s="344"/>
      <c r="BA21" s="345"/>
    </row>
    <row r="22" spans="1:53" s="334" customFormat="1">
      <c r="A22" s="386">
        <v>1967</v>
      </c>
      <c r="B22" s="355"/>
      <c r="C22" s="992" t="s">
        <v>639</v>
      </c>
      <c r="D22" s="992"/>
      <c r="E22" s="334">
        <v>0</v>
      </c>
      <c r="G22" s="419">
        <v>16</v>
      </c>
      <c r="J22" s="435">
        <v>16</v>
      </c>
      <c r="K22" s="384">
        <f t="shared" si="1"/>
        <v>100</v>
      </c>
      <c r="L22" s="384">
        <f t="shared" si="1"/>
        <v>0</v>
      </c>
      <c r="M22" s="384">
        <f t="shared" si="1"/>
        <v>0</v>
      </c>
      <c r="N22" s="421">
        <f t="shared" si="2"/>
        <v>100</v>
      </c>
      <c r="O22" s="383">
        <v>55</v>
      </c>
      <c r="P22" s="384"/>
      <c r="Q22" s="384"/>
      <c r="R22" s="385">
        <f t="shared" si="3"/>
        <v>55</v>
      </c>
      <c r="S22" s="334">
        <v>1</v>
      </c>
      <c r="T22" s="357"/>
      <c r="V22" s="343" t="s">
        <v>462</v>
      </c>
      <c r="W22" s="334" t="s">
        <v>74</v>
      </c>
      <c r="X22" s="334" t="s">
        <v>11</v>
      </c>
      <c r="Y22" s="344">
        <v>55</v>
      </c>
      <c r="AD22" s="343"/>
      <c r="AG22" s="344"/>
      <c r="AL22" s="343"/>
      <c r="AO22" s="344"/>
      <c r="AP22" s="343"/>
      <c r="AS22" s="344"/>
      <c r="AW22" s="344"/>
      <c r="BA22" s="345"/>
    </row>
    <row r="23" spans="1:53" s="334" customFormat="1">
      <c r="A23" s="386">
        <v>1966.7142857142901</v>
      </c>
      <c r="B23" s="355"/>
      <c r="C23" s="992" t="s">
        <v>639</v>
      </c>
      <c r="D23" s="992"/>
      <c r="E23" s="334">
        <v>365</v>
      </c>
      <c r="G23" s="419">
        <v>16</v>
      </c>
      <c r="J23" s="435">
        <v>16</v>
      </c>
      <c r="K23" s="384">
        <f t="shared" si="1"/>
        <v>100</v>
      </c>
      <c r="L23" s="384">
        <f t="shared" si="1"/>
        <v>0</v>
      </c>
      <c r="M23" s="384">
        <f t="shared" si="1"/>
        <v>0</v>
      </c>
      <c r="N23" s="421">
        <f t="shared" si="2"/>
        <v>100</v>
      </c>
      <c r="O23" s="383">
        <v>55</v>
      </c>
      <c r="P23" s="384"/>
      <c r="Q23" s="384"/>
      <c r="R23" s="385">
        <f t="shared" si="3"/>
        <v>55</v>
      </c>
      <c r="S23" s="334">
        <v>1</v>
      </c>
      <c r="T23" s="357"/>
      <c r="V23" s="343" t="s">
        <v>462</v>
      </c>
      <c r="W23" s="334" t="s">
        <v>74</v>
      </c>
      <c r="X23" s="334" t="s">
        <v>11</v>
      </c>
      <c r="Y23" s="344">
        <v>55</v>
      </c>
      <c r="AD23" s="343"/>
      <c r="AG23" s="344"/>
      <c r="AL23" s="343"/>
      <c r="AO23" s="344"/>
      <c r="AP23" s="343"/>
      <c r="AS23" s="344"/>
      <c r="AW23" s="344"/>
      <c r="BA23" s="345"/>
    </row>
    <row r="24" spans="1:53" s="334" customFormat="1">
      <c r="A24" s="386">
        <v>1968</v>
      </c>
      <c r="B24" s="355"/>
      <c r="C24" s="992" t="s">
        <v>639</v>
      </c>
      <c r="D24" s="992"/>
      <c r="E24" s="334">
        <v>0</v>
      </c>
      <c r="G24" s="419">
        <v>16</v>
      </c>
      <c r="J24" s="435">
        <v>16</v>
      </c>
      <c r="K24" s="384">
        <f t="shared" si="1"/>
        <v>100</v>
      </c>
      <c r="L24" s="384">
        <f t="shared" si="1"/>
        <v>0</v>
      </c>
      <c r="M24" s="384">
        <f t="shared" si="1"/>
        <v>0</v>
      </c>
      <c r="N24" s="421">
        <f t="shared" si="2"/>
        <v>100</v>
      </c>
      <c r="O24" s="383">
        <v>55</v>
      </c>
      <c r="P24" s="384"/>
      <c r="Q24" s="384"/>
      <c r="R24" s="385">
        <f t="shared" si="3"/>
        <v>55</v>
      </c>
      <c r="S24" s="334">
        <v>1</v>
      </c>
      <c r="T24" s="357"/>
      <c r="V24" s="343" t="s">
        <v>462</v>
      </c>
      <c r="W24" s="334" t="s">
        <v>74</v>
      </c>
      <c r="X24" s="334" t="s">
        <v>11</v>
      </c>
      <c r="Y24" s="344">
        <v>55</v>
      </c>
      <c r="AD24" s="343"/>
      <c r="AG24" s="344"/>
      <c r="AL24" s="343"/>
      <c r="AO24" s="344"/>
      <c r="AP24" s="343"/>
      <c r="AS24" s="344"/>
      <c r="AW24" s="344"/>
      <c r="BA24" s="345"/>
    </row>
    <row r="25" spans="1:53" s="334" customFormat="1">
      <c r="A25" s="386">
        <v>1967.62857142857</v>
      </c>
      <c r="B25" s="355"/>
      <c r="C25" s="992" t="s">
        <v>639</v>
      </c>
      <c r="D25" s="992"/>
      <c r="E25" s="334">
        <v>366</v>
      </c>
      <c r="G25" s="419">
        <v>16</v>
      </c>
      <c r="J25" s="435">
        <v>16</v>
      </c>
      <c r="K25" s="384">
        <f t="shared" si="1"/>
        <v>100</v>
      </c>
      <c r="L25" s="384">
        <f t="shared" si="1"/>
        <v>0</v>
      </c>
      <c r="M25" s="384">
        <f t="shared" si="1"/>
        <v>0</v>
      </c>
      <c r="N25" s="421">
        <f t="shared" si="2"/>
        <v>100</v>
      </c>
      <c r="O25" s="383">
        <v>55</v>
      </c>
      <c r="P25" s="384"/>
      <c r="Q25" s="384"/>
      <c r="R25" s="385">
        <f t="shared" si="3"/>
        <v>55</v>
      </c>
      <c r="S25" s="334">
        <v>1</v>
      </c>
      <c r="T25" s="357"/>
      <c r="V25" s="343" t="s">
        <v>462</v>
      </c>
      <c r="W25" s="334" t="s">
        <v>74</v>
      </c>
      <c r="X25" s="334" t="s">
        <v>11</v>
      </c>
      <c r="Y25" s="344">
        <v>55</v>
      </c>
      <c r="AD25" s="343"/>
      <c r="AG25" s="344"/>
      <c r="AL25" s="343"/>
      <c r="AO25" s="344"/>
      <c r="AP25" s="343"/>
      <c r="AS25" s="344"/>
      <c r="AW25" s="344"/>
      <c r="BA25" s="345"/>
    </row>
    <row r="26" spans="1:53" s="334" customFormat="1">
      <c r="A26" s="386">
        <v>1969</v>
      </c>
      <c r="B26" s="355"/>
      <c r="C26" s="992" t="s">
        <v>639</v>
      </c>
      <c r="D26" s="992"/>
      <c r="E26" s="334">
        <v>355</v>
      </c>
      <c r="G26" s="419">
        <v>16</v>
      </c>
      <c r="J26" s="435">
        <v>16</v>
      </c>
      <c r="K26" s="384">
        <f t="shared" si="1"/>
        <v>100</v>
      </c>
      <c r="L26" s="384">
        <f t="shared" si="1"/>
        <v>0</v>
      </c>
      <c r="M26" s="384">
        <f t="shared" si="1"/>
        <v>0</v>
      </c>
      <c r="N26" s="421">
        <f t="shared" si="2"/>
        <v>100</v>
      </c>
      <c r="O26" s="383">
        <v>55</v>
      </c>
      <c r="P26" s="384"/>
      <c r="Q26" s="384"/>
      <c r="R26" s="385">
        <f t="shared" si="3"/>
        <v>55</v>
      </c>
      <c r="S26" s="334">
        <v>1</v>
      </c>
      <c r="T26" s="357"/>
      <c r="V26" s="343" t="s">
        <v>462</v>
      </c>
      <c r="W26" s="334" t="s">
        <v>74</v>
      </c>
      <c r="X26" s="334" t="s">
        <v>11</v>
      </c>
      <c r="Y26" s="344">
        <v>55</v>
      </c>
      <c r="AD26" s="343"/>
      <c r="AG26" s="344"/>
      <c r="AL26" s="343"/>
      <c r="AO26" s="344"/>
      <c r="AP26" s="343"/>
      <c r="AS26" s="344"/>
      <c r="AW26" s="344"/>
      <c r="BA26" s="345"/>
    </row>
    <row r="27" spans="1:53" s="208" customFormat="1">
      <c r="A27" s="102">
        <v>1968.5428571428599</v>
      </c>
      <c r="B27" s="207">
        <v>25559</v>
      </c>
      <c r="C27" s="988" t="s">
        <v>640</v>
      </c>
      <c r="D27" s="988"/>
      <c r="E27" s="208">
        <f>365-E26</f>
        <v>10</v>
      </c>
      <c r="F27" s="208">
        <v>1</v>
      </c>
      <c r="G27" s="123">
        <v>18</v>
      </c>
      <c r="J27" s="134">
        <v>18</v>
      </c>
      <c r="K27" s="92">
        <f t="shared" si="1"/>
        <v>100</v>
      </c>
      <c r="L27" s="92">
        <f t="shared" si="1"/>
        <v>0</v>
      </c>
      <c r="M27" s="92">
        <f t="shared" si="1"/>
        <v>0</v>
      </c>
      <c r="N27" s="125">
        <f t="shared" si="2"/>
        <v>100</v>
      </c>
      <c r="O27" s="91">
        <v>53.6</v>
      </c>
      <c r="P27" s="92"/>
      <c r="Q27" s="92"/>
      <c r="R27" s="93">
        <f t="shared" si="3"/>
        <v>53.6</v>
      </c>
      <c r="S27" s="208">
        <v>1</v>
      </c>
      <c r="T27" s="95">
        <v>25536</v>
      </c>
      <c r="U27" s="207">
        <v>25559</v>
      </c>
      <c r="V27" s="82" t="s">
        <v>462</v>
      </c>
      <c r="W27" s="208" t="s">
        <v>74</v>
      </c>
      <c r="X27" s="208" t="s">
        <v>11</v>
      </c>
      <c r="Y27" s="83">
        <v>53.6</v>
      </c>
      <c r="AD27" s="82"/>
      <c r="AG27" s="83"/>
      <c r="AL27" s="82"/>
      <c r="AO27" s="83"/>
      <c r="AP27" s="82"/>
      <c r="AS27" s="83"/>
      <c r="AW27" s="83"/>
      <c r="BA27" s="84"/>
    </row>
    <row r="28" spans="1:53" s="208" customFormat="1">
      <c r="A28" s="102">
        <v>1970</v>
      </c>
      <c r="B28" s="207"/>
      <c r="C28" s="988" t="s">
        <v>640</v>
      </c>
      <c r="D28" s="988"/>
      <c r="E28" s="208">
        <v>0</v>
      </c>
      <c r="G28" s="123">
        <v>18</v>
      </c>
      <c r="J28" s="134">
        <v>18</v>
      </c>
      <c r="K28" s="92">
        <f t="shared" si="1"/>
        <v>100</v>
      </c>
      <c r="L28" s="92">
        <f t="shared" si="1"/>
        <v>0</v>
      </c>
      <c r="M28" s="92">
        <f t="shared" si="1"/>
        <v>0</v>
      </c>
      <c r="N28" s="125">
        <f t="shared" si="2"/>
        <v>100</v>
      </c>
      <c r="O28" s="91">
        <v>53.6</v>
      </c>
      <c r="P28" s="92"/>
      <c r="Q28" s="92"/>
      <c r="R28" s="93">
        <f t="shared" si="3"/>
        <v>53.6</v>
      </c>
      <c r="S28" s="208">
        <v>1</v>
      </c>
      <c r="T28" s="81"/>
      <c r="V28" s="82" t="s">
        <v>462</v>
      </c>
      <c r="W28" s="208" t="s">
        <v>74</v>
      </c>
      <c r="X28" s="208" t="s">
        <v>11</v>
      </c>
      <c r="Y28" s="83">
        <v>53.6</v>
      </c>
      <c r="AD28" s="82"/>
      <c r="AG28" s="83"/>
      <c r="AL28" s="82"/>
      <c r="AO28" s="83"/>
      <c r="AP28" s="82"/>
      <c r="AS28" s="83"/>
      <c r="AW28" s="83"/>
      <c r="BA28" s="84"/>
    </row>
    <row r="29" spans="1:53" s="208" customFormat="1">
      <c r="A29" s="102">
        <v>1970</v>
      </c>
      <c r="B29" s="207"/>
      <c r="C29" s="988" t="s">
        <v>640</v>
      </c>
      <c r="D29" s="988"/>
      <c r="E29" s="208">
        <v>365</v>
      </c>
      <c r="G29" s="123">
        <v>18</v>
      </c>
      <c r="J29" s="134">
        <v>18</v>
      </c>
      <c r="K29" s="92">
        <f t="shared" si="1"/>
        <v>100</v>
      </c>
      <c r="L29" s="92">
        <f t="shared" si="1"/>
        <v>0</v>
      </c>
      <c r="M29" s="92">
        <f t="shared" si="1"/>
        <v>0</v>
      </c>
      <c r="N29" s="125">
        <f t="shared" si="2"/>
        <v>100</v>
      </c>
      <c r="O29" s="91">
        <v>53.6</v>
      </c>
      <c r="P29" s="92"/>
      <c r="Q29" s="92"/>
      <c r="R29" s="93">
        <f t="shared" si="3"/>
        <v>53.6</v>
      </c>
      <c r="S29" s="208">
        <v>1</v>
      </c>
      <c r="T29" s="81"/>
      <c r="V29" s="82" t="s">
        <v>462</v>
      </c>
      <c r="W29" s="208" t="s">
        <v>74</v>
      </c>
      <c r="X29" s="208" t="s">
        <v>11</v>
      </c>
      <c r="Y29" s="83">
        <v>53.6</v>
      </c>
      <c r="AD29" s="82"/>
      <c r="AG29" s="83"/>
      <c r="AL29" s="82"/>
      <c r="AO29" s="83"/>
      <c r="AP29" s="82"/>
      <c r="AS29" s="83"/>
      <c r="AW29" s="83"/>
      <c r="BA29" s="84"/>
    </row>
    <row r="30" spans="1:53" s="208" customFormat="1">
      <c r="A30" s="102">
        <v>1971</v>
      </c>
      <c r="B30" s="207"/>
      <c r="C30" s="988" t="s">
        <v>640</v>
      </c>
      <c r="D30" s="988"/>
      <c r="E30" s="208">
        <v>0</v>
      </c>
      <c r="G30" s="123">
        <v>18</v>
      </c>
      <c r="J30" s="134">
        <v>18</v>
      </c>
      <c r="K30" s="92">
        <f t="shared" si="1"/>
        <v>100</v>
      </c>
      <c r="L30" s="92">
        <f t="shared" si="1"/>
        <v>0</v>
      </c>
      <c r="M30" s="92">
        <f t="shared" si="1"/>
        <v>0</v>
      </c>
      <c r="N30" s="125">
        <f t="shared" si="2"/>
        <v>100</v>
      </c>
      <c r="O30" s="91">
        <v>53.6</v>
      </c>
      <c r="P30" s="92"/>
      <c r="Q30" s="92"/>
      <c r="R30" s="93">
        <f t="shared" si="3"/>
        <v>53.6</v>
      </c>
      <c r="S30" s="208">
        <v>1</v>
      </c>
      <c r="T30" s="81"/>
      <c r="V30" s="82" t="s">
        <v>462</v>
      </c>
      <c r="W30" s="208" t="s">
        <v>74</v>
      </c>
      <c r="X30" s="208" t="s">
        <v>11</v>
      </c>
      <c r="Y30" s="83">
        <v>53.6</v>
      </c>
      <c r="AD30" s="82"/>
      <c r="AG30" s="83"/>
      <c r="AL30" s="82"/>
      <c r="AO30" s="83"/>
      <c r="AP30" s="82"/>
      <c r="AS30" s="83"/>
      <c r="AW30" s="83"/>
      <c r="BA30" s="84"/>
    </row>
    <row r="31" spans="1:53" s="208" customFormat="1">
      <c r="A31" s="102">
        <v>1971</v>
      </c>
      <c r="B31" s="207"/>
      <c r="C31" s="988" t="s">
        <v>640</v>
      </c>
      <c r="D31" s="988"/>
      <c r="E31" s="208">
        <v>365</v>
      </c>
      <c r="G31" s="123">
        <v>18</v>
      </c>
      <c r="J31" s="134">
        <v>18</v>
      </c>
      <c r="K31" s="92">
        <f t="shared" si="1"/>
        <v>100</v>
      </c>
      <c r="L31" s="92">
        <f t="shared" si="1"/>
        <v>0</v>
      </c>
      <c r="M31" s="92">
        <f t="shared" si="1"/>
        <v>0</v>
      </c>
      <c r="N31" s="125">
        <f t="shared" si="2"/>
        <v>100</v>
      </c>
      <c r="O31" s="91">
        <v>53.6</v>
      </c>
      <c r="P31" s="92"/>
      <c r="Q31" s="92"/>
      <c r="R31" s="93">
        <f t="shared" si="3"/>
        <v>53.6</v>
      </c>
      <c r="S31" s="208">
        <v>1</v>
      </c>
      <c r="T31" s="81"/>
      <c r="V31" s="82" t="s">
        <v>462</v>
      </c>
      <c r="W31" s="208" t="s">
        <v>74</v>
      </c>
      <c r="X31" s="208" t="s">
        <v>11</v>
      </c>
      <c r="Y31" s="83">
        <v>53.6</v>
      </c>
      <c r="AD31" s="82"/>
      <c r="AG31" s="83"/>
      <c r="AL31" s="82"/>
      <c r="AO31" s="83"/>
      <c r="AP31" s="82"/>
      <c r="AS31" s="83"/>
      <c r="AW31" s="83"/>
      <c r="BA31" s="84"/>
    </row>
    <row r="32" spans="1:53" s="208" customFormat="1">
      <c r="A32" s="102">
        <v>1972</v>
      </c>
      <c r="B32" s="207"/>
      <c r="C32" s="988" t="s">
        <v>640</v>
      </c>
      <c r="D32" s="988"/>
      <c r="E32" s="208">
        <v>39</v>
      </c>
      <c r="G32" s="123">
        <v>18</v>
      </c>
      <c r="J32" s="134">
        <v>18</v>
      </c>
      <c r="K32" s="92">
        <f t="shared" si="1"/>
        <v>100</v>
      </c>
      <c r="L32" s="92">
        <f t="shared" si="1"/>
        <v>0</v>
      </c>
      <c r="M32" s="92">
        <f t="shared" si="1"/>
        <v>0</v>
      </c>
      <c r="N32" s="125">
        <f t="shared" si="2"/>
        <v>100</v>
      </c>
      <c r="O32" s="91">
        <v>53.6</v>
      </c>
      <c r="P32" s="92"/>
      <c r="Q32" s="92"/>
      <c r="R32" s="93">
        <f t="shared" si="3"/>
        <v>53.6</v>
      </c>
      <c r="S32" s="208">
        <v>1</v>
      </c>
      <c r="T32" s="81"/>
      <c r="V32" s="82" t="s">
        <v>462</v>
      </c>
      <c r="W32" s="208" t="s">
        <v>74</v>
      </c>
      <c r="X32" s="208" t="s">
        <v>11</v>
      </c>
      <c r="Y32" s="83">
        <v>53.6</v>
      </c>
      <c r="AD32" s="82"/>
      <c r="AG32" s="83"/>
      <c r="AL32" s="82"/>
      <c r="AO32" s="83"/>
      <c r="AP32" s="82"/>
      <c r="AS32" s="83"/>
      <c r="AW32" s="83"/>
      <c r="BA32" s="84"/>
    </row>
    <row r="33" spans="1:53" s="334" customFormat="1">
      <c r="A33" s="386">
        <v>1972</v>
      </c>
      <c r="B33" s="355">
        <v>26338</v>
      </c>
      <c r="C33" s="992" t="s">
        <v>641</v>
      </c>
      <c r="D33" s="992"/>
      <c r="E33" s="334">
        <v>303</v>
      </c>
      <c r="F33" s="334">
        <v>2</v>
      </c>
      <c r="G33" s="419">
        <v>18</v>
      </c>
      <c r="J33" s="435">
        <v>18</v>
      </c>
      <c r="K33" s="384">
        <f t="shared" si="1"/>
        <v>100</v>
      </c>
      <c r="L33" s="384">
        <f t="shared" si="1"/>
        <v>0</v>
      </c>
      <c r="M33" s="384">
        <f t="shared" si="1"/>
        <v>0</v>
      </c>
      <c r="N33" s="421">
        <f t="shared" si="2"/>
        <v>100</v>
      </c>
      <c r="O33" s="383">
        <v>53.6</v>
      </c>
      <c r="P33" s="384"/>
      <c r="Q33" s="384"/>
      <c r="R33" s="385">
        <f t="shared" si="3"/>
        <v>53.6</v>
      </c>
      <c r="S33" s="334">
        <v>1</v>
      </c>
      <c r="T33" s="357"/>
      <c r="U33" s="355">
        <v>26338</v>
      </c>
      <c r="V33" s="343" t="s">
        <v>462</v>
      </c>
      <c r="W33" s="334" t="s">
        <v>74</v>
      </c>
      <c r="X33" s="334" t="s">
        <v>11</v>
      </c>
      <c r="Y33" s="344">
        <v>53.6</v>
      </c>
      <c r="AD33" s="343"/>
      <c r="AG33" s="344"/>
      <c r="AL33" s="343"/>
      <c r="AO33" s="344"/>
      <c r="AP33" s="343"/>
      <c r="AS33" s="344"/>
      <c r="AW33" s="344"/>
      <c r="BA33" s="345"/>
    </row>
    <row r="34" spans="1:53" s="208" customFormat="1">
      <c r="A34" s="102">
        <v>1972</v>
      </c>
      <c r="B34" s="207">
        <v>26641</v>
      </c>
      <c r="C34" s="988" t="s">
        <v>642</v>
      </c>
      <c r="D34" s="988"/>
      <c r="E34" s="208">
        <f>366-E33-E32</f>
        <v>24</v>
      </c>
      <c r="F34" s="208">
        <v>1</v>
      </c>
      <c r="G34" s="123"/>
      <c r="I34" s="208">
        <v>20</v>
      </c>
      <c r="J34" s="134">
        <v>20</v>
      </c>
      <c r="K34" s="92">
        <f t="shared" si="1"/>
        <v>0</v>
      </c>
      <c r="L34" s="92">
        <f t="shared" si="1"/>
        <v>0</v>
      </c>
      <c r="M34" s="92">
        <f t="shared" si="1"/>
        <v>100</v>
      </c>
      <c r="N34" s="125">
        <f t="shared" si="2"/>
        <v>100</v>
      </c>
      <c r="O34" s="91"/>
      <c r="P34" s="92"/>
      <c r="Q34" s="92">
        <v>63.2</v>
      </c>
      <c r="R34" s="93">
        <f t="shared" si="3"/>
        <v>63.2</v>
      </c>
      <c r="S34" s="208">
        <v>1</v>
      </c>
      <c r="T34" s="95">
        <v>26628</v>
      </c>
      <c r="U34" s="207">
        <v>26641</v>
      </c>
      <c r="V34" s="82" t="s">
        <v>461</v>
      </c>
      <c r="W34" s="208" t="s">
        <v>20</v>
      </c>
      <c r="X34" s="208" t="s">
        <v>12</v>
      </c>
      <c r="Y34" s="83">
        <v>63.2</v>
      </c>
      <c r="AD34" s="82"/>
      <c r="AG34" s="83"/>
      <c r="AL34" s="82"/>
      <c r="AO34" s="83"/>
      <c r="AP34" s="82"/>
      <c r="AS34" s="83"/>
      <c r="AW34" s="83"/>
      <c r="BA34" s="84"/>
    </row>
    <row r="35" spans="1:53" s="208" customFormat="1">
      <c r="A35" s="102">
        <v>1973</v>
      </c>
      <c r="B35" s="207"/>
      <c r="C35" s="988" t="s">
        <v>642</v>
      </c>
      <c r="D35" s="988"/>
      <c r="E35" s="208">
        <v>0</v>
      </c>
      <c r="G35" s="123"/>
      <c r="I35" s="208">
        <v>20</v>
      </c>
      <c r="J35" s="134">
        <v>20</v>
      </c>
      <c r="K35" s="92">
        <f t="shared" si="1"/>
        <v>0</v>
      </c>
      <c r="L35" s="92">
        <f t="shared" si="1"/>
        <v>0</v>
      </c>
      <c r="M35" s="92">
        <f t="shared" si="1"/>
        <v>100</v>
      </c>
      <c r="N35" s="125">
        <f t="shared" si="2"/>
        <v>100</v>
      </c>
      <c r="O35" s="91"/>
      <c r="P35" s="92"/>
      <c r="Q35" s="92">
        <v>63.2</v>
      </c>
      <c r="R35" s="93">
        <f t="shared" si="3"/>
        <v>63.2</v>
      </c>
      <c r="S35" s="208">
        <v>1</v>
      </c>
      <c r="T35" s="81"/>
      <c r="V35" s="82" t="s">
        <v>461</v>
      </c>
      <c r="W35" s="208" t="s">
        <v>20</v>
      </c>
      <c r="X35" s="208" t="s">
        <v>12</v>
      </c>
      <c r="Y35" s="83">
        <v>63.2</v>
      </c>
      <c r="AD35" s="82"/>
      <c r="AG35" s="83"/>
      <c r="AL35" s="82"/>
      <c r="AO35" s="83"/>
      <c r="AP35" s="82"/>
      <c r="AS35" s="83"/>
      <c r="AW35" s="83"/>
      <c r="BA35" s="84"/>
    </row>
    <row r="36" spans="1:53" s="208" customFormat="1">
      <c r="A36" s="102">
        <v>1973</v>
      </c>
      <c r="B36" s="207"/>
      <c r="C36" s="988" t="s">
        <v>642</v>
      </c>
      <c r="D36" s="988"/>
      <c r="E36" s="208">
        <v>365</v>
      </c>
      <c r="G36" s="123"/>
      <c r="I36" s="208">
        <v>20</v>
      </c>
      <c r="J36" s="134">
        <v>20</v>
      </c>
      <c r="K36" s="92">
        <f t="shared" si="1"/>
        <v>0</v>
      </c>
      <c r="L36" s="92">
        <f t="shared" si="1"/>
        <v>0</v>
      </c>
      <c r="M36" s="92">
        <f t="shared" si="1"/>
        <v>100</v>
      </c>
      <c r="N36" s="125">
        <f t="shared" si="2"/>
        <v>100</v>
      </c>
      <c r="O36" s="91"/>
      <c r="P36" s="92"/>
      <c r="Q36" s="92">
        <v>63.2</v>
      </c>
      <c r="R36" s="93">
        <f t="shared" si="3"/>
        <v>63.2</v>
      </c>
      <c r="S36" s="208">
        <v>1</v>
      </c>
      <c r="T36" s="81"/>
      <c r="V36" s="82" t="s">
        <v>461</v>
      </c>
      <c r="W36" s="208" t="s">
        <v>20</v>
      </c>
      <c r="X36" s="208" t="s">
        <v>12</v>
      </c>
      <c r="Y36" s="83">
        <v>63.2</v>
      </c>
      <c r="AD36" s="82"/>
      <c r="AG36" s="83"/>
      <c r="AL36" s="82"/>
      <c r="AO36" s="83"/>
      <c r="AP36" s="82"/>
      <c r="AS36" s="83"/>
      <c r="AW36" s="83"/>
      <c r="BA36" s="84"/>
    </row>
    <row r="37" spans="1:53" s="208" customFormat="1">
      <c r="A37" s="102">
        <v>1974</v>
      </c>
      <c r="B37" s="207"/>
      <c r="C37" s="988" t="s">
        <v>642</v>
      </c>
      <c r="D37" s="988"/>
      <c r="E37" s="208">
        <v>252</v>
      </c>
      <c r="G37" s="123"/>
      <c r="I37" s="208">
        <v>20</v>
      </c>
      <c r="J37" s="134">
        <v>20</v>
      </c>
      <c r="K37" s="92">
        <f t="shared" si="1"/>
        <v>0</v>
      </c>
      <c r="L37" s="92">
        <f t="shared" si="1"/>
        <v>0</v>
      </c>
      <c r="M37" s="92">
        <f t="shared" si="1"/>
        <v>100</v>
      </c>
      <c r="N37" s="125">
        <f t="shared" si="2"/>
        <v>100</v>
      </c>
      <c r="O37" s="91"/>
      <c r="P37" s="92"/>
      <c r="Q37" s="92">
        <v>63.2</v>
      </c>
      <c r="R37" s="93">
        <f t="shared" si="3"/>
        <v>63.2</v>
      </c>
      <c r="S37" s="208">
        <v>1</v>
      </c>
      <c r="T37" s="81"/>
      <c r="V37" s="82" t="s">
        <v>461</v>
      </c>
      <c r="W37" s="208" t="s">
        <v>20</v>
      </c>
      <c r="X37" s="208" t="s">
        <v>12</v>
      </c>
      <c r="Y37" s="83">
        <v>63.2</v>
      </c>
      <c r="AD37" s="82"/>
      <c r="AG37" s="83"/>
      <c r="AL37" s="82"/>
      <c r="AO37" s="83"/>
      <c r="AP37" s="82"/>
      <c r="AS37" s="83"/>
      <c r="AW37" s="83"/>
      <c r="BA37" s="84"/>
    </row>
    <row r="38" spans="1:53" s="334" customFormat="1">
      <c r="A38" s="386">
        <v>1974</v>
      </c>
      <c r="B38" s="355">
        <v>27282</v>
      </c>
      <c r="C38" s="992" t="s">
        <v>643</v>
      </c>
      <c r="D38" s="992"/>
      <c r="E38" s="334">
        <f>365-E37</f>
        <v>113</v>
      </c>
      <c r="F38" s="334">
        <v>3</v>
      </c>
      <c r="G38" s="419"/>
      <c r="I38" s="334">
        <v>20</v>
      </c>
      <c r="J38" s="435">
        <v>20</v>
      </c>
      <c r="K38" s="384">
        <f t="shared" si="1"/>
        <v>0</v>
      </c>
      <c r="L38" s="384">
        <f t="shared" si="1"/>
        <v>0</v>
      </c>
      <c r="M38" s="384">
        <f t="shared" si="1"/>
        <v>100</v>
      </c>
      <c r="N38" s="421">
        <f t="shared" si="2"/>
        <v>100</v>
      </c>
      <c r="O38" s="383"/>
      <c r="P38" s="384"/>
      <c r="Q38" s="384">
        <v>63.2</v>
      </c>
      <c r="R38" s="385">
        <f t="shared" si="3"/>
        <v>63.2</v>
      </c>
      <c r="S38" s="334">
        <v>1</v>
      </c>
      <c r="T38" s="357"/>
      <c r="U38" s="355">
        <v>27282</v>
      </c>
      <c r="V38" s="343" t="s">
        <v>461</v>
      </c>
      <c r="W38" s="334" t="s">
        <v>20</v>
      </c>
      <c r="X38" s="334" t="s">
        <v>12</v>
      </c>
      <c r="Y38" s="344">
        <v>63.2</v>
      </c>
      <c r="AD38" s="343"/>
      <c r="AG38" s="344"/>
      <c r="AL38" s="343"/>
      <c r="AO38" s="344"/>
      <c r="AP38" s="343"/>
      <c r="AS38" s="344"/>
      <c r="AW38" s="344"/>
      <c r="BA38" s="345"/>
    </row>
    <row r="39" spans="1:53" s="334" customFormat="1">
      <c r="A39" s="386">
        <v>1975</v>
      </c>
      <c r="B39" s="355"/>
      <c r="C39" s="992" t="s">
        <v>643</v>
      </c>
      <c r="D39" s="992"/>
      <c r="E39" s="334">
        <v>345</v>
      </c>
      <c r="G39" s="419"/>
      <c r="I39" s="334">
        <v>20</v>
      </c>
      <c r="J39" s="435">
        <v>20</v>
      </c>
      <c r="K39" s="384">
        <f t="shared" si="1"/>
        <v>0</v>
      </c>
      <c r="L39" s="384">
        <f t="shared" si="1"/>
        <v>0</v>
      </c>
      <c r="M39" s="384">
        <f t="shared" si="1"/>
        <v>100</v>
      </c>
      <c r="N39" s="421">
        <f t="shared" si="2"/>
        <v>100</v>
      </c>
      <c r="O39" s="383"/>
      <c r="P39" s="384"/>
      <c r="Q39" s="384">
        <v>63.2</v>
      </c>
      <c r="R39" s="385">
        <f t="shared" si="3"/>
        <v>63.2</v>
      </c>
      <c r="S39" s="334">
        <v>1</v>
      </c>
      <c r="T39" s="357"/>
      <c r="V39" s="343" t="s">
        <v>461</v>
      </c>
      <c r="W39" s="334" t="s">
        <v>20</v>
      </c>
      <c r="X39" s="334" t="s">
        <v>12</v>
      </c>
      <c r="Y39" s="344">
        <v>63.2</v>
      </c>
      <c r="AD39" s="343"/>
      <c r="AG39" s="344"/>
      <c r="AL39" s="343"/>
      <c r="AO39" s="344"/>
      <c r="AP39" s="343"/>
      <c r="AS39" s="344"/>
      <c r="AW39" s="344"/>
      <c r="BA39" s="345"/>
    </row>
    <row r="40" spans="1:53" s="208" customFormat="1">
      <c r="A40" s="102">
        <v>1975</v>
      </c>
      <c r="B40" s="207">
        <v>27740</v>
      </c>
      <c r="C40" s="988" t="s">
        <v>644</v>
      </c>
      <c r="D40" s="988"/>
      <c r="E40" s="208">
        <f>365-E39</f>
        <v>20</v>
      </c>
      <c r="F40" s="208">
        <v>1</v>
      </c>
      <c r="G40" s="123">
        <v>19</v>
      </c>
      <c r="J40" s="134">
        <v>19</v>
      </c>
      <c r="K40" s="92">
        <f t="shared" si="1"/>
        <v>100</v>
      </c>
      <c r="L40" s="92">
        <f t="shared" si="1"/>
        <v>0</v>
      </c>
      <c r="M40" s="92">
        <f t="shared" si="1"/>
        <v>0</v>
      </c>
      <c r="N40" s="125">
        <f t="shared" si="2"/>
        <v>100</v>
      </c>
      <c r="O40" s="91">
        <v>63.2</v>
      </c>
      <c r="P40" s="92"/>
      <c r="Q40" s="92"/>
      <c r="R40" s="93">
        <f t="shared" si="3"/>
        <v>63.2</v>
      </c>
      <c r="S40" s="208">
        <v>1</v>
      </c>
      <c r="T40" s="95">
        <v>27727</v>
      </c>
      <c r="U40" s="207">
        <v>27740</v>
      </c>
      <c r="V40" s="82" t="s">
        <v>462</v>
      </c>
      <c r="W40" s="208" t="s">
        <v>74</v>
      </c>
      <c r="X40" s="208" t="s">
        <v>11</v>
      </c>
      <c r="Y40" s="83">
        <v>63.2</v>
      </c>
      <c r="AD40" s="82"/>
      <c r="AG40" s="83"/>
      <c r="AL40" s="82"/>
      <c r="AO40" s="83"/>
      <c r="AP40" s="82"/>
      <c r="AS40" s="83"/>
      <c r="AW40" s="83"/>
      <c r="BA40" s="84"/>
    </row>
    <row r="41" spans="1:53" s="208" customFormat="1">
      <c r="A41" s="102">
        <v>1976</v>
      </c>
      <c r="B41" s="207"/>
      <c r="C41" s="988" t="s">
        <v>644</v>
      </c>
      <c r="D41" s="988"/>
      <c r="E41" s="208">
        <v>0</v>
      </c>
      <c r="G41" s="123">
        <v>19</v>
      </c>
      <c r="J41" s="134">
        <v>19</v>
      </c>
      <c r="K41" s="92">
        <f t="shared" si="1"/>
        <v>100</v>
      </c>
      <c r="L41" s="92">
        <f t="shared" si="1"/>
        <v>0</v>
      </c>
      <c r="M41" s="92">
        <f t="shared" si="1"/>
        <v>0</v>
      </c>
      <c r="N41" s="125">
        <f t="shared" si="2"/>
        <v>100</v>
      </c>
      <c r="O41" s="91">
        <v>63.2</v>
      </c>
      <c r="P41" s="92"/>
      <c r="Q41" s="92"/>
      <c r="R41" s="93">
        <f t="shared" si="3"/>
        <v>63.2</v>
      </c>
      <c r="S41" s="208">
        <v>1</v>
      </c>
      <c r="T41" s="81"/>
      <c r="V41" s="82" t="s">
        <v>462</v>
      </c>
      <c r="W41" s="208" t="s">
        <v>74</v>
      </c>
      <c r="X41" s="208" t="s">
        <v>11</v>
      </c>
      <c r="Y41" s="83">
        <v>63.2</v>
      </c>
      <c r="AD41" s="82"/>
      <c r="AG41" s="83"/>
      <c r="AL41" s="82"/>
      <c r="AO41" s="83"/>
      <c r="AP41" s="82"/>
      <c r="AS41" s="83"/>
      <c r="AW41" s="83"/>
      <c r="BA41" s="84"/>
    </row>
    <row r="42" spans="1:53" s="208" customFormat="1">
      <c r="A42" s="102">
        <v>1976</v>
      </c>
      <c r="B42" s="207"/>
      <c r="C42" s="988" t="s">
        <v>644</v>
      </c>
      <c r="D42" s="988"/>
      <c r="E42" s="208">
        <v>366</v>
      </c>
      <c r="G42" s="123">
        <v>19</v>
      </c>
      <c r="J42" s="134">
        <v>19</v>
      </c>
      <c r="K42" s="92">
        <f t="shared" si="1"/>
        <v>100</v>
      </c>
      <c r="L42" s="92">
        <f t="shared" si="1"/>
        <v>0</v>
      </c>
      <c r="M42" s="92">
        <f t="shared" si="1"/>
        <v>0</v>
      </c>
      <c r="N42" s="125">
        <f t="shared" si="2"/>
        <v>100</v>
      </c>
      <c r="O42" s="91">
        <v>63.2</v>
      </c>
      <c r="P42" s="92"/>
      <c r="Q42" s="92"/>
      <c r="R42" s="93">
        <f t="shared" si="3"/>
        <v>63.2</v>
      </c>
      <c r="S42" s="208">
        <v>1</v>
      </c>
      <c r="T42" s="81"/>
      <c r="V42" s="82" t="s">
        <v>462</v>
      </c>
      <c r="W42" s="208" t="s">
        <v>74</v>
      </c>
      <c r="X42" s="208" t="s">
        <v>11</v>
      </c>
      <c r="Y42" s="83">
        <v>63.2</v>
      </c>
      <c r="AD42" s="82"/>
      <c r="AG42" s="83"/>
      <c r="AL42" s="82"/>
      <c r="AO42" s="83"/>
      <c r="AP42" s="82"/>
      <c r="AS42" s="83"/>
      <c r="AW42" s="83"/>
      <c r="BA42" s="84"/>
    </row>
    <row r="43" spans="1:53" s="208" customFormat="1">
      <c r="A43" s="102">
        <v>1977</v>
      </c>
      <c r="B43" s="207"/>
      <c r="C43" s="988" t="s">
        <v>644</v>
      </c>
      <c r="D43" s="988"/>
      <c r="E43" s="208">
        <v>0</v>
      </c>
      <c r="G43" s="123">
        <v>19</v>
      </c>
      <c r="J43" s="134">
        <v>19</v>
      </c>
      <c r="K43" s="92">
        <f t="shared" si="1"/>
        <v>100</v>
      </c>
      <c r="L43" s="92">
        <f t="shared" si="1"/>
        <v>0</v>
      </c>
      <c r="M43" s="92">
        <f t="shared" si="1"/>
        <v>0</v>
      </c>
      <c r="N43" s="125">
        <f t="shared" si="2"/>
        <v>100</v>
      </c>
      <c r="O43" s="91">
        <v>63.2</v>
      </c>
      <c r="P43" s="92"/>
      <c r="Q43" s="92"/>
      <c r="R43" s="93">
        <f t="shared" si="3"/>
        <v>63.2</v>
      </c>
      <c r="S43" s="208">
        <v>1</v>
      </c>
      <c r="T43" s="81"/>
      <c r="V43" s="82" t="s">
        <v>462</v>
      </c>
      <c r="W43" s="208" t="s">
        <v>74</v>
      </c>
      <c r="X43" s="208" t="s">
        <v>11</v>
      </c>
      <c r="Y43" s="83">
        <v>63.2</v>
      </c>
      <c r="AD43" s="82"/>
      <c r="AG43" s="83"/>
      <c r="AL43" s="82"/>
      <c r="AO43" s="83"/>
      <c r="AP43" s="82"/>
      <c r="AS43" s="83"/>
      <c r="AW43" s="83"/>
      <c r="BA43" s="84"/>
    </row>
    <row r="44" spans="1:53" s="208" customFormat="1">
      <c r="A44" s="102">
        <v>1977</v>
      </c>
      <c r="B44" s="207"/>
      <c r="C44" s="988" t="s">
        <v>644</v>
      </c>
      <c r="D44" s="988"/>
      <c r="E44" s="208">
        <v>365</v>
      </c>
      <c r="G44" s="123">
        <v>19</v>
      </c>
      <c r="J44" s="134">
        <v>19</v>
      </c>
      <c r="K44" s="92">
        <f t="shared" si="1"/>
        <v>100</v>
      </c>
      <c r="L44" s="92">
        <f t="shared" si="1"/>
        <v>0</v>
      </c>
      <c r="M44" s="92">
        <f t="shared" si="1"/>
        <v>0</v>
      </c>
      <c r="N44" s="125">
        <f t="shared" si="2"/>
        <v>100</v>
      </c>
      <c r="O44" s="91">
        <v>63.2</v>
      </c>
      <c r="P44" s="92"/>
      <c r="Q44" s="92"/>
      <c r="R44" s="93">
        <f t="shared" si="3"/>
        <v>63.2</v>
      </c>
      <c r="S44" s="208">
        <v>1</v>
      </c>
      <c r="T44" s="81"/>
      <c r="V44" s="82" t="s">
        <v>462</v>
      </c>
      <c r="W44" s="208" t="s">
        <v>74</v>
      </c>
      <c r="X44" s="208" t="s">
        <v>11</v>
      </c>
      <c r="Y44" s="83">
        <v>63.2</v>
      </c>
      <c r="AD44" s="82"/>
      <c r="AG44" s="83"/>
      <c r="AL44" s="82"/>
      <c r="AO44" s="83"/>
      <c r="AP44" s="82"/>
      <c r="AS44" s="83"/>
      <c r="AW44" s="83"/>
      <c r="BA44" s="84"/>
    </row>
    <row r="45" spans="1:53" s="208" customFormat="1">
      <c r="A45" s="102">
        <v>1978</v>
      </c>
      <c r="B45" s="207"/>
      <c r="C45" s="988" t="s">
        <v>644</v>
      </c>
      <c r="D45" s="988"/>
      <c r="E45" s="208">
        <v>346</v>
      </c>
      <c r="G45" s="123">
        <v>19</v>
      </c>
      <c r="J45" s="134">
        <v>19</v>
      </c>
      <c r="K45" s="92">
        <f t="shared" si="1"/>
        <v>100</v>
      </c>
      <c r="L45" s="92">
        <f t="shared" si="1"/>
        <v>0</v>
      </c>
      <c r="M45" s="92">
        <f t="shared" si="1"/>
        <v>0</v>
      </c>
      <c r="N45" s="125">
        <f t="shared" si="2"/>
        <v>100</v>
      </c>
      <c r="O45" s="91">
        <v>63.2</v>
      </c>
      <c r="P45" s="92"/>
      <c r="Q45" s="92"/>
      <c r="R45" s="93">
        <f t="shared" si="3"/>
        <v>63.2</v>
      </c>
      <c r="S45" s="208">
        <v>1</v>
      </c>
      <c r="T45" s="81"/>
      <c r="V45" s="82" t="s">
        <v>462</v>
      </c>
      <c r="W45" s="208" t="s">
        <v>74</v>
      </c>
      <c r="X45" s="208" t="s">
        <v>11</v>
      </c>
      <c r="Y45" s="83">
        <v>63.2</v>
      </c>
      <c r="AD45" s="82"/>
      <c r="AG45" s="83"/>
      <c r="AL45" s="82"/>
      <c r="AO45" s="83"/>
      <c r="AP45" s="82"/>
      <c r="AS45" s="83"/>
      <c r="AW45" s="83"/>
      <c r="BA45" s="84"/>
    </row>
    <row r="46" spans="1:53" s="334" customFormat="1">
      <c r="A46" s="386">
        <v>1978</v>
      </c>
      <c r="B46" s="355">
        <v>28837</v>
      </c>
      <c r="C46" s="992" t="s">
        <v>645</v>
      </c>
      <c r="D46" s="992"/>
      <c r="E46" s="334">
        <f>365-E45</f>
        <v>19</v>
      </c>
      <c r="F46" s="334">
        <v>1</v>
      </c>
      <c r="G46" s="419">
        <v>19</v>
      </c>
      <c r="J46" s="435">
        <v>19</v>
      </c>
      <c r="K46" s="384">
        <f t="shared" si="1"/>
        <v>100</v>
      </c>
      <c r="L46" s="384">
        <f t="shared" si="1"/>
        <v>0</v>
      </c>
      <c r="M46" s="384">
        <f t="shared" si="1"/>
        <v>0</v>
      </c>
      <c r="N46" s="421">
        <f t="shared" si="2"/>
        <v>100</v>
      </c>
      <c r="O46" s="383">
        <v>55.4</v>
      </c>
      <c r="P46" s="384"/>
      <c r="Q46" s="384"/>
      <c r="R46" s="385">
        <f t="shared" si="3"/>
        <v>55.4</v>
      </c>
      <c r="S46" s="334">
        <v>1</v>
      </c>
      <c r="T46" s="342">
        <v>28819</v>
      </c>
      <c r="U46" s="355">
        <v>28837</v>
      </c>
      <c r="V46" s="343" t="s">
        <v>462</v>
      </c>
      <c r="W46" s="334" t="s">
        <v>74</v>
      </c>
      <c r="X46" s="334" t="s">
        <v>11</v>
      </c>
      <c r="Y46" s="344">
        <v>55.4</v>
      </c>
      <c r="AD46" s="343"/>
      <c r="AG46" s="344"/>
      <c r="AL46" s="343"/>
      <c r="AO46" s="344"/>
      <c r="AP46" s="343"/>
      <c r="AS46" s="344"/>
      <c r="AW46" s="344"/>
      <c r="BA46" s="345"/>
    </row>
    <row r="47" spans="1:53" s="334" customFormat="1">
      <c r="A47" s="386">
        <v>1979</v>
      </c>
      <c r="B47" s="355"/>
      <c r="C47" s="992" t="s">
        <v>645</v>
      </c>
      <c r="D47" s="992"/>
      <c r="E47" s="334">
        <v>0</v>
      </c>
      <c r="G47" s="419">
        <v>19</v>
      </c>
      <c r="J47" s="435">
        <v>19</v>
      </c>
      <c r="K47" s="384">
        <f t="shared" si="1"/>
        <v>100</v>
      </c>
      <c r="L47" s="384">
        <f t="shared" si="1"/>
        <v>0</v>
      </c>
      <c r="M47" s="384">
        <f t="shared" si="1"/>
        <v>0</v>
      </c>
      <c r="N47" s="421">
        <f t="shared" si="2"/>
        <v>100</v>
      </c>
      <c r="O47" s="383">
        <v>55.4</v>
      </c>
      <c r="P47" s="384"/>
      <c r="Q47" s="384"/>
      <c r="R47" s="385">
        <f t="shared" si="3"/>
        <v>55.4</v>
      </c>
      <c r="S47" s="334">
        <v>1</v>
      </c>
      <c r="T47" s="357"/>
      <c r="V47" s="343" t="s">
        <v>462</v>
      </c>
      <c r="W47" s="334" t="s">
        <v>74</v>
      </c>
      <c r="X47" s="334" t="s">
        <v>11</v>
      </c>
      <c r="Y47" s="344">
        <v>55.4</v>
      </c>
      <c r="AD47" s="343"/>
      <c r="AG47" s="344"/>
      <c r="AL47" s="343"/>
      <c r="AO47" s="344"/>
      <c r="AP47" s="343"/>
      <c r="AS47" s="344"/>
      <c r="AW47" s="344"/>
      <c r="BA47" s="345"/>
    </row>
    <row r="48" spans="1:53" s="334" customFormat="1">
      <c r="A48" s="386">
        <v>1979</v>
      </c>
      <c r="B48" s="355"/>
      <c r="C48" s="992" t="s">
        <v>645</v>
      </c>
      <c r="D48" s="992"/>
      <c r="E48" s="334">
        <v>365</v>
      </c>
      <c r="G48" s="419">
        <v>19</v>
      </c>
      <c r="J48" s="435">
        <v>19</v>
      </c>
      <c r="K48" s="384">
        <f t="shared" si="1"/>
        <v>100</v>
      </c>
      <c r="L48" s="384">
        <f t="shared" si="1"/>
        <v>0</v>
      </c>
      <c r="M48" s="384">
        <f t="shared" si="1"/>
        <v>0</v>
      </c>
      <c r="N48" s="421">
        <f t="shared" si="2"/>
        <v>100</v>
      </c>
      <c r="O48" s="383">
        <v>55.4</v>
      </c>
      <c r="P48" s="384"/>
      <c r="Q48" s="384"/>
      <c r="R48" s="385">
        <f t="shared" si="3"/>
        <v>55.4</v>
      </c>
      <c r="S48" s="334">
        <v>1</v>
      </c>
      <c r="T48" s="357"/>
      <c r="V48" s="343" t="s">
        <v>462</v>
      </c>
      <c r="W48" s="334" t="s">
        <v>74</v>
      </c>
      <c r="X48" s="334" t="s">
        <v>11</v>
      </c>
      <c r="Y48" s="344">
        <v>55.4</v>
      </c>
      <c r="AD48" s="343"/>
      <c r="AG48" s="344"/>
      <c r="AL48" s="343"/>
      <c r="AO48" s="344"/>
      <c r="AP48" s="343"/>
      <c r="AS48" s="344"/>
      <c r="AW48" s="344"/>
      <c r="BA48" s="345"/>
    </row>
    <row r="49" spans="1:53" s="334" customFormat="1">
      <c r="A49" s="386">
        <v>1980</v>
      </c>
      <c r="B49" s="355"/>
      <c r="C49" s="992" t="s">
        <v>645</v>
      </c>
      <c r="D49" s="992"/>
      <c r="E49" s="334">
        <v>0</v>
      </c>
      <c r="G49" s="419">
        <v>19</v>
      </c>
      <c r="J49" s="435">
        <v>19</v>
      </c>
      <c r="K49" s="384">
        <f t="shared" si="1"/>
        <v>100</v>
      </c>
      <c r="L49" s="384">
        <f t="shared" si="1"/>
        <v>0</v>
      </c>
      <c r="M49" s="384">
        <f t="shared" si="1"/>
        <v>0</v>
      </c>
      <c r="N49" s="421">
        <f t="shared" si="2"/>
        <v>100</v>
      </c>
      <c r="O49" s="383">
        <v>55.4</v>
      </c>
      <c r="P49" s="384"/>
      <c r="Q49" s="384"/>
      <c r="R49" s="385">
        <f t="shared" si="3"/>
        <v>55.4</v>
      </c>
      <c r="S49" s="334">
        <v>1</v>
      </c>
      <c r="T49" s="357"/>
      <c r="V49" s="343" t="s">
        <v>462</v>
      </c>
      <c r="W49" s="334" t="s">
        <v>74</v>
      </c>
      <c r="X49" s="334" t="s">
        <v>11</v>
      </c>
      <c r="Y49" s="344">
        <v>55.4</v>
      </c>
      <c r="AD49" s="343"/>
      <c r="AG49" s="344"/>
      <c r="AL49" s="343"/>
      <c r="AO49" s="344"/>
      <c r="AP49" s="343"/>
      <c r="AS49" s="344"/>
      <c r="AW49" s="344"/>
      <c r="BA49" s="345"/>
    </row>
    <row r="50" spans="1:53" s="334" customFormat="1">
      <c r="A50" s="386">
        <v>1980</v>
      </c>
      <c r="B50" s="355"/>
      <c r="C50" s="992" t="s">
        <v>645</v>
      </c>
      <c r="D50" s="992"/>
      <c r="E50" s="334">
        <v>366</v>
      </c>
      <c r="G50" s="419">
        <v>19</v>
      </c>
      <c r="J50" s="435">
        <v>19</v>
      </c>
      <c r="K50" s="384">
        <f t="shared" si="1"/>
        <v>100</v>
      </c>
      <c r="L50" s="384">
        <f t="shared" si="1"/>
        <v>0</v>
      </c>
      <c r="M50" s="384">
        <f t="shared" si="1"/>
        <v>0</v>
      </c>
      <c r="N50" s="421">
        <f t="shared" si="2"/>
        <v>100</v>
      </c>
      <c r="O50" s="383">
        <v>55.4</v>
      </c>
      <c r="P50" s="384"/>
      <c r="Q50" s="384"/>
      <c r="R50" s="385">
        <f t="shared" si="3"/>
        <v>55.4</v>
      </c>
      <c r="S50" s="334">
        <v>1</v>
      </c>
      <c r="T50" s="357"/>
      <c r="V50" s="343" t="s">
        <v>462</v>
      </c>
      <c r="W50" s="334" t="s">
        <v>74</v>
      </c>
      <c r="X50" s="334" t="s">
        <v>11</v>
      </c>
      <c r="Y50" s="344">
        <v>55.4</v>
      </c>
      <c r="AD50" s="343"/>
      <c r="AG50" s="344"/>
      <c r="AL50" s="343"/>
      <c r="AO50" s="344"/>
      <c r="AP50" s="343"/>
      <c r="AS50" s="344"/>
      <c r="AW50" s="344"/>
      <c r="BA50" s="345"/>
    </row>
    <row r="51" spans="1:53" s="334" customFormat="1">
      <c r="A51" s="386">
        <v>1981</v>
      </c>
      <c r="B51" s="355"/>
      <c r="C51" s="992" t="s">
        <v>645</v>
      </c>
      <c r="D51" s="992"/>
      <c r="E51" s="334">
        <v>344</v>
      </c>
      <c r="G51" s="419">
        <v>19</v>
      </c>
      <c r="J51" s="435">
        <v>19</v>
      </c>
      <c r="K51" s="384">
        <f t="shared" si="1"/>
        <v>100</v>
      </c>
      <c r="L51" s="384">
        <f t="shared" si="1"/>
        <v>0</v>
      </c>
      <c r="M51" s="384">
        <f t="shared" si="1"/>
        <v>0</v>
      </c>
      <c r="N51" s="421">
        <f t="shared" si="2"/>
        <v>100</v>
      </c>
      <c r="O51" s="383">
        <v>55.4</v>
      </c>
      <c r="P51" s="384"/>
      <c r="Q51" s="384"/>
      <c r="R51" s="385">
        <f t="shared" si="3"/>
        <v>55.4</v>
      </c>
      <c r="S51" s="334">
        <v>1</v>
      </c>
      <c r="T51" s="357"/>
      <c r="V51" s="343" t="s">
        <v>462</v>
      </c>
      <c r="W51" s="334" t="s">
        <v>74</v>
      </c>
      <c r="X51" s="334" t="s">
        <v>11</v>
      </c>
      <c r="Y51" s="344">
        <v>55.4</v>
      </c>
      <c r="AD51" s="343"/>
      <c r="AG51" s="344"/>
      <c r="AL51" s="343"/>
      <c r="AO51" s="344"/>
      <c r="AP51" s="343"/>
      <c r="AS51" s="344"/>
      <c r="AW51" s="344"/>
      <c r="BA51" s="345"/>
    </row>
    <row r="52" spans="1:53" s="208" customFormat="1">
      <c r="A52" s="102">
        <v>1981</v>
      </c>
      <c r="B52" s="207">
        <v>29931</v>
      </c>
      <c r="C52" s="988" t="s">
        <v>646</v>
      </c>
      <c r="D52" s="988"/>
      <c r="E52" s="208">
        <f>365-E51</f>
        <v>21</v>
      </c>
      <c r="F52" s="208">
        <v>1</v>
      </c>
      <c r="G52" s="123">
        <v>19</v>
      </c>
      <c r="J52" s="134">
        <v>19</v>
      </c>
      <c r="K52" s="92">
        <f t="shared" si="1"/>
        <v>100</v>
      </c>
      <c r="L52" s="92">
        <f t="shared" si="1"/>
        <v>0</v>
      </c>
      <c r="M52" s="92">
        <f t="shared" si="1"/>
        <v>0</v>
      </c>
      <c r="N52" s="125">
        <f t="shared" si="2"/>
        <v>100</v>
      </c>
      <c r="O52" s="91">
        <v>51.1</v>
      </c>
      <c r="P52" s="92"/>
      <c r="Q52" s="92"/>
      <c r="R52" s="93">
        <f t="shared" si="3"/>
        <v>51.1</v>
      </c>
      <c r="S52" s="208">
        <v>1</v>
      </c>
      <c r="T52" s="95">
        <v>29918</v>
      </c>
      <c r="U52" s="207">
        <v>29931</v>
      </c>
      <c r="V52" s="82" t="s">
        <v>462</v>
      </c>
      <c r="W52" s="208" t="s">
        <v>74</v>
      </c>
      <c r="X52" s="208" t="s">
        <v>11</v>
      </c>
      <c r="Y52" s="83">
        <v>51.1</v>
      </c>
      <c r="AD52" s="82"/>
      <c r="AG52" s="83"/>
      <c r="AL52" s="82"/>
      <c r="AO52" s="83"/>
      <c r="AP52" s="82"/>
      <c r="AS52" s="83"/>
      <c r="AW52" s="83"/>
      <c r="BA52" s="84"/>
    </row>
    <row r="53" spans="1:53" s="208" customFormat="1">
      <c r="A53" s="102">
        <v>1982</v>
      </c>
      <c r="B53" s="207"/>
      <c r="C53" s="988" t="s">
        <v>646</v>
      </c>
      <c r="D53" s="988"/>
      <c r="E53" s="208">
        <v>0</v>
      </c>
      <c r="G53" s="123">
        <v>19</v>
      </c>
      <c r="J53" s="134">
        <v>19</v>
      </c>
      <c r="K53" s="92">
        <f t="shared" si="1"/>
        <v>100</v>
      </c>
      <c r="L53" s="92">
        <f t="shared" si="1"/>
        <v>0</v>
      </c>
      <c r="M53" s="92">
        <f t="shared" si="1"/>
        <v>0</v>
      </c>
      <c r="N53" s="125">
        <f t="shared" si="2"/>
        <v>100</v>
      </c>
      <c r="O53" s="91">
        <v>51.1</v>
      </c>
      <c r="P53" s="92"/>
      <c r="Q53" s="92"/>
      <c r="R53" s="93">
        <f t="shared" si="3"/>
        <v>51.1</v>
      </c>
      <c r="S53" s="208">
        <v>1</v>
      </c>
      <c r="T53" s="81"/>
      <c r="V53" s="82" t="s">
        <v>462</v>
      </c>
      <c r="W53" s="208" t="s">
        <v>74</v>
      </c>
      <c r="X53" s="208" t="s">
        <v>11</v>
      </c>
      <c r="Y53" s="83">
        <v>51.1</v>
      </c>
      <c r="AD53" s="82"/>
      <c r="AG53" s="83"/>
      <c r="AL53" s="82"/>
      <c r="AO53" s="83"/>
      <c r="AP53" s="82"/>
      <c r="AS53" s="83"/>
      <c r="AW53" s="83"/>
      <c r="BA53" s="84"/>
    </row>
    <row r="54" spans="1:53" s="208" customFormat="1">
      <c r="A54" s="102">
        <v>1982</v>
      </c>
      <c r="B54" s="207"/>
      <c r="C54" s="988" t="s">
        <v>646</v>
      </c>
      <c r="D54" s="988"/>
      <c r="E54" s="208">
        <v>365</v>
      </c>
      <c r="G54" s="123">
        <v>19</v>
      </c>
      <c r="J54" s="134">
        <v>19</v>
      </c>
      <c r="K54" s="92">
        <f t="shared" si="1"/>
        <v>100</v>
      </c>
      <c r="L54" s="92">
        <f t="shared" si="1"/>
        <v>0</v>
      </c>
      <c r="M54" s="92">
        <f t="shared" si="1"/>
        <v>0</v>
      </c>
      <c r="N54" s="125">
        <f t="shared" si="2"/>
        <v>100</v>
      </c>
      <c r="O54" s="91">
        <v>51.1</v>
      </c>
      <c r="P54" s="92"/>
      <c r="Q54" s="92"/>
      <c r="R54" s="93">
        <f t="shared" si="3"/>
        <v>51.1</v>
      </c>
      <c r="S54" s="208">
        <v>1</v>
      </c>
      <c r="T54" s="81"/>
      <c r="V54" s="82" t="s">
        <v>462</v>
      </c>
      <c r="W54" s="208" t="s">
        <v>74</v>
      </c>
      <c r="X54" s="208" t="s">
        <v>11</v>
      </c>
      <c r="Y54" s="83">
        <v>51.1</v>
      </c>
      <c r="AD54" s="82"/>
      <c r="AG54" s="83"/>
      <c r="AL54" s="82"/>
      <c r="AO54" s="83"/>
      <c r="AP54" s="82"/>
      <c r="AS54" s="83"/>
      <c r="AW54" s="83"/>
      <c r="BA54" s="84"/>
    </row>
    <row r="55" spans="1:53" s="208" customFormat="1">
      <c r="A55" s="102">
        <v>1983</v>
      </c>
      <c r="B55" s="207"/>
      <c r="C55" s="988" t="s">
        <v>646</v>
      </c>
      <c r="D55" s="988"/>
      <c r="E55" s="208">
        <v>0</v>
      </c>
      <c r="G55" s="123">
        <v>19</v>
      </c>
      <c r="J55" s="134">
        <v>19</v>
      </c>
      <c r="K55" s="92">
        <f t="shared" si="1"/>
        <v>100</v>
      </c>
      <c r="L55" s="92">
        <f t="shared" si="1"/>
        <v>0</v>
      </c>
      <c r="M55" s="92">
        <f t="shared" si="1"/>
        <v>0</v>
      </c>
      <c r="N55" s="125">
        <f t="shared" si="2"/>
        <v>100</v>
      </c>
      <c r="O55" s="91">
        <v>51.1</v>
      </c>
      <c r="P55" s="92"/>
      <c r="Q55" s="92"/>
      <c r="R55" s="93">
        <f t="shared" si="3"/>
        <v>51.1</v>
      </c>
      <c r="S55" s="208">
        <v>1</v>
      </c>
      <c r="T55" s="81"/>
      <c r="V55" s="82" t="s">
        <v>462</v>
      </c>
      <c r="W55" s="208" t="s">
        <v>74</v>
      </c>
      <c r="X55" s="208" t="s">
        <v>11</v>
      </c>
      <c r="Y55" s="83">
        <v>51.1</v>
      </c>
      <c r="AD55" s="82"/>
      <c r="AG55" s="83"/>
      <c r="AL55" s="82"/>
      <c r="AO55" s="83"/>
      <c r="AP55" s="82"/>
      <c r="AS55" s="83"/>
      <c r="AW55" s="83"/>
      <c r="BA55" s="84"/>
    </row>
    <row r="56" spans="1:53" s="208" customFormat="1">
      <c r="A56" s="102">
        <v>1983</v>
      </c>
      <c r="B56" s="207"/>
      <c r="C56" s="988" t="s">
        <v>646</v>
      </c>
      <c r="D56" s="988"/>
      <c r="E56" s="208">
        <v>365</v>
      </c>
      <c r="G56" s="123">
        <v>19</v>
      </c>
      <c r="J56" s="134">
        <v>19</v>
      </c>
      <c r="K56" s="92">
        <f t="shared" si="1"/>
        <v>100</v>
      </c>
      <c r="L56" s="92">
        <f t="shared" si="1"/>
        <v>0</v>
      </c>
      <c r="M56" s="92">
        <f t="shared" si="1"/>
        <v>0</v>
      </c>
      <c r="N56" s="125">
        <f t="shared" si="2"/>
        <v>100</v>
      </c>
      <c r="O56" s="91">
        <v>51.1</v>
      </c>
      <c r="P56" s="92"/>
      <c r="Q56" s="92"/>
      <c r="R56" s="93">
        <f t="shared" si="3"/>
        <v>51.1</v>
      </c>
      <c r="S56" s="208">
        <v>1</v>
      </c>
      <c r="T56" s="81"/>
      <c r="V56" s="82" t="s">
        <v>462</v>
      </c>
      <c r="W56" s="208" t="s">
        <v>74</v>
      </c>
      <c r="X56" s="208" t="s">
        <v>11</v>
      </c>
      <c r="Y56" s="83">
        <v>51.1</v>
      </c>
      <c r="AD56" s="82"/>
      <c r="AG56" s="83"/>
      <c r="AL56" s="82"/>
      <c r="AO56" s="83"/>
      <c r="AP56" s="82"/>
      <c r="AS56" s="83"/>
      <c r="AW56" s="83"/>
      <c r="BA56" s="84"/>
    </row>
    <row r="57" spans="1:53" s="208" customFormat="1">
      <c r="A57" s="102">
        <v>1984</v>
      </c>
      <c r="B57" s="207"/>
      <c r="C57" s="988" t="s">
        <v>646</v>
      </c>
      <c r="D57" s="988"/>
      <c r="E57" s="208">
        <v>207</v>
      </c>
      <c r="G57" s="123">
        <v>19</v>
      </c>
      <c r="J57" s="134">
        <v>19</v>
      </c>
      <c r="K57" s="92">
        <f t="shared" si="1"/>
        <v>100</v>
      </c>
      <c r="L57" s="92">
        <f>H57/$J57*100</f>
        <v>0</v>
      </c>
      <c r="M57" s="92">
        <f>I57/$J57*100</f>
        <v>0</v>
      </c>
      <c r="N57" s="125">
        <f t="shared" si="2"/>
        <v>100</v>
      </c>
      <c r="O57" s="91">
        <v>51.1</v>
      </c>
      <c r="P57" s="92"/>
      <c r="Q57" s="92"/>
      <c r="R57" s="93">
        <f t="shared" si="3"/>
        <v>51.1</v>
      </c>
      <c r="S57" s="208">
        <v>1</v>
      </c>
      <c r="T57" s="81"/>
      <c r="V57" s="82" t="s">
        <v>462</v>
      </c>
      <c r="W57" s="208" t="s">
        <v>74</v>
      </c>
      <c r="X57" s="208" t="s">
        <v>11</v>
      </c>
      <c r="Y57" s="83">
        <v>51.1</v>
      </c>
      <c r="AD57" s="82"/>
      <c r="AG57" s="83"/>
      <c r="AL57" s="82"/>
      <c r="AO57" s="83"/>
      <c r="AP57" s="82"/>
      <c r="AS57" s="83"/>
      <c r="AW57" s="83"/>
      <c r="BA57" s="84"/>
    </row>
    <row r="58" spans="1:53" s="334" customFormat="1">
      <c r="A58" s="386">
        <v>1984</v>
      </c>
      <c r="B58" s="355">
        <v>30889</v>
      </c>
      <c r="C58" s="992" t="s">
        <v>647</v>
      </c>
      <c r="D58" s="992"/>
      <c r="E58" s="334">
        <f>366-E57</f>
        <v>159</v>
      </c>
      <c r="F58" s="334">
        <v>1</v>
      </c>
      <c r="G58" s="419"/>
      <c r="I58" s="334">
        <v>20</v>
      </c>
      <c r="J58" s="435">
        <v>20</v>
      </c>
      <c r="K58" s="384">
        <f t="shared" ref="K58:M118" si="4">G58/$J58*100</f>
        <v>0</v>
      </c>
      <c r="L58" s="384">
        <f t="shared" si="4"/>
        <v>0</v>
      </c>
      <c r="M58" s="384">
        <f t="shared" si="4"/>
        <v>100</v>
      </c>
      <c r="N58" s="421">
        <f t="shared" si="2"/>
        <v>100</v>
      </c>
      <c r="O58" s="383"/>
      <c r="P58" s="384"/>
      <c r="Q58" s="384">
        <v>60</v>
      </c>
      <c r="R58" s="385">
        <f t="shared" si="3"/>
        <v>60</v>
      </c>
      <c r="S58" s="334">
        <v>1</v>
      </c>
      <c r="T58" s="342">
        <v>30877</v>
      </c>
      <c r="U58" s="355">
        <v>30889</v>
      </c>
      <c r="V58" s="343" t="s">
        <v>461</v>
      </c>
      <c r="W58" s="334" t="s">
        <v>20</v>
      </c>
      <c r="X58" s="334" t="s">
        <v>12</v>
      </c>
      <c r="Y58" s="344">
        <v>60</v>
      </c>
      <c r="AD58" s="343"/>
      <c r="AG58" s="344"/>
      <c r="AL58" s="343"/>
      <c r="AO58" s="344"/>
      <c r="AP58" s="343"/>
      <c r="AS58" s="344"/>
      <c r="AW58" s="344"/>
      <c r="BA58" s="345"/>
    </row>
    <row r="59" spans="1:53" s="334" customFormat="1">
      <c r="A59" s="386">
        <v>1985</v>
      </c>
      <c r="B59" s="355"/>
      <c r="C59" s="992" t="s">
        <v>647</v>
      </c>
      <c r="D59" s="992"/>
      <c r="E59" s="334">
        <v>0</v>
      </c>
      <c r="G59" s="419"/>
      <c r="I59" s="334">
        <v>20</v>
      </c>
      <c r="J59" s="435">
        <v>20</v>
      </c>
      <c r="K59" s="384">
        <f t="shared" si="4"/>
        <v>0</v>
      </c>
      <c r="L59" s="384">
        <f t="shared" si="4"/>
        <v>0</v>
      </c>
      <c r="M59" s="384">
        <f t="shared" si="4"/>
        <v>100</v>
      </c>
      <c r="N59" s="421">
        <f t="shared" si="2"/>
        <v>100</v>
      </c>
      <c r="O59" s="383"/>
      <c r="P59" s="384"/>
      <c r="Q59" s="384">
        <v>60</v>
      </c>
      <c r="R59" s="385">
        <f t="shared" si="3"/>
        <v>60</v>
      </c>
      <c r="S59" s="334">
        <v>1</v>
      </c>
      <c r="T59" s="357"/>
      <c r="V59" s="343" t="s">
        <v>461</v>
      </c>
      <c r="W59" s="334" t="s">
        <v>20</v>
      </c>
      <c r="X59" s="334" t="s">
        <v>12</v>
      </c>
      <c r="Y59" s="344">
        <v>60</v>
      </c>
      <c r="AD59" s="343"/>
      <c r="AG59" s="344"/>
      <c r="AL59" s="343"/>
      <c r="AO59" s="344"/>
      <c r="AP59" s="343"/>
      <c r="AS59" s="344"/>
      <c r="AW59" s="344"/>
      <c r="BA59" s="345"/>
    </row>
    <row r="60" spans="1:53" s="334" customFormat="1">
      <c r="A60" s="386">
        <v>1985</v>
      </c>
      <c r="B60" s="355"/>
      <c r="C60" s="992" t="s">
        <v>647</v>
      </c>
      <c r="D60" s="992"/>
      <c r="E60" s="334">
        <v>365</v>
      </c>
      <c r="G60" s="419"/>
      <c r="I60" s="334">
        <v>20</v>
      </c>
      <c r="J60" s="435">
        <v>20</v>
      </c>
      <c r="K60" s="384">
        <f t="shared" si="4"/>
        <v>0</v>
      </c>
      <c r="L60" s="384">
        <f t="shared" si="4"/>
        <v>0</v>
      </c>
      <c r="M60" s="384">
        <f t="shared" si="4"/>
        <v>100</v>
      </c>
      <c r="N60" s="421">
        <f t="shared" si="2"/>
        <v>100</v>
      </c>
      <c r="O60" s="383"/>
      <c r="P60" s="384"/>
      <c r="Q60" s="384">
        <v>60</v>
      </c>
      <c r="R60" s="385">
        <f t="shared" si="3"/>
        <v>60</v>
      </c>
      <c r="S60" s="334">
        <v>1</v>
      </c>
      <c r="T60" s="357"/>
      <c r="V60" s="343" t="s">
        <v>461</v>
      </c>
      <c r="W60" s="334" t="s">
        <v>20</v>
      </c>
      <c r="X60" s="334" t="s">
        <v>12</v>
      </c>
      <c r="Y60" s="344">
        <v>60</v>
      </c>
      <c r="AD60" s="343"/>
      <c r="AG60" s="344"/>
      <c r="AL60" s="343"/>
      <c r="AO60" s="344"/>
      <c r="AP60" s="343"/>
      <c r="AS60" s="344"/>
      <c r="AW60" s="344"/>
      <c r="BA60" s="345"/>
    </row>
    <row r="61" spans="1:53" s="334" customFormat="1">
      <c r="A61" s="386">
        <v>1986</v>
      </c>
      <c r="B61" s="355"/>
      <c r="C61" s="992" t="s">
        <v>647</v>
      </c>
      <c r="D61" s="992"/>
      <c r="E61" s="334">
        <v>0</v>
      </c>
      <c r="G61" s="419"/>
      <c r="I61" s="334">
        <v>20</v>
      </c>
      <c r="J61" s="435">
        <v>20</v>
      </c>
      <c r="K61" s="384">
        <f t="shared" si="4"/>
        <v>0</v>
      </c>
      <c r="L61" s="384">
        <f t="shared" si="4"/>
        <v>0</v>
      </c>
      <c r="M61" s="384">
        <f t="shared" si="4"/>
        <v>100</v>
      </c>
      <c r="N61" s="421">
        <f t="shared" si="2"/>
        <v>100</v>
      </c>
      <c r="O61" s="383"/>
      <c r="P61" s="384"/>
      <c r="Q61" s="384">
        <v>60</v>
      </c>
      <c r="R61" s="385">
        <f t="shared" si="3"/>
        <v>60</v>
      </c>
      <c r="S61" s="334">
        <v>1</v>
      </c>
      <c r="T61" s="357"/>
      <c r="V61" s="343" t="s">
        <v>461</v>
      </c>
      <c r="W61" s="334" t="s">
        <v>20</v>
      </c>
      <c r="X61" s="334" t="s">
        <v>12</v>
      </c>
      <c r="Y61" s="344">
        <v>60</v>
      </c>
      <c r="AD61" s="343"/>
      <c r="AG61" s="344"/>
      <c r="AL61" s="343"/>
      <c r="AO61" s="344"/>
      <c r="AP61" s="343"/>
      <c r="AS61" s="344"/>
      <c r="AW61" s="344"/>
      <c r="BA61" s="345"/>
    </row>
    <row r="62" spans="1:53" s="334" customFormat="1">
      <c r="A62" s="386">
        <v>1986</v>
      </c>
      <c r="B62" s="355"/>
      <c r="C62" s="992" t="s">
        <v>647</v>
      </c>
      <c r="D62" s="992"/>
      <c r="E62" s="334">
        <v>365</v>
      </c>
      <c r="G62" s="419"/>
      <c r="I62" s="334">
        <v>20</v>
      </c>
      <c r="J62" s="435">
        <v>20</v>
      </c>
      <c r="K62" s="384">
        <f t="shared" si="4"/>
        <v>0</v>
      </c>
      <c r="L62" s="384">
        <f t="shared" si="4"/>
        <v>0</v>
      </c>
      <c r="M62" s="384">
        <f t="shared" si="4"/>
        <v>100</v>
      </c>
      <c r="N62" s="421">
        <f t="shared" si="2"/>
        <v>100</v>
      </c>
      <c r="O62" s="383"/>
      <c r="P62" s="384"/>
      <c r="Q62" s="384">
        <v>60</v>
      </c>
      <c r="R62" s="385">
        <f t="shared" si="3"/>
        <v>60</v>
      </c>
      <c r="S62" s="334">
        <v>1</v>
      </c>
      <c r="T62" s="357"/>
      <c r="V62" s="343" t="s">
        <v>461</v>
      </c>
      <c r="W62" s="334" t="s">
        <v>20</v>
      </c>
      <c r="X62" s="334" t="s">
        <v>12</v>
      </c>
      <c r="Y62" s="344">
        <v>60</v>
      </c>
      <c r="AD62" s="343"/>
      <c r="AG62" s="344"/>
      <c r="AL62" s="343"/>
      <c r="AO62" s="344"/>
      <c r="AP62" s="343"/>
      <c r="AS62" s="344"/>
      <c r="AW62" s="344"/>
      <c r="BA62" s="345"/>
    </row>
    <row r="63" spans="1:53" s="334" customFormat="1">
      <c r="A63" s="386">
        <v>1987</v>
      </c>
      <c r="B63" s="355"/>
      <c r="C63" s="992" t="s">
        <v>647</v>
      </c>
      <c r="D63" s="992"/>
      <c r="E63" s="334">
        <v>230</v>
      </c>
      <c r="G63" s="419"/>
      <c r="I63" s="334">
        <v>20</v>
      </c>
      <c r="J63" s="435">
        <v>20</v>
      </c>
      <c r="K63" s="384">
        <f t="shared" si="4"/>
        <v>0</v>
      </c>
      <c r="L63" s="384">
        <f t="shared" si="4"/>
        <v>0</v>
      </c>
      <c r="M63" s="384">
        <f t="shared" si="4"/>
        <v>100</v>
      </c>
      <c r="N63" s="421">
        <f t="shared" si="2"/>
        <v>100</v>
      </c>
      <c r="O63" s="383"/>
      <c r="P63" s="384"/>
      <c r="Q63" s="384">
        <v>60</v>
      </c>
      <c r="R63" s="385">
        <f t="shared" si="3"/>
        <v>60</v>
      </c>
      <c r="S63" s="334">
        <v>1</v>
      </c>
      <c r="T63" s="357"/>
      <c r="V63" s="343" t="s">
        <v>461</v>
      </c>
      <c r="W63" s="334" t="s">
        <v>20</v>
      </c>
      <c r="X63" s="334" t="s">
        <v>12</v>
      </c>
      <c r="Y63" s="344">
        <v>60</v>
      </c>
      <c r="AD63" s="343"/>
      <c r="AG63" s="344"/>
      <c r="AL63" s="343"/>
      <c r="AO63" s="344"/>
      <c r="AP63" s="343"/>
      <c r="AS63" s="344"/>
      <c r="AW63" s="344"/>
      <c r="BA63" s="345"/>
    </row>
    <row r="64" spans="1:53" s="208" customFormat="1">
      <c r="A64" s="102">
        <v>1987</v>
      </c>
      <c r="B64" s="207">
        <v>32008</v>
      </c>
      <c r="C64" s="988" t="s">
        <v>648</v>
      </c>
      <c r="D64" s="988"/>
      <c r="E64" s="208">
        <f>365-E63</f>
        <v>135</v>
      </c>
      <c r="F64" s="208">
        <v>1</v>
      </c>
      <c r="G64" s="123"/>
      <c r="I64" s="208">
        <v>19</v>
      </c>
      <c r="J64" s="134">
        <v>19</v>
      </c>
      <c r="K64" s="92">
        <f t="shared" si="4"/>
        <v>0</v>
      </c>
      <c r="L64" s="92">
        <f t="shared" si="4"/>
        <v>0</v>
      </c>
      <c r="M64" s="92">
        <f t="shared" si="4"/>
        <v>100</v>
      </c>
      <c r="N64" s="125">
        <f t="shared" si="2"/>
        <v>100</v>
      </c>
      <c r="O64" s="91"/>
      <c r="P64" s="92"/>
      <c r="Q64" s="92">
        <v>58.8</v>
      </c>
      <c r="R64" s="93">
        <f t="shared" si="3"/>
        <v>58.8</v>
      </c>
      <c r="S64" s="208">
        <v>1</v>
      </c>
      <c r="T64" s="95">
        <v>32004</v>
      </c>
      <c r="U64" s="207">
        <v>32008</v>
      </c>
      <c r="V64" s="82" t="s">
        <v>461</v>
      </c>
      <c r="W64" s="208" t="s">
        <v>20</v>
      </c>
      <c r="X64" s="208" t="s">
        <v>12</v>
      </c>
      <c r="Y64" s="83">
        <v>58.8</v>
      </c>
      <c r="AD64" s="82"/>
      <c r="AG64" s="83"/>
      <c r="AL64" s="82"/>
      <c r="AO64" s="83"/>
      <c r="AP64" s="82"/>
      <c r="AS64" s="83"/>
      <c r="AW64" s="83"/>
      <c r="BA64" s="84"/>
    </row>
    <row r="65" spans="1:53" s="208" customFormat="1">
      <c r="A65" s="102">
        <v>1988</v>
      </c>
      <c r="B65" s="207"/>
      <c r="C65" s="988" t="s">
        <v>648</v>
      </c>
      <c r="D65" s="988"/>
      <c r="E65" s="208">
        <v>0</v>
      </c>
      <c r="G65" s="123"/>
      <c r="I65" s="208">
        <v>19</v>
      </c>
      <c r="J65" s="134">
        <v>19</v>
      </c>
      <c r="K65" s="92">
        <f t="shared" si="4"/>
        <v>0</v>
      </c>
      <c r="L65" s="92">
        <f t="shared" si="4"/>
        <v>0</v>
      </c>
      <c r="M65" s="92">
        <f t="shared" si="4"/>
        <v>100</v>
      </c>
      <c r="N65" s="125">
        <f t="shared" si="2"/>
        <v>100</v>
      </c>
      <c r="O65" s="91"/>
      <c r="P65" s="92"/>
      <c r="Q65" s="92">
        <v>58.8</v>
      </c>
      <c r="R65" s="93">
        <f t="shared" si="3"/>
        <v>58.8</v>
      </c>
      <c r="S65" s="208">
        <v>1</v>
      </c>
      <c r="T65" s="81"/>
      <c r="V65" s="82" t="s">
        <v>461</v>
      </c>
      <c r="W65" s="208" t="s">
        <v>20</v>
      </c>
      <c r="X65" s="208" t="s">
        <v>12</v>
      </c>
      <c r="Y65" s="83">
        <v>58.8</v>
      </c>
      <c r="AD65" s="82"/>
      <c r="AG65" s="83"/>
      <c r="AL65" s="82"/>
      <c r="AO65" s="83"/>
      <c r="AP65" s="82"/>
      <c r="AS65" s="83"/>
      <c r="AW65" s="83"/>
      <c r="BA65" s="84"/>
    </row>
    <row r="66" spans="1:53" s="208" customFormat="1">
      <c r="A66" s="102">
        <v>1988</v>
      </c>
      <c r="B66" s="207"/>
      <c r="C66" s="988" t="s">
        <v>648</v>
      </c>
      <c r="D66" s="988"/>
      <c r="E66" s="208">
        <v>366</v>
      </c>
      <c r="G66" s="123"/>
      <c r="I66" s="208">
        <v>19</v>
      </c>
      <c r="J66" s="134">
        <v>19</v>
      </c>
      <c r="K66" s="92">
        <f t="shared" si="4"/>
        <v>0</v>
      </c>
      <c r="L66" s="92">
        <f t="shared" si="4"/>
        <v>0</v>
      </c>
      <c r="M66" s="92">
        <f t="shared" si="4"/>
        <v>100</v>
      </c>
      <c r="N66" s="125">
        <f t="shared" si="2"/>
        <v>100</v>
      </c>
      <c r="O66" s="91"/>
      <c r="P66" s="92"/>
      <c r="Q66" s="92">
        <v>58.8</v>
      </c>
      <c r="R66" s="93">
        <f t="shared" si="3"/>
        <v>58.8</v>
      </c>
      <c r="S66" s="208">
        <v>1</v>
      </c>
      <c r="T66" s="81"/>
      <c r="V66" s="82" t="s">
        <v>461</v>
      </c>
      <c r="W66" s="208" t="s">
        <v>20</v>
      </c>
      <c r="X66" s="208" t="s">
        <v>12</v>
      </c>
      <c r="Y66" s="83">
        <v>58.8</v>
      </c>
      <c r="AD66" s="82"/>
      <c r="AG66" s="83"/>
      <c r="AL66" s="82"/>
      <c r="AO66" s="83"/>
      <c r="AP66" s="82"/>
      <c r="AS66" s="83"/>
      <c r="AW66" s="83"/>
      <c r="BA66" s="84"/>
    </row>
    <row r="67" spans="1:53" s="208" customFormat="1">
      <c r="A67" s="102">
        <v>1989</v>
      </c>
      <c r="B67" s="207"/>
      <c r="C67" s="988" t="s">
        <v>648</v>
      </c>
      <c r="D67" s="988"/>
      <c r="E67" s="208">
        <v>222</v>
      </c>
      <c r="G67" s="123"/>
      <c r="I67" s="208">
        <v>19</v>
      </c>
      <c r="J67" s="134">
        <v>19</v>
      </c>
      <c r="K67" s="92">
        <f t="shared" si="4"/>
        <v>0</v>
      </c>
      <c r="L67" s="92">
        <f t="shared" si="4"/>
        <v>0</v>
      </c>
      <c r="M67" s="92">
        <f t="shared" si="4"/>
        <v>100</v>
      </c>
      <c r="N67" s="125">
        <f t="shared" si="2"/>
        <v>100</v>
      </c>
      <c r="O67" s="91"/>
      <c r="P67" s="92"/>
      <c r="Q67" s="92">
        <v>58.8</v>
      </c>
      <c r="R67" s="93">
        <f t="shared" si="3"/>
        <v>58.8</v>
      </c>
      <c r="S67" s="208">
        <v>1</v>
      </c>
      <c r="T67" s="81"/>
      <c r="V67" s="82" t="s">
        <v>461</v>
      </c>
      <c r="W67" s="208" t="s">
        <v>20</v>
      </c>
      <c r="X67" s="208" t="s">
        <v>12</v>
      </c>
      <c r="Y67" s="83">
        <v>58.8</v>
      </c>
      <c r="AD67" s="82"/>
      <c r="AG67" s="83"/>
      <c r="AL67" s="82"/>
      <c r="AO67" s="83"/>
      <c r="AP67" s="82"/>
      <c r="AS67" s="83"/>
      <c r="AW67" s="83"/>
      <c r="BA67" s="84"/>
    </row>
    <row r="68" spans="1:53" s="104" customFormat="1">
      <c r="A68" s="201">
        <v>1989</v>
      </c>
      <c r="B68" s="407">
        <v>32731</v>
      </c>
      <c r="C68" s="998" t="s">
        <v>649</v>
      </c>
      <c r="D68" s="998"/>
      <c r="E68" s="104">
        <f>365-E67</f>
        <v>143</v>
      </c>
      <c r="F68" s="104">
        <v>2</v>
      </c>
      <c r="G68" s="447"/>
      <c r="I68" s="104">
        <v>19</v>
      </c>
      <c r="J68" s="435">
        <v>19</v>
      </c>
      <c r="K68" s="384">
        <f t="shared" si="4"/>
        <v>0</v>
      </c>
      <c r="L68" s="384">
        <f t="shared" si="4"/>
        <v>0</v>
      </c>
      <c r="M68" s="384">
        <f t="shared" si="4"/>
        <v>100</v>
      </c>
      <c r="N68" s="421">
        <f t="shared" si="2"/>
        <v>100</v>
      </c>
      <c r="O68" s="403"/>
      <c r="P68" s="404"/>
      <c r="Q68" s="384">
        <v>58.8</v>
      </c>
      <c r="R68" s="385">
        <f t="shared" si="3"/>
        <v>58.8</v>
      </c>
      <c r="S68" s="104">
        <v>1</v>
      </c>
      <c r="T68" s="458"/>
      <c r="U68" s="407">
        <v>32731</v>
      </c>
      <c r="V68" s="343" t="s">
        <v>461</v>
      </c>
      <c r="W68" s="334" t="s">
        <v>20</v>
      </c>
      <c r="X68" s="334" t="s">
        <v>12</v>
      </c>
      <c r="Y68" s="344">
        <v>58.8</v>
      </c>
      <c r="AD68" s="105"/>
      <c r="AG68" s="106"/>
      <c r="AL68" s="105"/>
      <c r="AO68" s="106"/>
      <c r="AP68" s="105"/>
      <c r="AS68" s="106"/>
      <c r="AW68" s="106"/>
      <c r="BA68" s="107"/>
    </row>
    <row r="69" spans="1:53" s="334" customFormat="1">
      <c r="A69" s="334">
        <v>1990</v>
      </c>
      <c r="C69" s="1033" t="s">
        <v>649</v>
      </c>
      <c r="D69" s="1033"/>
      <c r="E69" s="334">
        <v>305</v>
      </c>
      <c r="G69" s="419">
        <v>0</v>
      </c>
      <c r="H69" s="334">
        <v>0</v>
      </c>
      <c r="I69" s="334">
        <v>19</v>
      </c>
      <c r="J69" s="459">
        <v>19</v>
      </c>
      <c r="K69" s="460">
        <f t="shared" si="4"/>
        <v>0</v>
      </c>
      <c r="L69" s="461">
        <f t="shared" si="4"/>
        <v>0</v>
      </c>
      <c r="M69" s="461">
        <f t="shared" si="4"/>
        <v>100</v>
      </c>
      <c r="N69" s="462">
        <f t="shared" si="2"/>
        <v>100</v>
      </c>
      <c r="O69" s="383"/>
      <c r="P69" s="384"/>
      <c r="Q69" s="461">
        <v>58.8</v>
      </c>
      <c r="R69" s="462">
        <f t="shared" si="3"/>
        <v>58.8</v>
      </c>
      <c r="S69" s="334">
        <v>1</v>
      </c>
      <c r="T69" s="357"/>
      <c r="V69" s="463" t="s">
        <v>461</v>
      </c>
      <c r="W69" s="103" t="s">
        <v>20</v>
      </c>
      <c r="X69" s="103" t="s">
        <v>12</v>
      </c>
      <c r="Y69" s="464">
        <v>58.8</v>
      </c>
      <c r="AD69" s="343"/>
      <c r="AG69" s="344"/>
      <c r="AL69" s="343"/>
      <c r="AO69" s="344"/>
      <c r="AP69" s="343"/>
      <c r="AS69" s="344"/>
      <c r="AW69" s="344"/>
      <c r="BA69" s="345"/>
    </row>
    <row r="70" spans="1:53" s="208" customFormat="1">
      <c r="A70" s="208">
        <v>1990</v>
      </c>
      <c r="B70" s="207">
        <v>33179</v>
      </c>
      <c r="C70" s="988" t="s">
        <v>650</v>
      </c>
      <c r="D70" s="988"/>
      <c r="E70" s="208">
        <f>365-E69</f>
        <v>60</v>
      </c>
      <c r="F70" s="208">
        <v>1</v>
      </c>
      <c r="G70" s="123">
        <v>20</v>
      </c>
      <c r="H70" s="208">
        <v>0</v>
      </c>
      <c r="I70" s="208">
        <v>0</v>
      </c>
      <c r="J70" s="134">
        <v>20</v>
      </c>
      <c r="K70" s="92">
        <f t="shared" si="4"/>
        <v>100</v>
      </c>
      <c r="L70" s="92">
        <f t="shared" si="4"/>
        <v>0</v>
      </c>
      <c r="M70" s="92">
        <f t="shared" si="4"/>
        <v>0</v>
      </c>
      <c r="N70" s="125">
        <f t="shared" si="2"/>
        <v>100</v>
      </c>
      <c r="O70" s="91">
        <v>70.099999999999994</v>
      </c>
      <c r="P70" s="92"/>
      <c r="Q70" s="92"/>
      <c r="R70" s="93">
        <f t="shared" si="3"/>
        <v>70.099999999999994</v>
      </c>
      <c r="S70" s="208">
        <v>1</v>
      </c>
      <c r="T70" s="95">
        <v>33173</v>
      </c>
      <c r="U70" s="207">
        <v>33179</v>
      </c>
      <c r="V70" s="82" t="s">
        <v>462</v>
      </c>
      <c r="W70" s="208" t="s">
        <v>74</v>
      </c>
      <c r="X70" s="208" t="s">
        <v>11</v>
      </c>
      <c r="Y70" s="83">
        <v>70.099999999999994</v>
      </c>
      <c r="AD70" s="82"/>
      <c r="AG70" s="83"/>
      <c r="AL70" s="82"/>
      <c r="AO70" s="83"/>
      <c r="AP70" s="82"/>
      <c r="AS70" s="83"/>
      <c r="AW70" s="83"/>
      <c r="BA70" s="84"/>
    </row>
    <row r="71" spans="1:53" s="208" customFormat="1">
      <c r="A71" s="208">
        <v>1991</v>
      </c>
      <c r="C71" s="988" t="s">
        <v>650</v>
      </c>
      <c r="D71" s="988"/>
      <c r="E71" s="208">
        <v>0</v>
      </c>
      <c r="G71" s="123">
        <v>20</v>
      </c>
      <c r="H71" s="208">
        <v>0</v>
      </c>
      <c r="I71" s="208">
        <v>0</v>
      </c>
      <c r="J71" s="134">
        <v>20</v>
      </c>
      <c r="K71" s="92">
        <f t="shared" si="4"/>
        <v>100</v>
      </c>
      <c r="L71" s="92">
        <f t="shared" si="4"/>
        <v>0</v>
      </c>
      <c r="M71" s="92">
        <f t="shared" si="4"/>
        <v>0</v>
      </c>
      <c r="N71" s="125">
        <f t="shared" si="2"/>
        <v>100</v>
      </c>
      <c r="O71" s="91">
        <v>70.099999999999994</v>
      </c>
      <c r="P71" s="92"/>
      <c r="Q71" s="92"/>
      <c r="R71" s="93">
        <f t="shared" si="3"/>
        <v>70.099999999999994</v>
      </c>
      <c r="S71" s="208">
        <v>1</v>
      </c>
      <c r="T71" s="81"/>
      <c r="V71" s="82" t="s">
        <v>462</v>
      </c>
      <c r="W71" s="208" t="s">
        <v>74</v>
      </c>
      <c r="X71" s="208" t="s">
        <v>11</v>
      </c>
      <c r="Y71" s="83">
        <v>70.099999999999994</v>
      </c>
      <c r="AD71" s="82"/>
      <c r="AG71" s="83"/>
      <c r="AL71" s="82"/>
      <c r="AO71" s="83"/>
      <c r="AP71" s="82"/>
      <c r="AS71" s="83"/>
      <c r="AW71" s="83"/>
      <c r="BA71" s="84"/>
    </row>
    <row r="72" spans="1:53" s="208" customFormat="1">
      <c r="A72" s="208">
        <v>1991</v>
      </c>
      <c r="C72" s="988" t="s">
        <v>650</v>
      </c>
      <c r="D72" s="988"/>
      <c r="E72" s="208">
        <f>365-E71</f>
        <v>365</v>
      </c>
      <c r="G72" s="123">
        <v>20</v>
      </c>
      <c r="H72" s="208">
        <v>0</v>
      </c>
      <c r="I72" s="208">
        <v>0</v>
      </c>
      <c r="J72" s="134">
        <v>20</v>
      </c>
      <c r="K72" s="92">
        <f t="shared" si="4"/>
        <v>100</v>
      </c>
      <c r="L72" s="92">
        <f t="shared" si="4"/>
        <v>0</v>
      </c>
      <c r="M72" s="92">
        <f t="shared" si="4"/>
        <v>0</v>
      </c>
      <c r="N72" s="125">
        <f t="shared" si="2"/>
        <v>100</v>
      </c>
      <c r="O72" s="91">
        <v>70.099999999999994</v>
      </c>
      <c r="P72" s="92"/>
      <c r="Q72" s="92"/>
      <c r="R72" s="93">
        <f t="shared" si="3"/>
        <v>70.099999999999994</v>
      </c>
      <c r="S72" s="208">
        <v>1</v>
      </c>
      <c r="T72" s="81"/>
      <c r="V72" s="82" t="s">
        <v>462</v>
      </c>
      <c r="W72" s="208" t="s">
        <v>74</v>
      </c>
      <c r="X72" s="208" t="s">
        <v>11</v>
      </c>
      <c r="Y72" s="83">
        <v>70.099999999999994</v>
      </c>
      <c r="AD72" s="82"/>
      <c r="AG72" s="83"/>
      <c r="AL72" s="82"/>
      <c r="AO72" s="83"/>
      <c r="AP72" s="82"/>
      <c r="AS72" s="83"/>
      <c r="AW72" s="83"/>
      <c r="BA72" s="84"/>
    </row>
    <row r="73" spans="1:53" s="208" customFormat="1">
      <c r="A73" s="208">
        <v>1992</v>
      </c>
      <c r="C73" s="988" t="s">
        <v>650</v>
      </c>
      <c r="D73" s="988"/>
      <c r="E73" s="208">
        <v>0</v>
      </c>
      <c r="G73" s="123">
        <v>20</v>
      </c>
      <c r="H73" s="208">
        <v>0</v>
      </c>
      <c r="I73" s="208">
        <v>0</v>
      </c>
      <c r="J73" s="134">
        <v>20</v>
      </c>
      <c r="K73" s="92">
        <f t="shared" si="4"/>
        <v>100</v>
      </c>
      <c r="L73" s="92">
        <f t="shared" si="4"/>
        <v>0</v>
      </c>
      <c r="M73" s="92">
        <f t="shared" si="4"/>
        <v>0</v>
      </c>
      <c r="N73" s="125">
        <f t="shared" ref="N73:N118" si="5">K73+L73+M73</f>
        <v>100</v>
      </c>
      <c r="O73" s="91">
        <v>70.099999999999994</v>
      </c>
      <c r="P73" s="92"/>
      <c r="Q73" s="92"/>
      <c r="R73" s="93">
        <f t="shared" ref="R73:R116" si="6">O73+P73+Q73</f>
        <v>70.099999999999994</v>
      </c>
      <c r="S73" s="208">
        <v>1</v>
      </c>
      <c r="T73" s="81"/>
      <c r="V73" s="82" t="s">
        <v>462</v>
      </c>
      <c r="W73" s="208" t="s">
        <v>74</v>
      </c>
      <c r="X73" s="208" t="s">
        <v>11</v>
      </c>
      <c r="Y73" s="83">
        <v>70.099999999999994</v>
      </c>
      <c r="AD73" s="82"/>
      <c r="AG73" s="83"/>
      <c r="AL73" s="82"/>
      <c r="AO73" s="83"/>
      <c r="AP73" s="82"/>
      <c r="AS73" s="83"/>
      <c r="AW73" s="83"/>
      <c r="BA73" s="84"/>
    </row>
    <row r="74" spans="1:53" s="208" customFormat="1">
      <c r="A74" s="208">
        <v>1992</v>
      </c>
      <c r="C74" s="988" t="s">
        <v>650</v>
      </c>
      <c r="D74" s="988"/>
      <c r="E74" s="208">
        <v>366</v>
      </c>
      <c r="G74" s="123">
        <v>20</v>
      </c>
      <c r="H74" s="208">
        <v>0</v>
      </c>
      <c r="I74" s="208">
        <v>0</v>
      </c>
      <c r="J74" s="134">
        <v>20</v>
      </c>
      <c r="K74" s="92">
        <f t="shared" si="4"/>
        <v>100</v>
      </c>
      <c r="L74" s="92">
        <f t="shared" si="4"/>
        <v>0</v>
      </c>
      <c r="M74" s="92">
        <f t="shared" si="4"/>
        <v>0</v>
      </c>
      <c r="N74" s="125">
        <f t="shared" si="5"/>
        <v>100</v>
      </c>
      <c r="O74" s="91">
        <v>70.099999999999994</v>
      </c>
      <c r="P74" s="92"/>
      <c r="Q74" s="92"/>
      <c r="R74" s="93">
        <f t="shared" si="6"/>
        <v>70.099999999999994</v>
      </c>
      <c r="S74" s="208">
        <v>1</v>
      </c>
      <c r="T74" s="81"/>
      <c r="V74" s="82" t="s">
        <v>462</v>
      </c>
      <c r="W74" s="208" t="s">
        <v>74</v>
      </c>
      <c r="X74" s="208" t="s">
        <v>11</v>
      </c>
      <c r="Y74" s="83">
        <v>70.099999999999994</v>
      </c>
      <c r="AD74" s="82"/>
      <c r="AG74" s="83"/>
      <c r="AL74" s="82"/>
      <c r="AO74" s="83"/>
      <c r="AP74" s="82"/>
      <c r="AS74" s="83"/>
      <c r="AW74" s="83"/>
      <c r="BA74" s="84"/>
    </row>
    <row r="75" spans="1:53" s="208" customFormat="1">
      <c r="A75" s="208">
        <v>1993</v>
      </c>
      <c r="C75" s="988" t="s">
        <v>650</v>
      </c>
      <c r="D75" s="988"/>
      <c r="E75" s="208">
        <v>331</v>
      </c>
      <c r="G75" s="123">
        <v>20</v>
      </c>
      <c r="H75" s="208">
        <v>0</v>
      </c>
      <c r="I75" s="208">
        <v>0</v>
      </c>
      <c r="J75" s="134">
        <v>20</v>
      </c>
      <c r="K75" s="92">
        <f t="shared" si="4"/>
        <v>100</v>
      </c>
      <c r="L75" s="92">
        <f t="shared" si="4"/>
        <v>0</v>
      </c>
      <c r="M75" s="92">
        <f t="shared" si="4"/>
        <v>0</v>
      </c>
      <c r="N75" s="125">
        <f t="shared" si="5"/>
        <v>100</v>
      </c>
      <c r="O75" s="91">
        <v>70.099999999999994</v>
      </c>
      <c r="P75" s="92"/>
      <c r="Q75" s="92"/>
      <c r="R75" s="93">
        <f t="shared" si="6"/>
        <v>70.099999999999994</v>
      </c>
      <c r="S75" s="208">
        <v>1</v>
      </c>
      <c r="T75" s="81"/>
      <c r="V75" s="82" t="s">
        <v>462</v>
      </c>
      <c r="W75" s="208" t="s">
        <v>74</v>
      </c>
      <c r="X75" s="208" t="s">
        <v>11</v>
      </c>
      <c r="Y75" s="83">
        <v>70.099999999999994</v>
      </c>
      <c r="AD75" s="82"/>
      <c r="AG75" s="83"/>
      <c r="AL75" s="82"/>
      <c r="AO75" s="83"/>
      <c r="AP75" s="82"/>
      <c r="AS75" s="83"/>
      <c r="AW75" s="83"/>
      <c r="BA75" s="84"/>
    </row>
    <row r="76" spans="1:53" s="334" customFormat="1">
      <c r="A76" s="334">
        <v>1993</v>
      </c>
      <c r="B76" s="355">
        <v>34301</v>
      </c>
      <c r="C76" s="992" t="s">
        <v>651</v>
      </c>
      <c r="D76" s="992"/>
      <c r="E76" s="334">
        <f>365-E75</f>
        <v>34</v>
      </c>
      <c r="F76" s="334">
        <v>1</v>
      </c>
      <c r="G76" s="419">
        <v>20</v>
      </c>
      <c r="H76" s="334">
        <v>0</v>
      </c>
      <c r="I76" s="334">
        <v>0</v>
      </c>
      <c r="J76" s="435">
        <v>20</v>
      </c>
      <c r="K76" s="384">
        <f t="shared" si="4"/>
        <v>100</v>
      </c>
      <c r="L76" s="384">
        <f t="shared" si="4"/>
        <v>0</v>
      </c>
      <c r="M76" s="384">
        <f t="shared" si="4"/>
        <v>0</v>
      </c>
      <c r="N76" s="421">
        <f t="shared" si="5"/>
        <v>100</v>
      </c>
      <c r="O76" s="383">
        <v>50.5</v>
      </c>
      <c r="P76" s="384"/>
      <c r="Q76" s="384"/>
      <c r="R76" s="385">
        <f t="shared" si="6"/>
        <v>50.5</v>
      </c>
      <c r="S76" s="334">
        <v>1</v>
      </c>
      <c r="T76" s="342">
        <v>34279</v>
      </c>
      <c r="U76" s="355">
        <v>34301</v>
      </c>
      <c r="V76" s="343" t="s">
        <v>462</v>
      </c>
      <c r="W76" s="334" t="s">
        <v>74</v>
      </c>
      <c r="X76" s="334" t="s">
        <v>11</v>
      </c>
      <c r="Y76" s="344">
        <v>50.5</v>
      </c>
      <c r="AD76" s="343"/>
      <c r="AG76" s="344"/>
      <c r="AL76" s="343"/>
      <c r="AO76" s="344"/>
      <c r="AP76" s="343"/>
      <c r="AS76" s="344"/>
      <c r="AW76" s="344"/>
      <c r="BA76" s="345"/>
    </row>
    <row r="77" spans="1:53" s="334" customFormat="1">
      <c r="A77" s="334">
        <v>1994</v>
      </c>
      <c r="C77" s="992" t="s">
        <v>651</v>
      </c>
      <c r="D77" s="992"/>
      <c r="E77" s="334">
        <v>0</v>
      </c>
      <c r="G77" s="419">
        <v>20</v>
      </c>
      <c r="H77" s="334">
        <v>0</v>
      </c>
      <c r="I77" s="334">
        <v>0</v>
      </c>
      <c r="J77" s="435">
        <v>20</v>
      </c>
      <c r="K77" s="384">
        <f t="shared" si="4"/>
        <v>100</v>
      </c>
      <c r="L77" s="384">
        <f t="shared" si="4"/>
        <v>0</v>
      </c>
      <c r="M77" s="384">
        <f t="shared" si="4"/>
        <v>0</v>
      </c>
      <c r="N77" s="421">
        <f t="shared" si="5"/>
        <v>100</v>
      </c>
      <c r="O77" s="383">
        <v>50.5</v>
      </c>
      <c r="P77" s="384"/>
      <c r="Q77" s="384"/>
      <c r="R77" s="385">
        <f t="shared" si="6"/>
        <v>50.5</v>
      </c>
      <c r="S77" s="334">
        <v>1</v>
      </c>
      <c r="T77" s="357"/>
      <c r="V77" s="343" t="s">
        <v>462</v>
      </c>
      <c r="W77" s="334" t="s">
        <v>74</v>
      </c>
      <c r="X77" s="334" t="s">
        <v>11</v>
      </c>
      <c r="Y77" s="344">
        <v>50.5</v>
      </c>
      <c r="AD77" s="343"/>
      <c r="AG77" s="344"/>
      <c r="AL77" s="343"/>
      <c r="AO77" s="344"/>
      <c r="AP77" s="343"/>
      <c r="AS77" s="344"/>
      <c r="AW77" s="344"/>
      <c r="BA77" s="345"/>
    </row>
    <row r="78" spans="1:53" s="334" customFormat="1">
      <c r="A78" s="334">
        <v>1994</v>
      </c>
      <c r="C78" s="992" t="s">
        <v>651</v>
      </c>
      <c r="D78" s="992"/>
      <c r="E78" s="334">
        <f>365-E77</f>
        <v>365</v>
      </c>
      <c r="G78" s="419">
        <v>20</v>
      </c>
      <c r="H78" s="334">
        <v>0</v>
      </c>
      <c r="I78" s="334">
        <v>0</v>
      </c>
      <c r="J78" s="435">
        <v>20</v>
      </c>
      <c r="K78" s="384">
        <f t="shared" si="4"/>
        <v>100</v>
      </c>
      <c r="L78" s="384">
        <f t="shared" si="4"/>
        <v>0</v>
      </c>
      <c r="M78" s="384">
        <f t="shared" si="4"/>
        <v>0</v>
      </c>
      <c r="N78" s="421">
        <f t="shared" si="5"/>
        <v>100</v>
      </c>
      <c r="O78" s="383">
        <v>50.5</v>
      </c>
      <c r="P78" s="384"/>
      <c r="Q78" s="384"/>
      <c r="R78" s="385">
        <f t="shared" si="6"/>
        <v>50.5</v>
      </c>
      <c r="S78" s="334">
        <v>1</v>
      </c>
      <c r="T78" s="357"/>
      <c r="V78" s="343" t="s">
        <v>462</v>
      </c>
      <c r="W78" s="334" t="s">
        <v>74</v>
      </c>
      <c r="X78" s="334" t="s">
        <v>11</v>
      </c>
      <c r="Y78" s="344">
        <v>50.5</v>
      </c>
      <c r="AD78" s="343"/>
      <c r="AG78" s="344"/>
      <c r="AL78" s="343"/>
      <c r="AO78" s="344"/>
      <c r="AP78" s="343"/>
      <c r="AS78" s="344"/>
      <c r="AW78" s="344"/>
      <c r="BA78" s="345"/>
    </row>
    <row r="79" spans="1:53" s="334" customFormat="1">
      <c r="A79" s="334">
        <v>1995</v>
      </c>
      <c r="C79" s="992" t="s">
        <v>651</v>
      </c>
      <c r="D79" s="992"/>
      <c r="E79" s="334">
        <v>0</v>
      </c>
      <c r="G79" s="419">
        <v>20</v>
      </c>
      <c r="H79" s="334">
        <v>0</v>
      </c>
      <c r="I79" s="334">
        <v>0</v>
      </c>
      <c r="J79" s="435">
        <v>20</v>
      </c>
      <c r="K79" s="384">
        <f t="shared" si="4"/>
        <v>100</v>
      </c>
      <c r="L79" s="384">
        <f t="shared" si="4"/>
        <v>0</v>
      </c>
      <c r="M79" s="384">
        <f t="shared" si="4"/>
        <v>0</v>
      </c>
      <c r="N79" s="421">
        <f t="shared" si="5"/>
        <v>100</v>
      </c>
      <c r="O79" s="383">
        <v>50.5</v>
      </c>
      <c r="P79" s="384"/>
      <c r="Q79" s="384"/>
      <c r="R79" s="385">
        <f t="shared" si="6"/>
        <v>50.5</v>
      </c>
      <c r="S79" s="334">
        <v>1</v>
      </c>
      <c r="T79" s="357"/>
      <c r="V79" s="343" t="s">
        <v>462</v>
      </c>
      <c r="W79" s="334" t="s">
        <v>74</v>
      </c>
      <c r="X79" s="334" t="s">
        <v>11</v>
      </c>
      <c r="Y79" s="344">
        <v>50.5</v>
      </c>
      <c r="AD79" s="343"/>
      <c r="AG79" s="344"/>
      <c r="AL79" s="343"/>
      <c r="AO79" s="344"/>
      <c r="AP79" s="343"/>
      <c r="AS79" s="344"/>
      <c r="AW79" s="344"/>
      <c r="BA79" s="345"/>
    </row>
    <row r="80" spans="1:53" s="334" customFormat="1">
      <c r="A80" s="334">
        <v>1995</v>
      </c>
      <c r="C80" s="992" t="s">
        <v>651</v>
      </c>
      <c r="D80" s="992"/>
      <c r="E80" s="334">
        <f>365-E79</f>
        <v>365</v>
      </c>
      <c r="G80" s="419">
        <v>20</v>
      </c>
      <c r="H80" s="334">
        <v>0</v>
      </c>
      <c r="I80" s="334">
        <v>0</v>
      </c>
      <c r="J80" s="435">
        <v>20</v>
      </c>
      <c r="K80" s="384">
        <f t="shared" si="4"/>
        <v>100</v>
      </c>
      <c r="L80" s="384">
        <f t="shared" si="4"/>
        <v>0</v>
      </c>
      <c r="M80" s="384">
        <f t="shared" si="4"/>
        <v>0</v>
      </c>
      <c r="N80" s="421">
        <f t="shared" si="5"/>
        <v>100</v>
      </c>
      <c r="O80" s="383">
        <v>50.5</v>
      </c>
      <c r="P80" s="384"/>
      <c r="Q80" s="384"/>
      <c r="R80" s="385">
        <f t="shared" si="6"/>
        <v>50.5</v>
      </c>
      <c r="S80" s="334">
        <v>1</v>
      </c>
      <c r="T80" s="357"/>
      <c r="V80" s="343" t="s">
        <v>462</v>
      </c>
      <c r="W80" s="334" t="s">
        <v>74</v>
      </c>
      <c r="X80" s="334" t="s">
        <v>11</v>
      </c>
      <c r="Y80" s="344">
        <v>50.5</v>
      </c>
      <c r="AD80" s="343"/>
      <c r="AG80" s="344"/>
      <c r="AL80" s="343"/>
      <c r="AO80" s="344"/>
      <c r="AP80" s="343"/>
      <c r="AS80" s="344"/>
      <c r="AW80" s="344"/>
      <c r="BA80" s="345"/>
    </row>
    <row r="81" spans="1:53" s="334" customFormat="1">
      <c r="A81" s="334">
        <v>1996</v>
      </c>
      <c r="C81" s="992" t="s">
        <v>651</v>
      </c>
      <c r="D81" s="992"/>
      <c r="E81" s="334">
        <v>60</v>
      </c>
      <c r="G81" s="419">
        <v>20</v>
      </c>
      <c r="H81" s="334">
        <v>0</v>
      </c>
      <c r="I81" s="334">
        <v>0</v>
      </c>
      <c r="J81" s="435">
        <v>20</v>
      </c>
      <c r="K81" s="384">
        <f t="shared" si="4"/>
        <v>100</v>
      </c>
      <c r="L81" s="384">
        <f t="shared" si="4"/>
        <v>0</v>
      </c>
      <c r="M81" s="384">
        <f t="shared" si="4"/>
        <v>0</v>
      </c>
      <c r="N81" s="421">
        <f t="shared" si="5"/>
        <v>100</v>
      </c>
      <c r="O81" s="383">
        <v>50.5</v>
      </c>
      <c r="P81" s="384"/>
      <c r="Q81" s="384"/>
      <c r="R81" s="385">
        <f t="shared" si="6"/>
        <v>50.5</v>
      </c>
      <c r="S81" s="334">
        <v>1</v>
      </c>
      <c r="T81" s="357"/>
      <c r="V81" s="343" t="s">
        <v>462</v>
      </c>
      <c r="W81" s="334" t="s">
        <v>74</v>
      </c>
      <c r="X81" s="334" t="s">
        <v>11</v>
      </c>
      <c r="Y81" s="344">
        <v>50.5</v>
      </c>
      <c r="AD81" s="343"/>
      <c r="AG81" s="344"/>
      <c r="AL81" s="343"/>
      <c r="AO81" s="344"/>
      <c r="AP81" s="343"/>
      <c r="AS81" s="344"/>
      <c r="AW81" s="344"/>
      <c r="BA81" s="345"/>
    </row>
    <row r="82" spans="1:53" s="208" customFormat="1">
      <c r="A82" s="208">
        <v>1996</v>
      </c>
      <c r="B82" s="207">
        <v>35125</v>
      </c>
      <c r="C82" s="988" t="s">
        <v>652</v>
      </c>
      <c r="D82" s="988"/>
      <c r="E82" s="208">
        <v>290</v>
      </c>
      <c r="F82" s="208">
        <v>7</v>
      </c>
      <c r="G82" s="123">
        <v>20</v>
      </c>
      <c r="H82" s="208">
        <v>0</v>
      </c>
      <c r="I82" s="208">
        <v>0</v>
      </c>
      <c r="J82" s="134">
        <v>20</v>
      </c>
      <c r="K82" s="92">
        <f>G82/$J82*100</f>
        <v>100</v>
      </c>
      <c r="L82" s="92">
        <f>H82/$J82*100</f>
        <v>0</v>
      </c>
      <c r="M82" s="92">
        <f>I82/$J82*100</f>
        <v>0</v>
      </c>
      <c r="N82" s="125">
        <f t="shared" si="5"/>
        <v>100</v>
      </c>
      <c r="O82" s="91">
        <v>50.4</v>
      </c>
      <c r="P82" s="92"/>
      <c r="Q82" s="92"/>
      <c r="R82" s="93">
        <f t="shared" si="6"/>
        <v>50.4</v>
      </c>
      <c r="S82" s="208">
        <v>2</v>
      </c>
      <c r="T82" s="81"/>
      <c r="U82" s="207">
        <v>35125</v>
      </c>
      <c r="V82" s="82" t="s">
        <v>462</v>
      </c>
      <c r="W82" s="208" t="s">
        <v>74</v>
      </c>
      <c r="X82" s="208" t="s">
        <v>11</v>
      </c>
      <c r="Y82" s="83">
        <v>43.4</v>
      </c>
      <c r="Z82" s="208" t="s">
        <v>460</v>
      </c>
      <c r="AA82" s="208" t="s">
        <v>337</v>
      </c>
      <c r="AB82" s="208" t="s">
        <v>11</v>
      </c>
      <c r="AC82" s="208">
        <v>7</v>
      </c>
      <c r="AD82" s="82"/>
      <c r="AG82" s="83"/>
      <c r="AL82" s="82"/>
      <c r="AO82" s="83"/>
      <c r="AP82" s="82"/>
      <c r="AS82" s="83"/>
      <c r="AW82" s="83"/>
      <c r="BA82" s="84"/>
    </row>
    <row r="83" spans="1:53" s="334" customFormat="1">
      <c r="A83" s="334">
        <v>1996</v>
      </c>
      <c r="B83" s="355">
        <v>35415</v>
      </c>
      <c r="C83" s="992" t="s">
        <v>653</v>
      </c>
      <c r="D83" s="992"/>
      <c r="E83" s="334">
        <f>366-E82-E81</f>
        <v>16</v>
      </c>
      <c r="F83" s="334">
        <v>1</v>
      </c>
      <c r="G83" s="419">
        <v>20</v>
      </c>
      <c r="H83" s="334">
        <v>0</v>
      </c>
      <c r="I83" s="334">
        <v>0</v>
      </c>
      <c r="J83" s="435">
        <v>20</v>
      </c>
      <c r="K83" s="384">
        <f t="shared" si="4"/>
        <v>100</v>
      </c>
      <c r="L83" s="384">
        <f t="shared" si="4"/>
        <v>0</v>
      </c>
      <c r="M83" s="384">
        <f t="shared" si="4"/>
        <v>0</v>
      </c>
      <c r="N83" s="421">
        <f t="shared" si="5"/>
        <v>100</v>
      </c>
      <c r="O83" s="383">
        <v>50.9</v>
      </c>
      <c r="P83" s="384"/>
      <c r="Q83" s="384"/>
      <c r="R83" s="385">
        <f t="shared" si="6"/>
        <v>50.9</v>
      </c>
      <c r="S83" s="334">
        <v>2</v>
      </c>
      <c r="T83" s="342">
        <v>35350</v>
      </c>
      <c r="U83" s="355">
        <v>35415</v>
      </c>
      <c r="V83" s="343" t="s">
        <v>462</v>
      </c>
      <c r="W83" s="334" t="s">
        <v>74</v>
      </c>
      <c r="X83" s="334" t="s">
        <v>11</v>
      </c>
      <c r="Y83" s="344">
        <v>36.700000000000003</v>
      </c>
      <c r="Z83" s="334" t="s">
        <v>463</v>
      </c>
      <c r="AA83" s="334" t="s">
        <v>77</v>
      </c>
      <c r="AB83" s="334" t="s">
        <v>11</v>
      </c>
      <c r="AC83" s="334">
        <v>14.2</v>
      </c>
      <c r="AD83" s="343"/>
      <c r="AG83" s="344"/>
      <c r="AL83" s="343"/>
      <c r="AO83" s="344"/>
      <c r="AP83" s="343"/>
      <c r="AS83" s="344"/>
      <c r="AW83" s="344"/>
      <c r="BA83" s="345"/>
    </row>
    <row r="84" spans="1:53" s="334" customFormat="1">
      <c r="A84" s="334">
        <v>1997</v>
      </c>
      <c r="C84" s="992" t="s">
        <v>653</v>
      </c>
      <c r="D84" s="992"/>
      <c r="E84" s="334">
        <v>341</v>
      </c>
      <c r="G84" s="419">
        <v>20</v>
      </c>
      <c r="H84" s="334">
        <v>0</v>
      </c>
      <c r="I84" s="334">
        <v>0</v>
      </c>
      <c r="J84" s="435">
        <v>20</v>
      </c>
      <c r="K84" s="384">
        <f t="shared" si="4"/>
        <v>100</v>
      </c>
      <c r="L84" s="384">
        <f t="shared" si="4"/>
        <v>0</v>
      </c>
      <c r="M84" s="384">
        <f t="shared" si="4"/>
        <v>0</v>
      </c>
      <c r="N84" s="421">
        <f t="shared" si="5"/>
        <v>100</v>
      </c>
      <c r="O84" s="383">
        <v>50.9</v>
      </c>
      <c r="P84" s="384"/>
      <c r="Q84" s="384"/>
      <c r="R84" s="385">
        <f t="shared" si="6"/>
        <v>50.9</v>
      </c>
      <c r="S84" s="334">
        <v>2</v>
      </c>
      <c r="T84" s="357"/>
      <c r="V84" s="343" t="s">
        <v>462</v>
      </c>
      <c r="W84" s="334" t="s">
        <v>74</v>
      </c>
      <c r="X84" s="334" t="s">
        <v>11</v>
      </c>
      <c r="Y84" s="344">
        <v>36.700000000000003</v>
      </c>
      <c r="Z84" s="334" t="s">
        <v>463</v>
      </c>
      <c r="AA84" s="334" t="s">
        <v>77</v>
      </c>
      <c r="AB84" s="334" t="s">
        <v>11</v>
      </c>
      <c r="AC84" s="334">
        <v>14.2</v>
      </c>
      <c r="AD84" s="343"/>
      <c r="AG84" s="344"/>
      <c r="AL84" s="343"/>
      <c r="AO84" s="344"/>
      <c r="AP84" s="343"/>
      <c r="AS84" s="344"/>
      <c r="AW84" s="344"/>
      <c r="BA84" s="345"/>
    </row>
    <row r="85" spans="1:53" s="208" customFormat="1">
      <c r="A85" s="208">
        <v>1997</v>
      </c>
      <c r="B85" s="207">
        <v>35772</v>
      </c>
      <c r="C85" s="988" t="s">
        <v>654</v>
      </c>
      <c r="D85" s="988"/>
      <c r="E85" s="208">
        <f>365-E84</f>
        <v>24</v>
      </c>
      <c r="F85" s="208">
        <v>2</v>
      </c>
      <c r="G85" s="123">
        <v>20</v>
      </c>
      <c r="H85" s="208">
        <v>0</v>
      </c>
      <c r="I85" s="208">
        <v>0</v>
      </c>
      <c r="J85" s="134">
        <v>20</v>
      </c>
      <c r="K85" s="92">
        <f t="shared" si="4"/>
        <v>100</v>
      </c>
      <c r="L85" s="92">
        <f t="shared" si="4"/>
        <v>0</v>
      </c>
      <c r="M85" s="92">
        <f t="shared" si="4"/>
        <v>0</v>
      </c>
      <c r="N85" s="125">
        <f t="shared" si="5"/>
        <v>100</v>
      </c>
      <c r="O85" s="91">
        <v>50.9</v>
      </c>
      <c r="P85" s="92"/>
      <c r="Q85" s="92"/>
      <c r="R85" s="93">
        <f t="shared" si="6"/>
        <v>50.9</v>
      </c>
      <c r="S85" s="208">
        <v>2</v>
      </c>
      <c r="T85" s="81"/>
      <c r="U85" s="207">
        <v>35772</v>
      </c>
      <c r="V85" s="82" t="s">
        <v>462</v>
      </c>
      <c r="W85" s="208" t="s">
        <v>74</v>
      </c>
      <c r="X85" s="208" t="s">
        <v>11</v>
      </c>
      <c r="Y85" s="83">
        <v>36.700000000000003</v>
      </c>
      <c r="Z85" s="208" t="s">
        <v>463</v>
      </c>
      <c r="AA85" s="208" t="s">
        <v>77</v>
      </c>
      <c r="AB85" s="208" t="s">
        <v>11</v>
      </c>
      <c r="AC85" s="208">
        <v>14.2</v>
      </c>
      <c r="AD85" s="82"/>
      <c r="AG85" s="83"/>
      <c r="AL85" s="82"/>
      <c r="AO85" s="83"/>
      <c r="AP85" s="82"/>
      <c r="AS85" s="83"/>
      <c r="AW85" s="83"/>
      <c r="BA85" s="84"/>
    </row>
    <row r="86" spans="1:53" s="208" customFormat="1">
      <c r="A86" s="208">
        <v>1998</v>
      </c>
      <c r="C86" s="988" t="s">
        <v>654</v>
      </c>
      <c r="D86" s="988"/>
      <c r="E86" s="208">
        <v>242</v>
      </c>
      <c r="G86" s="123">
        <v>20</v>
      </c>
      <c r="H86" s="208">
        <v>0</v>
      </c>
      <c r="I86" s="208">
        <v>0</v>
      </c>
      <c r="J86" s="134">
        <v>20</v>
      </c>
      <c r="K86" s="92">
        <f t="shared" si="4"/>
        <v>100</v>
      </c>
      <c r="L86" s="92">
        <f t="shared" si="4"/>
        <v>0</v>
      </c>
      <c r="M86" s="92">
        <f t="shared" si="4"/>
        <v>0</v>
      </c>
      <c r="N86" s="125">
        <f t="shared" si="5"/>
        <v>100</v>
      </c>
      <c r="O86" s="91">
        <v>50.9</v>
      </c>
      <c r="P86" s="92"/>
      <c r="Q86" s="92"/>
      <c r="R86" s="93">
        <f t="shared" si="6"/>
        <v>50.9</v>
      </c>
      <c r="S86" s="208">
        <v>2</v>
      </c>
      <c r="T86" s="81"/>
      <c r="V86" s="82" t="s">
        <v>462</v>
      </c>
      <c r="W86" s="208" t="s">
        <v>74</v>
      </c>
      <c r="X86" s="208" t="s">
        <v>11</v>
      </c>
      <c r="Y86" s="83">
        <v>36.700000000000003</v>
      </c>
      <c r="Z86" s="208" t="s">
        <v>463</v>
      </c>
      <c r="AA86" s="208" t="s">
        <v>77</v>
      </c>
      <c r="AB86" s="208" t="s">
        <v>11</v>
      </c>
      <c r="AC86" s="208">
        <v>14.2</v>
      </c>
      <c r="AD86" s="82"/>
      <c r="AG86" s="83"/>
      <c r="AL86" s="82"/>
      <c r="AO86" s="83"/>
      <c r="AP86" s="82"/>
      <c r="AS86" s="83"/>
      <c r="AW86" s="83"/>
      <c r="BA86" s="84"/>
    </row>
    <row r="87" spans="1:53" s="334" customFormat="1">
      <c r="A87" s="334">
        <v>1998</v>
      </c>
      <c r="B87" s="355">
        <v>36038</v>
      </c>
      <c r="C87" s="992" t="s">
        <v>655</v>
      </c>
      <c r="D87" s="992"/>
      <c r="E87" s="334">
        <f>365-E86</f>
        <v>123</v>
      </c>
      <c r="F87" s="334">
        <v>4</v>
      </c>
      <c r="G87" s="419">
        <v>17</v>
      </c>
      <c r="H87" s="334">
        <v>0</v>
      </c>
      <c r="I87" s="334">
        <v>0</v>
      </c>
      <c r="J87" s="435">
        <v>18</v>
      </c>
      <c r="K87" s="384">
        <f t="shared" si="4"/>
        <v>94.444444444444443</v>
      </c>
      <c r="L87" s="384">
        <f t="shared" si="4"/>
        <v>0</v>
      </c>
      <c r="M87" s="384">
        <f t="shared" si="4"/>
        <v>0</v>
      </c>
      <c r="N87" s="421">
        <f t="shared" si="5"/>
        <v>94.444444444444443</v>
      </c>
      <c r="O87" s="383">
        <v>36.700000000000003</v>
      </c>
      <c r="P87" s="384"/>
      <c r="Q87" s="384"/>
      <c r="R87" s="385">
        <f t="shared" si="6"/>
        <v>36.700000000000003</v>
      </c>
      <c r="S87" s="334">
        <v>4</v>
      </c>
      <c r="T87" s="357"/>
      <c r="U87" s="355">
        <v>36038</v>
      </c>
      <c r="V87" s="343" t="s">
        <v>462</v>
      </c>
      <c r="W87" s="334" t="s">
        <v>74</v>
      </c>
      <c r="X87" s="334" t="s">
        <v>11</v>
      </c>
      <c r="Y87" s="344">
        <v>36.700000000000003</v>
      </c>
      <c r="AD87" s="343"/>
      <c r="AG87" s="344"/>
      <c r="AL87" s="343"/>
      <c r="AO87" s="344"/>
      <c r="AP87" s="343"/>
      <c r="AS87" s="344"/>
      <c r="AW87" s="344"/>
      <c r="BA87" s="345"/>
    </row>
    <row r="88" spans="1:53" s="334" customFormat="1">
      <c r="A88" s="334">
        <v>1999</v>
      </c>
      <c r="C88" s="992" t="s">
        <v>655</v>
      </c>
      <c r="D88" s="992"/>
      <c r="E88" s="334">
        <v>342</v>
      </c>
      <c r="G88" s="419">
        <v>17</v>
      </c>
      <c r="H88" s="334">
        <v>0</v>
      </c>
      <c r="I88" s="334">
        <v>0</v>
      </c>
      <c r="J88" s="435">
        <v>18</v>
      </c>
      <c r="K88" s="384">
        <f t="shared" si="4"/>
        <v>94.444444444444443</v>
      </c>
      <c r="L88" s="384">
        <f t="shared" si="4"/>
        <v>0</v>
      </c>
      <c r="M88" s="384">
        <f t="shared" si="4"/>
        <v>0</v>
      </c>
      <c r="N88" s="421">
        <f t="shared" si="5"/>
        <v>94.444444444444443</v>
      </c>
      <c r="O88" s="383">
        <v>36.700000000000003</v>
      </c>
      <c r="P88" s="384"/>
      <c r="Q88" s="384"/>
      <c r="R88" s="385">
        <f t="shared" si="6"/>
        <v>36.700000000000003</v>
      </c>
      <c r="S88" s="334">
        <v>4</v>
      </c>
      <c r="T88" s="357"/>
      <c r="V88" s="343" t="s">
        <v>462</v>
      </c>
      <c r="W88" s="334" t="s">
        <v>74</v>
      </c>
      <c r="X88" s="334" t="s">
        <v>11</v>
      </c>
      <c r="Y88" s="344">
        <v>36.700000000000003</v>
      </c>
      <c r="AD88" s="343"/>
      <c r="AG88" s="344"/>
      <c r="AL88" s="343"/>
      <c r="AO88" s="344"/>
      <c r="AP88" s="343"/>
      <c r="AS88" s="344"/>
      <c r="AW88" s="344"/>
      <c r="BA88" s="345"/>
    </row>
    <row r="89" spans="1:53" s="208" customFormat="1">
      <c r="A89" s="208">
        <v>1999</v>
      </c>
      <c r="B89" s="207">
        <v>36503</v>
      </c>
      <c r="C89" s="988" t="s">
        <v>656</v>
      </c>
      <c r="D89" s="988"/>
      <c r="E89" s="208">
        <f>365-E88</f>
        <v>23</v>
      </c>
      <c r="F89" s="208">
        <v>1</v>
      </c>
      <c r="G89" s="123">
        <v>0</v>
      </c>
      <c r="H89" s="208">
        <v>0</v>
      </c>
      <c r="I89" s="208">
        <v>20</v>
      </c>
      <c r="J89" s="134">
        <v>20</v>
      </c>
      <c r="K89" s="92">
        <f t="shared" si="4"/>
        <v>0</v>
      </c>
      <c r="L89" s="92">
        <f t="shared" si="4"/>
        <v>0</v>
      </c>
      <c r="M89" s="92">
        <f t="shared" si="4"/>
        <v>100</v>
      </c>
      <c r="N89" s="125">
        <f t="shared" si="5"/>
        <v>100</v>
      </c>
      <c r="O89" s="91"/>
      <c r="P89" s="92"/>
      <c r="Q89" s="92">
        <v>49.1</v>
      </c>
      <c r="R89" s="93">
        <f t="shared" si="6"/>
        <v>49.1</v>
      </c>
      <c r="S89" s="208">
        <v>5</v>
      </c>
      <c r="T89" s="95">
        <v>36491</v>
      </c>
      <c r="U89" s="207">
        <v>36503</v>
      </c>
      <c r="V89" s="82" t="s">
        <v>461</v>
      </c>
      <c r="W89" s="208" t="s">
        <v>20</v>
      </c>
      <c r="X89" s="208" t="s">
        <v>12</v>
      </c>
      <c r="Y89" s="83">
        <v>40.799999999999997</v>
      </c>
      <c r="Z89" s="208" t="s">
        <v>573</v>
      </c>
      <c r="AA89" s="208" t="s">
        <v>97</v>
      </c>
      <c r="AB89" s="208" t="s">
        <v>12</v>
      </c>
      <c r="AC89" s="208">
        <v>8.3000000000000007</v>
      </c>
      <c r="AD89" s="82"/>
      <c r="AG89" s="83"/>
      <c r="AL89" s="82"/>
      <c r="AO89" s="83"/>
      <c r="AP89" s="82"/>
      <c r="AS89" s="83"/>
      <c r="AW89" s="83"/>
      <c r="BA89" s="84"/>
    </row>
    <row r="90" spans="1:53" s="208" customFormat="1">
      <c r="A90" s="208">
        <v>2000</v>
      </c>
      <c r="C90" s="988" t="s">
        <v>656</v>
      </c>
      <c r="D90" s="988"/>
      <c r="E90" s="208">
        <v>0</v>
      </c>
      <c r="G90" s="123">
        <v>0</v>
      </c>
      <c r="H90" s="208">
        <v>0</v>
      </c>
      <c r="I90" s="208">
        <v>20</v>
      </c>
      <c r="J90" s="134">
        <v>20</v>
      </c>
      <c r="K90" s="92">
        <f t="shared" si="4"/>
        <v>0</v>
      </c>
      <c r="L90" s="92">
        <f t="shared" si="4"/>
        <v>0</v>
      </c>
      <c r="M90" s="92">
        <f t="shared" si="4"/>
        <v>100</v>
      </c>
      <c r="N90" s="125">
        <f t="shared" si="5"/>
        <v>100</v>
      </c>
      <c r="O90" s="91"/>
      <c r="P90" s="92"/>
      <c r="Q90" s="92">
        <v>49.1</v>
      </c>
      <c r="R90" s="93">
        <f t="shared" si="6"/>
        <v>49.1</v>
      </c>
      <c r="S90" s="208">
        <v>5</v>
      </c>
      <c r="T90" s="81"/>
      <c r="V90" s="82" t="s">
        <v>461</v>
      </c>
      <c r="W90" s="208" t="s">
        <v>20</v>
      </c>
      <c r="X90" s="208" t="s">
        <v>12</v>
      </c>
      <c r="Y90" s="83">
        <v>40.799999999999997</v>
      </c>
      <c r="Z90" s="208" t="s">
        <v>573</v>
      </c>
      <c r="AA90" s="208" t="s">
        <v>97</v>
      </c>
      <c r="AB90" s="208" t="s">
        <v>12</v>
      </c>
      <c r="AC90" s="208">
        <v>8.3000000000000007</v>
      </c>
      <c r="AD90" s="82"/>
      <c r="AG90" s="83"/>
      <c r="AL90" s="82"/>
      <c r="AO90" s="83"/>
      <c r="AP90" s="82"/>
      <c r="AS90" s="83"/>
      <c r="AW90" s="83"/>
      <c r="BA90" s="84"/>
    </row>
    <row r="91" spans="1:53" s="208" customFormat="1">
      <c r="A91" s="208">
        <v>2000</v>
      </c>
      <c r="C91" s="988" t="s">
        <v>656</v>
      </c>
      <c r="D91" s="988"/>
      <c r="E91" s="208">
        <v>366</v>
      </c>
      <c r="G91" s="123">
        <v>0</v>
      </c>
      <c r="H91" s="208">
        <v>0</v>
      </c>
      <c r="I91" s="208">
        <v>20</v>
      </c>
      <c r="J91" s="134">
        <v>20</v>
      </c>
      <c r="K91" s="92">
        <f t="shared" si="4"/>
        <v>0</v>
      </c>
      <c r="L91" s="92">
        <f t="shared" si="4"/>
        <v>0</v>
      </c>
      <c r="M91" s="92">
        <f t="shared" si="4"/>
        <v>100</v>
      </c>
      <c r="N91" s="125">
        <f t="shared" si="5"/>
        <v>100</v>
      </c>
      <c r="O91" s="91"/>
      <c r="P91" s="92"/>
      <c r="Q91" s="92">
        <v>49.1</v>
      </c>
      <c r="R91" s="93">
        <f t="shared" si="6"/>
        <v>49.1</v>
      </c>
      <c r="S91" s="208">
        <v>5</v>
      </c>
      <c r="T91" s="81"/>
      <c r="V91" s="82" t="s">
        <v>461</v>
      </c>
      <c r="W91" s="208" t="s">
        <v>20</v>
      </c>
      <c r="X91" s="208" t="s">
        <v>12</v>
      </c>
      <c r="Y91" s="83">
        <v>40.799999999999997</v>
      </c>
      <c r="Z91" s="208" t="s">
        <v>573</v>
      </c>
      <c r="AA91" s="208" t="s">
        <v>97</v>
      </c>
      <c r="AB91" s="208" t="s">
        <v>12</v>
      </c>
      <c r="AC91" s="208">
        <v>8.3000000000000007</v>
      </c>
      <c r="AD91" s="82"/>
      <c r="AG91" s="83"/>
      <c r="AL91" s="82"/>
      <c r="AO91" s="83"/>
      <c r="AP91" s="82"/>
      <c r="AS91" s="83"/>
      <c r="AW91" s="83"/>
      <c r="BA91" s="84"/>
    </row>
    <row r="92" spans="1:53" s="208" customFormat="1">
      <c r="A92" s="208">
        <v>2001</v>
      </c>
      <c r="C92" s="988" t="s">
        <v>656</v>
      </c>
      <c r="D92" s="988"/>
      <c r="E92" s="208">
        <v>0</v>
      </c>
      <c r="G92" s="123">
        <v>0</v>
      </c>
      <c r="H92" s="208">
        <v>0</v>
      </c>
      <c r="I92" s="208">
        <v>20</v>
      </c>
      <c r="J92" s="134">
        <v>20</v>
      </c>
      <c r="K92" s="92">
        <f t="shared" si="4"/>
        <v>0</v>
      </c>
      <c r="L92" s="92">
        <f t="shared" si="4"/>
        <v>0</v>
      </c>
      <c r="M92" s="92">
        <f t="shared" si="4"/>
        <v>100</v>
      </c>
      <c r="N92" s="125">
        <f t="shared" si="5"/>
        <v>100</v>
      </c>
      <c r="O92" s="91"/>
      <c r="P92" s="92"/>
      <c r="Q92" s="92">
        <v>49.1</v>
      </c>
      <c r="R92" s="93">
        <f t="shared" si="6"/>
        <v>49.1</v>
      </c>
      <c r="S92" s="208">
        <v>5</v>
      </c>
      <c r="T92" s="81"/>
      <c r="V92" s="82" t="s">
        <v>461</v>
      </c>
      <c r="W92" s="208" t="s">
        <v>20</v>
      </c>
      <c r="X92" s="208" t="s">
        <v>12</v>
      </c>
      <c r="Y92" s="83">
        <v>40.799999999999997</v>
      </c>
      <c r="Z92" s="208" t="s">
        <v>573</v>
      </c>
      <c r="AA92" s="208" t="s">
        <v>97</v>
      </c>
      <c r="AB92" s="208" t="s">
        <v>12</v>
      </c>
      <c r="AC92" s="208">
        <v>8.3000000000000007</v>
      </c>
      <c r="AD92" s="82"/>
      <c r="AG92" s="83"/>
      <c r="AL92" s="82"/>
      <c r="AO92" s="83"/>
      <c r="AP92" s="82"/>
      <c r="AS92" s="83"/>
      <c r="AW92" s="83"/>
      <c r="BA92" s="84"/>
    </row>
    <row r="93" spans="1:53" s="208" customFormat="1">
      <c r="A93" s="208">
        <v>2001</v>
      </c>
      <c r="C93" s="988" t="s">
        <v>656</v>
      </c>
      <c r="D93" s="988"/>
      <c r="E93" s="208">
        <f>365-E92</f>
        <v>365</v>
      </c>
      <c r="G93" s="123">
        <v>0</v>
      </c>
      <c r="H93" s="208">
        <v>0</v>
      </c>
      <c r="I93" s="208">
        <v>20</v>
      </c>
      <c r="J93" s="134">
        <v>20</v>
      </c>
      <c r="K93" s="92">
        <f t="shared" si="4"/>
        <v>0</v>
      </c>
      <c r="L93" s="92">
        <f t="shared" si="4"/>
        <v>0</v>
      </c>
      <c r="M93" s="92">
        <f t="shared" si="4"/>
        <v>100</v>
      </c>
      <c r="N93" s="125">
        <f t="shared" si="5"/>
        <v>100</v>
      </c>
      <c r="O93" s="91"/>
      <c r="P93" s="92"/>
      <c r="Q93" s="92">
        <v>49.1</v>
      </c>
      <c r="R93" s="93">
        <f t="shared" si="6"/>
        <v>49.1</v>
      </c>
      <c r="S93" s="208">
        <v>5</v>
      </c>
      <c r="T93" s="81"/>
      <c r="V93" s="82" t="s">
        <v>461</v>
      </c>
      <c r="W93" s="208" t="s">
        <v>20</v>
      </c>
      <c r="X93" s="208" t="s">
        <v>12</v>
      </c>
      <c r="Y93" s="83">
        <v>40.799999999999997</v>
      </c>
      <c r="Z93" s="208" t="s">
        <v>573</v>
      </c>
      <c r="AA93" s="208" t="s">
        <v>97</v>
      </c>
      <c r="AB93" s="208" t="s">
        <v>12</v>
      </c>
      <c r="AC93" s="208">
        <v>8.3000000000000007</v>
      </c>
      <c r="AD93" s="82"/>
      <c r="AG93" s="83"/>
      <c r="AL93" s="82"/>
      <c r="AO93" s="83"/>
      <c r="AP93" s="82"/>
      <c r="AS93" s="83"/>
      <c r="AW93" s="83"/>
      <c r="BA93" s="84"/>
    </row>
    <row r="94" spans="1:53" s="208" customFormat="1">
      <c r="A94" s="208">
        <v>2002</v>
      </c>
      <c r="C94" s="988" t="s">
        <v>656</v>
      </c>
      <c r="D94" s="988"/>
      <c r="E94" s="208">
        <v>226</v>
      </c>
      <c r="G94" s="123">
        <v>0</v>
      </c>
      <c r="H94" s="208">
        <v>0</v>
      </c>
      <c r="I94" s="208">
        <v>20</v>
      </c>
      <c r="J94" s="134">
        <v>20</v>
      </c>
      <c r="K94" s="92">
        <f t="shared" si="4"/>
        <v>0</v>
      </c>
      <c r="L94" s="92">
        <f t="shared" si="4"/>
        <v>0</v>
      </c>
      <c r="M94" s="92">
        <f t="shared" si="4"/>
        <v>100</v>
      </c>
      <c r="N94" s="125">
        <f t="shared" si="5"/>
        <v>100</v>
      </c>
      <c r="O94" s="91"/>
      <c r="P94" s="92"/>
      <c r="Q94" s="92">
        <v>49.1</v>
      </c>
      <c r="R94" s="93">
        <f t="shared" si="6"/>
        <v>49.1</v>
      </c>
      <c r="S94" s="208">
        <v>5</v>
      </c>
      <c r="T94" s="81"/>
      <c r="V94" s="82" t="s">
        <v>461</v>
      </c>
      <c r="W94" s="208" t="s">
        <v>20</v>
      </c>
      <c r="X94" s="208" t="s">
        <v>12</v>
      </c>
      <c r="Y94" s="83">
        <v>40.799999999999997</v>
      </c>
      <c r="Z94" s="208" t="s">
        <v>573</v>
      </c>
      <c r="AA94" s="208" t="s">
        <v>97</v>
      </c>
      <c r="AB94" s="208" t="s">
        <v>12</v>
      </c>
      <c r="AC94" s="208">
        <v>8.3000000000000007</v>
      </c>
      <c r="AD94" s="82"/>
      <c r="AG94" s="83"/>
      <c r="AL94" s="82"/>
      <c r="AO94" s="83"/>
      <c r="AP94" s="82"/>
      <c r="AS94" s="83"/>
      <c r="AW94" s="83"/>
      <c r="BA94" s="84"/>
    </row>
    <row r="95" spans="1:53" s="334" customFormat="1">
      <c r="A95" s="334">
        <v>2002</v>
      </c>
      <c r="B95" s="355">
        <v>37483</v>
      </c>
      <c r="C95" s="992" t="s">
        <v>657</v>
      </c>
      <c r="D95" s="992"/>
      <c r="E95" s="334">
        <f>365-E94</f>
        <v>139</v>
      </c>
      <c r="F95" s="334">
        <v>1</v>
      </c>
      <c r="G95" s="419">
        <v>0</v>
      </c>
      <c r="H95" s="334">
        <v>0</v>
      </c>
      <c r="I95" s="334">
        <v>20</v>
      </c>
      <c r="J95" s="435">
        <v>20</v>
      </c>
      <c r="K95" s="384">
        <f t="shared" si="4"/>
        <v>0</v>
      </c>
      <c r="L95" s="384">
        <f t="shared" si="4"/>
        <v>0</v>
      </c>
      <c r="M95" s="384">
        <f t="shared" si="4"/>
        <v>100</v>
      </c>
      <c r="N95" s="421">
        <f t="shared" si="5"/>
        <v>100</v>
      </c>
      <c r="O95" s="383"/>
      <c r="P95" s="384"/>
      <c r="Q95" s="384">
        <v>45</v>
      </c>
      <c r="R95" s="385">
        <f t="shared" si="6"/>
        <v>45</v>
      </c>
      <c r="S95" s="334">
        <v>5</v>
      </c>
      <c r="T95" s="342">
        <v>37464</v>
      </c>
      <c r="U95" s="355">
        <v>37483</v>
      </c>
      <c r="V95" s="343" t="s">
        <v>461</v>
      </c>
      <c r="W95" s="334" t="s">
        <v>20</v>
      </c>
      <c r="X95" s="334" t="s">
        <v>12</v>
      </c>
      <c r="Y95" s="344">
        <v>43.3</v>
      </c>
      <c r="Z95" s="334" t="s">
        <v>101</v>
      </c>
      <c r="AA95" s="334" t="s">
        <v>337</v>
      </c>
      <c r="AB95" s="334" t="s">
        <v>12</v>
      </c>
      <c r="AC95" s="334">
        <v>1.7</v>
      </c>
      <c r="AD95" s="343"/>
      <c r="AG95" s="344"/>
      <c r="AL95" s="343"/>
      <c r="AO95" s="344"/>
      <c r="AP95" s="343"/>
      <c r="AS95" s="344"/>
      <c r="AW95" s="344"/>
      <c r="BA95" s="345"/>
    </row>
    <row r="96" spans="1:53" s="334" customFormat="1">
      <c r="A96" s="334">
        <v>2003</v>
      </c>
      <c r="C96" s="992" t="s">
        <v>657</v>
      </c>
      <c r="D96" s="992"/>
      <c r="E96" s="334">
        <v>0</v>
      </c>
      <c r="G96" s="419">
        <v>0</v>
      </c>
      <c r="H96" s="334">
        <v>0</v>
      </c>
      <c r="I96" s="334">
        <v>20</v>
      </c>
      <c r="J96" s="435">
        <v>20</v>
      </c>
      <c r="K96" s="384">
        <f t="shared" si="4"/>
        <v>0</v>
      </c>
      <c r="L96" s="384">
        <f t="shared" si="4"/>
        <v>0</v>
      </c>
      <c r="M96" s="384">
        <f t="shared" si="4"/>
        <v>100</v>
      </c>
      <c r="N96" s="421">
        <f t="shared" si="5"/>
        <v>100</v>
      </c>
      <c r="O96" s="383"/>
      <c r="P96" s="384"/>
      <c r="Q96" s="384">
        <v>45</v>
      </c>
      <c r="R96" s="385">
        <f t="shared" si="6"/>
        <v>45</v>
      </c>
      <c r="S96" s="334">
        <v>5</v>
      </c>
      <c r="T96" s="357"/>
      <c r="V96" s="343" t="s">
        <v>461</v>
      </c>
      <c r="W96" s="334" t="s">
        <v>20</v>
      </c>
      <c r="X96" s="334" t="s">
        <v>12</v>
      </c>
      <c r="Y96" s="344">
        <v>43.3</v>
      </c>
      <c r="Z96" s="334" t="s">
        <v>101</v>
      </c>
      <c r="AA96" s="334" t="s">
        <v>337</v>
      </c>
      <c r="AB96" s="334" t="s">
        <v>12</v>
      </c>
      <c r="AC96" s="334">
        <v>1.7</v>
      </c>
      <c r="AD96" s="343"/>
      <c r="AG96" s="344"/>
      <c r="AL96" s="343"/>
      <c r="AO96" s="344"/>
      <c r="AP96" s="343"/>
      <c r="AS96" s="344"/>
      <c r="AW96" s="344"/>
      <c r="BA96" s="345"/>
    </row>
    <row r="97" spans="1:53" s="334" customFormat="1">
      <c r="A97" s="334">
        <v>2003</v>
      </c>
      <c r="C97" s="992" t="s">
        <v>657</v>
      </c>
      <c r="D97" s="992"/>
      <c r="E97" s="334">
        <f>365-E96</f>
        <v>365</v>
      </c>
      <c r="G97" s="419">
        <v>0</v>
      </c>
      <c r="H97" s="334">
        <v>0</v>
      </c>
      <c r="I97" s="334">
        <v>20</v>
      </c>
      <c r="J97" s="435">
        <v>20</v>
      </c>
      <c r="K97" s="384">
        <f t="shared" si="4"/>
        <v>0</v>
      </c>
      <c r="L97" s="384">
        <f t="shared" si="4"/>
        <v>0</v>
      </c>
      <c r="M97" s="384">
        <f t="shared" si="4"/>
        <v>100</v>
      </c>
      <c r="N97" s="421">
        <f t="shared" si="5"/>
        <v>100</v>
      </c>
      <c r="O97" s="383"/>
      <c r="P97" s="384"/>
      <c r="Q97" s="384">
        <v>45</v>
      </c>
      <c r="R97" s="385">
        <f t="shared" si="6"/>
        <v>45</v>
      </c>
      <c r="S97" s="334">
        <v>5</v>
      </c>
      <c r="T97" s="357"/>
      <c r="V97" s="343" t="s">
        <v>461</v>
      </c>
      <c r="W97" s="334" t="s">
        <v>20</v>
      </c>
      <c r="X97" s="334" t="s">
        <v>12</v>
      </c>
      <c r="Y97" s="344">
        <v>43.3</v>
      </c>
      <c r="Z97" s="334" t="s">
        <v>101</v>
      </c>
      <c r="AA97" s="334" t="s">
        <v>337</v>
      </c>
      <c r="AB97" s="334" t="s">
        <v>12</v>
      </c>
      <c r="AC97" s="334">
        <v>1.7</v>
      </c>
      <c r="AD97" s="343"/>
      <c r="AG97" s="344"/>
      <c r="AL97" s="343"/>
      <c r="AO97" s="344"/>
      <c r="AP97" s="343"/>
      <c r="AS97" s="344"/>
      <c r="AW97" s="344"/>
      <c r="BA97" s="345"/>
    </row>
    <row r="98" spans="1:53" s="334" customFormat="1">
      <c r="A98" s="334">
        <v>2004</v>
      </c>
      <c r="C98" s="992" t="s">
        <v>657</v>
      </c>
      <c r="D98" s="992"/>
      <c r="E98" s="334">
        <v>355</v>
      </c>
      <c r="G98" s="419">
        <v>0</v>
      </c>
      <c r="H98" s="334">
        <v>0</v>
      </c>
      <c r="I98" s="334">
        <v>20</v>
      </c>
      <c r="J98" s="435">
        <v>20</v>
      </c>
      <c r="K98" s="384">
        <f t="shared" si="4"/>
        <v>0</v>
      </c>
      <c r="L98" s="384">
        <f t="shared" si="4"/>
        <v>0</v>
      </c>
      <c r="M98" s="384">
        <f t="shared" si="4"/>
        <v>100</v>
      </c>
      <c r="N98" s="421">
        <f t="shared" si="5"/>
        <v>100</v>
      </c>
      <c r="O98" s="383"/>
      <c r="P98" s="384"/>
      <c r="Q98" s="384">
        <v>45</v>
      </c>
      <c r="R98" s="385">
        <f t="shared" si="6"/>
        <v>45</v>
      </c>
      <c r="S98" s="334">
        <v>5</v>
      </c>
      <c r="T98" s="357"/>
      <c r="V98" s="343" t="s">
        <v>461</v>
      </c>
      <c r="W98" s="334" t="s">
        <v>20</v>
      </c>
      <c r="X98" s="334" t="s">
        <v>12</v>
      </c>
      <c r="Y98" s="344">
        <v>43.3</v>
      </c>
      <c r="Z98" s="334" t="s">
        <v>101</v>
      </c>
      <c r="AA98" s="334" t="s">
        <v>337</v>
      </c>
      <c r="AB98" s="334" t="s">
        <v>12</v>
      </c>
      <c r="AC98" s="334">
        <v>1.7</v>
      </c>
      <c r="AD98" s="343"/>
      <c r="AG98" s="344"/>
      <c r="AL98" s="343"/>
      <c r="AO98" s="344"/>
      <c r="AP98" s="343"/>
      <c r="AS98" s="344"/>
      <c r="AW98" s="344"/>
      <c r="BA98" s="345"/>
    </row>
    <row r="99" spans="1:53" s="334" customFormat="1">
      <c r="A99" s="334">
        <v>2004</v>
      </c>
      <c r="B99" s="445">
        <v>38342</v>
      </c>
      <c r="C99" s="992" t="s">
        <v>657</v>
      </c>
      <c r="D99" s="992"/>
      <c r="E99" s="334">
        <f>366-E98</f>
        <v>11</v>
      </c>
      <c r="F99" s="441">
        <v>0</v>
      </c>
      <c r="G99" s="419">
        <v>0</v>
      </c>
      <c r="H99" s="334">
        <v>0</v>
      </c>
      <c r="I99" s="334">
        <v>19</v>
      </c>
      <c r="J99" s="435">
        <v>19</v>
      </c>
      <c r="K99" s="384">
        <f t="shared" si="4"/>
        <v>0</v>
      </c>
      <c r="L99" s="384">
        <f t="shared" si="4"/>
        <v>0</v>
      </c>
      <c r="M99" s="384">
        <f t="shared" si="4"/>
        <v>100</v>
      </c>
      <c r="N99" s="421">
        <f t="shared" si="5"/>
        <v>100</v>
      </c>
      <c r="O99" s="383"/>
      <c r="P99" s="384"/>
      <c r="Q99" s="384">
        <v>45</v>
      </c>
      <c r="R99" s="385">
        <f t="shared" si="6"/>
        <v>45</v>
      </c>
      <c r="S99" s="334">
        <v>5</v>
      </c>
      <c r="T99" s="357"/>
      <c r="V99" s="343" t="s">
        <v>461</v>
      </c>
      <c r="W99" s="334" t="s">
        <v>20</v>
      </c>
      <c r="X99" s="334" t="s">
        <v>12</v>
      </c>
      <c r="Y99" s="344">
        <v>43.3</v>
      </c>
      <c r="Z99" s="334" t="s">
        <v>101</v>
      </c>
      <c r="AA99" s="334" t="s">
        <v>337</v>
      </c>
      <c r="AB99" s="334" t="s">
        <v>12</v>
      </c>
      <c r="AC99" s="334">
        <v>1.7</v>
      </c>
      <c r="AD99" s="343"/>
      <c r="AG99" s="344"/>
      <c r="AL99" s="343"/>
      <c r="AO99" s="344"/>
      <c r="AP99" s="343"/>
      <c r="AS99" s="344"/>
      <c r="AW99" s="344"/>
      <c r="BA99" s="345"/>
    </row>
    <row r="100" spans="1:53" s="334" customFormat="1">
      <c r="A100" s="334">
        <v>2005</v>
      </c>
      <c r="C100" s="992" t="s">
        <v>657</v>
      </c>
      <c r="D100" s="992"/>
      <c r="E100" s="334">
        <v>58</v>
      </c>
      <c r="G100" s="419">
        <v>0</v>
      </c>
      <c r="H100" s="334">
        <v>0</v>
      </c>
      <c r="I100" s="334">
        <v>19</v>
      </c>
      <c r="J100" s="435">
        <v>19</v>
      </c>
      <c r="K100" s="384">
        <f t="shared" si="4"/>
        <v>0</v>
      </c>
      <c r="L100" s="384">
        <f t="shared" si="4"/>
        <v>0</v>
      </c>
      <c r="M100" s="384">
        <f t="shared" si="4"/>
        <v>100</v>
      </c>
      <c r="N100" s="421">
        <f t="shared" si="5"/>
        <v>100</v>
      </c>
      <c r="O100" s="383"/>
      <c r="P100" s="384"/>
      <c r="Q100" s="384">
        <v>45</v>
      </c>
      <c r="R100" s="385">
        <f t="shared" si="6"/>
        <v>45</v>
      </c>
      <c r="S100" s="334">
        <v>5</v>
      </c>
      <c r="T100" s="357"/>
      <c r="V100" s="343" t="s">
        <v>461</v>
      </c>
      <c r="W100" s="334" t="s">
        <v>20</v>
      </c>
      <c r="X100" s="334" t="s">
        <v>12</v>
      </c>
      <c r="Y100" s="344">
        <v>43.3</v>
      </c>
      <c r="Z100" s="334" t="s">
        <v>101</v>
      </c>
      <c r="AA100" s="334" t="s">
        <v>337</v>
      </c>
      <c r="AB100" s="334" t="s">
        <v>12</v>
      </c>
      <c r="AC100" s="334">
        <v>1.7</v>
      </c>
      <c r="AD100" s="343"/>
      <c r="AG100" s="344"/>
      <c r="AL100" s="343"/>
      <c r="AO100" s="344"/>
      <c r="AP100" s="343"/>
      <c r="AS100" s="344"/>
      <c r="AW100" s="344"/>
      <c r="BA100" s="345"/>
    </row>
    <row r="101" spans="1:53" s="334" customFormat="1">
      <c r="A101" s="334">
        <v>2005</v>
      </c>
      <c r="B101" s="445">
        <v>38411</v>
      </c>
      <c r="C101" s="992" t="s">
        <v>657</v>
      </c>
      <c r="D101" s="992"/>
      <c r="E101" s="334">
        <v>233</v>
      </c>
      <c r="F101" s="441">
        <v>0</v>
      </c>
      <c r="G101" s="419">
        <v>0</v>
      </c>
      <c r="H101" s="334">
        <v>0</v>
      </c>
      <c r="I101" s="334">
        <v>18</v>
      </c>
      <c r="J101" s="435">
        <v>18</v>
      </c>
      <c r="K101" s="384">
        <f t="shared" si="4"/>
        <v>0</v>
      </c>
      <c r="L101" s="384">
        <f t="shared" si="4"/>
        <v>0</v>
      </c>
      <c r="M101" s="384">
        <f t="shared" si="4"/>
        <v>100</v>
      </c>
      <c r="N101" s="421">
        <f t="shared" si="5"/>
        <v>100</v>
      </c>
      <c r="O101" s="383"/>
      <c r="P101" s="384"/>
      <c r="Q101" s="384">
        <v>42.1</v>
      </c>
      <c r="R101" s="385">
        <f t="shared" si="6"/>
        <v>42.1</v>
      </c>
      <c r="S101" s="334">
        <v>5</v>
      </c>
      <c r="T101" s="357"/>
      <c r="V101" s="343" t="s">
        <v>461</v>
      </c>
      <c r="W101" s="334" t="s">
        <v>20</v>
      </c>
      <c r="X101" s="334" t="s">
        <v>12</v>
      </c>
      <c r="Y101" s="344">
        <v>43.3</v>
      </c>
      <c r="Z101" s="334" t="s">
        <v>101</v>
      </c>
      <c r="AA101" s="334" t="s">
        <v>337</v>
      </c>
      <c r="AB101" s="334" t="s">
        <v>12</v>
      </c>
      <c r="AC101" s="334">
        <v>1.7</v>
      </c>
      <c r="AD101" s="343"/>
      <c r="AG101" s="344"/>
      <c r="AL101" s="343"/>
      <c r="AO101" s="344"/>
      <c r="AP101" s="343"/>
      <c r="AS101" s="344"/>
      <c r="AW101" s="344"/>
      <c r="BA101" s="345"/>
    </row>
    <row r="102" spans="1:53" s="208" customFormat="1">
      <c r="A102" s="208">
        <v>2005</v>
      </c>
      <c r="B102" s="207">
        <v>38644</v>
      </c>
      <c r="C102" s="988" t="s">
        <v>658</v>
      </c>
      <c r="D102" s="988"/>
      <c r="E102" s="208">
        <f>365-E101-E100</f>
        <v>74</v>
      </c>
      <c r="F102" s="208">
        <v>1</v>
      </c>
      <c r="G102" s="123">
        <v>0</v>
      </c>
      <c r="H102" s="208">
        <v>0</v>
      </c>
      <c r="I102" s="208">
        <v>21</v>
      </c>
      <c r="J102" s="134">
        <v>21</v>
      </c>
      <c r="K102" s="92">
        <f t="shared" si="4"/>
        <v>0</v>
      </c>
      <c r="L102" s="92">
        <f t="shared" si="4"/>
        <v>0</v>
      </c>
      <c r="M102" s="92">
        <f t="shared" si="4"/>
        <v>100</v>
      </c>
      <c r="N102" s="125">
        <f t="shared" si="5"/>
        <v>100</v>
      </c>
      <c r="O102" s="91"/>
      <c r="P102" s="92"/>
      <c r="Q102" s="92">
        <v>42.1</v>
      </c>
      <c r="R102" s="93">
        <f t="shared" si="6"/>
        <v>42.1</v>
      </c>
      <c r="S102" s="208">
        <v>5</v>
      </c>
      <c r="T102" s="95">
        <v>38612</v>
      </c>
      <c r="U102" s="207">
        <v>38644</v>
      </c>
      <c r="V102" s="82" t="s">
        <v>461</v>
      </c>
      <c r="W102" s="208" t="s">
        <v>20</v>
      </c>
      <c r="X102" s="208" t="s">
        <v>12</v>
      </c>
      <c r="Y102" s="83">
        <v>41.3</v>
      </c>
      <c r="Z102" s="208" t="s">
        <v>101</v>
      </c>
      <c r="AA102" s="208" t="s">
        <v>337</v>
      </c>
      <c r="AB102" s="208" t="s">
        <v>12</v>
      </c>
      <c r="AC102" s="208">
        <v>0.8</v>
      </c>
      <c r="AD102" s="82"/>
      <c r="AG102" s="83"/>
      <c r="AL102" s="82"/>
      <c r="AO102" s="83"/>
      <c r="AP102" s="82"/>
      <c r="AS102" s="83"/>
      <c r="AW102" s="83"/>
      <c r="BA102" s="84"/>
    </row>
    <row r="103" spans="1:53" s="208" customFormat="1">
      <c r="A103" s="208">
        <v>2006</v>
      </c>
      <c r="C103" s="988" t="s">
        <v>658</v>
      </c>
      <c r="D103" s="988"/>
      <c r="E103" s="208">
        <v>0</v>
      </c>
      <c r="G103" s="123">
        <v>0</v>
      </c>
      <c r="H103" s="208">
        <v>0</v>
      </c>
      <c r="I103" s="208">
        <v>21</v>
      </c>
      <c r="J103" s="134">
        <v>21</v>
      </c>
      <c r="K103" s="92">
        <f t="shared" si="4"/>
        <v>0</v>
      </c>
      <c r="L103" s="92">
        <f t="shared" si="4"/>
        <v>0</v>
      </c>
      <c r="M103" s="92">
        <f t="shared" si="4"/>
        <v>100</v>
      </c>
      <c r="N103" s="125">
        <f t="shared" si="5"/>
        <v>100</v>
      </c>
      <c r="O103" s="91"/>
      <c r="P103" s="92"/>
      <c r="Q103" s="92">
        <v>42.1</v>
      </c>
      <c r="R103" s="93">
        <f t="shared" si="6"/>
        <v>42.1</v>
      </c>
      <c r="S103" s="208">
        <v>5</v>
      </c>
      <c r="T103" s="81"/>
      <c r="V103" s="82" t="s">
        <v>461</v>
      </c>
      <c r="W103" s="208" t="s">
        <v>20</v>
      </c>
      <c r="X103" s="208" t="s">
        <v>12</v>
      </c>
      <c r="Y103" s="83">
        <v>41.3</v>
      </c>
      <c r="Z103" s="208" t="s">
        <v>101</v>
      </c>
      <c r="AA103" s="208" t="s">
        <v>337</v>
      </c>
      <c r="AB103" s="208" t="s">
        <v>12</v>
      </c>
      <c r="AC103" s="208">
        <v>0.8</v>
      </c>
      <c r="AD103" s="82"/>
      <c r="AG103" s="83"/>
      <c r="AL103" s="82"/>
      <c r="AO103" s="83"/>
      <c r="AP103" s="82"/>
      <c r="AS103" s="83"/>
      <c r="AW103" s="83"/>
      <c r="BA103" s="84"/>
    </row>
    <row r="104" spans="1:53" s="208" customFormat="1">
      <c r="A104" s="208">
        <v>2006</v>
      </c>
      <c r="C104" s="988" t="s">
        <v>658</v>
      </c>
      <c r="D104" s="988"/>
      <c r="E104" s="208">
        <v>365</v>
      </c>
      <c r="G104" s="123">
        <v>0</v>
      </c>
      <c r="H104" s="208">
        <v>0</v>
      </c>
      <c r="I104" s="208">
        <v>21</v>
      </c>
      <c r="J104" s="134">
        <v>21</v>
      </c>
      <c r="K104" s="92">
        <f t="shared" si="4"/>
        <v>0</v>
      </c>
      <c r="L104" s="92">
        <f t="shared" si="4"/>
        <v>0</v>
      </c>
      <c r="M104" s="92">
        <f t="shared" si="4"/>
        <v>100</v>
      </c>
      <c r="N104" s="125">
        <f t="shared" si="5"/>
        <v>100</v>
      </c>
      <c r="O104" s="91"/>
      <c r="P104" s="92"/>
      <c r="Q104" s="92">
        <v>42.1</v>
      </c>
      <c r="R104" s="93">
        <f t="shared" si="6"/>
        <v>42.1</v>
      </c>
      <c r="S104" s="208">
        <v>5</v>
      </c>
      <c r="T104" s="81"/>
      <c r="V104" s="82" t="s">
        <v>461</v>
      </c>
      <c r="W104" s="208" t="s">
        <v>20</v>
      </c>
      <c r="X104" s="208" t="s">
        <v>12</v>
      </c>
      <c r="Y104" s="83">
        <v>41.3</v>
      </c>
      <c r="Z104" s="208" t="s">
        <v>101</v>
      </c>
      <c r="AA104" s="208" t="s">
        <v>337</v>
      </c>
      <c r="AB104" s="208" t="s">
        <v>12</v>
      </c>
      <c r="AC104" s="208">
        <v>0.8</v>
      </c>
      <c r="AD104" s="82"/>
      <c r="AG104" s="83"/>
      <c r="AL104" s="82"/>
      <c r="AO104" s="83"/>
      <c r="AP104" s="82"/>
      <c r="AS104" s="83"/>
      <c r="AW104" s="83"/>
      <c r="BA104" s="84"/>
    </row>
    <row r="105" spans="1:53" s="208" customFormat="1">
      <c r="A105" s="208">
        <v>2007</v>
      </c>
      <c r="C105" s="988" t="s">
        <v>658</v>
      </c>
      <c r="D105" s="988"/>
      <c r="E105" s="208">
        <v>0</v>
      </c>
      <c r="G105" s="123">
        <v>0</v>
      </c>
      <c r="H105" s="208">
        <v>0</v>
      </c>
      <c r="I105" s="208">
        <v>21</v>
      </c>
      <c r="J105" s="134">
        <v>21</v>
      </c>
      <c r="K105" s="92">
        <f t="shared" si="4"/>
        <v>0</v>
      </c>
      <c r="L105" s="92">
        <f t="shared" si="4"/>
        <v>0</v>
      </c>
      <c r="M105" s="92">
        <f t="shared" si="4"/>
        <v>100</v>
      </c>
      <c r="N105" s="125">
        <f t="shared" si="5"/>
        <v>100</v>
      </c>
      <c r="O105" s="91"/>
      <c r="P105" s="92"/>
      <c r="Q105" s="92">
        <v>42.1</v>
      </c>
      <c r="R105" s="93">
        <f t="shared" si="6"/>
        <v>42.1</v>
      </c>
      <c r="S105" s="208">
        <v>5</v>
      </c>
      <c r="T105" s="81"/>
      <c r="V105" s="82" t="s">
        <v>461</v>
      </c>
      <c r="W105" s="208" t="s">
        <v>20</v>
      </c>
      <c r="X105" s="208" t="s">
        <v>12</v>
      </c>
      <c r="Y105" s="83">
        <v>41.3</v>
      </c>
      <c r="Z105" s="208" t="s">
        <v>101</v>
      </c>
      <c r="AA105" s="208" t="s">
        <v>337</v>
      </c>
      <c r="AB105" s="208" t="s">
        <v>12</v>
      </c>
      <c r="AC105" s="208">
        <v>0.8</v>
      </c>
      <c r="AD105" s="82"/>
      <c r="AG105" s="83"/>
      <c r="AL105" s="82"/>
      <c r="AO105" s="83"/>
      <c r="AP105" s="82"/>
      <c r="AS105" s="83"/>
      <c r="AW105" s="83"/>
      <c r="BA105" s="84"/>
    </row>
    <row r="106" spans="1:53" s="208" customFormat="1">
      <c r="A106" s="208">
        <v>2007</v>
      </c>
      <c r="C106" s="988" t="s">
        <v>658</v>
      </c>
      <c r="D106" s="988"/>
      <c r="E106" s="208">
        <v>365</v>
      </c>
      <c r="G106" s="123">
        <v>0</v>
      </c>
      <c r="H106" s="208">
        <v>0</v>
      </c>
      <c r="I106" s="208">
        <v>21</v>
      </c>
      <c r="J106" s="134">
        <v>21</v>
      </c>
      <c r="K106" s="92">
        <f t="shared" si="4"/>
        <v>0</v>
      </c>
      <c r="L106" s="92">
        <f t="shared" si="4"/>
        <v>0</v>
      </c>
      <c r="M106" s="92">
        <f t="shared" si="4"/>
        <v>100</v>
      </c>
      <c r="N106" s="125">
        <f t="shared" si="5"/>
        <v>100</v>
      </c>
      <c r="O106" s="91"/>
      <c r="P106" s="92"/>
      <c r="Q106" s="92">
        <v>42.1</v>
      </c>
      <c r="R106" s="93">
        <f t="shared" si="6"/>
        <v>42.1</v>
      </c>
      <c r="S106" s="208">
        <v>5</v>
      </c>
      <c r="T106" s="81"/>
      <c r="V106" s="82" t="s">
        <v>461</v>
      </c>
      <c r="W106" s="208" t="s">
        <v>20</v>
      </c>
      <c r="X106" s="208" t="s">
        <v>12</v>
      </c>
      <c r="Y106" s="83">
        <v>41.3</v>
      </c>
      <c r="Z106" s="208" t="s">
        <v>101</v>
      </c>
      <c r="AA106" s="208" t="s">
        <v>337</v>
      </c>
      <c r="AB106" s="208" t="s">
        <v>12</v>
      </c>
      <c r="AC106" s="208">
        <v>0.8</v>
      </c>
      <c r="AD106" s="82"/>
      <c r="AG106" s="83"/>
      <c r="AL106" s="82"/>
      <c r="AO106" s="83"/>
      <c r="AP106" s="82"/>
      <c r="AS106" s="83"/>
      <c r="AW106" s="83"/>
      <c r="BA106" s="84"/>
    </row>
    <row r="107" spans="1:53" s="208" customFormat="1">
      <c r="A107" s="208">
        <v>2008</v>
      </c>
      <c r="C107" s="988" t="s">
        <v>658</v>
      </c>
      <c r="D107" s="988"/>
      <c r="E107" s="208">
        <v>323</v>
      </c>
      <c r="G107" s="123">
        <v>0</v>
      </c>
      <c r="H107" s="208">
        <v>0</v>
      </c>
      <c r="I107" s="208">
        <v>21</v>
      </c>
      <c r="J107" s="134">
        <v>21</v>
      </c>
      <c r="K107" s="92">
        <f t="shared" si="4"/>
        <v>0</v>
      </c>
      <c r="L107" s="92">
        <f t="shared" si="4"/>
        <v>0</v>
      </c>
      <c r="M107" s="92">
        <f t="shared" si="4"/>
        <v>100</v>
      </c>
      <c r="N107" s="125">
        <f t="shared" si="5"/>
        <v>100</v>
      </c>
      <c r="O107" s="91"/>
      <c r="P107" s="92"/>
      <c r="Q107" s="92">
        <v>42.1</v>
      </c>
      <c r="R107" s="93">
        <f t="shared" si="6"/>
        <v>42.1</v>
      </c>
      <c r="S107" s="208">
        <v>5</v>
      </c>
      <c r="T107" s="81"/>
      <c r="V107" s="82" t="s">
        <v>461</v>
      </c>
      <c r="W107" s="208" t="s">
        <v>20</v>
      </c>
      <c r="X107" s="208" t="s">
        <v>12</v>
      </c>
      <c r="Y107" s="83">
        <v>41.3</v>
      </c>
      <c r="Z107" s="208" t="s">
        <v>101</v>
      </c>
      <c r="AA107" s="208" t="s">
        <v>337</v>
      </c>
      <c r="AB107" s="208" t="s">
        <v>12</v>
      </c>
      <c r="AC107" s="208">
        <v>0.8</v>
      </c>
      <c r="AD107" s="82"/>
      <c r="AG107" s="83"/>
      <c r="AL107" s="82"/>
      <c r="AO107" s="83"/>
      <c r="AP107" s="82"/>
      <c r="AS107" s="83"/>
      <c r="AW107" s="83"/>
      <c r="BA107" s="84"/>
    </row>
    <row r="108" spans="1:53" s="334" customFormat="1">
      <c r="A108" s="334">
        <v>2008</v>
      </c>
      <c r="B108" s="355">
        <v>39771</v>
      </c>
      <c r="C108" s="992" t="s">
        <v>659</v>
      </c>
      <c r="D108" s="992"/>
      <c r="E108" s="334">
        <f>366-E107</f>
        <v>43</v>
      </c>
      <c r="F108" s="334">
        <v>1</v>
      </c>
      <c r="G108" s="419">
        <v>20</v>
      </c>
      <c r="H108" s="334">
        <v>0</v>
      </c>
      <c r="I108" s="334">
        <v>0</v>
      </c>
      <c r="J108" s="435">
        <v>20</v>
      </c>
      <c r="K108" s="384">
        <f t="shared" si="4"/>
        <v>100</v>
      </c>
      <c r="L108" s="384">
        <f t="shared" si="4"/>
        <v>0</v>
      </c>
      <c r="M108" s="384">
        <f t="shared" si="4"/>
        <v>0</v>
      </c>
      <c r="N108" s="421">
        <f t="shared" si="5"/>
        <v>100</v>
      </c>
      <c r="O108" s="383">
        <v>47.5</v>
      </c>
      <c r="P108" s="384"/>
      <c r="Q108" s="384"/>
      <c r="R108" s="385">
        <f t="shared" si="6"/>
        <v>47.5</v>
      </c>
      <c r="S108" s="334">
        <v>4</v>
      </c>
      <c r="T108" s="342">
        <v>39760</v>
      </c>
      <c r="U108" s="355">
        <v>39771</v>
      </c>
      <c r="V108" s="343" t="s">
        <v>462</v>
      </c>
      <c r="W108" s="334" t="s">
        <v>74</v>
      </c>
      <c r="X108" s="334" t="s">
        <v>11</v>
      </c>
      <c r="Y108" s="344">
        <v>47.5</v>
      </c>
      <c r="AD108" s="343"/>
      <c r="AG108" s="344"/>
      <c r="AL108" s="343"/>
      <c r="AO108" s="344"/>
      <c r="AP108" s="343"/>
      <c r="AS108" s="344"/>
      <c r="AW108" s="344"/>
      <c r="BA108" s="345"/>
    </row>
    <row r="109" spans="1:53" s="334" customFormat="1">
      <c r="A109" s="334">
        <v>2009</v>
      </c>
      <c r="C109" s="992" t="s">
        <v>659</v>
      </c>
      <c r="D109" s="992"/>
      <c r="E109" s="334">
        <v>0</v>
      </c>
      <c r="G109" s="419">
        <v>20</v>
      </c>
      <c r="H109" s="334">
        <v>0</v>
      </c>
      <c r="I109" s="334">
        <v>0</v>
      </c>
      <c r="J109" s="435">
        <v>20</v>
      </c>
      <c r="K109" s="384">
        <f t="shared" si="4"/>
        <v>100</v>
      </c>
      <c r="L109" s="384">
        <f t="shared" si="4"/>
        <v>0</v>
      </c>
      <c r="M109" s="384">
        <f t="shared" si="4"/>
        <v>0</v>
      </c>
      <c r="N109" s="421">
        <f t="shared" si="5"/>
        <v>100</v>
      </c>
      <c r="O109" s="383">
        <v>47.5</v>
      </c>
      <c r="P109" s="384"/>
      <c r="Q109" s="384"/>
      <c r="R109" s="385">
        <f t="shared" si="6"/>
        <v>47.5</v>
      </c>
      <c r="S109" s="334">
        <v>4</v>
      </c>
      <c r="T109" s="357"/>
      <c r="V109" s="343" t="s">
        <v>462</v>
      </c>
      <c r="W109" s="334" t="s">
        <v>74</v>
      </c>
      <c r="X109" s="334" t="s">
        <v>11</v>
      </c>
      <c r="Y109" s="344">
        <v>47.5</v>
      </c>
      <c r="AD109" s="343"/>
      <c r="AG109" s="344"/>
      <c r="AL109" s="343"/>
      <c r="AO109" s="344"/>
      <c r="AP109" s="343"/>
      <c r="AS109" s="344"/>
      <c r="AW109" s="344"/>
      <c r="BA109" s="345"/>
    </row>
    <row r="110" spans="1:53" s="334" customFormat="1">
      <c r="A110" s="334">
        <v>2009</v>
      </c>
      <c r="C110" s="992" t="s">
        <v>659</v>
      </c>
      <c r="D110" s="992"/>
      <c r="E110" s="334">
        <v>365</v>
      </c>
      <c r="G110" s="419">
        <v>20</v>
      </c>
      <c r="H110" s="334">
        <v>0</v>
      </c>
      <c r="I110" s="334">
        <v>0</v>
      </c>
      <c r="J110" s="435">
        <v>20</v>
      </c>
      <c r="K110" s="384">
        <f t="shared" si="4"/>
        <v>100</v>
      </c>
      <c r="L110" s="384">
        <f t="shared" si="4"/>
        <v>0</v>
      </c>
      <c r="M110" s="384">
        <f t="shared" si="4"/>
        <v>0</v>
      </c>
      <c r="N110" s="421">
        <f t="shared" si="5"/>
        <v>100</v>
      </c>
      <c r="O110" s="383">
        <v>47.5</v>
      </c>
      <c r="P110" s="384"/>
      <c r="Q110" s="384"/>
      <c r="R110" s="385">
        <f t="shared" si="6"/>
        <v>47.5</v>
      </c>
      <c r="S110" s="334">
        <v>4</v>
      </c>
      <c r="T110" s="357"/>
      <c r="V110" s="343" t="s">
        <v>462</v>
      </c>
      <c r="W110" s="334" t="s">
        <v>74</v>
      </c>
      <c r="X110" s="334" t="s">
        <v>11</v>
      </c>
      <c r="Y110" s="344">
        <v>47.5</v>
      </c>
      <c r="AD110" s="343"/>
      <c r="AG110" s="344"/>
      <c r="AL110" s="343"/>
      <c r="AO110" s="344"/>
      <c r="AP110" s="343"/>
      <c r="AS110" s="344"/>
      <c r="AW110" s="344"/>
      <c r="BA110" s="345"/>
    </row>
    <row r="111" spans="1:53" s="334" customFormat="1">
      <c r="A111" s="334">
        <v>2010</v>
      </c>
      <c r="C111" s="992" t="s">
        <v>659</v>
      </c>
      <c r="D111" s="992"/>
      <c r="E111" s="334">
        <v>0</v>
      </c>
      <c r="G111" s="419">
        <v>20</v>
      </c>
      <c r="H111" s="334">
        <v>0</v>
      </c>
      <c r="I111" s="334">
        <v>0</v>
      </c>
      <c r="J111" s="435">
        <v>20</v>
      </c>
      <c r="K111" s="384">
        <f t="shared" si="4"/>
        <v>100</v>
      </c>
      <c r="L111" s="384">
        <f t="shared" si="4"/>
        <v>0</v>
      </c>
      <c r="M111" s="384">
        <f t="shared" si="4"/>
        <v>0</v>
      </c>
      <c r="N111" s="421">
        <f t="shared" si="5"/>
        <v>100</v>
      </c>
      <c r="O111" s="383">
        <v>47.5</v>
      </c>
      <c r="P111" s="384"/>
      <c r="Q111" s="384"/>
      <c r="R111" s="385">
        <f t="shared" si="6"/>
        <v>47.5</v>
      </c>
      <c r="S111" s="334">
        <v>4</v>
      </c>
      <c r="T111" s="357"/>
      <c r="V111" s="343" t="s">
        <v>462</v>
      </c>
      <c r="W111" s="334" t="s">
        <v>74</v>
      </c>
      <c r="X111" s="334" t="s">
        <v>11</v>
      </c>
      <c r="Y111" s="344">
        <v>47.5</v>
      </c>
      <c r="AD111" s="343"/>
      <c r="AG111" s="344"/>
      <c r="AL111" s="343"/>
      <c r="AO111" s="344"/>
      <c r="AP111" s="343"/>
      <c r="AS111" s="344"/>
      <c r="AW111" s="344"/>
      <c r="BA111" s="345"/>
    </row>
    <row r="112" spans="1:53" s="334" customFormat="1">
      <c r="A112" s="334">
        <v>2010</v>
      </c>
      <c r="C112" s="992" t="s">
        <v>659</v>
      </c>
      <c r="D112" s="992"/>
      <c r="E112" s="334">
        <v>365</v>
      </c>
      <c r="G112" s="419">
        <v>20</v>
      </c>
      <c r="H112" s="334">
        <v>0</v>
      </c>
      <c r="I112" s="334">
        <v>0</v>
      </c>
      <c r="J112" s="435">
        <v>20</v>
      </c>
      <c r="K112" s="384">
        <f t="shared" si="4"/>
        <v>100</v>
      </c>
      <c r="L112" s="384">
        <f t="shared" si="4"/>
        <v>0</v>
      </c>
      <c r="M112" s="384">
        <f t="shared" si="4"/>
        <v>0</v>
      </c>
      <c r="N112" s="421">
        <f t="shared" si="5"/>
        <v>100</v>
      </c>
      <c r="O112" s="383">
        <v>47.5</v>
      </c>
      <c r="P112" s="384"/>
      <c r="Q112" s="384"/>
      <c r="R112" s="385">
        <f t="shared" si="6"/>
        <v>47.5</v>
      </c>
      <c r="S112" s="334">
        <v>4</v>
      </c>
      <c r="T112" s="357"/>
      <c r="V112" s="343" t="s">
        <v>462</v>
      </c>
      <c r="W112" s="334" t="s">
        <v>74</v>
      </c>
      <c r="X112" s="334" t="s">
        <v>11</v>
      </c>
      <c r="Y112" s="344">
        <v>47.5</v>
      </c>
      <c r="AD112" s="343"/>
      <c r="AG112" s="344"/>
      <c r="AL112" s="343"/>
      <c r="AO112" s="344"/>
      <c r="AP112" s="343"/>
      <c r="AS112" s="344"/>
      <c r="AW112" s="344"/>
      <c r="BA112" s="345"/>
    </row>
    <row r="113" spans="1:53" s="334" customFormat="1">
      <c r="A113" s="334">
        <v>2011</v>
      </c>
      <c r="C113" s="992" t="s">
        <v>659</v>
      </c>
      <c r="D113" s="992"/>
      <c r="E113" s="334">
        <v>347</v>
      </c>
      <c r="G113" s="419">
        <v>20</v>
      </c>
      <c r="H113" s="334">
        <v>0</v>
      </c>
      <c r="I113" s="334">
        <v>0</v>
      </c>
      <c r="J113" s="435">
        <v>20</v>
      </c>
      <c r="K113" s="384">
        <f t="shared" si="4"/>
        <v>100</v>
      </c>
      <c r="L113" s="384">
        <f t="shared" si="4"/>
        <v>0</v>
      </c>
      <c r="M113" s="384">
        <f t="shared" si="4"/>
        <v>0</v>
      </c>
      <c r="N113" s="421">
        <f t="shared" si="5"/>
        <v>100</v>
      </c>
      <c r="O113" s="383">
        <v>47.5</v>
      </c>
      <c r="P113" s="384"/>
      <c r="Q113" s="384"/>
      <c r="R113" s="385">
        <f t="shared" si="6"/>
        <v>47.5</v>
      </c>
      <c r="S113" s="334">
        <v>4</v>
      </c>
      <c r="T113" s="357"/>
      <c r="V113" s="343" t="s">
        <v>462</v>
      </c>
      <c r="W113" s="334" t="s">
        <v>74</v>
      </c>
      <c r="X113" s="334" t="s">
        <v>11</v>
      </c>
      <c r="Y113" s="344">
        <v>47.5</v>
      </c>
      <c r="AD113" s="343"/>
      <c r="AG113" s="344"/>
      <c r="AL113" s="343"/>
      <c r="AO113" s="344"/>
      <c r="AP113" s="343"/>
      <c r="AS113" s="344"/>
      <c r="AW113" s="344"/>
      <c r="BA113" s="345"/>
    </row>
    <row r="114" spans="1:53" s="208" customFormat="1">
      <c r="A114" s="208">
        <v>2011</v>
      </c>
      <c r="B114" s="207">
        <v>40891</v>
      </c>
      <c r="C114" s="988" t="s">
        <v>660</v>
      </c>
      <c r="D114" s="988"/>
      <c r="E114" s="208">
        <v>18</v>
      </c>
      <c r="F114" s="208">
        <v>1</v>
      </c>
      <c r="G114" s="123">
        <v>20</v>
      </c>
      <c r="H114" s="208">
        <v>0</v>
      </c>
      <c r="I114" s="208">
        <v>0</v>
      </c>
      <c r="J114" s="134">
        <v>20</v>
      </c>
      <c r="K114" s="92">
        <f t="shared" si="4"/>
        <v>100</v>
      </c>
      <c r="L114" s="92">
        <f t="shared" si="4"/>
        <v>0</v>
      </c>
      <c r="M114" s="92">
        <f t="shared" si="4"/>
        <v>0</v>
      </c>
      <c r="N114" s="125">
        <f t="shared" si="5"/>
        <v>100</v>
      </c>
      <c r="O114" s="91">
        <v>48.76</v>
      </c>
      <c r="P114" s="92"/>
      <c r="Q114" s="92"/>
      <c r="R114" s="93">
        <f t="shared" si="6"/>
        <v>48.76</v>
      </c>
      <c r="S114" s="208">
        <v>4</v>
      </c>
      <c r="T114" s="95">
        <v>40873</v>
      </c>
      <c r="U114" s="207">
        <v>40891</v>
      </c>
      <c r="V114" s="82" t="s">
        <v>462</v>
      </c>
      <c r="W114" s="208" t="s">
        <v>74</v>
      </c>
      <c r="X114" s="208" t="s">
        <v>11</v>
      </c>
      <c r="Y114" s="83">
        <v>48.8</v>
      </c>
      <c r="AD114" s="82"/>
      <c r="AG114" s="83"/>
      <c r="AL114" s="82"/>
      <c r="AO114" s="83"/>
      <c r="AP114" s="82"/>
      <c r="AS114" s="83"/>
      <c r="AW114" s="83"/>
      <c r="BA114" s="84"/>
    </row>
    <row r="115" spans="1:53" s="208" customFormat="1">
      <c r="A115" s="208">
        <v>2012</v>
      </c>
      <c r="B115" s="213"/>
      <c r="C115" s="988" t="s">
        <v>660</v>
      </c>
      <c r="D115" s="988"/>
      <c r="E115" s="208">
        <v>0</v>
      </c>
      <c r="G115" s="123">
        <v>20</v>
      </c>
      <c r="H115" s="208">
        <v>0</v>
      </c>
      <c r="I115" s="208">
        <v>0</v>
      </c>
      <c r="J115" s="134">
        <v>20</v>
      </c>
      <c r="K115" s="92">
        <f t="shared" si="4"/>
        <v>100</v>
      </c>
      <c r="L115" s="92">
        <f t="shared" si="4"/>
        <v>0</v>
      </c>
      <c r="M115" s="92">
        <f t="shared" si="4"/>
        <v>0</v>
      </c>
      <c r="N115" s="125">
        <f t="shared" si="5"/>
        <v>100</v>
      </c>
      <c r="O115" s="91">
        <v>48.76</v>
      </c>
      <c r="P115" s="92"/>
      <c r="Q115" s="92"/>
      <c r="R115" s="93">
        <f t="shared" si="6"/>
        <v>48.76</v>
      </c>
      <c r="S115" s="208">
        <v>4</v>
      </c>
      <c r="T115" s="81"/>
      <c r="V115" s="82" t="s">
        <v>462</v>
      </c>
      <c r="W115" s="208" t="s">
        <v>74</v>
      </c>
      <c r="X115" s="208" t="s">
        <v>11</v>
      </c>
      <c r="Y115" s="83">
        <v>48.8</v>
      </c>
      <c r="AD115" s="82"/>
      <c r="AG115" s="83"/>
      <c r="AL115" s="82"/>
      <c r="AO115" s="83"/>
      <c r="AP115" s="82"/>
      <c r="AS115" s="83"/>
      <c r="AW115" s="83"/>
      <c r="BA115" s="84"/>
    </row>
    <row r="116" spans="1:53" s="208" customFormat="1">
      <c r="A116" s="208">
        <v>2012</v>
      </c>
      <c r="B116" s="213"/>
      <c r="C116" s="988" t="s">
        <v>660</v>
      </c>
      <c r="D116" s="988"/>
      <c r="E116" s="208">
        <v>366</v>
      </c>
      <c r="G116" s="123">
        <v>20</v>
      </c>
      <c r="H116" s="208">
        <v>0</v>
      </c>
      <c r="I116" s="208">
        <v>0</v>
      </c>
      <c r="J116" s="134">
        <v>20</v>
      </c>
      <c r="K116" s="92">
        <f t="shared" si="4"/>
        <v>100</v>
      </c>
      <c r="L116" s="92">
        <f t="shared" si="4"/>
        <v>0</v>
      </c>
      <c r="M116" s="92">
        <f t="shared" si="4"/>
        <v>0</v>
      </c>
      <c r="N116" s="125">
        <f t="shared" si="5"/>
        <v>100</v>
      </c>
      <c r="O116" s="91">
        <v>48.76</v>
      </c>
      <c r="P116" s="92"/>
      <c r="Q116" s="92"/>
      <c r="R116" s="93">
        <f t="shared" si="6"/>
        <v>48.76</v>
      </c>
      <c r="S116" s="208">
        <v>4</v>
      </c>
      <c r="T116" s="81"/>
      <c r="V116" s="82" t="s">
        <v>462</v>
      </c>
      <c r="W116" s="208" t="s">
        <v>74</v>
      </c>
      <c r="X116" s="208" t="s">
        <v>11</v>
      </c>
      <c r="Y116" s="83">
        <v>48.8</v>
      </c>
      <c r="AD116" s="82"/>
      <c r="AG116" s="83"/>
      <c r="AL116" s="82"/>
      <c r="AO116" s="83"/>
      <c r="AP116" s="82"/>
      <c r="AS116" s="83"/>
      <c r="AW116" s="83"/>
      <c r="BA116" s="84"/>
    </row>
    <row r="117" spans="1:53" s="305" customFormat="1">
      <c r="A117" s="305">
        <v>2013</v>
      </c>
      <c r="B117" s="306"/>
      <c r="C117" s="988" t="s">
        <v>660</v>
      </c>
      <c r="D117" s="988"/>
      <c r="E117" s="305">
        <v>0</v>
      </c>
      <c r="G117" s="123">
        <v>20</v>
      </c>
      <c r="H117" s="305">
        <v>0</v>
      </c>
      <c r="I117" s="305">
        <v>0</v>
      </c>
      <c r="J117" s="134">
        <v>20</v>
      </c>
      <c r="K117" s="92">
        <f t="shared" si="4"/>
        <v>100</v>
      </c>
      <c r="L117" s="92">
        <f t="shared" si="4"/>
        <v>0</v>
      </c>
      <c r="M117" s="92">
        <f t="shared" si="4"/>
        <v>0</v>
      </c>
      <c r="N117" s="125">
        <f t="shared" si="5"/>
        <v>100</v>
      </c>
      <c r="O117" s="91">
        <v>48.76</v>
      </c>
      <c r="P117" s="92"/>
      <c r="Q117" s="92"/>
      <c r="R117" s="93">
        <f>O117+P117+Q117</f>
        <v>48.76</v>
      </c>
      <c r="S117" s="305">
        <v>4</v>
      </c>
      <c r="T117" s="81"/>
      <c r="V117" s="82" t="s">
        <v>462</v>
      </c>
      <c r="W117" s="305" t="s">
        <v>74</v>
      </c>
      <c r="X117" s="305" t="s">
        <v>11</v>
      </c>
      <c r="Y117" s="83">
        <v>48.8</v>
      </c>
      <c r="AD117" s="82"/>
      <c r="AG117" s="83"/>
      <c r="AL117" s="82"/>
      <c r="AO117" s="83"/>
      <c r="AP117" s="82"/>
      <c r="AS117" s="83"/>
      <c r="AW117" s="83"/>
      <c r="BA117" s="84"/>
    </row>
    <row r="118" spans="1:53" s="305" customFormat="1">
      <c r="A118" s="305">
        <v>2013</v>
      </c>
      <c r="B118" s="306"/>
      <c r="C118" s="988" t="s">
        <v>660</v>
      </c>
      <c r="D118" s="988"/>
      <c r="E118" s="305">
        <v>365</v>
      </c>
      <c r="G118" s="123">
        <v>20</v>
      </c>
      <c r="H118" s="305">
        <v>0</v>
      </c>
      <c r="I118" s="305">
        <v>0</v>
      </c>
      <c r="J118" s="134">
        <v>20</v>
      </c>
      <c r="K118" s="92">
        <f t="shared" si="4"/>
        <v>100</v>
      </c>
      <c r="L118" s="92">
        <f t="shared" si="4"/>
        <v>0</v>
      </c>
      <c r="M118" s="92">
        <f t="shared" si="4"/>
        <v>0</v>
      </c>
      <c r="N118" s="125">
        <f t="shared" si="5"/>
        <v>100</v>
      </c>
      <c r="O118" s="91">
        <v>48.76</v>
      </c>
      <c r="P118" s="92"/>
      <c r="Q118" s="92"/>
      <c r="R118" s="93">
        <f>O118+P118+Q118</f>
        <v>48.76</v>
      </c>
      <c r="S118" s="305">
        <v>4</v>
      </c>
      <c r="T118" s="81"/>
      <c r="V118" s="82" t="s">
        <v>462</v>
      </c>
      <c r="W118" s="305" t="s">
        <v>74</v>
      </c>
      <c r="X118" s="305" t="s">
        <v>11</v>
      </c>
      <c r="Y118" s="83">
        <v>48.8</v>
      </c>
      <c r="AD118" s="82"/>
      <c r="AG118" s="83"/>
      <c r="AL118" s="82"/>
      <c r="AO118" s="83"/>
      <c r="AP118" s="82"/>
      <c r="AS118" s="83"/>
      <c r="AW118" s="83"/>
      <c r="BA118" s="84"/>
    </row>
    <row r="119" spans="1:53" s="650" customFormat="1">
      <c r="A119" s="650">
        <v>2014</v>
      </c>
      <c r="B119" s="652"/>
      <c r="C119" s="988" t="s">
        <v>660</v>
      </c>
      <c r="D119" s="988"/>
      <c r="E119" s="650">
        <v>241</v>
      </c>
      <c r="G119" s="596">
        <v>20</v>
      </c>
      <c r="H119" s="650">
        <v>0</v>
      </c>
      <c r="I119" s="650">
        <v>0</v>
      </c>
      <c r="J119" s="598">
        <v>20</v>
      </c>
      <c r="K119" s="593">
        <f t="shared" ref="K119:M121" si="7">G119/$J119*100</f>
        <v>100</v>
      </c>
      <c r="L119" s="593">
        <f t="shared" si="7"/>
        <v>0</v>
      </c>
      <c r="M119" s="593">
        <f t="shared" si="7"/>
        <v>0</v>
      </c>
      <c r="N119" s="597">
        <f>K119+L119+M119</f>
        <v>100</v>
      </c>
      <c r="O119" s="592">
        <v>48.76</v>
      </c>
      <c r="P119" s="593"/>
      <c r="Q119" s="593"/>
      <c r="R119" s="594">
        <f>O119+P119+Q119</f>
        <v>48.76</v>
      </c>
      <c r="S119" s="650">
        <v>4</v>
      </c>
      <c r="T119" s="575"/>
      <c r="V119" s="588" t="s">
        <v>462</v>
      </c>
      <c r="W119" s="650" t="s">
        <v>74</v>
      </c>
      <c r="X119" s="650" t="s">
        <v>11</v>
      </c>
      <c r="Y119" s="589">
        <v>48.8</v>
      </c>
      <c r="AD119" s="588"/>
      <c r="AG119" s="589"/>
      <c r="AL119" s="588"/>
      <c r="AO119" s="589"/>
      <c r="AP119" s="588"/>
      <c r="AS119" s="589"/>
      <c r="AW119" s="589"/>
      <c r="BA119" s="590"/>
    </row>
    <row r="120" spans="1:53" s="650" customFormat="1">
      <c r="A120" s="650">
        <v>2014</v>
      </c>
      <c r="B120" s="599">
        <v>41881</v>
      </c>
      <c r="C120" s="988" t="s">
        <v>660</v>
      </c>
      <c r="D120" s="988"/>
      <c r="E120" s="650">
        <v>39</v>
      </c>
      <c r="F120" s="600">
        <v>0</v>
      </c>
      <c r="G120" s="596">
        <v>19</v>
      </c>
      <c r="H120" s="650">
        <v>0</v>
      </c>
      <c r="I120" s="650">
        <v>0</v>
      </c>
      <c r="J120" s="598">
        <v>19</v>
      </c>
      <c r="K120" s="593">
        <f t="shared" si="7"/>
        <v>100</v>
      </c>
      <c r="L120" s="593">
        <f t="shared" si="7"/>
        <v>0</v>
      </c>
      <c r="M120" s="593">
        <f t="shared" si="7"/>
        <v>0</v>
      </c>
      <c r="N120" s="597">
        <f>K120+L120+M120</f>
        <v>100</v>
      </c>
      <c r="O120" s="592">
        <v>48.76</v>
      </c>
      <c r="P120" s="593"/>
      <c r="Q120" s="593"/>
      <c r="R120" s="594">
        <f>O120+P120+Q120</f>
        <v>48.76</v>
      </c>
      <c r="S120" s="650">
        <v>4</v>
      </c>
      <c r="T120" s="575"/>
      <c r="V120" s="588" t="s">
        <v>462</v>
      </c>
      <c r="W120" s="650" t="s">
        <v>74</v>
      </c>
      <c r="X120" s="650" t="s">
        <v>11</v>
      </c>
      <c r="Y120" s="589">
        <v>48.8</v>
      </c>
      <c r="AD120" s="588"/>
      <c r="AG120" s="589"/>
      <c r="AL120" s="588"/>
      <c r="AO120" s="589"/>
      <c r="AP120" s="588"/>
      <c r="AS120" s="589"/>
      <c r="AW120" s="589"/>
      <c r="BA120" s="590"/>
    </row>
    <row r="121" spans="1:53" s="651" customFormat="1">
      <c r="A121" s="651">
        <v>2014</v>
      </c>
      <c r="B121" s="648">
        <v>41920</v>
      </c>
      <c r="C121" s="992" t="s">
        <v>1313</v>
      </c>
      <c r="D121" s="992"/>
      <c r="E121" s="651">
        <v>85</v>
      </c>
      <c r="F121" s="651">
        <v>1</v>
      </c>
      <c r="G121" s="642">
        <v>20</v>
      </c>
      <c r="H121" s="651">
        <v>0</v>
      </c>
      <c r="I121" s="651">
        <v>0</v>
      </c>
      <c r="J121" s="644">
        <v>20</v>
      </c>
      <c r="K121" s="640">
        <f t="shared" si="7"/>
        <v>100</v>
      </c>
      <c r="L121" s="640">
        <f t="shared" si="7"/>
        <v>0</v>
      </c>
      <c r="M121" s="640">
        <f t="shared" si="7"/>
        <v>0</v>
      </c>
      <c r="N121" s="643">
        <f>K121+L121+M121</f>
        <v>100</v>
      </c>
      <c r="O121" s="639">
        <v>49.6</v>
      </c>
      <c r="P121" s="640"/>
      <c r="Q121" s="640"/>
      <c r="R121" s="641">
        <f>O121+P121+Q121</f>
        <v>49.6</v>
      </c>
      <c r="S121" s="651">
        <v>4</v>
      </c>
      <c r="T121" s="487">
        <v>41902</v>
      </c>
      <c r="U121" s="648">
        <v>41920</v>
      </c>
      <c r="V121" s="634" t="s">
        <v>462</v>
      </c>
      <c r="W121" s="651" t="s">
        <v>74</v>
      </c>
      <c r="X121" s="651" t="s">
        <v>11</v>
      </c>
      <c r="Y121" s="635">
        <v>49.6</v>
      </c>
      <c r="AD121" s="634"/>
      <c r="AG121" s="635"/>
      <c r="AL121" s="634"/>
      <c r="AO121" s="635"/>
      <c r="AP121" s="634"/>
      <c r="AS121" s="635"/>
      <c r="AW121" s="635"/>
      <c r="BA121" s="636"/>
    </row>
    <row r="122" spans="1:53" s="745" customFormat="1">
      <c r="A122" s="745">
        <v>2015</v>
      </c>
      <c r="B122" s="741"/>
      <c r="C122" s="992" t="s">
        <v>1313</v>
      </c>
      <c r="D122" s="992"/>
      <c r="E122" s="745">
        <v>0</v>
      </c>
      <c r="G122" s="642">
        <v>20</v>
      </c>
      <c r="H122" s="745">
        <v>0</v>
      </c>
      <c r="I122" s="745">
        <v>0</v>
      </c>
      <c r="J122" s="644">
        <v>20</v>
      </c>
      <c r="K122" s="640">
        <f t="shared" ref="K122:K123" si="8">G122/$J122*100</f>
        <v>100</v>
      </c>
      <c r="L122" s="640">
        <f t="shared" ref="L122:L123" si="9">H122/$J122*100</f>
        <v>0</v>
      </c>
      <c r="M122" s="640">
        <f t="shared" ref="M122:M123" si="10">I122/$J122*100</f>
        <v>0</v>
      </c>
      <c r="N122" s="643">
        <f t="shared" ref="N122:N123" si="11">K122+L122+M122</f>
        <v>100</v>
      </c>
      <c r="O122" s="639">
        <v>49.6</v>
      </c>
      <c r="P122" s="640"/>
      <c r="Q122" s="640"/>
      <c r="R122" s="641">
        <f t="shared" ref="R122:R123" si="12">O122+P122+Q122</f>
        <v>49.6</v>
      </c>
      <c r="S122" s="745">
        <v>4</v>
      </c>
      <c r="T122" s="487"/>
      <c r="U122" s="741"/>
      <c r="V122" s="634" t="s">
        <v>462</v>
      </c>
      <c r="W122" s="745" t="s">
        <v>74</v>
      </c>
      <c r="X122" s="745" t="s">
        <v>11</v>
      </c>
      <c r="Y122" s="635">
        <v>49.6</v>
      </c>
      <c r="AD122" s="634"/>
      <c r="AG122" s="635"/>
      <c r="AL122" s="634"/>
      <c r="AO122" s="635"/>
      <c r="AP122" s="634"/>
      <c r="AS122" s="635"/>
      <c r="AW122" s="635"/>
      <c r="BA122" s="636"/>
    </row>
    <row r="123" spans="1:53" s="745" customFormat="1">
      <c r="A123" s="745">
        <v>2015</v>
      </c>
      <c r="B123" s="741"/>
      <c r="C123" s="992" t="s">
        <v>1313</v>
      </c>
      <c r="D123" s="992"/>
      <c r="E123" s="745">
        <v>365</v>
      </c>
      <c r="G123" s="642">
        <v>20</v>
      </c>
      <c r="H123" s="745">
        <v>0</v>
      </c>
      <c r="I123" s="745">
        <v>0</v>
      </c>
      <c r="J123" s="644">
        <v>20</v>
      </c>
      <c r="K123" s="640">
        <f t="shared" si="8"/>
        <v>100</v>
      </c>
      <c r="L123" s="640">
        <f t="shared" si="9"/>
        <v>0</v>
      </c>
      <c r="M123" s="640">
        <f t="shared" si="10"/>
        <v>0</v>
      </c>
      <c r="N123" s="643">
        <f t="shared" si="11"/>
        <v>100</v>
      </c>
      <c r="O123" s="639">
        <v>49.6</v>
      </c>
      <c r="P123" s="640"/>
      <c r="Q123" s="640"/>
      <c r="R123" s="641">
        <f t="shared" si="12"/>
        <v>49.6</v>
      </c>
      <c r="S123" s="745">
        <v>4</v>
      </c>
      <c r="T123" s="487"/>
      <c r="U123" s="741"/>
      <c r="V123" s="634" t="s">
        <v>462</v>
      </c>
      <c r="W123" s="745" t="s">
        <v>74</v>
      </c>
      <c r="X123" s="745" t="s">
        <v>11</v>
      </c>
      <c r="Y123" s="635">
        <v>49.6</v>
      </c>
      <c r="AD123" s="634"/>
      <c r="AG123" s="635"/>
      <c r="AL123" s="634"/>
      <c r="AO123" s="635"/>
      <c r="AP123" s="634"/>
      <c r="AS123" s="635"/>
      <c r="AW123" s="635"/>
      <c r="BA123" s="636"/>
    </row>
    <row r="124" spans="1:53" s="841" customFormat="1">
      <c r="A124" s="841">
        <v>2016</v>
      </c>
      <c r="B124" s="836"/>
      <c r="C124" s="992" t="s">
        <v>1313</v>
      </c>
      <c r="D124" s="992"/>
      <c r="E124" s="841">
        <v>352</v>
      </c>
      <c r="G124" s="642">
        <v>20</v>
      </c>
      <c r="H124" s="841">
        <v>0</v>
      </c>
      <c r="I124" s="841">
        <v>0</v>
      </c>
      <c r="J124" s="644">
        <v>20</v>
      </c>
      <c r="K124" s="640">
        <f t="shared" ref="K124:K125" si="13">G124/$J124*100</f>
        <v>100</v>
      </c>
      <c r="L124" s="640">
        <f t="shared" ref="L124:L125" si="14">H124/$J124*100</f>
        <v>0</v>
      </c>
      <c r="M124" s="640">
        <f t="shared" ref="M124:M125" si="15">I124/$J124*100</f>
        <v>0</v>
      </c>
      <c r="N124" s="643">
        <f t="shared" ref="N124:N125" si="16">K124+L124+M124</f>
        <v>100</v>
      </c>
      <c r="O124" s="639">
        <v>49.6</v>
      </c>
      <c r="P124" s="640"/>
      <c r="Q124" s="640"/>
      <c r="R124" s="641">
        <f t="shared" ref="R124:R125" si="17">O124+P124+Q124</f>
        <v>49.6</v>
      </c>
      <c r="S124" s="841">
        <v>4</v>
      </c>
      <c r="T124" s="487"/>
      <c r="U124" s="836"/>
      <c r="V124" s="634" t="s">
        <v>462</v>
      </c>
      <c r="W124" s="841" t="s">
        <v>74</v>
      </c>
      <c r="X124" s="841" t="s">
        <v>11</v>
      </c>
      <c r="Y124" s="635">
        <v>49.6</v>
      </c>
      <c r="AD124" s="634"/>
      <c r="AG124" s="635"/>
      <c r="AL124" s="634"/>
      <c r="AO124" s="635"/>
      <c r="AP124" s="634"/>
      <c r="AS124" s="635"/>
      <c r="AW124" s="635"/>
      <c r="BA124" s="636"/>
    </row>
    <row r="125" spans="1:53" s="840" customFormat="1">
      <c r="A125" s="840">
        <v>2016</v>
      </c>
      <c r="B125" s="837">
        <v>42722</v>
      </c>
      <c r="C125" s="988" t="s">
        <v>1363</v>
      </c>
      <c r="D125" s="988"/>
      <c r="E125" s="840">
        <v>14</v>
      </c>
      <c r="F125" s="840">
        <v>2</v>
      </c>
      <c r="G125" s="596">
        <v>20</v>
      </c>
      <c r="H125" s="840">
        <v>0</v>
      </c>
      <c r="I125" s="840">
        <v>0</v>
      </c>
      <c r="J125" s="598">
        <v>20</v>
      </c>
      <c r="K125" s="593">
        <f t="shared" si="13"/>
        <v>100</v>
      </c>
      <c r="L125" s="593">
        <f t="shared" si="14"/>
        <v>0</v>
      </c>
      <c r="M125" s="593">
        <f t="shared" si="15"/>
        <v>0</v>
      </c>
      <c r="N125" s="597">
        <f t="shared" si="16"/>
        <v>100</v>
      </c>
      <c r="O125" s="592">
        <v>48.8</v>
      </c>
      <c r="P125" s="593"/>
      <c r="Q125" s="593"/>
      <c r="R125" s="594">
        <f t="shared" si="17"/>
        <v>48.8</v>
      </c>
      <c r="S125" s="840">
        <v>4</v>
      </c>
      <c r="T125" s="595"/>
      <c r="U125" s="837">
        <v>42722</v>
      </c>
      <c r="V125" s="588" t="s">
        <v>462</v>
      </c>
      <c r="W125" s="840" t="s">
        <v>74</v>
      </c>
      <c r="X125" s="840" t="s">
        <v>11</v>
      </c>
      <c r="Y125" s="589">
        <v>48.8</v>
      </c>
      <c r="AD125" s="588"/>
      <c r="AG125" s="589"/>
      <c r="AL125" s="588"/>
      <c r="AO125" s="589"/>
      <c r="AP125" s="588"/>
      <c r="AS125" s="589"/>
      <c r="AW125" s="589"/>
      <c r="BA125" s="590"/>
    </row>
    <row r="126" spans="1:53" s="896" customFormat="1">
      <c r="A126" s="896">
        <v>2017</v>
      </c>
      <c r="B126" s="894"/>
      <c r="C126" s="988" t="s">
        <v>1363</v>
      </c>
      <c r="D126" s="988"/>
      <c r="E126" s="896">
        <v>298</v>
      </c>
      <c r="G126" s="596">
        <v>20</v>
      </c>
      <c r="H126" s="896">
        <v>0</v>
      </c>
      <c r="I126" s="896">
        <v>0</v>
      </c>
      <c r="J126" s="598">
        <v>20</v>
      </c>
      <c r="K126" s="593">
        <f t="shared" ref="K126:K127" si="18">G126/$J126*100</f>
        <v>100</v>
      </c>
      <c r="L126" s="593">
        <f t="shared" ref="L126:L127" si="19">H126/$J126*100</f>
        <v>0</v>
      </c>
      <c r="M126" s="593">
        <f t="shared" ref="M126:M127" si="20">I126/$J126*100</f>
        <v>0</v>
      </c>
      <c r="N126" s="597">
        <f t="shared" ref="N126:N127" si="21">K126+L126+M126</f>
        <v>100</v>
      </c>
      <c r="O126" s="592">
        <v>48.8</v>
      </c>
      <c r="P126" s="593"/>
      <c r="Q126" s="593"/>
      <c r="R126" s="594">
        <f t="shared" ref="R126:R127" si="22">O126+P126+Q126</f>
        <v>48.8</v>
      </c>
      <c r="S126" s="896">
        <v>4</v>
      </c>
      <c r="T126" s="595"/>
      <c r="U126" s="894"/>
      <c r="V126" s="588" t="s">
        <v>462</v>
      </c>
      <c r="W126" s="896" t="s">
        <v>74</v>
      </c>
      <c r="X126" s="896" t="s">
        <v>11</v>
      </c>
      <c r="Y126" s="589">
        <v>48.8</v>
      </c>
      <c r="AD126" s="588"/>
      <c r="AG126" s="589"/>
      <c r="AL126" s="588"/>
      <c r="AO126" s="589"/>
      <c r="AP126" s="588"/>
      <c r="AS126" s="589"/>
      <c r="AW126" s="589"/>
      <c r="BA126" s="590"/>
    </row>
    <row r="127" spans="1:53" s="895" customFormat="1">
      <c r="A127" s="895">
        <v>2017</v>
      </c>
      <c r="B127" s="893">
        <v>43034</v>
      </c>
      <c r="C127" s="992" t="s">
        <v>1395</v>
      </c>
      <c r="D127" s="992"/>
      <c r="E127" s="895">
        <v>67</v>
      </c>
      <c r="F127" s="895">
        <v>1</v>
      </c>
      <c r="G127" s="642">
        <v>4</v>
      </c>
      <c r="H127" s="895">
        <v>0</v>
      </c>
      <c r="I127" s="895">
        <v>16</v>
      </c>
      <c r="J127" s="644">
        <v>20</v>
      </c>
      <c r="K127" s="640">
        <f t="shared" si="18"/>
        <v>20</v>
      </c>
      <c r="L127" s="640">
        <f t="shared" si="19"/>
        <v>0</v>
      </c>
      <c r="M127" s="640">
        <f t="shared" si="20"/>
        <v>80</v>
      </c>
      <c r="N127" s="643">
        <f t="shared" si="21"/>
        <v>100</v>
      </c>
      <c r="O127" s="639">
        <v>7.5</v>
      </c>
      <c r="P127" s="640"/>
      <c r="Q127" s="640">
        <v>38.299999999999997</v>
      </c>
      <c r="R127" s="641">
        <f t="shared" si="22"/>
        <v>45.8</v>
      </c>
      <c r="S127" s="895">
        <v>5</v>
      </c>
      <c r="T127" s="487">
        <v>43001</v>
      </c>
      <c r="U127" s="893">
        <v>43034</v>
      </c>
      <c r="V127" s="634" t="s">
        <v>461</v>
      </c>
      <c r="W127" s="895" t="s">
        <v>20</v>
      </c>
      <c r="X127" s="895" t="s">
        <v>12</v>
      </c>
      <c r="Y127" s="635">
        <v>38.299999999999997</v>
      </c>
      <c r="Z127" s="895" t="s">
        <v>463</v>
      </c>
      <c r="AA127" s="895" t="s">
        <v>77</v>
      </c>
      <c r="AB127" s="895" t="s">
        <v>11</v>
      </c>
      <c r="AC127" s="895">
        <v>7.5</v>
      </c>
      <c r="AD127" s="634"/>
      <c r="AG127" s="635"/>
      <c r="AL127" s="634"/>
      <c r="AO127" s="635"/>
      <c r="AP127" s="634"/>
      <c r="AS127" s="635"/>
      <c r="AW127" s="635"/>
      <c r="BA127" s="636"/>
    </row>
    <row r="128" spans="1:53" s="945" customFormat="1">
      <c r="A128" s="945">
        <v>2018</v>
      </c>
      <c r="B128" s="944"/>
      <c r="C128" s="992" t="s">
        <v>1395</v>
      </c>
      <c r="D128" s="992"/>
      <c r="E128" s="945">
        <v>235</v>
      </c>
      <c r="G128" s="642">
        <v>4</v>
      </c>
      <c r="H128" s="945">
        <v>0</v>
      </c>
      <c r="I128" s="945">
        <v>16</v>
      </c>
      <c r="J128" s="644">
        <v>20</v>
      </c>
      <c r="K128" s="640">
        <f t="shared" ref="K128:K129" si="23">G128/$J128*100</f>
        <v>20</v>
      </c>
      <c r="L128" s="640">
        <f t="shared" ref="L128:L129" si="24">H128/$J128*100</f>
        <v>0</v>
      </c>
      <c r="M128" s="640">
        <f t="shared" ref="M128:M129" si="25">I128/$J128*100</f>
        <v>80</v>
      </c>
      <c r="N128" s="643">
        <f t="shared" ref="N128:N129" si="26">K128+L128+M128</f>
        <v>100</v>
      </c>
      <c r="O128" s="639">
        <v>7.5</v>
      </c>
      <c r="P128" s="640"/>
      <c r="Q128" s="640">
        <v>38.299999999999997</v>
      </c>
      <c r="R128" s="641">
        <f t="shared" ref="R128:R129" si="27">O128+P128+Q128</f>
        <v>45.8</v>
      </c>
      <c r="S128" s="945">
        <v>5</v>
      </c>
      <c r="T128" s="487"/>
      <c r="U128" s="944"/>
      <c r="V128" s="634" t="s">
        <v>461</v>
      </c>
      <c r="W128" s="945" t="s">
        <v>20</v>
      </c>
      <c r="X128" s="945" t="s">
        <v>12</v>
      </c>
      <c r="Y128" s="635">
        <v>38.299999999999997</v>
      </c>
      <c r="Z128" s="945" t="s">
        <v>463</v>
      </c>
      <c r="AA128" s="945" t="s">
        <v>77</v>
      </c>
      <c r="AB128" s="945" t="s">
        <v>11</v>
      </c>
      <c r="AC128" s="945">
        <v>7.5</v>
      </c>
      <c r="AD128" s="634"/>
      <c r="AG128" s="635"/>
      <c r="AL128" s="634"/>
      <c r="AO128" s="635"/>
      <c r="AP128" s="634"/>
      <c r="AS128" s="635"/>
      <c r="AW128" s="635"/>
      <c r="BA128" s="636"/>
    </row>
    <row r="129" spans="1:53" s="945" customFormat="1">
      <c r="A129" s="945">
        <v>2018</v>
      </c>
      <c r="B129" s="502">
        <v>43336</v>
      </c>
      <c r="C129" s="992" t="s">
        <v>1395</v>
      </c>
      <c r="D129" s="992"/>
      <c r="E129" s="945">
        <v>130</v>
      </c>
      <c r="F129" s="501">
        <v>0</v>
      </c>
      <c r="G129" s="642">
        <v>4</v>
      </c>
      <c r="H129" s="945">
        <v>0</v>
      </c>
      <c r="I129" s="945">
        <v>15</v>
      </c>
      <c r="J129" s="644">
        <v>19</v>
      </c>
      <c r="K129" s="640">
        <f t="shared" si="23"/>
        <v>21.052631578947366</v>
      </c>
      <c r="L129" s="640">
        <f t="shared" si="24"/>
        <v>0</v>
      </c>
      <c r="M129" s="640">
        <f t="shared" si="25"/>
        <v>78.94736842105263</v>
      </c>
      <c r="N129" s="643">
        <f t="shared" si="26"/>
        <v>100</v>
      </c>
      <c r="O129" s="639">
        <v>7.5</v>
      </c>
      <c r="P129" s="640"/>
      <c r="Q129" s="640">
        <v>38.299999999999997</v>
      </c>
      <c r="R129" s="641">
        <f t="shared" si="27"/>
        <v>45.8</v>
      </c>
      <c r="S129" s="945">
        <v>5</v>
      </c>
      <c r="T129" s="487"/>
      <c r="U129" s="944"/>
      <c r="V129" s="634" t="s">
        <v>461</v>
      </c>
      <c r="W129" s="945" t="s">
        <v>20</v>
      </c>
      <c r="X129" s="945" t="s">
        <v>12</v>
      </c>
      <c r="Y129" s="635">
        <v>38.299999999999997</v>
      </c>
      <c r="Z129" s="945" t="s">
        <v>463</v>
      </c>
      <c r="AA129" s="945" t="s">
        <v>77</v>
      </c>
      <c r="AB129" s="945" t="s">
        <v>11</v>
      </c>
      <c r="AC129" s="945">
        <v>7.5</v>
      </c>
      <c r="AD129" s="634"/>
      <c r="AG129" s="635"/>
      <c r="AL129" s="634"/>
      <c r="AO129" s="635"/>
      <c r="AP129" s="634"/>
      <c r="AS129" s="635"/>
      <c r="AW129" s="635"/>
      <c r="BA129" s="636"/>
    </row>
    <row r="130" spans="1:53" s="896" customFormat="1">
      <c r="B130" s="894"/>
      <c r="C130" s="988"/>
      <c r="D130" s="988"/>
      <c r="G130" s="596"/>
      <c r="J130" s="598"/>
      <c r="K130" s="593"/>
      <c r="L130" s="593"/>
      <c r="M130" s="593"/>
      <c r="N130" s="597"/>
      <c r="O130" s="592"/>
      <c r="P130" s="593"/>
      <c r="Q130" s="593"/>
      <c r="R130" s="594"/>
      <c r="T130" s="595"/>
      <c r="U130" s="894"/>
      <c r="V130" s="588"/>
      <c r="Y130" s="589"/>
      <c r="AD130" s="588"/>
      <c r="AG130" s="589"/>
      <c r="AL130" s="588"/>
      <c r="AO130" s="589"/>
      <c r="AP130" s="588"/>
      <c r="AS130" s="589"/>
      <c r="AW130" s="589"/>
      <c r="BA130" s="590"/>
    </row>
    <row r="131" spans="1:53" s="896" customFormat="1">
      <c r="B131" s="894"/>
      <c r="C131" s="988"/>
      <c r="D131" s="988"/>
      <c r="G131" s="596"/>
      <c r="J131" s="598"/>
      <c r="K131" s="593"/>
      <c r="L131" s="593"/>
      <c r="M131" s="593"/>
      <c r="N131" s="597"/>
      <c r="O131" s="592"/>
      <c r="P131" s="593"/>
      <c r="Q131" s="593"/>
      <c r="R131" s="594"/>
      <c r="T131" s="595"/>
      <c r="U131" s="894"/>
      <c r="V131" s="588"/>
      <c r="Y131" s="589"/>
      <c r="AD131" s="588"/>
      <c r="AG131" s="589"/>
      <c r="AL131" s="588"/>
      <c r="AO131" s="589"/>
      <c r="AP131" s="588"/>
      <c r="AS131" s="589"/>
      <c r="AW131" s="589"/>
      <c r="BA131" s="590"/>
    </row>
    <row r="133" spans="1:53" s="2" customFormat="1" ht="18" customHeight="1">
      <c r="B133" s="22" t="s">
        <v>1278</v>
      </c>
      <c r="H133" s="6"/>
    </row>
    <row r="134" spans="1:53" s="2" customFormat="1" ht="9" customHeight="1">
      <c r="H134" s="6"/>
    </row>
    <row r="135" spans="1:53" s="364" customFormat="1" ht="9" customHeight="1">
      <c r="A135" s="362"/>
      <c r="B135" s="363" t="s">
        <v>1229</v>
      </c>
      <c r="C135" s="363"/>
      <c r="D135" s="363"/>
      <c r="E135" s="363"/>
      <c r="F135" s="363"/>
      <c r="G135" s="363" t="s">
        <v>1230</v>
      </c>
      <c r="H135" s="363"/>
      <c r="I135" s="363"/>
      <c r="J135" s="363"/>
      <c r="K135" s="363"/>
      <c r="L135" s="363"/>
      <c r="M135" s="363"/>
      <c r="N135" s="363"/>
      <c r="R135" s="982" t="s">
        <v>1231</v>
      </c>
      <c r="S135" s="982"/>
      <c r="T135" s="982"/>
      <c r="U135" s="982"/>
      <c r="V135" s="982"/>
      <c r="W135" s="982"/>
      <c r="X135" s="365"/>
      <c r="Y135" s="365"/>
      <c r="AA135" s="365"/>
      <c r="AB135" s="365"/>
      <c r="AC135" s="365"/>
      <c r="AD135" s="365"/>
    </row>
    <row r="136" spans="1:53" s="369" customFormat="1" ht="9" customHeight="1">
      <c r="A136" s="366"/>
      <c r="B136" s="367" t="s">
        <v>1233</v>
      </c>
      <c r="C136" s="368"/>
      <c r="D136" s="368"/>
      <c r="E136" s="368"/>
      <c r="F136" s="368"/>
      <c r="G136" s="367" t="s">
        <v>1232</v>
      </c>
      <c r="H136" s="368"/>
      <c r="I136" s="368"/>
      <c r="J136" s="368"/>
      <c r="K136" s="368"/>
      <c r="L136" s="368"/>
      <c r="M136" s="368"/>
      <c r="N136" s="368"/>
      <c r="R136" s="370" t="s">
        <v>1234</v>
      </c>
      <c r="S136" s="371"/>
      <c r="T136" s="372"/>
      <c r="U136" s="372"/>
      <c r="V136" s="372"/>
      <c r="W136" s="370" t="s">
        <v>1235</v>
      </c>
      <c r="X136" s="372"/>
      <c r="Y136" s="372"/>
      <c r="AA136" s="372"/>
      <c r="AB136" s="372"/>
      <c r="AC136" s="372"/>
      <c r="AD136" s="372"/>
    </row>
    <row r="137" spans="1:53" s="351" customFormat="1" ht="12" customHeight="1">
      <c r="A137" s="373" t="s">
        <v>3</v>
      </c>
      <c r="B137" s="374" t="s">
        <v>8</v>
      </c>
      <c r="C137" s="374" t="s">
        <v>9</v>
      </c>
      <c r="D137" s="374" t="s">
        <v>10</v>
      </c>
      <c r="E137" s="375" t="s">
        <v>1209</v>
      </c>
      <c r="F137" s="374"/>
      <c r="G137" s="351" t="s">
        <v>3</v>
      </c>
      <c r="H137" s="983" t="s">
        <v>0</v>
      </c>
      <c r="I137" s="983"/>
      <c r="J137" s="983" t="s">
        <v>1</v>
      </c>
      <c r="K137" s="983"/>
      <c r="L137" s="983" t="s">
        <v>2</v>
      </c>
      <c r="M137" s="983"/>
      <c r="N137" s="984" t="s">
        <v>1209</v>
      </c>
      <c r="O137" s="984"/>
      <c r="P137" s="376"/>
      <c r="Q137" s="376"/>
      <c r="R137" s="377" t="s">
        <v>3</v>
      </c>
      <c r="S137" s="378" t="s">
        <v>136</v>
      </c>
      <c r="T137" s="376" t="s">
        <v>134</v>
      </c>
      <c r="U137" s="374" t="s">
        <v>135</v>
      </c>
      <c r="V137" s="376"/>
      <c r="W137" s="379" t="s">
        <v>26</v>
      </c>
    </row>
    <row r="138" spans="1:53" s="273" customFormat="1">
      <c r="A138" s="273">
        <v>1959</v>
      </c>
      <c r="B138" s="260">
        <f>(K6*($E6/365)) + (K7*($E7/365))</f>
        <v>0</v>
      </c>
      <c r="C138" s="260">
        <f>(L6*($E6/365)) + (L7*($E7/365))</f>
        <v>0</v>
      </c>
      <c r="D138" s="260">
        <f>(M6*($E6/365)) + (M7*($E7/365))</f>
        <v>100</v>
      </c>
      <c r="E138" s="261">
        <f>B138+C138+D138</f>
        <v>100</v>
      </c>
      <c r="G138" s="273">
        <v>1959</v>
      </c>
      <c r="H138" s="991">
        <f>(O6/$R6*100*($E6/365))+(O7/$R7*100*($E7/365))</f>
        <v>0</v>
      </c>
      <c r="I138" s="991"/>
      <c r="J138" s="991">
        <f>(P6/$R6*100*($E6/365))+(P7/$R7*100*($E7/365))</f>
        <v>0</v>
      </c>
      <c r="K138" s="991"/>
      <c r="L138" s="991">
        <f>(Q6/$R6*100*($E6/365))+(Q7/$R7*100*($E7/365))</f>
        <v>100</v>
      </c>
      <c r="M138" s="991"/>
      <c r="N138" s="993">
        <f>H138+J138+L138</f>
        <v>100</v>
      </c>
      <c r="O138" s="993"/>
      <c r="R138" s="273">
        <v>1959</v>
      </c>
      <c r="S138" s="260">
        <f>(O6*($E6/365)) + (O7*($E7/365))</f>
        <v>0</v>
      </c>
      <c r="T138" s="260">
        <f>(P6*($E6/365)) + (P7*($E7/365))</f>
        <v>0</v>
      </c>
      <c r="U138" s="260">
        <f>(Q6*($E6/365)) + (Q7*($E7/365))</f>
        <v>51.3</v>
      </c>
      <c r="V138" s="274"/>
      <c r="W138" s="274">
        <f>S138+T138+U138</f>
        <v>51.3</v>
      </c>
    </row>
    <row r="139" spans="1:53">
      <c r="A139" s="1">
        <v>1960</v>
      </c>
      <c r="B139" s="8">
        <f>(K8*($E8/366))+(K9*($E9/366))</f>
        <v>5.4644808743169397</v>
      </c>
      <c r="C139" s="8">
        <f>(L8*($E8/366))+(L9*($E9/366))</f>
        <v>0</v>
      </c>
      <c r="D139" s="8">
        <f>(M8*($E8/366))+(M9*($E9/366))</f>
        <v>94.535519125683066</v>
      </c>
      <c r="E139" s="48">
        <f>B139+C139+D139</f>
        <v>100</v>
      </c>
      <c r="G139" s="1">
        <v>1960</v>
      </c>
      <c r="H139" s="989">
        <f>(O8/$R8*100*($E8/366))+(O9/$R9*100*($E9/366))</f>
        <v>5.4644808743169397</v>
      </c>
      <c r="I139" s="989"/>
      <c r="J139" s="989">
        <f>(P8/$R8*100*($E8/366))+(P9/$R9*100*($E9/366))</f>
        <v>0</v>
      </c>
      <c r="K139" s="989"/>
      <c r="L139" s="989">
        <f>(Q8/$R8*100*($E8/366))+(Q9/$R9*100*($E9/366))</f>
        <v>94.535519125683066</v>
      </c>
      <c r="M139" s="989"/>
      <c r="N139" s="990">
        <f>H139+J139+L139</f>
        <v>100</v>
      </c>
      <c r="O139" s="990"/>
      <c r="R139" s="1">
        <v>1960</v>
      </c>
      <c r="S139" s="8">
        <f>(O8*($E8/366))+(O9*($E9/366))</f>
        <v>3.1420765027322402</v>
      </c>
      <c r="T139" s="8">
        <f>(P8*($E8/366))+(P9*($E9/366))</f>
        <v>0</v>
      </c>
      <c r="U139" s="8">
        <f>(Q8*($E8/366))+(Q9*($E9/366))</f>
        <v>48.496721311475412</v>
      </c>
      <c r="V139" s="7"/>
      <c r="W139" s="7">
        <f>S139+T139+U139</f>
        <v>51.638797814207649</v>
      </c>
    </row>
    <row r="140" spans="1:53">
      <c r="A140" s="1">
        <v>1961</v>
      </c>
      <c r="B140" s="8">
        <f>(K10*($E10/365))+(K11*($E11/365))</f>
        <v>100</v>
      </c>
      <c r="C140" s="8">
        <f>(L10*($E10/365))+(L11*($E11/365))</f>
        <v>0</v>
      </c>
      <c r="D140" s="8">
        <f>(M10*($E10/365))+(M11*($E11/365))</f>
        <v>0</v>
      </c>
      <c r="E140" s="48">
        <f t="shared" ref="E140:E192" si="28">B140+C140+D140</f>
        <v>100</v>
      </c>
      <c r="G140" s="1">
        <v>1961</v>
      </c>
      <c r="H140" s="989">
        <f>(O10/$R10*100*($E10/365))+(O11/$R11*100*($E11/365))</f>
        <v>100</v>
      </c>
      <c r="I140" s="989"/>
      <c r="J140" s="989">
        <f>(P10/$R10*100*($E10/365))+(P11/$R11*100*($E11/365))</f>
        <v>0</v>
      </c>
      <c r="K140" s="989"/>
      <c r="L140" s="989">
        <f>(Q10/$R10*100*($E10/365))+(Q11/$R11*100*($E11/365))</f>
        <v>0</v>
      </c>
      <c r="M140" s="989"/>
      <c r="N140" s="959">
        <f t="shared" ref="N140:N190" si="29">H140+J140+L140</f>
        <v>100</v>
      </c>
      <c r="O140" s="959"/>
      <c r="R140" s="1">
        <v>1961</v>
      </c>
      <c r="S140" s="8">
        <f>(O10*($E10/365))+(O11*($E11/365))</f>
        <v>57.5</v>
      </c>
      <c r="T140" s="8">
        <f>(P10*($E10/365))+(P11*($E11/365))</f>
        <v>0</v>
      </c>
      <c r="U140" s="8">
        <f>(Q10*($E10/365))+(Q11*($E11/365))</f>
        <v>0</v>
      </c>
      <c r="V140" s="7"/>
      <c r="W140" s="7">
        <f t="shared" ref="W140:W192" si="30">S140+T140+U140</f>
        <v>57.5</v>
      </c>
    </row>
    <row r="141" spans="1:53">
      <c r="A141" s="1">
        <v>1962</v>
      </c>
      <c r="B141" s="8">
        <f>(K12*($E12/365))+(K13*($E13/365))</f>
        <v>100</v>
      </c>
      <c r="C141" s="8">
        <f>(L12*($E12/365))+(L13*($E13/365))</f>
        <v>0</v>
      </c>
      <c r="D141" s="8">
        <f>(M12*($E12/365))+(M13*($E13/365))</f>
        <v>0</v>
      </c>
      <c r="E141" s="48">
        <f t="shared" si="28"/>
        <v>100</v>
      </c>
      <c r="G141" s="1">
        <v>1962</v>
      </c>
      <c r="H141" s="989">
        <f>(O12/$R12*100*($E12/365))+(O13/$R13*100*($E13/365))</f>
        <v>100</v>
      </c>
      <c r="I141" s="989"/>
      <c r="J141" s="989">
        <f>(P12/$R12*100*($E12/365))+(P13/$R13*100*($E13/365))</f>
        <v>0</v>
      </c>
      <c r="K141" s="989"/>
      <c r="L141" s="989">
        <f>(Q12/$R12*100*($E12/365))+(Q13/$R13*100*($E13/365))</f>
        <v>0</v>
      </c>
      <c r="M141" s="989"/>
      <c r="N141" s="959">
        <f t="shared" si="29"/>
        <v>100</v>
      </c>
      <c r="O141" s="959"/>
      <c r="R141" s="1">
        <v>1962</v>
      </c>
      <c r="S141" s="8">
        <f>(O12*($E12/365))+(O13*($E13/365))</f>
        <v>57.5</v>
      </c>
      <c r="T141" s="8">
        <f>(P12*($E12/365))+(P13*($E13/365))</f>
        <v>0</v>
      </c>
      <c r="U141" s="8">
        <f>(Q12*($E12/365))+(Q13*($E13/365))</f>
        <v>0</v>
      </c>
      <c r="V141" s="7"/>
      <c r="W141" s="7">
        <f t="shared" si="30"/>
        <v>57.5</v>
      </c>
    </row>
    <row r="142" spans="1:53">
      <c r="A142" s="1">
        <v>1963</v>
      </c>
      <c r="B142" s="8">
        <f>(K14*($E14/365))+(K15*($E15/365))</f>
        <v>100.00000000000001</v>
      </c>
      <c r="C142" s="8">
        <f>(L14*($E14/365))+(L15*($E15/365))</f>
        <v>0</v>
      </c>
      <c r="D142" s="8">
        <f>(M14*($E14/365))+(M15*($E15/365))</f>
        <v>0</v>
      </c>
      <c r="E142" s="48">
        <f t="shared" si="28"/>
        <v>100.00000000000001</v>
      </c>
      <c r="G142" s="1">
        <v>1963</v>
      </c>
      <c r="H142" s="989">
        <f>(O14/$R14*100*($E14/365))+(O15/$R15*100*($E15/365))</f>
        <v>100.00000000000001</v>
      </c>
      <c r="I142" s="989"/>
      <c r="J142" s="989">
        <f>(P14/$R14*100*($E14/365))+(P15/$R15*100*($E15/365))</f>
        <v>0</v>
      </c>
      <c r="K142" s="989"/>
      <c r="L142" s="989">
        <f>(Q14/$R14*100*($E14/365))+(Q15/$R15*100*($E15/365))</f>
        <v>0</v>
      </c>
      <c r="M142" s="989"/>
      <c r="N142" s="959">
        <f t="shared" si="29"/>
        <v>100.00000000000001</v>
      </c>
      <c r="O142" s="959"/>
      <c r="R142" s="1">
        <v>1963</v>
      </c>
      <c r="S142" s="8">
        <f>(O14*($E14/365))+(O15*($E15/365))</f>
        <v>57.460547945205484</v>
      </c>
      <c r="T142" s="8">
        <f>(P14*($E14/365))+(P15*($E15/365))</f>
        <v>0</v>
      </c>
      <c r="U142" s="8">
        <f>(Q14*($E14/365))+(Q15*($E15/365))</f>
        <v>0</v>
      </c>
      <c r="V142" s="7"/>
      <c r="W142" s="7">
        <f t="shared" si="30"/>
        <v>57.460547945205484</v>
      </c>
    </row>
    <row r="143" spans="1:53">
      <c r="A143" s="1">
        <v>1964</v>
      </c>
      <c r="B143" s="8">
        <f>(K16*($E16/366))+(K17*($E17/366))</f>
        <v>100</v>
      </c>
      <c r="C143" s="8">
        <f>(L16*($E16/366))+(L17*($E17/366))</f>
        <v>0</v>
      </c>
      <c r="D143" s="8">
        <f>(M16*($E16/366))+(M17*($E17/366))</f>
        <v>0</v>
      </c>
      <c r="E143" s="48">
        <f t="shared" si="28"/>
        <v>100</v>
      </c>
      <c r="G143" s="1">
        <v>1964</v>
      </c>
      <c r="H143" s="989">
        <f>(O16/$R16*100*($E16/366))+(O17/$R17*100*($E17/366))</f>
        <v>100</v>
      </c>
      <c r="I143" s="989"/>
      <c r="J143" s="989">
        <f>(P16/$R16*100*($E16/366))+(P17/$R17*100*($E17/366))</f>
        <v>0</v>
      </c>
      <c r="K143" s="989"/>
      <c r="L143" s="989">
        <f>(Q16/$R16*100*($E16/366))+(Q17/$R17*100*($E17/366))</f>
        <v>0</v>
      </c>
      <c r="M143" s="989"/>
      <c r="N143" s="959">
        <f t="shared" si="29"/>
        <v>100</v>
      </c>
      <c r="O143" s="959"/>
      <c r="R143" s="1">
        <v>1964</v>
      </c>
      <c r="S143" s="8">
        <f>(O16*($E16/366))+(O17*($E17/366))</f>
        <v>56.3</v>
      </c>
      <c r="T143" s="8">
        <f>(P16*($E16/366))+(P17*($E17/366))</f>
        <v>0</v>
      </c>
      <c r="U143" s="8">
        <f>(Q16*($E16/366))+(Q17*($E17/366))</f>
        <v>0</v>
      </c>
      <c r="V143" s="7"/>
      <c r="W143" s="7">
        <f t="shared" si="30"/>
        <v>56.3</v>
      </c>
    </row>
    <row r="144" spans="1:53">
      <c r="A144" s="1">
        <v>1965</v>
      </c>
      <c r="B144" s="8">
        <f>(K18*($E18/365))+(K19*($E19/365))</f>
        <v>100</v>
      </c>
      <c r="C144" s="8">
        <f>(L18*($E18/365))+(L19*($E19/365))</f>
        <v>0</v>
      </c>
      <c r="D144" s="8">
        <f>(M18*($E18/365))+(M19*($E19/365))</f>
        <v>0</v>
      </c>
      <c r="E144" s="48">
        <f t="shared" si="28"/>
        <v>100</v>
      </c>
      <c r="G144" s="1">
        <v>1965</v>
      </c>
      <c r="H144" s="989">
        <f>(O18/$R18*100*($E18/365))+(O19/$R19*100*($E19/365))</f>
        <v>100</v>
      </c>
      <c r="I144" s="989"/>
      <c r="J144" s="989">
        <f>(P18/$R18*100*($E18/365))+(P19/$R19*100*($E19/365))</f>
        <v>0</v>
      </c>
      <c r="K144" s="989"/>
      <c r="L144" s="989">
        <f>(Q18/$R18*100*($E18/365))+(Q19/$R19*100*($E19/365))</f>
        <v>0</v>
      </c>
      <c r="M144" s="989"/>
      <c r="N144" s="959">
        <f t="shared" si="29"/>
        <v>100</v>
      </c>
      <c r="O144" s="959"/>
      <c r="R144" s="1">
        <v>1965</v>
      </c>
      <c r="S144" s="8">
        <f>(O18*($E18/365))+(O19*($E19/365))</f>
        <v>56.3</v>
      </c>
      <c r="T144" s="8">
        <f>(P18*($E18/365))+(P19*($E19/365))</f>
        <v>0</v>
      </c>
      <c r="U144" s="8">
        <f>(Q18*($E18/365))+(Q19*($E19/365))</f>
        <v>0</v>
      </c>
      <c r="V144" s="7"/>
      <c r="W144" s="7">
        <f t="shared" si="30"/>
        <v>56.3</v>
      </c>
    </row>
    <row r="145" spans="1:23">
      <c r="A145" s="1">
        <v>1966</v>
      </c>
      <c r="B145" s="8">
        <f>(K20*($E20/365))+(K21*($E21/365))</f>
        <v>100</v>
      </c>
      <c r="C145" s="8">
        <f>(L20*($E20/365))+(L21*($E21/365))</f>
        <v>0</v>
      </c>
      <c r="D145" s="8">
        <f>(M20*($E20/365))+(M21*($E21/365))</f>
        <v>0</v>
      </c>
      <c r="E145" s="48">
        <f t="shared" si="28"/>
        <v>100</v>
      </c>
      <c r="G145" s="1">
        <v>1966</v>
      </c>
      <c r="H145" s="989">
        <f>(O20/$R20*100*($E20/365))+(O21/$R21*100*($E21/365))</f>
        <v>100</v>
      </c>
      <c r="I145" s="989"/>
      <c r="J145" s="989">
        <f>(P20/$R20*100*($E20/365))+(P21/$R21*100*($E21/365))</f>
        <v>0</v>
      </c>
      <c r="K145" s="989"/>
      <c r="L145" s="989">
        <f>(Q20/$R20*100*($E20/365))+(Q21/$R21*100*($E21/365))</f>
        <v>0</v>
      </c>
      <c r="M145" s="989"/>
      <c r="N145" s="959">
        <f t="shared" si="29"/>
        <v>100</v>
      </c>
      <c r="O145" s="959"/>
      <c r="R145" s="1">
        <v>1966</v>
      </c>
      <c r="S145" s="8">
        <f>(O20*($E20/365))+(O21*($E21/365))</f>
        <v>56.228767123287668</v>
      </c>
      <c r="T145" s="8">
        <f>(P20*($E20/365))+(P21*($E21/365))</f>
        <v>0</v>
      </c>
      <c r="U145" s="8">
        <f>(Q20*($E20/365))+(Q21*($E21/365))</f>
        <v>0</v>
      </c>
      <c r="V145" s="7"/>
      <c r="W145" s="7">
        <f t="shared" si="30"/>
        <v>56.228767123287668</v>
      </c>
    </row>
    <row r="146" spans="1:23">
      <c r="A146" s="1">
        <v>1967</v>
      </c>
      <c r="B146" s="8">
        <f>(K22*($E22/365))+(K23*($E23/365))</f>
        <v>100</v>
      </c>
      <c r="C146" s="8">
        <f>(L22*($E22/365))+(L23*($E23/365))</f>
        <v>0</v>
      </c>
      <c r="D146" s="8">
        <f>(M22*($E22/365))+(M23*($E23/365))</f>
        <v>0</v>
      </c>
      <c r="E146" s="48">
        <f t="shared" si="28"/>
        <v>100</v>
      </c>
      <c r="G146" s="1">
        <v>1967</v>
      </c>
      <c r="H146" s="989">
        <f>(O22/$R22*100*($E22/365))+(O23/$R23*100*($E23/365))</f>
        <v>100</v>
      </c>
      <c r="I146" s="989"/>
      <c r="J146" s="989">
        <f>(P22/$R22*100*($E22/365))+(P23/$R23*100*($E23/365))</f>
        <v>0</v>
      </c>
      <c r="K146" s="989"/>
      <c r="L146" s="989">
        <f>(Q22/$R22*100*($E22/365))+(Q23/$R23*100*($E23/365))</f>
        <v>0</v>
      </c>
      <c r="M146" s="989"/>
      <c r="N146" s="959">
        <f t="shared" si="29"/>
        <v>100</v>
      </c>
      <c r="O146" s="959"/>
      <c r="R146" s="1">
        <v>1967</v>
      </c>
      <c r="S146" s="8">
        <f>(O22*($E22/365))+(O23*($E23/365))</f>
        <v>55</v>
      </c>
      <c r="T146" s="8">
        <f>(P22*($E22/365))+(P23*($E23/365))</f>
        <v>0</v>
      </c>
      <c r="U146" s="8">
        <f>(Q22*($E22/365))+(Q23*($E23/365))</f>
        <v>0</v>
      </c>
      <c r="V146" s="7"/>
      <c r="W146" s="7">
        <f t="shared" si="30"/>
        <v>55</v>
      </c>
    </row>
    <row r="147" spans="1:23">
      <c r="A147" s="1">
        <v>1968</v>
      </c>
      <c r="B147" s="8">
        <f>(K24*($E24/366))+(K25*($E25/366))</f>
        <v>100</v>
      </c>
      <c r="C147" s="8">
        <f>(L24*($E24/366))+(L25*($E25/366))</f>
        <v>0</v>
      </c>
      <c r="D147" s="8">
        <f>(M24*($E24/366))+(M25*($E25/366))</f>
        <v>0</v>
      </c>
      <c r="E147" s="48">
        <f t="shared" si="28"/>
        <v>100</v>
      </c>
      <c r="G147" s="1">
        <v>1968</v>
      </c>
      <c r="H147" s="989">
        <f>(O24/$R24*100*($E24/366))+(O25/$R25*100*($E25/366))</f>
        <v>100</v>
      </c>
      <c r="I147" s="989"/>
      <c r="J147" s="989">
        <f>(P24/$R24*100*($E24/366))+(P25/$R25*100*($E25/366))</f>
        <v>0</v>
      </c>
      <c r="K147" s="989"/>
      <c r="L147" s="989">
        <f>(Q24/$R24*100*($E24/366))+(Q25/$R25*100*($E25/366))</f>
        <v>0</v>
      </c>
      <c r="M147" s="989"/>
      <c r="N147" s="959">
        <f t="shared" si="29"/>
        <v>100</v>
      </c>
      <c r="O147" s="959"/>
      <c r="R147" s="1">
        <v>1968</v>
      </c>
      <c r="S147" s="8">
        <f>(O24*($E24/366))+(O25*($E25/366))</f>
        <v>55</v>
      </c>
      <c r="T147" s="8">
        <f>(P24*($E24/366))+(P25*($E25/366))</f>
        <v>0</v>
      </c>
      <c r="U147" s="8">
        <f>(Q24*($E24/366))+(Q25*($E25/366))</f>
        <v>0</v>
      </c>
      <c r="V147" s="7"/>
      <c r="W147" s="7">
        <f t="shared" si="30"/>
        <v>55</v>
      </c>
    </row>
    <row r="148" spans="1:23">
      <c r="A148" s="1">
        <v>1969</v>
      </c>
      <c r="B148" s="8">
        <f>(K26*($E26/365))+(K27*($E27/365))</f>
        <v>100</v>
      </c>
      <c r="C148" s="8">
        <f>(L26*($E26/365))+(L27*($E27/365))</f>
        <v>0</v>
      </c>
      <c r="D148" s="8">
        <f>(M26*($E26/365))+(M27*($E27/365))</f>
        <v>0</v>
      </c>
      <c r="E148" s="48">
        <f t="shared" si="28"/>
        <v>100</v>
      </c>
      <c r="G148" s="1">
        <v>1969</v>
      </c>
      <c r="H148" s="989">
        <f>(O26/$R26*100*($E26/365))+(O27/$R27*100*($E27/365))</f>
        <v>100</v>
      </c>
      <c r="I148" s="989"/>
      <c r="J148" s="989">
        <f>(P26/$R26*100*($E26/365))+(P27/$R27*100*($E27/365))</f>
        <v>0</v>
      </c>
      <c r="K148" s="989"/>
      <c r="L148" s="989">
        <f>(Q26/$R26*100*($E26/365))+(Q27/$R27*100*($E27/365))</f>
        <v>0</v>
      </c>
      <c r="M148" s="989"/>
      <c r="N148" s="959">
        <f t="shared" si="29"/>
        <v>100</v>
      </c>
      <c r="O148" s="959"/>
      <c r="R148" s="1">
        <v>1969</v>
      </c>
      <c r="S148" s="8">
        <f>(O26*($E26/365))+(O27*($E27/365))</f>
        <v>54.961643835616435</v>
      </c>
      <c r="T148" s="8">
        <f>(P26*($E26/365))+(P27*($E27/365))</f>
        <v>0</v>
      </c>
      <c r="U148" s="8">
        <f>(Q26*($E26/365))+(Q27*($E27/365))</f>
        <v>0</v>
      </c>
      <c r="V148" s="7"/>
      <c r="W148" s="7">
        <f t="shared" si="30"/>
        <v>54.961643835616435</v>
      </c>
    </row>
    <row r="149" spans="1:23">
      <c r="A149" s="1">
        <v>1970</v>
      </c>
      <c r="B149" s="8">
        <f>(K28*($E28/365))+(K29*($E29/365))</f>
        <v>100</v>
      </c>
      <c r="C149" s="8">
        <f>(L28*($E28/365))+(L29*($E29/365))</f>
        <v>0</v>
      </c>
      <c r="D149" s="8">
        <f>(M28*($E28/365))+(M29*($E29/365))</f>
        <v>0</v>
      </c>
      <c r="E149" s="48">
        <f t="shared" si="28"/>
        <v>100</v>
      </c>
      <c r="G149" s="1">
        <v>1970</v>
      </c>
      <c r="H149" s="989">
        <f>(O28/$R28*100*($E28/365))+(O29/$R29*100*($E29/365))</f>
        <v>100</v>
      </c>
      <c r="I149" s="989"/>
      <c r="J149" s="989">
        <f>(P28/$R28*100*($E28/365))+(P29/$R29*100*($E29/365))</f>
        <v>0</v>
      </c>
      <c r="K149" s="989"/>
      <c r="L149" s="989">
        <f>(Q28/$R28*100*($E28/365))+(Q29/$R29*100*($E29/365))</f>
        <v>0</v>
      </c>
      <c r="M149" s="989"/>
      <c r="N149" s="959">
        <f t="shared" si="29"/>
        <v>100</v>
      </c>
      <c r="O149" s="959"/>
      <c r="R149" s="1">
        <v>1970</v>
      </c>
      <c r="S149" s="8">
        <f>(O28*($E28/365))+(O29*($E29/365))</f>
        <v>53.6</v>
      </c>
      <c r="T149" s="8">
        <f>(P28*($E28/365))+(P29*($E29/365))</f>
        <v>0</v>
      </c>
      <c r="U149" s="8">
        <f>(Q28*($E28/365))+(Q29*($E29/365))</f>
        <v>0</v>
      </c>
      <c r="V149" s="7"/>
      <c r="W149" s="7">
        <f t="shared" si="30"/>
        <v>53.6</v>
      </c>
    </row>
    <row r="150" spans="1:23">
      <c r="A150" s="1">
        <v>1971</v>
      </c>
      <c r="B150" s="8">
        <f>(K30*($E30/365))+(K31*($E31/365))</f>
        <v>100</v>
      </c>
      <c r="C150" s="8">
        <f>(L30*($E30/365))+(L31*($E31/365))</f>
        <v>0</v>
      </c>
      <c r="D150" s="8">
        <f>(M30*($E30/365))+(M31*($E31/365))</f>
        <v>0</v>
      </c>
      <c r="E150" s="48">
        <f t="shared" si="28"/>
        <v>100</v>
      </c>
      <c r="G150" s="1">
        <v>1971</v>
      </c>
      <c r="H150" s="989">
        <f>(O30/$R30*100*($E30/365))+(O31/$R31*100*($E31/365))</f>
        <v>100</v>
      </c>
      <c r="I150" s="989"/>
      <c r="J150" s="989">
        <f>(P30/$R30*100*($E30/365))+(P31/$R31*100*($E31/365))</f>
        <v>0</v>
      </c>
      <c r="K150" s="989"/>
      <c r="L150" s="989">
        <f>(Q30/$R30*100*($E30/365))+(Q31/$R31*100*($E31/365))</f>
        <v>0</v>
      </c>
      <c r="M150" s="989"/>
      <c r="N150" s="959">
        <f t="shared" si="29"/>
        <v>100</v>
      </c>
      <c r="O150" s="959"/>
      <c r="R150" s="1">
        <v>1971</v>
      </c>
      <c r="S150" s="8">
        <f>(O30*($E30/365))+(O31*($E31/365))</f>
        <v>53.6</v>
      </c>
      <c r="T150" s="8">
        <f>(P30*($E30/365))+(P31*($E31/365))</f>
        <v>0</v>
      </c>
      <c r="U150" s="8">
        <f>(Q30*($E30/365))+(Q31*($E31/365))</f>
        <v>0</v>
      </c>
      <c r="V150" s="7"/>
      <c r="W150" s="7">
        <f t="shared" si="30"/>
        <v>53.6</v>
      </c>
    </row>
    <row r="151" spans="1:23">
      <c r="A151" s="1">
        <v>1972</v>
      </c>
      <c r="B151" s="8">
        <f>(K32*($E32/366))+(K33*($E33/366))+(K34*($E34/366))</f>
        <v>93.442622950819668</v>
      </c>
      <c r="C151" s="8">
        <f>(L32*($E32/366))+(L33*($E33/366))+(L34*($E34/366))</f>
        <v>0</v>
      </c>
      <c r="D151" s="8">
        <f>(M32*($E32/366))+(M33*($E33/366))+(M34*($E34/366))</f>
        <v>6.557377049180328</v>
      </c>
      <c r="E151" s="48">
        <f t="shared" si="28"/>
        <v>100</v>
      </c>
      <c r="G151" s="1">
        <v>1972</v>
      </c>
      <c r="H151" s="989">
        <f>(O32/$R32*100*($E32/366))+(O33/$R33*100*($E33/366))+(O34/$R34*100*($E34/366))</f>
        <v>93.442622950819668</v>
      </c>
      <c r="I151" s="989"/>
      <c r="J151" s="989">
        <f>(P32/$R32*100*($E32/366))+(P33/$R33*100*($E33/366))+(P34/$R34*100*($E34/366))</f>
        <v>0</v>
      </c>
      <c r="K151" s="989"/>
      <c r="L151" s="989">
        <f>(Q32/$R32*100*($E32/366))+(Q33/$R33*100*($E33/366))+(Q34/$R34*100*($E34/366))</f>
        <v>6.557377049180328</v>
      </c>
      <c r="M151" s="989"/>
      <c r="N151" s="959">
        <f t="shared" si="29"/>
        <v>100</v>
      </c>
      <c r="O151" s="959"/>
      <c r="R151" s="1">
        <v>1972</v>
      </c>
      <c r="S151" s="8">
        <f>(O32*($E32/366))+(O33*($E33/366))+(O34*($E34/366))</f>
        <v>50.085245901639354</v>
      </c>
      <c r="T151" s="8">
        <f>(P32*($E32/366))+(P33*($E33/366))+(P34*($E34/366))</f>
        <v>0</v>
      </c>
      <c r="U151" s="8">
        <f>(Q32*($E32/366))+(Q33*($E33/366))+(Q34*($E34/366))</f>
        <v>4.1442622950819672</v>
      </c>
      <c r="V151" s="7"/>
      <c r="W151" s="7">
        <f t="shared" si="30"/>
        <v>54.229508196721319</v>
      </c>
    </row>
    <row r="152" spans="1:23">
      <c r="A152" s="1">
        <v>1973</v>
      </c>
      <c r="B152" s="8">
        <f>(K35*($E35/365))+(K36*($E36/365))</f>
        <v>0</v>
      </c>
      <c r="C152" s="8">
        <f>(L35*($E35/365))+(L36*($E36/365))</f>
        <v>0</v>
      </c>
      <c r="D152" s="8">
        <f>(M35*($E35/365))+(M36*($E36/365))</f>
        <v>100</v>
      </c>
      <c r="E152" s="48">
        <f t="shared" si="28"/>
        <v>100</v>
      </c>
      <c r="G152" s="1">
        <v>1973</v>
      </c>
      <c r="H152" s="989">
        <f>(O35/$R35*100*($E35/365))+(O36/$R36*100*($E36/365))</f>
        <v>0</v>
      </c>
      <c r="I152" s="989"/>
      <c r="J152" s="989">
        <f>(P35/$R35*100*($E35/365))+(P36/$R36*100*($E36/365))</f>
        <v>0</v>
      </c>
      <c r="K152" s="989"/>
      <c r="L152" s="989">
        <f>(Q35/$R35*100*($E35/365))+(Q36/$R36*100*($E36/365))</f>
        <v>100</v>
      </c>
      <c r="M152" s="989"/>
      <c r="N152" s="959">
        <f t="shared" si="29"/>
        <v>100</v>
      </c>
      <c r="O152" s="959"/>
      <c r="R152" s="1">
        <v>1973</v>
      </c>
      <c r="S152" s="8">
        <f>(O35*($E35/365))+(O36*($E36/365))</f>
        <v>0</v>
      </c>
      <c r="T152" s="8">
        <f>(P35*($E35/365))+(P36*($E36/365))</f>
        <v>0</v>
      </c>
      <c r="U152" s="8">
        <f>(Q35*($E35/365))+(Q36*($E36/365))</f>
        <v>63.2</v>
      </c>
      <c r="V152" s="7"/>
      <c r="W152" s="7">
        <f t="shared" si="30"/>
        <v>63.2</v>
      </c>
    </row>
    <row r="153" spans="1:23">
      <c r="A153" s="1">
        <v>1974</v>
      </c>
      <c r="B153" s="8">
        <f>(K37*($E37/365))+(K38*($E38/365))</f>
        <v>0</v>
      </c>
      <c r="C153" s="8">
        <f>(L37*($E37/365))+(L38*($E38/365))</f>
        <v>0</v>
      </c>
      <c r="D153" s="8">
        <f>(M37*($E37/365))+(M38*($E38/365))</f>
        <v>100</v>
      </c>
      <c r="E153" s="48">
        <f t="shared" si="28"/>
        <v>100</v>
      </c>
      <c r="G153" s="1">
        <v>1974</v>
      </c>
      <c r="H153" s="989">
        <f>(O37/$R37*100*($E37/365))+(O38/$R38*100*($E38/365))</f>
        <v>0</v>
      </c>
      <c r="I153" s="989"/>
      <c r="J153" s="989">
        <f>(P37/$R37*100*($E37/365))+(P38/$R38*100*($E38/365))</f>
        <v>0</v>
      </c>
      <c r="K153" s="989"/>
      <c r="L153" s="989">
        <f>(Q37/$R37*100*($E37/365))+(Q38/$R38*100*($E38/365))</f>
        <v>100</v>
      </c>
      <c r="M153" s="989"/>
      <c r="N153" s="959">
        <f t="shared" si="29"/>
        <v>100</v>
      </c>
      <c r="O153" s="959"/>
      <c r="R153" s="1">
        <v>1974</v>
      </c>
      <c r="S153" s="8">
        <f>(O37*($E37/365))+(O38*($E38/365))</f>
        <v>0</v>
      </c>
      <c r="T153" s="8">
        <f>(P37*($E37/365))+(P38*($E38/365))</f>
        <v>0</v>
      </c>
      <c r="U153" s="8">
        <f>(Q37*($E37/365))+(Q38*($E38/365))</f>
        <v>63.2</v>
      </c>
      <c r="V153" s="7"/>
      <c r="W153" s="7">
        <f t="shared" si="30"/>
        <v>63.2</v>
      </c>
    </row>
    <row r="154" spans="1:23">
      <c r="A154" s="1">
        <v>1975</v>
      </c>
      <c r="B154" s="8">
        <f>(K39*($E39/365))+(K40*($E40/365))</f>
        <v>5.4794520547945202</v>
      </c>
      <c r="C154" s="8">
        <f>(L39*($E39/365))+(L40*($E40/365))</f>
        <v>0</v>
      </c>
      <c r="D154" s="8">
        <f>(M39*($E39/365))+(M40*($E40/365))</f>
        <v>94.520547945205479</v>
      </c>
      <c r="E154" s="48">
        <f t="shared" si="28"/>
        <v>100</v>
      </c>
      <c r="G154" s="1">
        <v>1975</v>
      </c>
      <c r="H154" s="989">
        <f>(O39/$R39*100*($E39/365))+(O40/$R40*100*($E40/365))</f>
        <v>5.4794520547945202</v>
      </c>
      <c r="I154" s="989"/>
      <c r="J154" s="989">
        <f>(P39/$R39*100*($E39/365))+(P40/$R40*100*($E40/365))</f>
        <v>0</v>
      </c>
      <c r="K154" s="989"/>
      <c r="L154" s="989">
        <f>(Q39/$R39*100*($E39/365))+(Q40/$R40*100*($E40/365))</f>
        <v>94.520547945205479</v>
      </c>
      <c r="M154" s="989"/>
      <c r="N154" s="959">
        <f t="shared" si="29"/>
        <v>100</v>
      </c>
      <c r="O154" s="959"/>
      <c r="R154" s="1">
        <v>1975</v>
      </c>
      <c r="S154" s="8">
        <f>(O39*($E39/365))+(O40*($E40/365))</f>
        <v>3.463013698630137</v>
      </c>
      <c r="T154" s="8">
        <f>(P39*($E39/365))+(P40*($E40/365))</f>
        <v>0</v>
      </c>
      <c r="U154" s="8">
        <f>(Q39*($E39/365))+(Q40*($E40/365))</f>
        <v>59.736986301369868</v>
      </c>
      <c r="V154" s="7"/>
      <c r="W154" s="7">
        <f t="shared" si="30"/>
        <v>63.2</v>
      </c>
    </row>
    <row r="155" spans="1:23">
      <c r="A155" s="1">
        <v>1976</v>
      </c>
      <c r="B155" s="8">
        <f>(K41*($E41/366))+(K42*($E42/366))</f>
        <v>100</v>
      </c>
      <c r="C155" s="8">
        <f>(L41*($E41/366))+(L42*($E42/366))</f>
        <v>0</v>
      </c>
      <c r="D155" s="8">
        <f>(M41*($E41/366))+(M42*($E42/366))</f>
        <v>0</v>
      </c>
      <c r="E155" s="48">
        <f t="shared" si="28"/>
        <v>100</v>
      </c>
      <c r="G155" s="1">
        <v>1976</v>
      </c>
      <c r="H155" s="989">
        <f>(O41/$R41*100*($E41/366))+(O42/$R42*100*($E42/366))</f>
        <v>100</v>
      </c>
      <c r="I155" s="989"/>
      <c r="J155" s="989">
        <f>(P41/$R41*100*($E41/366))+(P42/$R42*100*($E42/366))</f>
        <v>0</v>
      </c>
      <c r="K155" s="989"/>
      <c r="L155" s="989">
        <f>(Q41/$R41*100*($E41/366))+(Q42/$R42*100*($E42/366))</f>
        <v>0</v>
      </c>
      <c r="M155" s="989"/>
      <c r="N155" s="959">
        <f t="shared" si="29"/>
        <v>100</v>
      </c>
      <c r="O155" s="959"/>
      <c r="R155" s="1">
        <v>1976</v>
      </c>
      <c r="S155" s="8">
        <f>(O41*($E41/366))+(O42*($E42/366))</f>
        <v>63.2</v>
      </c>
      <c r="T155" s="8">
        <f>(P41*($E41/366))+(P42*($E42/366))</f>
        <v>0</v>
      </c>
      <c r="U155" s="8">
        <f>(Q41*($E41/366))+(Q42*($E42/366))</f>
        <v>0</v>
      </c>
      <c r="V155" s="7"/>
      <c r="W155" s="7">
        <f t="shared" si="30"/>
        <v>63.2</v>
      </c>
    </row>
    <row r="156" spans="1:23">
      <c r="A156" s="1">
        <v>1977</v>
      </c>
      <c r="B156" s="8">
        <f>(K43*($E43/365))+(K44*($E44/365))</f>
        <v>100</v>
      </c>
      <c r="C156" s="8">
        <f>(L43*($E43/365))+(L44*($E44/365))</f>
        <v>0</v>
      </c>
      <c r="D156" s="8">
        <f>(M43*($E43/365))+(M44*($E44/365))</f>
        <v>0</v>
      </c>
      <c r="E156" s="48">
        <f t="shared" si="28"/>
        <v>100</v>
      </c>
      <c r="G156" s="1">
        <v>1977</v>
      </c>
      <c r="H156" s="989">
        <f>(O43/$R43*100*($E43/365))+(O44/$R44*100*($E44/365))</f>
        <v>100</v>
      </c>
      <c r="I156" s="989"/>
      <c r="J156" s="989">
        <f>(P43/$R43*100*($E43/365))+(P44/$R44*100*($E44/365))</f>
        <v>0</v>
      </c>
      <c r="K156" s="989"/>
      <c r="L156" s="989">
        <f>(Q43/$R43*100*($E43/365))+(Q44/$R44*100*($E44/365))</f>
        <v>0</v>
      </c>
      <c r="M156" s="989"/>
      <c r="N156" s="959">
        <f t="shared" si="29"/>
        <v>100</v>
      </c>
      <c r="O156" s="959"/>
      <c r="R156" s="1">
        <v>1977</v>
      </c>
      <c r="S156" s="8">
        <f>(O43*($E43/365))+(O44*($E44/365))</f>
        <v>63.2</v>
      </c>
      <c r="T156" s="8">
        <f>(P43*($E43/365))+(P44*($E44/365))</f>
        <v>0</v>
      </c>
      <c r="U156" s="8">
        <f>(Q43*($E43/365))+(Q44*($E44/365))</f>
        <v>0</v>
      </c>
      <c r="V156" s="7"/>
      <c r="W156" s="7">
        <f t="shared" si="30"/>
        <v>63.2</v>
      </c>
    </row>
    <row r="157" spans="1:23">
      <c r="A157" s="1">
        <v>1978</v>
      </c>
      <c r="B157" s="8">
        <f>(K45*($E45/365))+(K46*($E46/365))</f>
        <v>100</v>
      </c>
      <c r="C157" s="8">
        <f>(L45*($E45/365))+(L46*($E46/365))</f>
        <v>0</v>
      </c>
      <c r="D157" s="8">
        <f>(M45*($E45/365))+(M46*($E46/365))</f>
        <v>0</v>
      </c>
      <c r="E157" s="48">
        <f t="shared" si="28"/>
        <v>100</v>
      </c>
      <c r="G157" s="1">
        <v>1978</v>
      </c>
      <c r="H157" s="989">
        <f>(O45/$R45*100*($E45/365))+(O46/$R46*100*($E46/365))</f>
        <v>100</v>
      </c>
      <c r="I157" s="989"/>
      <c r="J157" s="989">
        <f>(P45/$R45*100*($E45/365))+(P46/$R46*100*($E46/365))</f>
        <v>0</v>
      </c>
      <c r="K157" s="989"/>
      <c r="L157" s="989">
        <f>(Q45/$R45*100*($E45/365))+(Q46/$R46*100*($E46/365))</f>
        <v>0</v>
      </c>
      <c r="M157" s="989"/>
      <c r="N157" s="959">
        <f t="shared" si="29"/>
        <v>100</v>
      </c>
      <c r="O157" s="959"/>
      <c r="R157" s="1">
        <v>1978</v>
      </c>
      <c r="S157" s="8">
        <f>(O45*($E45/365))+(O46*($E46/365))</f>
        <v>62.793972602739728</v>
      </c>
      <c r="T157" s="8">
        <f>(P45*($E45/365))+(P46*($E46/365))</f>
        <v>0</v>
      </c>
      <c r="U157" s="8">
        <f>(Q45*($E45/365))+(Q46*($E46/365))</f>
        <v>0</v>
      </c>
      <c r="V157" s="7"/>
      <c r="W157" s="7">
        <f t="shared" si="30"/>
        <v>62.793972602739728</v>
      </c>
    </row>
    <row r="158" spans="1:23">
      <c r="A158" s="1">
        <v>1979</v>
      </c>
      <c r="B158" s="8">
        <f>(K47*($E47/365))+(K48*($E48/365))</f>
        <v>100</v>
      </c>
      <c r="C158" s="8">
        <f>(L47*($E47/365))+(L48*($E48/365))</f>
        <v>0</v>
      </c>
      <c r="D158" s="8">
        <f>(M47*($E47/365))+(M48*($E48/365))</f>
        <v>0</v>
      </c>
      <c r="E158" s="48">
        <f t="shared" si="28"/>
        <v>100</v>
      </c>
      <c r="G158" s="1">
        <v>1979</v>
      </c>
      <c r="H158" s="989">
        <f>(O47/$R47*100*($E47/365))+(O48/$R48*100*($E48/365))</f>
        <v>100</v>
      </c>
      <c r="I158" s="989"/>
      <c r="J158" s="989">
        <f>(P47/$R47*100*($E47/365))+(P48/$R48*100*($E48/365))</f>
        <v>0</v>
      </c>
      <c r="K158" s="989"/>
      <c r="L158" s="989">
        <f>(Q47/$R47*100*($E47/365))+(Q48/$R48*100*($E48/365))</f>
        <v>0</v>
      </c>
      <c r="M158" s="989"/>
      <c r="N158" s="959">
        <f t="shared" si="29"/>
        <v>100</v>
      </c>
      <c r="O158" s="959"/>
      <c r="R158" s="1">
        <v>1979</v>
      </c>
      <c r="S158" s="8">
        <f>(O47*($E47/365))+(O48*($E48/365))</f>
        <v>55.4</v>
      </c>
      <c r="T158" s="8">
        <f>(P47*($E47/365))+(P48*($E48/365))</f>
        <v>0</v>
      </c>
      <c r="U158" s="8">
        <f>(Q47*($E47/365))+(Q48*($E48/365))</f>
        <v>0</v>
      </c>
      <c r="V158" s="7"/>
      <c r="W158" s="7">
        <f t="shared" si="30"/>
        <v>55.4</v>
      </c>
    </row>
    <row r="159" spans="1:23">
      <c r="A159" s="1">
        <v>1980</v>
      </c>
      <c r="B159" s="8">
        <f>(K49*($E49/366))+(K50*($E50/366))</f>
        <v>100</v>
      </c>
      <c r="C159" s="8">
        <f>(L49*($E49/366))+(L50*($E50/366))</f>
        <v>0</v>
      </c>
      <c r="D159" s="8">
        <f>(M49*($E49/366))+(M50*($E50/366))</f>
        <v>0</v>
      </c>
      <c r="E159" s="48">
        <f t="shared" si="28"/>
        <v>100</v>
      </c>
      <c r="G159" s="1">
        <v>1980</v>
      </c>
      <c r="H159" s="989">
        <f>(O49/$R49*100*($E49/366))+(O50/$R50*100*($E50/366))</f>
        <v>100</v>
      </c>
      <c r="I159" s="989"/>
      <c r="J159" s="989">
        <f>(P49/$R49*100*($E49/366))+(P50/$R50*100*($E50/366))</f>
        <v>0</v>
      </c>
      <c r="K159" s="989"/>
      <c r="L159" s="989">
        <f>(Q49/$R49*100*($E49/366))+(Q50/$R50*100*($E50/366))</f>
        <v>0</v>
      </c>
      <c r="M159" s="989"/>
      <c r="N159" s="959">
        <f t="shared" si="29"/>
        <v>100</v>
      </c>
      <c r="O159" s="959"/>
      <c r="R159" s="1">
        <v>1980</v>
      </c>
      <c r="S159" s="8">
        <f>(O49*($E49/366))+(O50*($E50/366))</f>
        <v>55.4</v>
      </c>
      <c r="T159" s="8">
        <f>(P49*($E49/366))+(P50*($E50/366))</f>
        <v>0</v>
      </c>
      <c r="U159" s="8">
        <f>(Q49*($E49/366))+(Q50*($E50/366))</f>
        <v>0</v>
      </c>
      <c r="V159" s="7"/>
      <c r="W159" s="7">
        <f t="shared" si="30"/>
        <v>55.4</v>
      </c>
    </row>
    <row r="160" spans="1:23">
      <c r="A160" s="1">
        <v>1981</v>
      </c>
      <c r="B160" s="8">
        <f>(K51*($E51/365))+(K52*($E52/365))</f>
        <v>100</v>
      </c>
      <c r="C160" s="8">
        <f>(L51*($E51/365))+(L52*($E52/365))</f>
        <v>0</v>
      </c>
      <c r="D160" s="8">
        <f>(M51*($E51/365))+(M52*($E52/365))</f>
        <v>0</v>
      </c>
      <c r="E160" s="48">
        <f t="shared" si="28"/>
        <v>100</v>
      </c>
      <c r="G160" s="1">
        <v>1981</v>
      </c>
      <c r="H160" s="989">
        <f>(O51/$R51*100*($E51/365))+(O52/$R52*100*($E52/365))</f>
        <v>100</v>
      </c>
      <c r="I160" s="989"/>
      <c r="J160" s="989">
        <f>(P51/$R51*100*($E51/365))+(P52/$R52*100*($E52/365))</f>
        <v>0</v>
      </c>
      <c r="K160" s="989"/>
      <c r="L160" s="989">
        <f>(Q51/$R51*100*($E51/365))+(Q52/$R52*100*($E52/365))</f>
        <v>0</v>
      </c>
      <c r="M160" s="989"/>
      <c r="N160" s="959">
        <f t="shared" si="29"/>
        <v>100</v>
      </c>
      <c r="O160" s="959"/>
      <c r="R160" s="1">
        <v>1981</v>
      </c>
      <c r="S160" s="8">
        <f>(O51*($E51/365))+(O52*($E52/365))</f>
        <v>55.152602739726028</v>
      </c>
      <c r="T160" s="8">
        <f>(P51*($E51/365))+(P52*($E52/365))</f>
        <v>0</v>
      </c>
      <c r="U160" s="8">
        <f>(Q51*($E51/365))+(Q52*($E52/365))</f>
        <v>0</v>
      </c>
      <c r="V160" s="7"/>
      <c r="W160" s="7">
        <f t="shared" si="30"/>
        <v>55.152602739726028</v>
      </c>
    </row>
    <row r="161" spans="1:23">
      <c r="A161" s="1">
        <v>1982</v>
      </c>
      <c r="B161" s="8">
        <f>(K53*($E53/365))+(K54*($E54/365))</f>
        <v>100</v>
      </c>
      <c r="C161" s="8">
        <f>(L53*($E53/365))+(L54*($E54/365))</f>
        <v>0</v>
      </c>
      <c r="D161" s="8">
        <f>(M53*($E53/365))+(M54*($E54/365))</f>
        <v>0</v>
      </c>
      <c r="E161" s="48">
        <f t="shared" si="28"/>
        <v>100</v>
      </c>
      <c r="G161" s="1">
        <v>1982</v>
      </c>
      <c r="H161" s="989">
        <f>(O53/$R53*100*($E53/365))+(O54/$R54*100*($E54/365))</f>
        <v>100</v>
      </c>
      <c r="I161" s="989"/>
      <c r="J161" s="989">
        <f>(P53/$R53*100*($E53/365))+(P54/$R54*100*($E54/365))</f>
        <v>0</v>
      </c>
      <c r="K161" s="989"/>
      <c r="L161" s="989">
        <f>(Q53/$R53*100*($E53/365))+(Q54/$R54*100*($E54/365))</f>
        <v>0</v>
      </c>
      <c r="M161" s="989"/>
      <c r="N161" s="959">
        <f t="shared" si="29"/>
        <v>100</v>
      </c>
      <c r="O161" s="959"/>
      <c r="R161" s="1">
        <v>1982</v>
      </c>
      <c r="S161" s="8">
        <f>(O53*($E53/365))+(O54*($E54/365))</f>
        <v>51.1</v>
      </c>
      <c r="T161" s="8">
        <f>(P53*($E53/365))+(P54*($E54/365))</f>
        <v>0</v>
      </c>
      <c r="U161" s="8">
        <f>(Q53*($E53/365))+(Q54*($E54/365))</f>
        <v>0</v>
      </c>
      <c r="V161" s="7"/>
      <c r="W161" s="7">
        <f t="shared" si="30"/>
        <v>51.1</v>
      </c>
    </row>
    <row r="162" spans="1:23">
      <c r="A162" s="1">
        <v>1983</v>
      </c>
      <c r="B162" s="8">
        <f>(K55*($E55/365))+(K56*($E56/365))</f>
        <v>100</v>
      </c>
      <c r="C162" s="8">
        <f>(L55*($E55/365))+(L56*($E56/365))</f>
        <v>0</v>
      </c>
      <c r="D162" s="8">
        <f>(M55*($E55/365))+(M56*($E56/365))</f>
        <v>0</v>
      </c>
      <c r="E162" s="48">
        <f t="shared" si="28"/>
        <v>100</v>
      </c>
      <c r="G162" s="1">
        <v>1983</v>
      </c>
      <c r="H162" s="989">
        <f>(O55/$R55*100*($E55/365))+(O56/$R56*100*($E56/365))</f>
        <v>100</v>
      </c>
      <c r="I162" s="989"/>
      <c r="J162" s="989">
        <f>(P55/$R55*100*($E55/365))+(P56/$R56*100*($E56/365))</f>
        <v>0</v>
      </c>
      <c r="K162" s="989"/>
      <c r="L162" s="989">
        <f>(Q55/$R55*100*($E55/365))+(Q56/$R56*100*($E56/365))</f>
        <v>0</v>
      </c>
      <c r="M162" s="989"/>
      <c r="N162" s="959">
        <f t="shared" si="29"/>
        <v>100</v>
      </c>
      <c r="O162" s="959"/>
      <c r="R162" s="1">
        <v>1983</v>
      </c>
      <c r="S162" s="8">
        <f>(O55*($E55/365))+(O56*($E56/365))</f>
        <v>51.1</v>
      </c>
      <c r="T162" s="8">
        <f>(P55*($E55/365))+(P56*($E56/365))</f>
        <v>0</v>
      </c>
      <c r="U162" s="8">
        <f>(Q55*($E55/365))+(Q56*($E56/365))</f>
        <v>0</v>
      </c>
      <c r="V162" s="7"/>
      <c r="W162" s="7">
        <f t="shared" si="30"/>
        <v>51.1</v>
      </c>
    </row>
    <row r="163" spans="1:23">
      <c r="A163" s="1">
        <v>1984</v>
      </c>
      <c r="B163" s="8">
        <f>(K57*($E57/366))+(K58*($E58/366))</f>
        <v>56.557377049180324</v>
      </c>
      <c r="C163" s="8">
        <f>(L57*($E57/366))+(L58*($E58/366))</f>
        <v>0</v>
      </c>
      <c r="D163" s="8">
        <f>(M57*($E57/366))+(M58*($E58/366))</f>
        <v>43.442622950819668</v>
      </c>
      <c r="E163" s="48">
        <f t="shared" si="28"/>
        <v>100</v>
      </c>
      <c r="G163" s="1">
        <v>1984</v>
      </c>
      <c r="H163" s="989">
        <f>(O57/$R57*100*($E57/366))+(O58/$R58*100*($E58/366))</f>
        <v>56.557377049180324</v>
      </c>
      <c r="I163" s="989"/>
      <c r="J163" s="989">
        <f>(P57/$R57*100*($E57/366))+(P58/$R58*100*($E58/366))</f>
        <v>0</v>
      </c>
      <c r="K163" s="989"/>
      <c r="L163" s="989">
        <f>(Q57/$R57*100*($E57/366))+(Q58/$R58*100*($E58/366))</f>
        <v>43.442622950819668</v>
      </c>
      <c r="M163" s="989"/>
      <c r="N163" s="959">
        <f t="shared" si="29"/>
        <v>100</v>
      </c>
      <c r="O163" s="959"/>
      <c r="R163" s="1">
        <v>1984</v>
      </c>
      <c r="S163" s="8">
        <f>(O57*($E57/366))+(O58*($E58/366))</f>
        <v>28.900819672131146</v>
      </c>
      <c r="T163" s="8">
        <f>(P57*($E57/366))+(P58*($E58/366))</f>
        <v>0</v>
      </c>
      <c r="U163" s="8">
        <f>(Q57*($E57/366))+(Q58*($E58/366))</f>
        <v>26.065573770491802</v>
      </c>
      <c r="V163" s="7"/>
      <c r="W163" s="7">
        <f t="shared" si="30"/>
        <v>54.966393442622945</v>
      </c>
    </row>
    <row r="164" spans="1:23">
      <c r="A164" s="1">
        <v>1985</v>
      </c>
      <c r="B164" s="8">
        <f>(K59*($E59/365))+(K60*($E60/365))</f>
        <v>0</v>
      </c>
      <c r="C164" s="8">
        <f>(L59*($E59/365))+(L60*($E60/365))</f>
        <v>0</v>
      </c>
      <c r="D164" s="8">
        <f>(M59*($E59/365))+(M60*($E60/365))</f>
        <v>100</v>
      </c>
      <c r="E164" s="48">
        <f t="shared" si="28"/>
        <v>100</v>
      </c>
      <c r="G164" s="1">
        <v>1985</v>
      </c>
      <c r="H164" s="989">
        <f>(O59/$R59*100*($E59/365))+(O60/$R60*100*($E60/365))</f>
        <v>0</v>
      </c>
      <c r="I164" s="989"/>
      <c r="J164" s="989">
        <f>(P59/$R59*100*($E59/365))+(P60/$R60*100*($E60/365))</f>
        <v>0</v>
      </c>
      <c r="K164" s="989"/>
      <c r="L164" s="989">
        <f>(Q59/$R59*100*($E59/365))+(Q60/$R60*100*($E60/365))</f>
        <v>100</v>
      </c>
      <c r="M164" s="989"/>
      <c r="N164" s="959">
        <f t="shared" si="29"/>
        <v>100</v>
      </c>
      <c r="O164" s="959"/>
      <c r="R164" s="1">
        <v>1985</v>
      </c>
      <c r="S164" s="8">
        <f>(O59*($E59/365))+(O60*($E60/365))</f>
        <v>0</v>
      </c>
      <c r="T164" s="8">
        <f>(P59*($E59/365))+(P60*($E60/365))</f>
        <v>0</v>
      </c>
      <c r="U164" s="8">
        <f>(Q59*($E59/365))+(Q60*($E60/365))</f>
        <v>60</v>
      </c>
      <c r="V164" s="7"/>
      <c r="W164" s="7">
        <f t="shared" si="30"/>
        <v>60</v>
      </c>
    </row>
    <row r="165" spans="1:23">
      <c r="A165" s="1">
        <v>1986</v>
      </c>
      <c r="B165" s="8">
        <f>(K61*($E61/365))+(K62*($E62/365))</f>
        <v>0</v>
      </c>
      <c r="C165" s="8">
        <f>(L61*($E61/365))+(L62*($E62/365))</f>
        <v>0</v>
      </c>
      <c r="D165" s="8">
        <f>(M61*($E61/365))+(M62*($E62/365))</f>
        <v>100</v>
      </c>
      <c r="E165" s="48">
        <f t="shared" si="28"/>
        <v>100</v>
      </c>
      <c r="G165" s="1">
        <v>1986</v>
      </c>
      <c r="H165" s="989">
        <f>(O61/$R61*100*($E61/365))+(O62/$R62*100*($E62/365))</f>
        <v>0</v>
      </c>
      <c r="I165" s="989"/>
      <c r="J165" s="989">
        <f>(P61/$R61*100*($E61/365))+(P62/$R62*100*($E62/365))</f>
        <v>0</v>
      </c>
      <c r="K165" s="989"/>
      <c r="L165" s="989">
        <f>(Q61/$R61*100*($E61/365))+(Q62/$R62*100*($E62/365))</f>
        <v>100</v>
      </c>
      <c r="M165" s="989"/>
      <c r="N165" s="959">
        <f t="shared" si="29"/>
        <v>100</v>
      </c>
      <c r="O165" s="959"/>
      <c r="R165" s="1">
        <v>1986</v>
      </c>
      <c r="S165" s="8">
        <f>(O61*($E61/365))+(O62*($E62/365))</f>
        <v>0</v>
      </c>
      <c r="T165" s="8">
        <f>(P61*($E61/365))+(P62*($E62/365))</f>
        <v>0</v>
      </c>
      <c r="U165" s="8">
        <f>(Q61*($E61/365))+(Q62*($E62/365))</f>
        <v>60</v>
      </c>
      <c r="V165" s="7"/>
      <c r="W165" s="7">
        <f t="shared" si="30"/>
        <v>60</v>
      </c>
    </row>
    <row r="166" spans="1:23">
      <c r="A166" s="1">
        <v>1987</v>
      </c>
      <c r="B166" s="8">
        <f>(K63*($E63/365))+(K64*($E64/365))</f>
        <v>0</v>
      </c>
      <c r="C166" s="8">
        <f>(L63*($E63/365))+(L64*($E64/365))</f>
        <v>0</v>
      </c>
      <c r="D166" s="8">
        <f>(M63*($E63/365))+(M64*($E64/365))</f>
        <v>100</v>
      </c>
      <c r="E166" s="48">
        <f t="shared" si="28"/>
        <v>100</v>
      </c>
      <c r="G166" s="1">
        <v>1987</v>
      </c>
      <c r="H166" s="989">
        <f>(O63/$R63*100*($E63/365))+(O64/$R64*100*($E64/365))</f>
        <v>0</v>
      </c>
      <c r="I166" s="989"/>
      <c r="J166" s="989">
        <f>(P63/$R63*100*($E63/365))+(P64/$R64*100*($E64/365))</f>
        <v>0</v>
      </c>
      <c r="K166" s="989"/>
      <c r="L166" s="989">
        <f>(Q63/$R63*100*($E63/365))+(Q64/$R64*100*($E64/365))</f>
        <v>100</v>
      </c>
      <c r="M166" s="989"/>
      <c r="N166" s="959">
        <f t="shared" si="29"/>
        <v>100</v>
      </c>
      <c r="O166" s="959"/>
      <c r="R166" s="1">
        <v>1987</v>
      </c>
      <c r="S166" s="8">
        <f>(O63*($E63/365))+(O64*($E64/365))</f>
        <v>0</v>
      </c>
      <c r="T166" s="8">
        <f>(P63*($E63/365))+(P64*($E64/365))</f>
        <v>0</v>
      </c>
      <c r="U166" s="8">
        <f>(Q63*($E63/365))+(Q64*($E64/365))</f>
        <v>59.556164383561637</v>
      </c>
      <c r="V166" s="7"/>
      <c r="W166" s="7">
        <f t="shared" si="30"/>
        <v>59.556164383561637</v>
      </c>
    </row>
    <row r="167" spans="1:23">
      <c r="A167" s="1">
        <v>1988</v>
      </c>
      <c r="B167" s="8">
        <f>(K65*($E65/366))+(K66*($E66/366))</f>
        <v>0</v>
      </c>
      <c r="C167" s="8">
        <f>(L65*($E65/366))+(L66*($E66/366))</f>
        <v>0</v>
      </c>
      <c r="D167" s="8">
        <f>(M65*($E65/366))+(M66*($E66/366))</f>
        <v>100</v>
      </c>
      <c r="E167" s="48">
        <f t="shared" si="28"/>
        <v>100</v>
      </c>
      <c r="G167" s="1">
        <v>1988</v>
      </c>
      <c r="H167" s="989">
        <f>(O65/$R65*100*($E65/366))+(O66/$R66*100*($E66/366))</f>
        <v>0</v>
      </c>
      <c r="I167" s="989"/>
      <c r="J167" s="989">
        <f>(P65/$R65*100*($E65/366))+(P66/$R66*100*($E66/366))</f>
        <v>0</v>
      </c>
      <c r="K167" s="989"/>
      <c r="L167" s="989">
        <f>(Q65/$R65*100*($E65/366))+(Q66/$R66*100*($E66/366))</f>
        <v>100</v>
      </c>
      <c r="M167" s="989"/>
      <c r="N167" s="959">
        <f t="shared" si="29"/>
        <v>100</v>
      </c>
      <c r="O167" s="959"/>
      <c r="R167" s="1">
        <v>1988</v>
      </c>
      <c r="S167" s="8">
        <f>(O65*($E65/366))+(O66*($E66/366))</f>
        <v>0</v>
      </c>
      <c r="T167" s="8">
        <f>(P65*($E65/366))+(P66*($E66/366))</f>
        <v>0</v>
      </c>
      <c r="U167" s="8">
        <f>(Q65*($E65/366))+(Q66*($E66/366))</f>
        <v>58.8</v>
      </c>
      <c r="V167" s="7"/>
      <c r="W167" s="7">
        <f t="shared" si="30"/>
        <v>58.8</v>
      </c>
    </row>
    <row r="168" spans="1:23">
      <c r="A168" s="1">
        <v>1989</v>
      </c>
      <c r="B168" s="8">
        <f>(K67*($E67/365))+(K68*($E68/365))</f>
        <v>0</v>
      </c>
      <c r="C168" s="8">
        <f>(L67*($E67/365))+(L68*($E68/365))</f>
        <v>0</v>
      </c>
      <c r="D168" s="8">
        <f>(M67*($E67/365))+(M68*($E68/365))</f>
        <v>100</v>
      </c>
      <c r="E168" s="48">
        <f t="shared" si="28"/>
        <v>100</v>
      </c>
      <c r="G168" s="1">
        <v>1989</v>
      </c>
      <c r="H168" s="989">
        <f>(O67/$R67*100*($E67/365))+(O68/$R68*100*($E68/365))</f>
        <v>0</v>
      </c>
      <c r="I168" s="989"/>
      <c r="J168" s="989">
        <f>(P67/$R67*100*($E67/365))+(P68/$R68*100*($E68/365))</f>
        <v>0</v>
      </c>
      <c r="K168" s="989"/>
      <c r="L168" s="989">
        <f>(Q67/$R67*100*($E67/365))+(Q68/$R68*100*($E68/365))</f>
        <v>100</v>
      </c>
      <c r="M168" s="989"/>
      <c r="N168" s="959">
        <f t="shared" si="29"/>
        <v>100</v>
      </c>
      <c r="O168" s="959"/>
      <c r="R168" s="1">
        <v>1989</v>
      </c>
      <c r="S168" s="8">
        <f>(O67*($E67/365))+(O68*($E68/365))</f>
        <v>0</v>
      </c>
      <c r="T168" s="8">
        <f>(P67*($E67/365))+(P68*($E68/365))</f>
        <v>0</v>
      </c>
      <c r="U168" s="8">
        <f>(Q67*($E67/365))+(Q68*($E68/365))</f>
        <v>58.800000000000004</v>
      </c>
      <c r="V168" s="7"/>
      <c r="W168" s="7">
        <f t="shared" si="30"/>
        <v>58.800000000000004</v>
      </c>
    </row>
    <row r="169" spans="1:23">
      <c r="A169" s="1">
        <v>1990</v>
      </c>
      <c r="B169" s="8">
        <f>(K69*($E69/365))+(K70*($E70/365))</f>
        <v>16.43835616438356</v>
      </c>
      <c r="C169" s="8">
        <f>(L69*($E69/365))+(L70*($E70/365))</f>
        <v>0</v>
      </c>
      <c r="D169" s="8">
        <f>(M69*($E69/365))+(M70*($E70/365))</f>
        <v>83.561643835616437</v>
      </c>
      <c r="E169" s="48">
        <f t="shared" si="28"/>
        <v>100</v>
      </c>
      <c r="G169" s="1">
        <v>1990</v>
      </c>
      <c r="H169" s="989">
        <f>(O69/$R69*100*($E69/365))+(O70/$R70*100*($E70/365))</f>
        <v>16.43835616438356</v>
      </c>
      <c r="I169" s="989"/>
      <c r="J169" s="989">
        <f>(P69/$R69*100*($E69/365))+(P70/$R70*100*($E70/365))</f>
        <v>0</v>
      </c>
      <c r="K169" s="989"/>
      <c r="L169" s="989">
        <f>(Q69/$R69*100*($E69/365))+(Q70/$R70*100*($E70/365))</f>
        <v>83.561643835616437</v>
      </c>
      <c r="M169" s="989"/>
      <c r="N169" s="959">
        <f t="shared" si="29"/>
        <v>100</v>
      </c>
      <c r="O169" s="959"/>
      <c r="R169" s="1">
        <v>1990</v>
      </c>
      <c r="S169" s="8">
        <f>(O69*($E69/365))+(O70*($E70/365))</f>
        <v>11.523287671232875</v>
      </c>
      <c r="T169" s="8">
        <f>(P69*($E69/365))+(P70*($E70/365))</f>
        <v>0</v>
      </c>
      <c r="U169" s="8">
        <f>(Q69*($E69/365))+(Q70*($E70/365))</f>
        <v>49.134246575342466</v>
      </c>
      <c r="V169" s="7"/>
      <c r="W169" s="7">
        <f t="shared" si="30"/>
        <v>60.657534246575338</v>
      </c>
    </row>
    <row r="170" spans="1:23">
      <c r="A170" s="1">
        <v>1991</v>
      </c>
      <c r="B170" s="8">
        <f>(K71*($E71/365))+(K72*($E72/365))</f>
        <v>100</v>
      </c>
      <c r="C170" s="8">
        <f>(L71*($E71/365))+(L72*($E72/365))</f>
        <v>0</v>
      </c>
      <c r="D170" s="8">
        <f>(M71*($E71/365))+(M72*($E72/365))</f>
        <v>0</v>
      </c>
      <c r="E170" s="48">
        <f t="shared" si="28"/>
        <v>100</v>
      </c>
      <c r="G170" s="1">
        <v>1991</v>
      </c>
      <c r="H170" s="989">
        <f>(O71/$R71*100*($E71/365))+(O72/$R72*100*($E72/365))</f>
        <v>100</v>
      </c>
      <c r="I170" s="989"/>
      <c r="J170" s="989">
        <f>(P71/$R71*100*($E71/365))+(P72/$R72*100*($E72/365))</f>
        <v>0</v>
      </c>
      <c r="K170" s="989"/>
      <c r="L170" s="989">
        <f>(Q71/$R71*100*($E71/365))+(Q72/$R72*100*($E72/365))</f>
        <v>0</v>
      </c>
      <c r="M170" s="989"/>
      <c r="N170" s="959">
        <f t="shared" si="29"/>
        <v>100</v>
      </c>
      <c r="O170" s="959"/>
      <c r="R170" s="1">
        <v>1991</v>
      </c>
      <c r="S170" s="8">
        <f>(O71*($E71/365))+(O72*($E72/365))</f>
        <v>70.099999999999994</v>
      </c>
      <c r="T170" s="8">
        <f>(P71*($E71/365))+(P72*($E72/365))</f>
        <v>0</v>
      </c>
      <c r="U170" s="8">
        <f>(Q71*($E71/365))+(Q72*($E72/365))</f>
        <v>0</v>
      </c>
      <c r="V170" s="7"/>
      <c r="W170" s="7">
        <f t="shared" si="30"/>
        <v>70.099999999999994</v>
      </c>
    </row>
    <row r="171" spans="1:23">
      <c r="A171" s="1">
        <v>1992</v>
      </c>
      <c r="B171" s="8">
        <f>(K73*($E73/366))+(K74*($E74/366))</f>
        <v>100</v>
      </c>
      <c r="C171" s="8">
        <f>(L73*($E73/366))+(L74*($E74/366))</f>
        <v>0</v>
      </c>
      <c r="D171" s="8">
        <f>(M73*($E73/366))+(M74*($E74/366))</f>
        <v>0</v>
      </c>
      <c r="E171" s="48">
        <f t="shared" si="28"/>
        <v>100</v>
      </c>
      <c r="G171" s="1">
        <v>1992</v>
      </c>
      <c r="H171" s="989">
        <f>(O73/$R73*100*($E73/366))+(O74/$R74*100*($E74/366))</f>
        <v>100</v>
      </c>
      <c r="I171" s="989"/>
      <c r="J171" s="989">
        <f>(P73/$R73*100*($E73/366))+(P74/$R74*100*($E74/366))</f>
        <v>0</v>
      </c>
      <c r="K171" s="989"/>
      <c r="L171" s="989">
        <f>(Q73/$R73*100*($E73/366))+(Q74/$R74*100*($E74/366))</f>
        <v>0</v>
      </c>
      <c r="M171" s="989"/>
      <c r="N171" s="959">
        <f t="shared" si="29"/>
        <v>100</v>
      </c>
      <c r="O171" s="959"/>
      <c r="R171" s="1">
        <v>1992</v>
      </c>
      <c r="S171" s="8">
        <f>(O73*($E73/366))+(O74*($E74/366))</f>
        <v>70.099999999999994</v>
      </c>
      <c r="T171" s="8">
        <f>(P73*($E73/366))+(P74*($E74/366))</f>
        <v>0</v>
      </c>
      <c r="U171" s="8">
        <f>(Q73*($E73/366))+(Q74*($E74/366))</f>
        <v>0</v>
      </c>
      <c r="V171" s="7"/>
      <c r="W171" s="7">
        <f t="shared" si="30"/>
        <v>70.099999999999994</v>
      </c>
    </row>
    <row r="172" spans="1:23">
      <c r="A172" s="1">
        <v>1993</v>
      </c>
      <c r="B172" s="8">
        <f>(K75*($E75/365))+(K76*($E76/365))</f>
        <v>100.00000000000001</v>
      </c>
      <c r="C172" s="8">
        <f>(L75*($E75/365))+(L76*($E76/365))</f>
        <v>0</v>
      </c>
      <c r="D172" s="8">
        <f>(M75*($E75/365))+(M76*($E76/365))</f>
        <v>0</v>
      </c>
      <c r="E172" s="48">
        <f t="shared" si="28"/>
        <v>100.00000000000001</v>
      </c>
      <c r="G172" s="1">
        <v>1993</v>
      </c>
      <c r="H172" s="989">
        <f>(O75/$R75*100*($E75/365))+(O76/$R76*100*($E76/365))</f>
        <v>100.00000000000001</v>
      </c>
      <c r="I172" s="989"/>
      <c r="J172" s="989">
        <f>(P75/$R75*100*($E75/365))+(P76/$R76*100*($E76/365))</f>
        <v>0</v>
      </c>
      <c r="K172" s="989"/>
      <c r="L172" s="989">
        <f>(Q75/$R75*100*($E75/365))+(Q76/$R76*100*($E76/365))</f>
        <v>0</v>
      </c>
      <c r="M172" s="989"/>
      <c r="N172" s="959">
        <f t="shared" si="29"/>
        <v>100.00000000000001</v>
      </c>
      <c r="O172" s="959"/>
      <c r="R172" s="1">
        <v>1993</v>
      </c>
      <c r="S172" s="8">
        <f>(O75*($E75/365))+(O76*($E76/365))</f>
        <v>68.27424657534246</v>
      </c>
      <c r="T172" s="8">
        <f>(P75*($E75/365))+(P76*($E76/365))</f>
        <v>0</v>
      </c>
      <c r="U172" s="8">
        <f>(Q75*($E75/365))+(Q76*($E76/365))</f>
        <v>0</v>
      </c>
      <c r="V172" s="7"/>
      <c r="W172" s="7">
        <f t="shared" si="30"/>
        <v>68.27424657534246</v>
      </c>
    </row>
    <row r="173" spans="1:23">
      <c r="A173" s="1">
        <v>1994</v>
      </c>
      <c r="B173" s="8">
        <f>(K77*($E77/365))+(K78*($E78/365))</f>
        <v>100</v>
      </c>
      <c r="C173" s="8">
        <f>(L77*($E77/365))+(L78*($E78/365))</f>
        <v>0</v>
      </c>
      <c r="D173" s="8">
        <f>(M77*($E77/365))+(M78*($E78/365))</f>
        <v>0</v>
      </c>
      <c r="E173" s="48">
        <f t="shared" si="28"/>
        <v>100</v>
      </c>
      <c r="G173" s="1">
        <v>1994</v>
      </c>
      <c r="H173" s="989">
        <f>(O77/$R77*100*($E77/365))+(O78/$R78*100*($E78/365))</f>
        <v>100</v>
      </c>
      <c r="I173" s="989"/>
      <c r="J173" s="989">
        <f>(P77/$R77*100*($E77/365))+(P78/$R78*100*($E78/365))</f>
        <v>0</v>
      </c>
      <c r="K173" s="989"/>
      <c r="L173" s="989">
        <f>(Q77/$R77*100*($E77/365))+(Q78/$R78*100*($E78/365))</f>
        <v>0</v>
      </c>
      <c r="M173" s="989"/>
      <c r="N173" s="959">
        <f t="shared" si="29"/>
        <v>100</v>
      </c>
      <c r="O173" s="959"/>
      <c r="R173" s="1">
        <v>1994</v>
      </c>
      <c r="S173" s="8">
        <f>(O77*($E77/365))+(O78*($E78/365))</f>
        <v>50.5</v>
      </c>
      <c r="T173" s="8">
        <f>(P77*($E77/365))+(P78*($E78/365))</f>
        <v>0</v>
      </c>
      <c r="U173" s="8">
        <f>(Q77*($E77/365))+(Q78*($E78/365))</f>
        <v>0</v>
      </c>
      <c r="V173" s="7"/>
      <c r="W173" s="7">
        <f t="shared" si="30"/>
        <v>50.5</v>
      </c>
    </row>
    <row r="174" spans="1:23">
      <c r="A174" s="1">
        <v>1995</v>
      </c>
      <c r="B174" s="8">
        <f>(K79*($E79/365))+(K80*($E80/365))</f>
        <v>100</v>
      </c>
      <c r="C174" s="8">
        <f>(L79*($E79/365))+(L80*($E80/365))</f>
        <v>0</v>
      </c>
      <c r="D174" s="8">
        <f>(M79*($E79/365))+(M80*($E80/365))</f>
        <v>0</v>
      </c>
      <c r="E174" s="48">
        <f t="shared" si="28"/>
        <v>100</v>
      </c>
      <c r="G174" s="1">
        <v>1995</v>
      </c>
      <c r="H174" s="989">
        <f>(O79/$R79*100*($E79/365))+(O80/$R80*100*($E80/365))</f>
        <v>100</v>
      </c>
      <c r="I174" s="989"/>
      <c r="J174" s="989">
        <f>(P79/$R79*100*($E79/365))+(P80/$R80*100*($E80/365))</f>
        <v>0</v>
      </c>
      <c r="K174" s="989"/>
      <c r="L174" s="989">
        <f>(Q79/$R79*100*($E79/365))+(Q80/$R80*100*($E80/365))</f>
        <v>0</v>
      </c>
      <c r="M174" s="989"/>
      <c r="N174" s="959">
        <f t="shared" si="29"/>
        <v>100</v>
      </c>
      <c r="O174" s="959"/>
      <c r="R174" s="1">
        <v>1995</v>
      </c>
      <c r="S174" s="8">
        <f>(O79*($E79/365))+(O80*($E80/365))</f>
        <v>50.5</v>
      </c>
      <c r="T174" s="8">
        <f>(P79*($E79/365))+(P80*($E80/365))</f>
        <v>0</v>
      </c>
      <c r="U174" s="8">
        <f>(Q79*($E79/365))+(Q80*($E80/365))</f>
        <v>0</v>
      </c>
      <c r="V174" s="7"/>
      <c r="W174" s="7">
        <f t="shared" si="30"/>
        <v>50.5</v>
      </c>
    </row>
    <row r="175" spans="1:23">
      <c r="A175" s="1">
        <v>1996</v>
      </c>
      <c r="B175" s="8">
        <f>(K81*($E81/366))+(K83*($E83/366))+(K82*(E82/366))</f>
        <v>100</v>
      </c>
      <c r="C175" s="8">
        <f>(L81*($E81/366))+(L83*($E83/366))+(L82*(F82/366))</f>
        <v>0</v>
      </c>
      <c r="D175" s="8">
        <f>(M81*($E81/366))+(M83*($E83/366))+(M82*(G82/366))</f>
        <v>0</v>
      </c>
      <c r="E175" s="48">
        <f t="shared" si="28"/>
        <v>100</v>
      </c>
      <c r="G175" s="1">
        <v>1996</v>
      </c>
      <c r="H175" s="989">
        <f>(O81/$R81*100*($E81/366))+(O83/$R83*100*($E83/366))+(O82/$R82*100*(E82/366))</f>
        <v>100</v>
      </c>
      <c r="I175" s="989"/>
      <c r="J175" s="989">
        <f>(P81/$R81*100*($E81/366))+(P83/$R83*100*($E83/366))</f>
        <v>0</v>
      </c>
      <c r="K175" s="989"/>
      <c r="L175" s="989">
        <f>(Q81/$R81*100*($E81/366))+(Q83/$R83*100*($E83/366))</f>
        <v>0</v>
      </c>
      <c r="M175" s="989"/>
      <c r="N175" s="959">
        <f t="shared" si="29"/>
        <v>100</v>
      </c>
      <c r="O175" s="959"/>
      <c r="R175" s="1">
        <v>1996</v>
      </c>
      <c r="S175" s="8">
        <f>(O81*($E81/366))+(O83*($E83/366))+(O82*(E82/366))</f>
        <v>50.43825136612022</v>
      </c>
      <c r="T175" s="8">
        <f>(P81*($E81/366))+(P83*($E83/366))</f>
        <v>0</v>
      </c>
      <c r="U175" s="8">
        <f>(Q81*($E81/366))+(Q83*($E83/366))</f>
        <v>0</v>
      </c>
      <c r="V175" s="7"/>
      <c r="W175" s="7">
        <f t="shared" si="30"/>
        <v>50.43825136612022</v>
      </c>
    </row>
    <row r="176" spans="1:23">
      <c r="A176" s="1">
        <v>1997</v>
      </c>
      <c r="B176" s="8">
        <f>(K84*($E84/365))+(K85*($E85/365))</f>
        <v>100</v>
      </c>
      <c r="C176" s="8">
        <f>(L84*($E84/365))+(L85*($E85/365))</f>
        <v>0</v>
      </c>
      <c r="D176" s="8">
        <f>(M84*($E84/365))+(M85*($E85/365))</f>
        <v>0</v>
      </c>
      <c r="E176" s="48">
        <f t="shared" si="28"/>
        <v>100</v>
      </c>
      <c r="G176" s="1">
        <v>1997</v>
      </c>
      <c r="H176" s="989">
        <f>(O84/$R84*100*($E84/365))+(O85/$R85*100*($E85/365))</f>
        <v>100</v>
      </c>
      <c r="I176" s="989"/>
      <c r="J176" s="989">
        <f>(P84/$R84*100*($E84/365))+(P85/$R85*100*($E85/365))</f>
        <v>0</v>
      </c>
      <c r="K176" s="989"/>
      <c r="L176" s="989">
        <f>(Q84/$R84*100*($E84/365))+(Q85/$R85*100*($E85/365))</f>
        <v>0</v>
      </c>
      <c r="M176" s="989"/>
      <c r="N176" s="959">
        <f t="shared" si="29"/>
        <v>100</v>
      </c>
      <c r="O176" s="959"/>
      <c r="R176" s="1">
        <v>1997</v>
      </c>
      <c r="S176" s="8">
        <f>(O84*($E84/365))+(O85*($E85/365))</f>
        <v>50.900000000000006</v>
      </c>
      <c r="T176" s="8">
        <f>(P84*($E84/365))+(P85*($E85/365))</f>
        <v>0</v>
      </c>
      <c r="U176" s="8">
        <f>(Q84*($E84/365))+(Q85*($E85/365))</f>
        <v>0</v>
      </c>
      <c r="V176" s="7"/>
      <c r="W176" s="7">
        <f t="shared" si="30"/>
        <v>50.900000000000006</v>
      </c>
    </row>
    <row r="177" spans="1:23">
      <c r="A177" s="1">
        <v>1998</v>
      </c>
      <c r="B177" s="8">
        <f>(K86*($E86/365))+(K87*($E87/365))</f>
        <v>98.12785388127854</v>
      </c>
      <c r="C177" s="8">
        <f>(L86*($E86/365))+(L87*($E87/365))</f>
        <v>0</v>
      </c>
      <c r="D177" s="8">
        <f>(M86*($E86/365))+(M87*($E87/365))</f>
        <v>0</v>
      </c>
      <c r="E177" s="48">
        <f t="shared" si="28"/>
        <v>98.12785388127854</v>
      </c>
      <c r="G177" s="1">
        <v>1998</v>
      </c>
      <c r="H177" s="989">
        <f>(O86/$R86*100*($E86/365))+(O87/$R87*100*($E87/365))</f>
        <v>100</v>
      </c>
      <c r="I177" s="989"/>
      <c r="J177" s="989">
        <f>(P86/$R86*100*($E86/365))+(P87/$R87*100*($E87/365))</f>
        <v>0</v>
      </c>
      <c r="K177" s="989"/>
      <c r="L177" s="989">
        <f>(Q86/$R86*100*($E86/365))+(Q87/$R87*100*($E87/365))</f>
        <v>0</v>
      </c>
      <c r="M177" s="989"/>
      <c r="N177" s="959">
        <f t="shared" si="29"/>
        <v>100</v>
      </c>
      <c r="O177" s="959"/>
      <c r="R177" s="1">
        <v>1998</v>
      </c>
      <c r="S177" s="8">
        <f>(O86*($E86/365))+(O87*($E87/365))</f>
        <v>46.114794520547953</v>
      </c>
      <c r="T177" s="8">
        <f>(P86*($E86/365))+(P87*($E87/365))</f>
        <v>0</v>
      </c>
      <c r="U177" s="8">
        <f>(Q86*($E86/365))+(Q87*($E87/365))</f>
        <v>0</v>
      </c>
      <c r="V177" s="7"/>
      <c r="W177" s="7">
        <f t="shared" si="30"/>
        <v>46.114794520547953</v>
      </c>
    </row>
    <row r="178" spans="1:23">
      <c r="A178" s="1">
        <v>1999</v>
      </c>
      <c r="B178" s="8">
        <f>(K88*($E88/365))+(K89*($E89/365))</f>
        <v>88.493150684931507</v>
      </c>
      <c r="C178" s="8">
        <f>(L88*($E88/365))+(L89*($E89/365))</f>
        <v>0</v>
      </c>
      <c r="D178" s="8">
        <f>(M88*($E88/365))+(M89*($E89/365))</f>
        <v>6.3013698630136989</v>
      </c>
      <c r="E178" s="48">
        <f t="shared" si="28"/>
        <v>94.794520547945211</v>
      </c>
      <c r="G178" s="1">
        <v>1999</v>
      </c>
      <c r="H178" s="989">
        <f>(O88/$R88*100*($E88/365))+(O89/$R89*100*($E89/365))</f>
        <v>93.69863013698631</v>
      </c>
      <c r="I178" s="989"/>
      <c r="J178" s="989">
        <f>(P88/$R88*100*($E88/365))+(P89/$R89*100*($E89/365))</f>
        <v>0</v>
      </c>
      <c r="K178" s="989"/>
      <c r="L178" s="989">
        <f>(Q88/$R88*100*($E88/365))+(Q89/$R89*100*($E89/365))</f>
        <v>6.3013698630136989</v>
      </c>
      <c r="M178" s="989"/>
      <c r="N178" s="959">
        <f t="shared" si="29"/>
        <v>100.00000000000001</v>
      </c>
      <c r="O178" s="959"/>
      <c r="R178" s="1">
        <v>1999</v>
      </c>
      <c r="S178" s="8">
        <f>(O88*($E88/365))+(O89*($E89/365))</f>
        <v>34.387397260273978</v>
      </c>
      <c r="T178" s="8">
        <f>(P88*($E88/365))+(P89*($E89/365))</f>
        <v>0</v>
      </c>
      <c r="U178" s="8">
        <f>(Q88*($E88/365))+(Q89*($E89/365))</f>
        <v>3.0939726027397265</v>
      </c>
      <c r="V178" s="7"/>
      <c r="W178" s="7">
        <f t="shared" si="30"/>
        <v>37.481369863013704</v>
      </c>
    </row>
    <row r="179" spans="1:23">
      <c r="A179" s="1">
        <v>2000</v>
      </c>
      <c r="B179" s="8">
        <f>(K90*($E90/366))+(K91*($E91/366))</f>
        <v>0</v>
      </c>
      <c r="C179" s="8">
        <f>(L90*($E90/366))+(L91*($E91/366))</f>
        <v>0</v>
      </c>
      <c r="D179" s="8">
        <f>(M90*($E90/366))+(M91*($E91/366))</f>
        <v>100</v>
      </c>
      <c r="E179" s="48">
        <f t="shared" si="28"/>
        <v>100</v>
      </c>
      <c r="G179" s="1">
        <v>2000</v>
      </c>
      <c r="H179" s="989">
        <f>(O90/$R90*100*($E90/366))+(O91/$R91*100*($E91/366))</f>
        <v>0</v>
      </c>
      <c r="I179" s="989"/>
      <c r="J179" s="989">
        <f>(P90/$R90*100*($E90/366))+(P91/$R91*100*($E91/366))</f>
        <v>0</v>
      </c>
      <c r="K179" s="989"/>
      <c r="L179" s="989">
        <f>(Q90/$R90*100*($E90/366))+(Q91/$R91*100*($E91/366))</f>
        <v>100</v>
      </c>
      <c r="M179" s="989"/>
      <c r="N179" s="959">
        <f t="shared" si="29"/>
        <v>100</v>
      </c>
      <c r="O179" s="959"/>
      <c r="R179" s="1">
        <v>2000</v>
      </c>
      <c r="S179" s="8">
        <f>(O90*($E90/366))+(O91*($E91/366))</f>
        <v>0</v>
      </c>
      <c r="T179" s="8">
        <f>(P90*($E90/366))+(P91*($E91/366))</f>
        <v>0</v>
      </c>
      <c r="U179" s="8">
        <f>(Q90*($E90/366))+(Q91*($E91/366))</f>
        <v>49.1</v>
      </c>
      <c r="V179" s="7"/>
      <c r="W179" s="7">
        <f t="shared" si="30"/>
        <v>49.1</v>
      </c>
    </row>
    <row r="180" spans="1:23">
      <c r="A180" s="1">
        <v>2001</v>
      </c>
      <c r="B180" s="8">
        <f>(K92*($E92/365))+(K93*($E93/365))</f>
        <v>0</v>
      </c>
      <c r="C180" s="8">
        <f>(L92*($E92/365))+(L93*($E93/365))</f>
        <v>0</v>
      </c>
      <c r="D180" s="8">
        <f>(M92*($E92/365))+(M93*($E93/365))</f>
        <v>100</v>
      </c>
      <c r="E180" s="48">
        <f t="shared" si="28"/>
        <v>100</v>
      </c>
      <c r="G180" s="1">
        <v>2001</v>
      </c>
      <c r="H180" s="989">
        <f>(O92/$R92*100*($E92/365))+(O93/$R93*100*($E93/365))</f>
        <v>0</v>
      </c>
      <c r="I180" s="989"/>
      <c r="J180" s="989">
        <f>(P92/$R92*100*($E92/365))+(P93/$R93*100*($E93/365))</f>
        <v>0</v>
      </c>
      <c r="K180" s="989"/>
      <c r="L180" s="989">
        <f>(Q92/$R92*100*($E92/365))+(Q93/$R93*100*($E93/365))</f>
        <v>100</v>
      </c>
      <c r="M180" s="989"/>
      <c r="N180" s="959">
        <f t="shared" si="29"/>
        <v>100</v>
      </c>
      <c r="O180" s="959"/>
      <c r="R180" s="1">
        <v>2001</v>
      </c>
      <c r="S180" s="8">
        <f>(O92*($E92/365))+(O93*($E93/365))</f>
        <v>0</v>
      </c>
      <c r="T180" s="8">
        <f>(P92*($E92/365))+(P93*($E93/365))</f>
        <v>0</v>
      </c>
      <c r="U180" s="8">
        <f>(Q92*($E92/365))+(Q93*($E93/365))</f>
        <v>49.1</v>
      </c>
      <c r="V180" s="7"/>
      <c r="W180" s="7">
        <f t="shared" si="30"/>
        <v>49.1</v>
      </c>
    </row>
    <row r="181" spans="1:23">
      <c r="A181" s="1">
        <v>2002</v>
      </c>
      <c r="B181" s="8">
        <f>(K94*($E94/365))+(K95*($E95/365))</f>
        <v>0</v>
      </c>
      <c r="C181" s="8">
        <f>(L94*($E94/365))+(L95*($E95/365))</f>
        <v>0</v>
      </c>
      <c r="D181" s="8">
        <f>(M94*($E94/365))+(M95*($E95/365))</f>
        <v>100</v>
      </c>
      <c r="E181" s="48">
        <f t="shared" si="28"/>
        <v>100</v>
      </c>
      <c r="G181" s="1">
        <v>2002</v>
      </c>
      <c r="H181" s="989">
        <f>(O94/$R94*100*($E94/365))+(O95/$R95*100*($E95/365))</f>
        <v>0</v>
      </c>
      <c r="I181" s="989"/>
      <c r="J181" s="989">
        <f>(P94/$R94*100*($E94/365))+(P95/$R95*100*($E95/365))</f>
        <v>0</v>
      </c>
      <c r="K181" s="989"/>
      <c r="L181" s="989">
        <f>(Q94/$R94*100*($E94/365))+(Q95/$R95*100*($E95/365))</f>
        <v>100</v>
      </c>
      <c r="M181" s="989"/>
      <c r="N181" s="959">
        <f t="shared" si="29"/>
        <v>100</v>
      </c>
      <c r="O181" s="959"/>
      <c r="R181" s="1">
        <v>2002</v>
      </c>
      <c r="S181" s="8">
        <f>(O94*($E94/365))+(O95*($E95/365))</f>
        <v>0</v>
      </c>
      <c r="T181" s="8">
        <f>(P94*($E94/365))+(P95*($E95/365))</f>
        <v>0</v>
      </c>
      <c r="U181" s="8">
        <f>(Q94*($E94/365))+(Q95*($E95/365))</f>
        <v>47.538630136986299</v>
      </c>
      <c r="V181" s="7"/>
      <c r="W181" s="7">
        <f t="shared" si="30"/>
        <v>47.538630136986299</v>
      </c>
    </row>
    <row r="182" spans="1:23">
      <c r="A182" s="1">
        <v>2003</v>
      </c>
      <c r="B182" s="8">
        <f>(K96*($E96/365))+(K97*($E97/365))</f>
        <v>0</v>
      </c>
      <c r="C182" s="8">
        <f>(L96*($E96/365))+(L97*($E97/365))</f>
        <v>0</v>
      </c>
      <c r="D182" s="8">
        <f>(M96*($E96/365))+(M97*($E97/365))</f>
        <v>100</v>
      </c>
      <c r="E182" s="48">
        <f t="shared" si="28"/>
        <v>100</v>
      </c>
      <c r="G182" s="1">
        <v>2003</v>
      </c>
      <c r="H182" s="989">
        <f>(O96/$R96*100*($E96/365))+(O97/$R97*100*($E97/365))</f>
        <v>0</v>
      </c>
      <c r="I182" s="989"/>
      <c r="J182" s="989">
        <f>(P96/$R96*100*($E96/365))+(P97/$R97*100*($E97/365))</f>
        <v>0</v>
      </c>
      <c r="K182" s="989"/>
      <c r="L182" s="989">
        <f>(Q96/$R96*100*($E96/365))+(Q97/$R97*100*($E97/365))</f>
        <v>100</v>
      </c>
      <c r="M182" s="989"/>
      <c r="N182" s="959">
        <f t="shared" si="29"/>
        <v>100</v>
      </c>
      <c r="O182" s="959"/>
      <c r="R182" s="1">
        <v>2003</v>
      </c>
      <c r="S182" s="8">
        <f>(O96*($E96/365))+(O97*($E97/365))</f>
        <v>0</v>
      </c>
      <c r="T182" s="8">
        <f>(P96*($E96/365))+(P97*($E97/365))</f>
        <v>0</v>
      </c>
      <c r="U182" s="8">
        <f>(Q96*($E96/365))+(Q97*($E97/365))</f>
        <v>45</v>
      </c>
      <c r="V182" s="7"/>
      <c r="W182" s="7">
        <f t="shared" si="30"/>
        <v>45</v>
      </c>
    </row>
    <row r="183" spans="1:23">
      <c r="A183" s="1">
        <v>2004</v>
      </c>
      <c r="B183" s="8">
        <f>(K98*($E98/366))+(K99*($E99/366))</f>
        <v>0</v>
      </c>
      <c r="C183" s="8">
        <f>(L98*($E98/366))+(L99*($E99/366))</f>
        <v>0</v>
      </c>
      <c r="D183" s="8">
        <f>(M98*($E98/366))+(M99*($E99/366))</f>
        <v>100</v>
      </c>
      <c r="E183" s="48">
        <f t="shared" si="28"/>
        <v>100</v>
      </c>
      <c r="G183" s="1">
        <v>2004</v>
      </c>
      <c r="H183" s="989">
        <f>(O98/$R98*100*($E98/366))+(O99/$R99*100*($E99/366))</f>
        <v>0</v>
      </c>
      <c r="I183" s="989"/>
      <c r="J183" s="989">
        <f>(P98/$R98*100*($E98/366))+(P99/$R99*100*($E99/366))</f>
        <v>0</v>
      </c>
      <c r="K183" s="989"/>
      <c r="L183" s="989">
        <f>(Q98/$R98*100*($E98/366))+(Q99/$R99*100*($E99/366))</f>
        <v>100</v>
      </c>
      <c r="M183" s="989"/>
      <c r="N183" s="959">
        <f t="shared" si="29"/>
        <v>100</v>
      </c>
      <c r="O183" s="959"/>
      <c r="R183" s="1">
        <v>2004</v>
      </c>
      <c r="S183" s="8">
        <f>(O98*($E98/366))+(O99*($E99/366))</f>
        <v>0</v>
      </c>
      <c r="T183" s="8">
        <f>(P98*($E98/366))+(P99*($E99/366))</f>
        <v>0</v>
      </c>
      <c r="U183" s="8">
        <f>(Q98*($E98/366))+(Q99*($E99/366))</f>
        <v>44.999999999999993</v>
      </c>
      <c r="V183" s="7"/>
      <c r="W183" s="7">
        <f t="shared" si="30"/>
        <v>44.999999999999993</v>
      </c>
    </row>
    <row r="184" spans="1:23">
      <c r="A184" s="1">
        <v>2005</v>
      </c>
      <c r="B184" s="8">
        <f>(K100*($E100/365))+(K101*($E101/365))+(K102*($E102/365))</f>
        <v>0</v>
      </c>
      <c r="C184" s="8">
        <f>(L100*($E100/365))+(L101*($E101/365))+(L102*($E102/365))</f>
        <v>0</v>
      </c>
      <c r="D184" s="8">
        <f>(M100*($E100/365))+(M101*($E101/365))+(M102*($E102/365))</f>
        <v>100</v>
      </c>
      <c r="E184" s="48">
        <f t="shared" si="28"/>
        <v>100</v>
      </c>
      <c r="G184" s="1">
        <v>2005</v>
      </c>
      <c r="H184" s="989">
        <f>(O100/$R100*100*($E100/365))+(O101/$R101*100*($E101/365))+(O102/$R102*100*($E102/365))</f>
        <v>0</v>
      </c>
      <c r="I184" s="989"/>
      <c r="J184" s="989">
        <f>(P100/$R100*100*($E100/365))+(P101/$R101*100*($E101/365))+(P102/$R102*100*($E102/365))</f>
        <v>0</v>
      </c>
      <c r="K184" s="989"/>
      <c r="L184" s="989">
        <f>(Q100/$R100*100*($E100/365))+(Q101/$R101*100*($E101/365))+(Q102/$R102*100*($E102/365))</f>
        <v>100</v>
      </c>
      <c r="M184" s="989"/>
      <c r="N184" s="959">
        <f t="shared" si="29"/>
        <v>100</v>
      </c>
      <c r="O184" s="959"/>
      <c r="R184" s="1">
        <v>2005</v>
      </c>
      <c r="S184" s="8">
        <f>(O100*($E100/365))+(O101*($E101/365))+(O102*($E102/365))</f>
        <v>0</v>
      </c>
      <c r="T184" s="8">
        <f>(P100*($E100/365))+(P101*($E101/365))+(P102*($E102/365))</f>
        <v>0</v>
      </c>
      <c r="U184" s="8">
        <f>(Q100*($E100/365))+(Q101*($E101/365))+(Q102*($E102/365))</f>
        <v>42.560821917808219</v>
      </c>
      <c r="V184" s="7"/>
      <c r="W184" s="7">
        <f t="shared" si="30"/>
        <v>42.560821917808219</v>
      </c>
    </row>
    <row r="185" spans="1:23">
      <c r="A185" s="1">
        <v>2006</v>
      </c>
      <c r="B185" s="8">
        <f>(K103*($E103/365))+(K104*($E104/365))</f>
        <v>0</v>
      </c>
      <c r="C185" s="8">
        <f>(L103*($E103/365))+(L104*($E104/365))</f>
        <v>0</v>
      </c>
      <c r="D185" s="8">
        <f>(M103*($E103/365))+(M104*($E104/365))</f>
        <v>100</v>
      </c>
      <c r="E185" s="48">
        <f t="shared" si="28"/>
        <v>100</v>
      </c>
      <c r="G185" s="1">
        <v>2006</v>
      </c>
      <c r="H185" s="989">
        <f>(O103/$R103*100*($E103/365))+(O104/$R104*100*($E104/365))</f>
        <v>0</v>
      </c>
      <c r="I185" s="989"/>
      <c r="J185" s="989">
        <f>(P103/$R103*100*($E103/365))+(P104/$R104*100*($E104/365))</f>
        <v>0</v>
      </c>
      <c r="K185" s="989"/>
      <c r="L185" s="989">
        <f>(Q103/$R103*100*($E103/365))+(Q104/$R104*100*($E104/365))</f>
        <v>100</v>
      </c>
      <c r="M185" s="989"/>
      <c r="N185" s="959">
        <f t="shared" si="29"/>
        <v>100</v>
      </c>
      <c r="O185" s="959"/>
      <c r="R185" s="1">
        <v>2006</v>
      </c>
      <c r="S185" s="8">
        <f>(O103*($E103/365))+(O104*($E104/365))</f>
        <v>0</v>
      </c>
      <c r="T185" s="8">
        <f>(P103*($E103/365))+(P104*($E104/365))</f>
        <v>0</v>
      </c>
      <c r="U185" s="8">
        <f>(Q103*($E103/365))+(Q104*($E104/365))</f>
        <v>42.1</v>
      </c>
      <c r="V185" s="7"/>
      <c r="W185" s="7">
        <f t="shared" si="30"/>
        <v>42.1</v>
      </c>
    </row>
    <row r="186" spans="1:23">
      <c r="A186" s="1">
        <v>2007</v>
      </c>
      <c r="B186" s="8">
        <f>(K105*($E105/365))+(K106*($E106/365))</f>
        <v>0</v>
      </c>
      <c r="C186" s="8">
        <f>(L105*($E105/365))+(L106*($E106/365))</f>
        <v>0</v>
      </c>
      <c r="D186" s="8">
        <f>(M105*($E105/365))+(M106*($E106/365))</f>
        <v>100</v>
      </c>
      <c r="E186" s="48">
        <f t="shared" si="28"/>
        <v>100</v>
      </c>
      <c r="G186" s="1">
        <v>2007</v>
      </c>
      <c r="H186" s="989">
        <f>(O105/$R105*100*($E105/365))+(O106/$R106*100*($E106/365))</f>
        <v>0</v>
      </c>
      <c r="I186" s="989"/>
      <c r="J186" s="989">
        <f>(P105/$R105*100*($E105/365))+(P106/$R106*100*($E106/365))</f>
        <v>0</v>
      </c>
      <c r="K186" s="989"/>
      <c r="L186" s="989">
        <f>(Q105/$R105*100*($E105/365))+(Q106/$R106*100*($E106/365))</f>
        <v>100</v>
      </c>
      <c r="M186" s="989"/>
      <c r="N186" s="959">
        <f t="shared" si="29"/>
        <v>100</v>
      </c>
      <c r="O186" s="959"/>
      <c r="R186" s="1">
        <v>2007</v>
      </c>
      <c r="S186" s="8">
        <f>(O105*($E105/365))+(O106*($E106/365))</f>
        <v>0</v>
      </c>
      <c r="T186" s="8">
        <f>(P105*($E105/365))+(P106*($E106/365))</f>
        <v>0</v>
      </c>
      <c r="U186" s="8">
        <f>(Q105*($E105/365))+(Q106*($E106/365))</f>
        <v>42.1</v>
      </c>
      <c r="V186" s="7"/>
      <c r="W186" s="7">
        <f t="shared" si="30"/>
        <v>42.1</v>
      </c>
    </row>
    <row r="187" spans="1:23">
      <c r="A187" s="1">
        <v>2008</v>
      </c>
      <c r="B187" s="8">
        <f>(K107*($E107/366))+(K108*($E108/366))</f>
        <v>11.748633879781421</v>
      </c>
      <c r="C187" s="8">
        <f>(L107*($E107/366))+(L108*($E108/366))</f>
        <v>0</v>
      </c>
      <c r="D187" s="8">
        <f>(M107*($E107/366))+(M108*($E108/366))</f>
        <v>88.251366120218577</v>
      </c>
      <c r="E187" s="48">
        <f t="shared" si="28"/>
        <v>100</v>
      </c>
      <c r="G187" s="1">
        <v>2008</v>
      </c>
      <c r="H187" s="989">
        <f>(O107/$R107*100*($E107/366))+(O108/$R108*100*($E108/366))</f>
        <v>11.748633879781421</v>
      </c>
      <c r="I187" s="989"/>
      <c r="J187" s="989">
        <f>(P107/$R107*100*($E107/366))+(P108/$R108*100*($E108/366))</f>
        <v>0</v>
      </c>
      <c r="K187" s="989"/>
      <c r="L187" s="989">
        <f>(Q107/$R107*100*($E107/366))+(Q108/$R108*100*($E108/366))</f>
        <v>88.251366120218577</v>
      </c>
      <c r="M187" s="989"/>
      <c r="N187" s="959">
        <f t="shared" si="29"/>
        <v>100</v>
      </c>
      <c r="O187" s="959"/>
      <c r="R187" s="1">
        <v>2008</v>
      </c>
      <c r="S187" s="8">
        <f>(O107*($E107/366))+(O108*($E108/366))</f>
        <v>5.5806010928961749</v>
      </c>
      <c r="T187" s="8">
        <f>(P107*($E107/366))+(P108*($E108/366))</f>
        <v>0</v>
      </c>
      <c r="U187" s="8">
        <f>(Q107*($E107/366))+(Q108*($E108/366))</f>
        <v>37.153825136612021</v>
      </c>
      <c r="V187" s="7"/>
      <c r="W187" s="7">
        <f t="shared" si="30"/>
        <v>42.734426229508195</v>
      </c>
    </row>
    <row r="188" spans="1:23">
      <c r="A188" s="1">
        <v>2009</v>
      </c>
      <c r="B188" s="8">
        <f>(K109*($E109/365))+(K110*($E110/365))</f>
        <v>100</v>
      </c>
      <c r="C188" s="8">
        <f>(L109*($E109/365))+(L110*($E110/365))</f>
        <v>0</v>
      </c>
      <c r="D188" s="8">
        <f>(M109*($E109/365))+(M110*($E110/365))</f>
        <v>0</v>
      </c>
      <c r="E188" s="48">
        <f t="shared" si="28"/>
        <v>100</v>
      </c>
      <c r="G188" s="1">
        <v>2009</v>
      </c>
      <c r="H188" s="989">
        <f>(O109/$R109*100*($E109/365))+(O110/$R110*100*($E110/365))</f>
        <v>100</v>
      </c>
      <c r="I188" s="989"/>
      <c r="J188" s="989">
        <f>(P109/$R109*100*($E109/365))+(P110/$R110*100*($E110/365))</f>
        <v>0</v>
      </c>
      <c r="K188" s="989"/>
      <c r="L188" s="989">
        <f>(Q109/$R109*100*($E109/365))+(Q110/$R110*100*($E110/365))</f>
        <v>0</v>
      </c>
      <c r="M188" s="989"/>
      <c r="N188" s="959">
        <f t="shared" si="29"/>
        <v>100</v>
      </c>
      <c r="O188" s="959"/>
      <c r="R188" s="1">
        <v>2009</v>
      </c>
      <c r="S188" s="8">
        <f>(O109*($E109/365))+(O110*($E110/365))</f>
        <v>47.5</v>
      </c>
      <c r="T188" s="8">
        <f>(P109*($E109/365))+(P110*($E110/365))</f>
        <v>0</v>
      </c>
      <c r="U188" s="8">
        <f>(Q109*($E109/365))+(Q110*($E110/365))</f>
        <v>0</v>
      </c>
      <c r="V188" s="7"/>
      <c r="W188" s="7">
        <f t="shared" si="30"/>
        <v>47.5</v>
      </c>
    </row>
    <row r="189" spans="1:23">
      <c r="A189" s="1">
        <v>2010</v>
      </c>
      <c r="B189" s="8">
        <f>(K111*($E111/365))+(K112*($E112/365))</f>
        <v>100</v>
      </c>
      <c r="C189" s="8">
        <f>(L111*($E111/365))+(L112*($E112/365))</f>
        <v>0</v>
      </c>
      <c r="D189" s="8">
        <f>(M111*($E111/365))+(M112*($E112/365))</f>
        <v>0</v>
      </c>
      <c r="E189" s="48">
        <f t="shared" si="28"/>
        <v>100</v>
      </c>
      <c r="G189" s="1">
        <v>2010</v>
      </c>
      <c r="H189" s="989">
        <f>(O111/$R111*100*($E111/365))+(O112/$R112*100*($E112/365))</f>
        <v>100</v>
      </c>
      <c r="I189" s="989"/>
      <c r="J189" s="989">
        <f>(P111/$R111*100*($E111/365))+(P112/$R112*100*($E112/365))</f>
        <v>0</v>
      </c>
      <c r="K189" s="989"/>
      <c r="L189" s="989">
        <f>(Q111/$R111*100*($E111/365))+(Q112/$R112*100*($E112/365))</f>
        <v>0</v>
      </c>
      <c r="M189" s="989"/>
      <c r="N189" s="959">
        <f t="shared" si="29"/>
        <v>100</v>
      </c>
      <c r="O189" s="959"/>
      <c r="R189" s="1">
        <v>2010</v>
      </c>
      <c r="S189" s="8">
        <f>(O111*($E111/365))+(O112*($E112/365))</f>
        <v>47.5</v>
      </c>
      <c r="T189" s="8">
        <f>(P111*($E111/365))+(P112*($E112/365))</f>
        <v>0</v>
      </c>
      <c r="U189" s="8">
        <f>(Q111*($E111/365))+(Q112*($E112/365))</f>
        <v>0</v>
      </c>
      <c r="V189" s="7"/>
      <c r="W189" s="7">
        <f t="shared" si="30"/>
        <v>47.5</v>
      </c>
    </row>
    <row r="190" spans="1:23">
      <c r="A190" s="1">
        <v>2011</v>
      </c>
      <c r="B190" s="8">
        <f>(K113*($E113/365))+(K114*($E114/365))</f>
        <v>100</v>
      </c>
      <c r="C190" s="8">
        <f>(L113*($E113/365))+(L114*($E114/365))</f>
        <v>0</v>
      </c>
      <c r="D190" s="8">
        <f>(M113*($E113/365))+(M114*($E114/365))</f>
        <v>0</v>
      </c>
      <c r="E190" s="48">
        <f t="shared" si="28"/>
        <v>100</v>
      </c>
      <c r="G190" s="1">
        <v>2011</v>
      </c>
      <c r="H190" s="989">
        <f>(O113/$R113*100*($E113/365))+(O114/$R114*100*($E114/365))</f>
        <v>100</v>
      </c>
      <c r="I190" s="989"/>
      <c r="J190" s="989">
        <f>(P113/$R113*100*($E113/365))+(P114/$R114*100*($E114/365))</f>
        <v>0</v>
      </c>
      <c r="K190" s="989"/>
      <c r="L190" s="989">
        <f>(Q113/$R113*100*($E113/365))+(Q114/$R114*100*($E114/365))</f>
        <v>0</v>
      </c>
      <c r="M190" s="989"/>
      <c r="N190" s="959">
        <f t="shared" si="29"/>
        <v>100</v>
      </c>
      <c r="O190" s="959"/>
      <c r="R190" s="1">
        <v>2011</v>
      </c>
      <c r="S190" s="8">
        <f>(O113*($E113/365))+(O114*($E114/365))</f>
        <v>47.562136986301368</v>
      </c>
      <c r="T190" s="8">
        <f>(P113*($E113/365))+(P114*($E114/365))</f>
        <v>0</v>
      </c>
      <c r="U190" s="8">
        <f>(Q113*($E113/365))+(Q114*($E114/365))</f>
        <v>0</v>
      </c>
      <c r="V190" s="7"/>
      <c r="W190" s="7">
        <f t="shared" si="30"/>
        <v>47.562136986301368</v>
      </c>
    </row>
    <row r="191" spans="1:23">
      <c r="A191" s="1">
        <v>2012</v>
      </c>
      <c r="B191" s="8">
        <f>(K115*($E115/366))+(K116*($E116/366))</f>
        <v>100</v>
      </c>
      <c r="C191" s="8">
        <f>(L115*($E115/366))+(L116*($E116/366))</f>
        <v>0</v>
      </c>
      <c r="D191" s="8">
        <f>(M115*($E115/366))+(M116*($E116/366))</f>
        <v>0</v>
      </c>
      <c r="E191" s="48">
        <f t="shared" si="28"/>
        <v>100</v>
      </c>
      <c r="G191" s="1">
        <v>2012</v>
      </c>
      <c r="H191" s="989">
        <f>(O115/$R115*100*($E115/366))+(O116/$R116*100*($E116/366))</f>
        <v>100</v>
      </c>
      <c r="I191" s="989"/>
      <c r="J191" s="989">
        <f>(P115/$R115*100*($E115/366))+(P116/$R116*100*($E116/366))</f>
        <v>0</v>
      </c>
      <c r="K191" s="989"/>
      <c r="L191" s="989">
        <f>(Q115/$R115*100*($E115/366))+(Q116/$R116*100*($E116/366))</f>
        <v>0</v>
      </c>
      <c r="M191" s="989"/>
      <c r="N191" s="959">
        <f>H191+J191+L191</f>
        <v>100</v>
      </c>
      <c r="O191" s="959"/>
      <c r="R191" s="1">
        <v>2012</v>
      </c>
      <c r="S191" s="8">
        <f>(O115*($E115/366))+(O116*($E116/366))</f>
        <v>48.76</v>
      </c>
      <c r="T191" s="8">
        <f>(P115*($E115/366))+(P116*($E116/366))</f>
        <v>0</v>
      </c>
      <c r="U191" s="8">
        <f>(Q115*($E115/366))+(Q116*($E116/366))</f>
        <v>0</v>
      </c>
      <c r="V191" s="7"/>
      <c r="W191" s="7">
        <f t="shared" si="30"/>
        <v>48.76</v>
      </c>
    </row>
    <row r="192" spans="1:23">
      <c r="A192" s="1">
        <v>2013</v>
      </c>
      <c r="B192" s="8">
        <f>(K117*($E117/365))+(K118*($E118/365))</f>
        <v>100</v>
      </c>
      <c r="C192" s="8">
        <f>(L117*($E117/365))+(L118*($E118/365))</f>
        <v>0</v>
      </c>
      <c r="D192" s="8">
        <f>(M117*($E117/365))+(M118*($E118/365))</f>
        <v>0</v>
      </c>
      <c r="E192" s="304">
        <f t="shared" si="28"/>
        <v>100</v>
      </c>
      <c r="G192" s="1">
        <v>2013</v>
      </c>
      <c r="H192" s="989">
        <f>(O117/$R117*100*($E117/365))+(O118/$R118*100*($E118/365))</f>
        <v>100</v>
      </c>
      <c r="I192" s="989"/>
      <c r="J192" s="989">
        <f>(P117/$R117*100*($E117/365))+(P118/$R118*100*($E118/365))</f>
        <v>0</v>
      </c>
      <c r="K192" s="989"/>
      <c r="L192" s="989">
        <f>(Q117/$R117*100*($E117/365))+(Q118/$R118*100*($E118/365))</f>
        <v>0</v>
      </c>
      <c r="M192" s="989"/>
      <c r="N192" s="959">
        <f>H192+J192+L192</f>
        <v>100</v>
      </c>
      <c r="O192" s="959"/>
      <c r="R192" s="1">
        <v>2013</v>
      </c>
      <c r="S192" s="8">
        <f>(O117*($E117/365))+(O118*($E118/365))</f>
        <v>48.76</v>
      </c>
      <c r="T192" s="8">
        <f>(P117*($E117/365))+(P118*($E118/365))</f>
        <v>0</v>
      </c>
      <c r="U192" s="8">
        <f>(Q117*($E117/365))+(Q118*($E118/365))</f>
        <v>0</v>
      </c>
      <c r="W192" s="7">
        <f t="shared" si="30"/>
        <v>48.76</v>
      </c>
    </row>
    <row r="193" spans="1:23">
      <c r="A193" s="1">
        <v>2014</v>
      </c>
      <c r="B193" s="8">
        <f>(K119*($E119/365))+(K120*($E120/365))+(K121*($E121/365))</f>
        <v>100</v>
      </c>
      <c r="C193" s="8">
        <f>(L119*($E119/365))+(L120*($E120/365))+(L121*($E121/365))</f>
        <v>0</v>
      </c>
      <c r="D193" s="8">
        <f>(M119*($E119/365))+(M120*($E120/365))+(M121*($E121/365))</f>
        <v>0</v>
      </c>
      <c r="E193" s="649">
        <f>B193+C193+D193</f>
        <v>100</v>
      </c>
      <c r="G193" s="1">
        <v>2014</v>
      </c>
      <c r="H193" s="989">
        <f>(O119/$R119*100*($E119/365))+(O120/$R120*100*($E120/365))+(O121/$R121*100*($E121/365))</f>
        <v>100</v>
      </c>
      <c r="I193" s="989"/>
      <c r="J193" s="989">
        <f>(P119/$R119*100*($E119/365))+(P120/$R120*100*($E120/365))+(P121/$R121*100*($E121/365))</f>
        <v>0</v>
      </c>
      <c r="K193" s="989"/>
      <c r="L193" s="989">
        <f>(Q119/$R119*100*($E119/365))+(Q120/$R120*100*($E120/365))+(Q121/$R121*100*($E121/365))</f>
        <v>0</v>
      </c>
      <c r="M193" s="989"/>
      <c r="N193" s="959">
        <f>H193+J193+L193</f>
        <v>100</v>
      </c>
      <c r="O193" s="959"/>
      <c r="R193" s="1">
        <v>2014</v>
      </c>
      <c r="S193" s="8">
        <f>(O119*($E119/365))+(O120*($E120/365))+(O121*($E121/365))</f>
        <v>48.955616438356159</v>
      </c>
      <c r="T193" s="8">
        <f>(P119*($E119/365))+(P120*($E120/365))+(P121*($E121/365))</f>
        <v>0</v>
      </c>
      <c r="U193" s="8">
        <f>(Q119*($E119/365))+(Q120*($E120/365))+(Q121*($E121/365))</f>
        <v>0</v>
      </c>
      <c r="W193" s="7">
        <f>S193+T193+U193</f>
        <v>48.955616438356159</v>
      </c>
    </row>
    <row r="194" spans="1:23" s="747" customFormat="1">
      <c r="A194" s="747">
        <v>2015</v>
      </c>
      <c r="B194" s="742">
        <f>(K122*($E122/365))+(K123*($E123/365))</f>
        <v>100</v>
      </c>
      <c r="C194" s="742">
        <f>(L122*($E122/365))+(L123*($E123/365))</f>
        <v>0</v>
      </c>
      <c r="D194" s="742">
        <f>(M122*($E122/365))+(M123*($E123/365))</f>
        <v>0</v>
      </c>
      <c r="E194" s="743">
        <f>B194+C194+D194</f>
        <v>100</v>
      </c>
      <c r="G194" s="747">
        <v>2015</v>
      </c>
      <c r="H194" s="989">
        <f>(O122/$R122*100*($E122/365))+(O123/$R123*100*($E123/365))</f>
        <v>100</v>
      </c>
      <c r="I194" s="989"/>
      <c r="J194" s="989">
        <f>(P122/$R122*100*($E122/365))+(P123/$R123*100*($E123/365))</f>
        <v>0</v>
      </c>
      <c r="K194" s="989"/>
      <c r="L194" s="989">
        <f>(Q122/$R122*100*($E122/365))+(Q123/$R123*100*($E123/365))</f>
        <v>0</v>
      </c>
      <c r="M194" s="989"/>
      <c r="N194" s="959">
        <f>H194+J194+L194</f>
        <v>100</v>
      </c>
      <c r="O194" s="959"/>
      <c r="R194" s="747">
        <v>2015</v>
      </c>
      <c r="S194" s="742">
        <f>(O122*($E122/365))+(O123*($E123/365))</f>
        <v>49.6</v>
      </c>
      <c r="T194" s="742">
        <f>(P122*($E122/365))+(P123*($E123/365))</f>
        <v>0</v>
      </c>
      <c r="U194" s="742">
        <f>(Q122*($E122/365))+(Q123*($E123/365))</f>
        <v>0</v>
      </c>
      <c r="W194" s="746">
        <f>S194+T194+U194</f>
        <v>49.6</v>
      </c>
    </row>
    <row r="195" spans="1:23">
      <c r="A195" s="844">
        <v>2016</v>
      </c>
      <c r="B195" s="838">
        <f>(K124*($E124/366))+(K125*($E125/366))</f>
        <v>100</v>
      </c>
      <c r="C195" s="838">
        <f>(L124*($E124/366))+(L125*($E125/366))</f>
        <v>0</v>
      </c>
      <c r="D195" s="838">
        <f>(M124*($E124/366))+(M125*($E125/366))</f>
        <v>0</v>
      </c>
      <c r="E195" s="839">
        <f t="shared" ref="E195" si="31">B195+C195+D195</f>
        <v>100</v>
      </c>
      <c r="F195" s="844"/>
      <c r="G195" s="844">
        <v>2016</v>
      </c>
      <c r="H195" s="989">
        <f>(O124/$R124*100*($E124/366))+(O125/$R125*100*($E125/366))</f>
        <v>100</v>
      </c>
      <c r="I195" s="989"/>
      <c r="J195" s="989">
        <f>(P124/$R124*100*($E124/366))+(P125/$R125*100*($E125/366))</f>
        <v>0</v>
      </c>
      <c r="K195" s="989"/>
      <c r="L195" s="989">
        <f>(Q124/$R124*100*($E124/366))+(Q125/$R125*100*($E125/366))</f>
        <v>0</v>
      </c>
      <c r="M195" s="989"/>
      <c r="N195" s="959">
        <f t="shared" ref="N195" si="32">H195+J195+L195</f>
        <v>100</v>
      </c>
      <c r="O195" s="959"/>
      <c r="P195" s="844"/>
      <c r="Q195" s="844"/>
      <c r="R195" s="844">
        <v>2016</v>
      </c>
      <c r="S195" s="838">
        <f>(O124*($E124/366))+(O125*($E125/366))</f>
        <v>49.569398907103825</v>
      </c>
      <c r="T195" s="838">
        <f>(P124*($E124/366))+(P125*($E125/366))</f>
        <v>0</v>
      </c>
      <c r="U195" s="838">
        <f>(Q124*($E124/366))+(Q125*($E125/366))</f>
        <v>0</v>
      </c>
      <c r="V195" s="844"/>
      <c r="W195" s="842">
        <f t="shared" ref="W195" si="33">S195+T195+U195</f>
        <v>49.569398907103825</v>
      </c>
    </row>
    <row r="196" spans="1:23">
      <c r="A196" s="920">
        <v>2017</v>
      </c>
      <c r="B196" s="915">
        <f>(K126*($E126/365))+(K127*($E127/365))</f>
        <v>85.315068493150676</v>
      </c>
      <c r="C196" s="915">
        <f t="shared" ref="C196:D196" si="34">(L126*($E126/365))+(L127*($E127/365))</f>
        <v>0</v>
      </c>
      <c r="D196" s="915">
        <f t="shared" si="34"/>
        <v>14.684931506849315</v>
      </c>
      <c r="E196" s="916">
        <f t="shared" ref="E196" si="35">B196+C196+D196</f>
        <v>99.999999999999986</v>
      </c>
      <c r="F196" s="920"/>
      <c r="G196" s="920">
        <v>2017</v>
      </c>
      <c r="H196" s="989">
        <f>(O126/$R126*100*($E126/365))+(O127/$R127*100*($E127/365))</f>
        <v>84.649757731650411</v>
      </c>
      <c r="I196" s="989"/>
      <c r="J196" s="989">
        <f>(P126/$R126*100*($E126/365))+(P127/$R127*100*($E127/365))</f>
        <v>0</v>
      </c>
      <c r="K196" s="989"/>
      <c r="L196" s="989">
        <f>(Q126/$R126*100*($E126/365))+(Q127/$R127*100*($E127/365))</f>
        <v>15.350242268349584</v>
      </c>
      <c r="M196" s="989"/>
      <c r="N196" s="959">
        <f t="shared" ref="N196" si="36">H196+J196+L196</f>
        <v>100</v>
      </c>
      <c r="O196" s="959"/>
      <c r="P196" s="920"/>
      <c r="Q196" s="920"/>
      <c r="R196" s="920">
        <v>2017</v>
      </c>
      <c r="S196" s="915">
        <f>(O126*($E126/365))+(O127*($E127/365))</f>
        <v>41.218904109589033</v>
      </c>
      <c r="T196" s="915">
        <f t="shared" ref="T196:U196" si="37">(P126*($E126/365))+(P127*($E127/365))</f>
        <v>0</v>
      </c>
      <c r="U196" s="915">
        <f t="shared" si="37"/>
        <v>7.0304109589041088</v>
      </c>
      <c r="V196" s="920"/>
      <c r="W196" s="917">
        <f t="shared" ref="W196" si="38">S196+T196+U196</f>
        <v>48.249315068493139</v>
      </c>
    </row>
    <row r="197" spans="1:23">
      <c r="A197" s="950">
        <v>2018</v>
      </c>
      <c r="B197" s="947">
        <f>(K128*($E128/365))+(K129*($E129/365))</f>
        <v>20.374909877433307</v>
      </c>
      <c r="C197" s="947">
        <f>(L128*($E128/365))+(L129*($E129/365))</f>
        <v>0</v>
      </c>
      <c r="D197" s="947">
        <f>(M128*($E128/365))+(M129*($E129/365))</f>
        <v>79.625090122566689</v>
      </c>
      <c r="E197" s="948">
        <f t="shared" ref="E197" si="39">B197+C197+D197</f>
        <v>100</v>
      </c>
      <c r="F197" s="950"/>
      <c r="G197" s="950">
        <v>2018</v>
      </c>
      <c r="H197" s="989">
        <f>(O128/$R128*100*($E128/365))+(O129/$R129*100*($E129/365))</f>
        <v>16.375545851528386</v>
      </c>
      <c r="I197" s="989"/>
      <c r="J197" s="989">
        <f>(P128/$R128*100*($E128/365))+(P129/$R129*100*($E129/365))</f>
        <v>0</v>
      </c>
      <c r="K197" s="989"/>
      <c r="L197" s="989">
        <f>(Q128/$R128*100*($E128/365))+(Q129/$R129*100*($E129/365))</f>
        <v>83.624454148471614</v>
      </c>
      <c r="M197" s="989"/>
      <c r="N197" s="959">
        <f t="shared" ref="N197" si="40">H197+J197+L197</f>
        <v>100</v>
      </c>
      <c r="O197" s="959"/>
      <c r="P197" s="950"/>
      <c r="Q197" s="950"/>
      <c r="R197" s="950">
        <v>2018</v>
      </c>
      <c r="S197" s="947">
        <f>(O128*($E128/365))+(O129*($E129/365))</f>
        <v>7.5</v>
      </c>
      <c r="T197" s="947">
        <f>(P128*($E128/365))+(P129*($E129/365))</f>
        <v>0</v>
      </c>
      <c r="U197" s="947">
        <f>(Q128*($E128/365))+(Q129*($E129/365))</f>
        <v>38.299999999999997</v>
      </c>
      <c r="V197" s="950"/>
      <c r="W197" s="949">
        <f t="shared" ref="W197" si="41">S197+T197+U197</f>
        <v>45.8</v>
      </c>
    </row>
    <row r="198" spans="1:23">
      <c r="F198" s="950"/>
      <c r="P198" s="950"/>
      <c r="Q198" s="950"/>
    </row>
  </sheetData>
  <mergeCells count="392">
    <mergeCell ref="H197:I197"/>
    <mergeCell ref="J197:K197"/>
    <mergeCell ref="L197:M197"/>
    <mergeCell ref="N197:O197"/>
    <mergeCell ref="C122:D122"/>
    <mergeCell ref="C123:D123"/>
    <mergeCell ref="H194:I194"/>
    <mergeCell ref="J194:K194"/>
    <mergeCell ref="L194:M194"/>
    <mergeCell ref="N194:O194"/>
    <mergeCell ref="N193:O193"/>
    <mergeCell ref="H191:I191"/>
    <mergeCell ref="J191:K191"/>
    <mergeCell ref="L191:M191"/>
    <mergeCell ref="L186:M186"/>
    <mergeCell ref="L187:M187"/>
    <mergeCell ref="L188:M188"/>
    <mergeCell ref="L174:M174"/>
    <mergeCell ref="L175:M175"/>
    <mergeCell ref="L176:M176"/>
    <mergeCell ref="L177:M177"/>
    <mergeCell ref="L178:M178"/>
    <mergeCell ref="L165:M165"/>
    <mergeCell ref="N163:O163"/>
    <mergeCell ref="C119:D119"/>
    <mergeCell ref="H193:I193"/>
    <mergeCell ref="J193:K193"/>
    <mergeCell ref="L193:M193"/>
    <mergeCell ref="L189:M189"/>
    <mergeCell ref="L190:M190"/>
    <mergeCell ref="L180:M180"/>
    <mergeCell ref="L185:M185"/>
    <mergeCell ref="L169:M169"/>
    <mergeCell ref="L170:M170"/>
    <mergeCell ref="L171:M171"/>
    <mergeCell ref="L172:M172"/>
    <mergeCell ref="L181:M181"/>
    <mergeCell ref="L173:M173"/>
    <mergeCell ref="J187:K187"/>
    <mergeCell ref="L179:M179"/>
    <mergeCell ref="L182:M182"/>
    <mergeCell ref="L183:M183"/>
    <mergeCell ref="L184:M184"/>
    <mergeCell ref="J188:K188"/>
    <mergeCell ref="J177:K177"/>
    <mergeCell ref="J178:K178"/>
    <mergeCell ref="C128:D128"/>
    <mergeCell ref="C129:D129"/>
    <mergeCell ref="N146:O146"/>
    <mergeCell ref="N147:O147"/>
    <mergeCell ref="N148:O148"/>
    <mergeCell ref="N149:O149"/>
    <mergeCell ref="N150:O150"/>
    <mergeCell ref="C120:D120"/>
    <mergeCell ref="C121:D121"/>
    <mergeCell ref="J185:K185"/>
    <mergeCell ref="J186:K186"/>
    <mergeCell ref="H186:I186"/>
    <mergeCell ref="H168:I168"/>
    <mergeCell ref="H169:I169"/>
    <mergeCell ref="H170:I170"/>
    <mergeCell ref="H171:I171"/>
    <mergeCell ref="H172:I172"/>
    <mergeCell ref="H173:I173"/>
    <mergeCell ref="H165:I165"/>
    <mergeCell ref="H166:I166"/>
    <mergeCell ref="H167:I167"/>
    <mergeCell ref="J175:K175"/>
    <mergeCell ref="J176:K176"/>
    <mergeCell ref="H163:I163"/>
    <mergeCell ref="J163:K163"/>
    <mergeCell ref="L163:M163"/>
    <mergeCell ref="J190:K190"/>
    <mergeCell ref="J179:K179"/>
    <mergeCell ref="J180:K180"/>
    <mergeCell ref="J181:K181"/>
    <mergeCell ref="J182:K182"/>
    <mergeCell ref="AT4:AW4"/>
    <mergeCell ref="AX4:BA4"/>
    <mergeCell ref="R135:W135"/>
    <mergeCell ref="L166:M166"/>
    <mergeCell ref="L167:M167"/>
    <mergeCell ref="L168:M168"/>
    <mergeCell ref="J171:K171"/>
    <mergeCell ref="J172:K172"/>
    <mergeCell ref="J173:K173"/>
    <mergeCell ref="L137:M137"/>
    <mergeCell ref="N137:O137"/>
    <mergeCell ref="N140:O140"/>
    <mergeCell ref="N141:O141"/>
    <mergeCell ref="N142:O142"/>
    <mergeCell ref="N143:O143"/>
    <mergeCell ref="N144:O144"/>
    <mergeCell ref="N145:O145"/>
    <mergeCell ref="J165:K165"/>
    <mergeCell ref="J174:K174"/>
    <mergeCell ref="H187:I187"/>
    <mergeCell ref="H188:I188"/>
    <mergeCell ref="H189:I189"/>
    <mergeCell ref="H190:I190"/>
    <mergeCell ref="J166:K166"/>
    <mergeCell ref="J167:K167"/>
    <mergeCell ref="J168:K168"/>
    <mergeCell ref="J169:K169"/>
    <mergeCell ref="J170:K170"/>
    <mergeCell ref="H180:I180"/>
    <mergeCell ref="H181:I181"/>
    <mergeCell ref="H182:I182"/>
    <mergeCell ref="H183:I183"/>
    <mergeCell ref="H184:I184"/>
    <mergeCell ref="H185:I185"/>
    <mergeCell ref="H174:I174"/>
    <mergeCell ref="H175:I175"/>
    <mergeCell ref="H176:I176"/>
    <mergeCell ref="H177:I177"/>
    <mergeCell ref="H178:I178"/>
    <mergeCell ref="J189:K189"/>
    <mergeCell ref="J183:K183"/>
    <mergeCell ref="J184:K184"/>
    <mergeCell ref="H179:I179"/>
    <mergeCell ref="H164:I164"/>
    <mergeCell ref="J164:K164"/>
    <mergeCell ref="H160:I160"/>
    <mergeCell ref="J160:K160"/>
    <mergeCell ref="L160:M160"/>
    <mergeCell ref="L164:M164"/>
    <mergeCell ref="H161:I161"/>
    <mergeCell ref="J161:K161"/>
    <mergeCell ref="L161:M161"/>
    <mergeCell ref="H162:I162"/>
    <mergeCell ref="J162:K162"/>
    <mergeCell ref="L162:M162"/>
    <mergeCell ref="L153:M153"/>
    <mergeCell ref="H158:I158"/>
    <mergeCell ref="J158:K158"/>
    <mergeCell ref="L158:M158"/>
    <mergeCell ref="H159:I159"/>
    <mergeCell ref="J159:K159"/>
    <mergeCell ref="L159:M159"/>
    <mergeCell ref="H156:I156"/>
    <mergeCell ref="J156:K156"/>
    <mergeCell ref="L156:M156"/>
    <mergeCell ref="H157:I157"/>
    <mergeCell ref="J157:K157"/>
    <mergeCell ref="L157:M157"/>
    <mergeCell ref="G3:M3"/>
    <mergeCell ref="O3:Q3"/>
    <mergeCell ref="H139:I139"/>
    <mergeCell ref="J139:K139"/>
    <mergeCell ref="L139:M139"/>
    <mergeCell ref="N139:O139"/>
    <mergeCell ref="H138:I138"/>
    <mergeCell ref="J138:K138"/>
    <mergeCell ref="A4:A5"/>
    <mergeCell ref="B4:B5"/>
    <mergeCell ref="C4:D5"/>
    <mergeCell ref="E4:E5"/>
    <mergeCell ref="H137:I137"/>
    <mergeCell ref="J137:K137"/>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AP4:AS4"/>
    <mergeCell ref="C8:D8"/>
    <mergeCell ref="K4:N4"/>
    <mergeCell ref="O4:R4"/>
    <mergeCell ref="S4:S5"/>
    <mergeCell ref="T4:T5"/>
    <mergeCell ref="Z4:AC4"/>
    <mergeCell ref="AD4:AG4"/>
    <mergeCell ref="C7:D7"/>
    <mergeCell ref="C6:D6"/>
    <mergeCell ref="AH4:AK4"/>
    <mergeCell ref="AL4:AO4"/>
    <mergeCell ref="U4:U5"/>
    <mergeCell ref="V4:Y4"/>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3:D83"/>
    <mergeCell ref="C79:D79"/>
    <mergeCell ref="C80:D80"/>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N158:O158"/>
    <mergeCell ref="N159:O159"/>
    <mergeCell ref="C113:D113"/>
    <mergeCell ref="C104:D104"/>
    <mergeCell ref="C105:D105"/>
    <mergeCell ref="C114:D114"/>
    <mergeCell ref="C115:D115"/>
    <mergeCell ref="C106:D106"/>
    <mergeCell ref="C107:D107"/>
    <mergeCell ref="C108:D108"/>
    <mergeCell ref="C109:D109"/>
    <mergeCell ref="C110:D110"/>
    <mergeCell ref="C111:D111"/>
    <mergeCell ref="H154:I154"/>
    <mergeCell ref="J154:K154"/>
    <mergeCell ref="L154:M154"/>
    <mergeCell ref="H155:I155"/>
    <mergeCell ref="J155:K155"/>
    <mergeCell ref="L155:M155"/>
    <mergeCell ref="H152:I152"/>
    <mergeCell ref="J152:K152"/>
    <mergeCell ref="L152:M152"/>
    <mergeCell ref="H153:I153"/>
    <mergeCell ref="J153:K153"/>
    <mergeCell ref="C117:D117"/>
    <mergeCell ref="C118:D118"/>
    <mergeCell ref="H192:I192"/>
    <mergeCell ref="J192:K192"/>
    <mergeCell ref="L192:M192"/>
    <mergeCell ref="L138:M138"/>
    <mergeCell ref="N138:O138"/>
    <mergeCell ref="N188:O188"/>
    <mergeCell ref="N189:O189"/>
    <mergeCell ref="N176:O176"/>
    <mergeCell ref="N177:O177"/>
    <mergeCell ref="N178:O178"/>
    <mergeCell ref="N179:O179"/>
    <mergeCell ref="N180:O180"/>
    <mergeCell ref="N181:O181"/>
    <mergeCell ref="N190:O190"/>
    <mergeCell ref="N191:O191"/>
    <mergeCell ref="N182:O182"/>
    <mergeCell ref="C126:D126"/>
    <mergeCell ref="C127:D127"/>
    <mergeCell ref="C130:D130"/>
    <mergeCell ref="C131:D131"/>
    <mergeCell ref="C124:D124"/>
    <mergeCell ref="N151:O151"/>
    <mergeCell ref="C125:D125"/>
    <mergeCell ref="H151:I151"/>
    <mergeCell ref="J151:K151"/>
    <mergeCell ref="L151:M151"/>
    <mergeCell ref="N195:O195"/>
    <mergeCell ref="N185:O185"/>
    <mergeCell ref="N186:O186"/>
    <mergeCell ref="N187:O187"/>
    <mergeCell ref="N173:O173"/>
    <mergeCell ref="N174:O174"/>
    <mergeCell ref="N175:O175"/>
    <mergeCell ref="N192:O192"/>
    <mergeCell ref="N168:O168"/>
    <mergeCell ref="N169:O169"/>
    <mergeCell ref="N170:O170"/>
    <mergeCell ref="N171:O171"/>
    <mergeCell ref="N172:O172"/>
    <mergeCell ref="N183:O183"/>
    <mergeCell ref="N184:O184"/>
    <mergeCell ref="N164:O164"/>
    <mergeCell ref="N165:O165"/>
    <mergeCell ref="N166:O166"/>
    <mergeCell ref="N167:O167"/>
    <mergeCell ref="N161:O161"/>
    <mergeCell ref="N162:O162"/>
    <mergeCell ref="L147:M147"/>
    <mergeCell ref="H144:I144"/>
    <mergeCell ref="J144:K144"/>
    <mergeCell ref="L144:M144"/>
    <mergeCell ref="H145:I145"/>
    <mergeCell ref="J145:K145"/>
    <mergeCell ref="L145:M145"/>
    <mergeCell ref="H150:I150"/>
    <mergeCell ref="J150:K150"/>
    <mergeCell ref="L150:M150"/>
    <mergeCell ref="H148:I148"/>
    <mergeCell ref="J148:K148"/>
    <mergeCell ref="L148:M148"/>
    <mergeCell ref="H149:I149"/>
    <mergeCell ref="J149:K149"/>
    <mergeCell ref="L149:M149"/>
    <mergeCell ref="N160:O160"/>
    <mergeCell ref="N152:O152"/>
    <mergeCell ref="N153:O153"/>
    <mergeCell ref="N154:O154"/>
    <mergeCell ref="N155:O155"/>
    <mergeCell ref="N156:O156"/>
    <mergeCell ref="N157:O157"/>
    <mergeCell ref="H196:I196"/>
    <mergeCell ref="J196:K196"/>
    <mergeCell ref="L196:M196"/>
    <mergeCell ref="N196:O196"/>
    <mergeCell ref="H140:I140"/>
    <mergeCell ref="J140:K140"/>
    <mergeCell ref="L140:M140"/>
    <mergeCell ref="H141:I141"/>
    <mergeCell ref="J141:K141"/>
    <mergeCell ref="L141:M141"/>
    <mergeCell ref="H146:I146"/>
    <mergeCell ref="J146:K146"/>
    <mergeCell ref="L146:M146"/>
    <mergeCell ref="H195:I195"/>
    <mergeCell ref="J195:K195"/>
    <mergeCell ref="L195:M195"/>
    <mergeCell ref="H142:I142"/>
    <mergeCell ref="J142:K142"/>
    <mergeCell ref="L142:M142"/>
    <mergeCell ref="H143:I143"/>
    <mergeCell ref="J143:K143"/>
    <mergeCell ref="L143:M143"/>
    <mergeCell ref="H147:I147"/>
    <mergeCell ref="J147:K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A193"/>
  <sheetViews>
    <sheetView zoomScale="112" zoomScaleNormal="120" workbookViewId="0">
      <pane xSplit="1" ySplit="5" topLeftCell="B103" activePane="bottomRight" state="frozen"/>
      <selection pane="topRight" activeCell="B1" sqref="B1"/>
      <selection pane="bottomLeft" activeCell="A6" sqref="A6"/>
      <selection pane="bottomRight" activeCell="S193" sqref="S193"/>
    </sheetView>
  </sheetViews>
  <sheetFormatPr baseColWidth="10" defaultColWidth="10.6640625" defaultRowHeight="10"/>
  <cols>
    <col min="1" max="1" width="5.83203125" style="1" customWidth="1"/>
    <col min="2" max="3" width="7.83203125" style="1" customWidth="1"/>
    <col min="4" max="4" width="8.33203125" style="1" customWidth="1"/>
    <col min="5" max="6" width="7.83203125" style="1" customWidth="1"/>
    <col min="7" max="18" width="4.5" style="1" customWidth="1"/>
    <col min="19" max="21" width="7.83203125" style="1" customWidth="1"/>
    <col min="22" max="33" width="5.6640625" style="1" customWidth="1"/>
    <col min="34" max="34" width="5.6640625" style="37" customWidth="1"/>
    <col min="35" max="45" width="5.6640625" style="1" customWidth="1"/>
    <col min="46" max="53" width="5.5" style="1" customWidth="1"/>
    <col min="54" max="16384" width="10.6640625" style="1"/>
  </cols>
  <sheetData>
    <row r="1" spans="1:53" s="2" customFormat="1" ht="15" customHeight="1">
      <c r="B1" s="22" t="s">
        <v>14</v>
      </c>
      <c r="AH1" s="36"/>
    </row>
    <row r="2" spans="1:53" s="2" customFormat="1" ht="15" customHeight="1">
      <c r="B2" s="22" t="s">
        <v>65</v>
      </c>
      <c r="AH2" s="36"/>
    </row>
    <row r="3" spans="1:53" s="2" customFormat="1">
      <c r="G3" s="994"/>
      <c r="H3" s="994"/>
      <c r="I3" s="994"/>
      <c r="J3" s="994"/>
      <c r="K3" s="994"/>
      <c r="L3" s="994"/>
      <c r="M3" s="994"/>
      <c r="O3" s="994"/>
      <c r="P3" s="994"/>
      <c r="Q3" s="994"/>
      <c r="AH3" s="36"/>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620</v>
      </c>
      <c r="D6" s="995"/>
      <c r="E6" s="257">
        <v>0</v>
      </c>
      <c r="G6" s="265"/>
      <c r="I6" s="257">
        <v>15</v>
      </c>
      <c r="J6" s="272">
        <v>15</v>
      </c>
      <c r="K6" s="248">
        <f t="shared" ref="K6:M8" si="0">G6/$J6*100</f>
        <v>0</v>
      </c>
      <c r="L6" s="248">
        <f t="shared" si="0"/>
        <v>0</v>
      </c>
      <c r="M6" s="248">
        <f t="shared" si="0"/>
        <v>100</v>
      </c>
      <c r="N6" s="267">
        <f>K6+L6+M6</f>
        <v>100</v>
      </c>
      <c r="O6" s="247"/>
      <c r="P6" s="248"/>
      <c r="Q6" s="248">
        <v>52</v>
      </c>
      <c r="R6" s="249">
        <f>O6+P6+Q6</f>
        <v>52</v>
      </c>
      <c r="S6" s="257">
        <v>1</v>
      </c>
      <c r="T6" s="278"/>
      <c r="V6" s="256" t="s">
        <v>490</v>
      </c>
      <c r="W6" s="257" t="s">
        <v>20</v>
      </c>
      <c r="X6" s="257" t="s">
        <v>12</v>
      </c>
      <c r="Y6" s="258">
        <v>52</v>
      </c>
      <c r="AD6" s="256"/>
      <c r="AG6" s="258"/>
      <c r="AH6" s="282"/>
      <c r="AL6" s="256"/>
      <c r="AO6" s="258"/>
      <c r="AP6" s="256"/>
      <c r="AS6" s="258"/>
      <c r="AW6" s="258"/>
      <c r="BA6" s="259"/>
    </row>
    <row r="7" spans="1:53" s="257" customFormat="1">
      <c r="A7" s="263">
        <v>1959</v>
      </c>
      <c r="B7" s="252"/>
      <c r="C7" s="995" t="s">
        <v>620</v>
      </c>
      <c r="D7" s="995"/>
      <c r="E7" s="257">
        <v>365</v>
      </c>
      <c r="G7" s="265"/>
      <c r="I7" s="257">
        <v>15</v>
      </c>
      <c r="J7" s="272">
        <v>15</v>
      </c>
      <c r="K7" s="248">
        <f t="shared" si="0"/>
        <v>0</v>
      </c>
      <c r="L7" s="248">
        <f t="shared" si="0"/>
        <v>0</v>
      </c>
      <c r="M7" s="248">
        <f t="shared" si="0"/>
        <v>100</v>
      </c>
      <c r="N7" s="267">
        <f>K7+L7+M7</f>
        <v>100</v>
      </c>
      <c r="O7" s="247"/>
      <c r="P7" s="248"/>
      <c r="Q7" s="248">
        <v>52</v>
      </c>
      <c r="R7" s="249">
        <f>O7+P7+Q7</f>
        <v>52</v>
      </c>
      <c r="S7" s="257">
        <v>1</v>
      </c>
      <c r="T7" s="278"/>
      <c r="V7" s="256" t="s">
        <v>490</v>
      </c>
      <c r="W7" s="257" t="s">
        <v>20</v>
      </c>
      <c r="X7" s="257" t="s">
        <v>12</v>
      </c>
      <c r="Y7" s="258">
        <v>52</v>
      </c>
      <c r="AD7" s="256"/>
      <c r="AG7" s="258"/>
      <c r="AH7" s="282"/>
      <c r="AL7" s="256"/>
      <c r="AO7" s="258"/>
      <c r="AP7" s="256"/>
      <c r="AS7" s="258"/>
      <c r="AW7" s="258"/>
      <c r="BA7" s="259"/>
    </row>
    <row r="8" spans="1:53" s="208" customFormat="1">
      <c r="A8" s="102">
        <v>1960</v>
      </c>
      <c r="B8" s="207"/>
      <c r="C8" s="988" t="s">
        <v>620</v>
      </c>
      <c r="D8" s="988"/>
      <c r="E8" s="208">
        <v>0</v>
      </c>
      <c r="G8" s="123"/>
      <c r="I8" s="208">
        <v>15</v>
      </c>
      <c r="J8" s="134">
        <v>15</v>
      </c>
      <c r="K8" s="92">
        <f t="shared" si="0"/>
        <v>0</v>
      </c>
      <c r="L8" s="92">
        <f t="shared" si="0"/>
        <v>0</v>
      </c>
      <c r="M8" s="92">
        <f t="shared" si="0"/>
        <v>100</v>
      </c>
      <c r="N8" s="125">
        <f>K8+L8+M8</f>
        <v>100</v>
      </c>
      <c r="O8" s="91"/>
      <c r="P8" s="92"/>
      <c r="Q8" s="92">
        <v>52</v>
      </c>
      <c r="R8" s="93">
        <f>O8+P8+Q8</f>
        <v>52</v>
      </c>
      <c r="S8" s="208">
        <v>1</v>
      </c>
      <c r="T8" s="81"/>
      <c r="V8" s="82" t="s">
        <v>490</v>
      </c>
      <c r="W8" s="208" t="s">
        <v>20</v>
      </c>
      <c r="X8" s="208" t="s">
        <v>12</v>
      </c>
      <c r="Y8" s="83">
        <v>52</v>
      </c>
      <c r="AD8" s="82"/>
      <c r="AG8" s="83"/>
      <c r="AH8" s="164"/>
      <c r="AL8" s="82"/>
      <c r="AO8" s="83"/>
      <c r="AP8" s="82"/>
      <c r="AS8" s="83"/>
      <c r="AW8" s="83"/>
      <c r="BA8" s="84"/>
    </row>
    <row r="9" spans="1:53" s="208" customFormat="1">
      <c r="A9" s="102">
        <v>1960</v>
      </c>
      <c r="B9" s="207"/>
      <c r="C9" s="988" t="s">
        <v>620</v>
      </c>
      <c r="D9" s="988"/>
      <c r="E9" s="208">
        <v>366</v>
      </c>
      <c r="G9" s="123"/>
      <c r="I9" s="208">
        <v>15</v>
      </c>
      <c r="J9" s="134">
        <v>15</v>
      </c>
      <c r="K9" s="92">
        <f t="shared" ref="K9:M24" si="1">G9/$J9*100</f>
        <v>0</v>
      </c>
      <c r="L9" s="92">
        <f t="shared" si="1"/>
        <v>0</v>
      </c>
      <c r="M9" s="92">
        <f t="shared" si="1"/>
        <v>100</v>
      </c>
      <c r="N9" s="125">
        <f t="shared" ref="N9:N62" si="2">K9+L9+M9</f>
        <v>100</v>
      </c>
      <c r="O9" s="91"/>
      <c r="P9" s="92"/>
      <c r="Q9" s="92">
        <v>52</v>
      </c>
      <c r="R9" s="93">
        <f t="shared" ref="R9:R72" si="3">O9+P9+Q9</f>
        <v>52</v>
      </c>
      <c r="S9" s="208">
        <v>1</v>
      </c>
      <c r="T9" s="81"/>
      <c r="V9" s="82" t="s">
        <v>490</v>
      </c>
      <c r="W9" s="208" t="s">
        <v>20</v>
      </c>
      <c r="X9" s="208" t="s">
        <v>12</v>
      </c>
      <c r="Y9" s="83">
        <v>52</v>
      </c>
      <c r="AD9" s="82"/>
      <c r="AG9" s="83"/>
      <c r="AH9" s="164"/>
      <c r="AL9" s="82"/>
      <c r="AO9" s="83"/>
      <c r="AP9" s="82"/>
      <c r="AS9" s="83"/>
      <c r="AW9" s="83"/>
      <c r="BA9" s="84"/>
    </row>
    <row r="10" spans="1:53" s="208" customFormat="1">
      <c r="A10" s="102">
        <v>1961</v>
      </c>
      <c r="B10" s="207"/>
      <c r="C10" s="988" t="s">
        <v>620</v>
      </c>
      <c r="D10" s="988"/>
      <c r="E10" s="208">
        <v>253</v>
      </c>
      <c r="G10" s="123"/>
      <c r="I10" s="208">
        <v>15</v>
      </c>
      <c r="J10" s="134">
        <v>15</v>
      </c>
      <c r="K10" s="92">
        <f t="shared" si="1"/>
        <v>0</v>
      </c>
      <c r="L10" s="92">
        <f t="shared" si="1"/>
        <v>0</v>
      </c>
      <c r="M10" s="92">
        <f t="shared" si="1"/>
        <v>100</v>
      </c>
      <c r="N10" s="125">
        <f t="shared" si="2"/>
        <v>100</v>
      </c>
      <c r="O10" s="91"/>
      <c r="P10" s="92"/>
      <c r="Q10" s="92">
        <v>52</v>
      </c>
      <c r="R10" s="93">
        <f t="shared" si="3"/>
        <v>52</v>
      </c>
      <c r="S10" s="208">
        <v>1</v>
      </c>
      <c r="T10" s="81"/>
      <c r="V10" s="82" t="s">
        <v>490</v>
      </c>
      <c r="W10" s="208" t="s">
        <v>20</v>
      </c>
      <c r="X10" s="208" t="s">
        <v>12</v>
      </c>
      <c r="Y10" s="83">
        <v>52</v>
      </c>
      <c r="AD10" s="82"/>
      <c r="AG10" s="83"/>
      <c r="AH10" s="164"/>
      <c r="AL10" s="82"/>
      <c r="AO10" s="83"/>
      <c r="AP10" s="82"/>
      <c r="AS10" s="83"/>
      <c r="AW10" s="83"/>
      <c r="BA10" s="84"/>
    </row>
    <row r="11" spans="1:53" s="334" customFormat="1">
      <c r="A11" s="386">
        <v>1961</v>
      </c>
      <c r="B11" s="355">
        <v>22535</v>
      </c>
      <c r="C11" s="992" t="s">
        <v>621</v>
      </c>
      <c r="D11" s="992"/>
      <c r="E11" s="334">
        <f>365-E10</f>
        <v>112</v>
      </c>
      <c r="F11" s="334">
        <v>1</v>
      </c>
      <c r="G11" s="419"/>
      <c r="I11" s="334">
        <v>15</v>
      </c>
      <c r="J11" s="435">
        <v>15</v>
      </c>
      <c r="K11" s="384">
        <f t="shared" si="1"/>
        <v>0</v>
      </c>
      <c r="L11" s="384">
        <f t="shared" si="1"/>
        <v>0</v>
      </c>
      <c r="M11" s="384">
        <f t="shared" si="1"/>
        <v>100</v>
      </c>
      <c r="N11" s="421">
        <f t="shared" si="2"/>
        <v>100</v>
      </c>
      <c r="O11" s="383"/>
      <c r="P11" s="384"/>
      <c r="Q11" s="384">
        <v>49.3</v>
      </c>
      <c r="R11" s="385">
        <f t="shared" si="3"/>
        <v>49.3</v>
      </c>
      <c r="S11" s="334">
        <v>4</v>
      </c>
      <c r="T11" s="342">
        <v>22535</v>
      </c>
      <c r="U11" s="355">
        <v>22535</v>
      </c>
      <c r="V11" s="343" t="s">
        <v>490</v>
      </c>
      <c r="W11" s="334" t="s">
        <v>20</v>
      </c>
      <c r="X11" s="334" t="s">
        <v>12</v>
      </c>
      <c r="Y11" s="344">
        <v>49.3</v>
      </c>
      <c r="AD11" s="343"/>
      <c r="AG11" s="344"/>
      <c r="AH11" s="452"/>
      <c r="AL11" s="343"/>
      <c r="AO11" s="344"/>
      <c r="AP11" s="343"/>
      <c r="AS11" s="344"/>
      <c r="AW11" s="344"/>
      <c r="BA11" s="345"/>
    </row>
    <row r="12" spans="1:53" s="334" customFormat="1">
      <c r="A12" s="386">
        <v>1962</v>
      </c>
      <c r="B12" s="355"/>
      <c r="C12" s="992" t="s">
        <v>621</v>
      </c>
      <c r="D12" s="992"/>
      <c r="E12" s="334">
        <v>0</v>
      </c>
      <c r="G12" s="419"/>
      <c r="I12" s="334">
        <v>15</v>
      </c>
      <c r="J12" s="435">
        <v>15</v>
      </c>
      <c r="K12" s="384">
        <f t="shared" si="1"/>
        <v>0</v>
      </c>
      <c r="L12" s="384">
        <f t="shared" si="1"/>
        <v>0</v>
      </c>
      <c r="M12" s="384">
        <f t="shared" si="1"/>
        <v>100</v>
      </c>
      <c r="N12" s="421">
        <f t="shared" si="2"/>
        <v>100</v>
      </c>
      <c r="O12" s="383"/>
      <c r="P12" s="384"/>
      <c r="Q12" s="384">
        <v>49.3</v>
      </c>
      <c r="R12" s="385">
        <f t="shared" si="3"/>
        <v>49.3</v>
      </c>
      <c r="S12" s="334">
        <v>4</v>
      </c>
      <c r="T12" s="357"/>
      <c r="V12" s="343" t="s">
        <v>490</v>
      </c>
      <c r="W12" s="334" t="s">
        <v>20</v>
      </c>
      <c r="X12" s="334" t="s">
        <v>12</v>
      </c>
      <c r="Y12" s="344">
        <v>49.3</v>
      </c>
      <c r="AD12" s="343"/>
      <c r="AG12" s="344"/>
      <c r="AH12" s="452"/>
      <c r="AL12" s="343"/>
      <c r="AO12" s="344"/>
      <c r="AP12" s="343"/>
      <c r="AS12" s="344"/>
      <c r="AW12" s="344"/>
      <c r="BA12" s="345"/>
    </row>
    <row r="13" spans="1:53" s="334" customFormat="1">
      <c r="A13" s="386">
        <v>1962</v>
      </c>
      <c r="B13" s="355"/>
      <c r="C13" s="992" t="s">
        <v>621</v>
      </c>
      <c r="D13" s="992"/>
      <c r="E13" s="334">
        <v>365</v>
      </c>
      <c r="G13" s="419"/>
      <c r="I13" s="334">
        <v>15</v>
      </c>
      <c r="J13" s="435">
        <v>15</v>
      </c>
      <c r="K13" s="384">
        <f t="shared" si="1"/>
        <v>0</v>
      </c>
      <c r="L13" s="384">
        <f t="shared" si="1"/>
        <v>0</v>
      </c>
      <c r="M13" s="384">
        <f t="shared" si="1"/>
        <v>100</v>
      </c>
      <c r="N13" s="421">
        <f t="shared" si="2"/>
        <v>100</v>
      </c>
      <c r="O13" s="383"/>
      <c r="P13" s="384"/>
      <c r="Q13" s="384">
        <v>49.3</v>
      </c>
      <c r="R13" s="385">
        <f t="shared" si="3"/>
        <v>49.3</v>
      </c>
      <c r="S13" s="334">
        <v>4</v>
      </c>
      <c r="T13" s="357"/>
      <c r="V13" s="343" t="s">
        <v>490</v>
      </c>
      <c r="W13" s="334" t="s">
        <v>20</v>
      </c>
      <c r="X13" s="334" t="s">
        <v>12</v>
      </c>
      <c r="Y13" s="344">
        <v>49.3</v>
      </c>
      <c r="AD13" s="343"/>
      <c r="AG13" s="344"/>
      <c r="AH13" s="452"/>
      <c r="AL13" s="343"/>
      <c r="AO13" s="344"/>
      <c r="AP13" s="343"/>
      <c r="AS13" s="344"/>
      <c r="AW13" s="344"/>
      <c r="BA13" s="345"/>
    </row>
    <row r="14" spans="1:53" s="334" customFormat="1">
      <c r="A14" s="386">
        <v>1962.6</v>
      </c>
      <c r="B14" s="355"/>
      <c r="C14" s="992" t="s">
        <v>621</v>
      </c>
      <c r="D14" s="992"/>
      <c r="E14" s="334">
        <v>238</v>
      </c>
      <c r="G14" s="419"/>
      <c r="I14" s="334">
        <v>15</v>
      </c>
      <c r="J14" s="435">
        <v>15</v>
      </c>
      <c r="K14" s="384">
        <f t="shared" si="1"/>
        <v>0</v>
      </c>
      <c r="L14" s="384">
        <f t="shared" si="1"/>
        <v>0</v>
      </c>
      <c r="M14" s="384">
        <f t="shared" si="1"/>
        <v>100</v>
      </c>
      <c r="N14" s="421">
        <f t="shared" si="2"/>
        <v>100</v>
      </c>
      <c r="O14" s="383"/>
      <c r="P14" s="384"/>
      <c r="Q14" s="384">
        <v>49.3</v>
      </c>
      <c r="R14" s="385">
        <f t="shared" si="3"/>
        <v>49.3</v>
      </c>
      <c r="S14" s="334">
        <v>4</v>
      </c>
      <c r="T14" s="357"/>
      <c r="V14" s="343" t="s">
        <v>490</v>
      </c>
      <c r="W14" s="334" t="s">
        <v>20</v>
      </c>
      <c r="X14" s="334" t="s">
        <v>12</v>
      </c>
      <c r="Y14" s="344">
        <v>49.3</v>
      </c>
      <c r="AD14" s="343"/>
      <c r="AG14" s="344"/>
      <c r="AH14" s="452"/>
      <c r="AL14" s="343"/>
      <c r="AO14" s="344"/>
      <c r="AP14" s="343"/>
      <c r="AS14" s="344"/>
      <c r="AW14" s="344"/>
      <c r="BA14" s="345"/>
    </row>
    <row r="15" spans="1:53" s="208" customFormat="1">
      <c r="A15" s="102">
        <v>1963.05714285714</v>
      </c>
      <c r="B15" s="207">
        <v>23250</v>
      </c>
      <c r="C15" s="988" t="s">
        <v>622</v>
      </c>
      <c r="D15" s="988"/>
      <c r="E15" s="208">
        <v>28</v>
      </c>
      <c r="F15" s="208">
        <v>5</v>
      </c>
      <c r="G15" s="123">
        <v>8</v>
      </c>
      <c r="H15" s="208">
        <v>7</v>
      </c>
      <c r="J15" s="134">
        <v>15</v>
      </c>
      <c r="K15" s="92">
        <f t="shared" si="1"/>
        <v>53.333333333333336</v>
      </c>
      <c r="L15" s="92">
        <f t="shared" si="1"/>
        <v>46.666666666666664</v>
      </c>
      <c r="M15" s="92">
        <f t="shared" si="1"/>
        <v>0</v>
      </c>
      <c r="N15" s="125">
        <f t="shared" si="2"/>
        <v>100</v>
      </c>
      <c r="O15" s="91">
        <v>28.6</v>
      </c>
      <c r="P15" s="92">
        <v>20.7</v>
      </c>
      <c r="Q15" s="92"/>
      <c r="R15" s="93">
        <f t="shared" si="3"/>
        <v>49.3</v>
      </c>
      <c r="S15" s="208">
        <v>5</v>
      </c>
      <c r="T15" s="81"/>
      <c r="U15" s="207">
        <v>23250</v>
      </c>
      <c r="V15" s="82" t="s">
        <v>491</v>
      </c>
      <c r="W15" s="208" t="s">
        <v>74</v>
      </c>
      <c r="X15" s="208" t="s">
        <v>11</v>
      </c>
      <c r="Y15" s="83">
        <v>19.3</v>
      </c>
      <c r="Z15" s="82" t="s">
        <v>84</v>
      </c>
      <c r="AA15" s="208" t="s">
        <v>75</v>
      </c>
      <c r="AB15" s="208" t="s">
        <v>18</v>
      </c>
      <c r="AC15" s="208">
        <v>10.7</v>
      </c>
      <c r="AD15" s="82" t="s">
        <v>271</v>
      </c>
      <c r="AE15" s="208" t="s">
        <v>17</v>
      </c>
      <c r="AF15" s="208" t="s">
        <v>18</v>
      </c>
      <c r="AG15" s="83">
        <v>10</v>
      </c>
      <c r="AH15" s="208" t="s">
        <v>414</v>
      </c>
      <c r="AI15" s="208" t="s">
        <v>22</v>
      </c>
      <c r="AJ15" s="208" t="s">
        <v>11</v>
      </c>
      <c r="AK15" s="208">
        <v>9.3000000000000007</v>
      </c>
      <c r="AL15" s="82"/>
      <c r="AO15" s="83"/>
      <c r="AP15" s="82"/>
      <c r="AS15" s="83"/>
      <c r="AW15" s="83"/>
      <c r="BA15" s="84"/>
    </row>
    <row r="16" spans="1:53" s="334" customFormat="1">
      <c r="A16" s="386">
        <v>1963</v>
      </c>
      <c r="B16" s="355">
        <v>23278</v>
      </c>
      <c r="C16" s="992" t="s">
        <v>623</v>
      </c>
      <c r="D16" s="992"/>
      <c r="E16" s="334">
        <f>365-E15-E14</f>
        <v>99</v>
      </c>
      <c r="F16" s="334">
        <v>5</v>
      </c>
      <c r="G16" s="419"/>
      <c r="I16" s="334">
        <v>15</v>
      </c>
      <c r="J16" s="435">
        <v>15</v>
      </c>
      <c r="K16" s="384">
        <f t="shared" si="1"/>
        <v>0</v>
      </c>
      <c r="L16" s="384">
        <f t="shared" si="1"/>
        <v>0</v>
      </c>
      <c r="M16" s="384">
        <f t="shared" si="1"/>
        <v>100</v>
      </c>
      <c r="N16" s="421">
        <f t="shared" si="2"/>
        <v>100</v>
      </c>
      <c r="O16" s="383"/>
      <c r="P16" s="384"/>
      <c r="Q16" s="384">
        <v>49.3</v>
      </c>
      <c r="R16" s="385">
        <f t="shared" si="3"/>
        <v>49.3</v>
      </c>
      <c r="S16" s="334">
        <v>4</v>
      </c>
      <c r="T16" s="357"/>
      <c r="U16" s="355">
        <v>23278</v>
      </c>
      <c r="V16" s="343" t="s">
        <v>490</v>
      </c>
      <c r="W16" s="334" t="s">
        <v>20</v>
      </c>
      <c r="X16" s="334" t="s">
        <v>12</v>
      </c>
      <c r="Y16" s="344">
        <v>49.3</v>
      </c>
      <c r="AD16" s="343"/>
      <c r="AG16" s="344"/>
      <c r="AL16" s="343"/>
      <c r="AO16" s="344"/>
      <c r="AP16" s="343"/>
      <c r="AS16" s="344"/>
      <c r="AW16" s="344"/>
      <c r="BA16" s="345"/>
    </row>
    <row r="17" spans="1:53" s="334" customFormat="1">
      <c r="A17" s="386">
        <v>1963.5142857142901</v>
      </c>
      <c r="B17" s="355"/>
      <c r="C17" s="992" t="s">
        <v>623</v>
      </c>
      <c r="D17" s="992"/>
      <c r="E17" s="334">
        <v>0</v>
      </c>
      <c r="G17" s="419"/>
      <c r="I17" s="334">
        <v>15</v>
      </c>
      <c r="J17" s="435">
        <v>15</v>
      </c>
      <c r="K17" s="384">
        <f t="shared" si="1"/>
        <v>0</v>
      </c>
      <c r="L17" s="384">
        <f t="shared" si="1"/>
        <v>0</v>
      </c>
      <c r="M17" s="384">
        <f t="shared" si="1"/>
        <v>100</v>
      </c>
      <c r="N17" s="421">
        <f t="shared" si="2"/>
        <v>100</v>
      </c>
      <c r="O17" s="383"/>
      <c r="P17" s="384"/>
      <c r="Q17" s="384">
        <v>49.3</v>
      </c>
      <c r="R17" s="385">
        <f t="shared" si="3"/>
        <v>49.3</v>
      </c>
      <c r="S17" s="334">
        <v>4</v>
      </c>
      <c r="T17" s="357"/>
      <c r="V17" s="343" t="s">
        <v>490</v>
      </c>
      <c r="W17" s="334" t="s">
        <v>20</v>
      </c>
      <c r="X17" s="334" t="s">
        <v>12</v>
      </c>
      <c r="Y17" s="344">
        <v>49.3</v>
      </c>
      <c r="AD17" s="343"/>
      <c r="AG17" s="344"/>
      <c r="AL17" s="343"/>
      <c r="AO17" s="344"/>
      <c r="AP17" s="343"/>
      <c r="AS17" s="344"/>
      <c r="AW17" s="344"/>
      <c r="BA17" s="345"/>
    </row>
    <row r="18" spans="1:53" s="334" customFormat="1">
      <c r="A18" s="386">
        <v>1963.9714285714299</v>
      </c>
      <c r="B18" s="355"/>
      <c r="C18" s="992" t="s">
        <v>623</v>
      </c>
      <c r="D18" s="992"/>
      <c r="E18" s="334">
        <v>366</v>
      </c>
      <c r="G18" s="419"/>
      <c r="I18" s="334">
        <v>15</v>
      </c>
      <c r="J18" s="435">
        <v>15</v>
      </c>
      <c r="K18" s="384">
        <f t="shared" si="1"/>
        <v>0</v>
      </c>
      <c r="L18" s="384">
        <f t="shared" si="1"/>
        <v>0</v>
      </c>
      <c r="M18" s="384">
        <f t="shared" si="1"/>
        <v>100</v>
      </c>
      <c r="N18" s="421">
        <f t="shared" si="2"/>
        <v>100</v>
      </c>
      <c r="O18" s="383"/>
      <c r="P18" s="384"/>
      <c r="Q18" s="384">
        <v>49.3</v>
      </c>
      <c r="R18" s="385">
        <f t="shared" si="3"/>
        <v>49.3</v>
      </c>
      <c r="S18" s="334">
        <v>4</v>
      </c>
      <c r="T18" s="357"/>
      <c r="V18" s="343" t="s">
        <v>490</v>
      </c>
      <c r="W18" s="334" t="s">
        <v>20</v>
      </c>
      <c r="X18" s="334" t="s">
        <v>12</v>
      </c>
      <c r="Y18" s="344">
        <v>49.3</v>
      </c>
      <c r="AD18" s="343"/>
      <c r="AG18" s="344"/>
      <c r="AL18" s="343"/>
      <c r="AO18" s="344"/>
      <c r="AP18" s="343"/>
      <c r="AS18" s="344"/>
      <c r="AW18" s="344"/>
      <c r="BA18" s="345"/>
    </row>
    <row r="19" spans="1:53" s="334" customFormat="1">
      <c r="A19" s="386">
        <v>1965</v>
      </c>
      <c r="B19" s="355"/>
      <c r="C19" s="992" t="s">
        <v>623</v>
      </c>
      <c r="D19" s="992"/>
      <c r="E19" s="334">
        <v>283</v>
      </c>
      <c r="G19" s="419"/>
      <c r="I19" s="334">
        <v>15</v>
      </c>
      <c r="J19" s="435">
        <v>15</v>
      </c>
      <c r="K19" s="384">
        <f t="shared" si="1"/>
        <v>0</v>
      </c>
      <c r="L19" s="384">
        <f t="shared" si="1"/>
        <v>0</v>
      </c>
      <c r="M19" s="384">
        <f t="shared" si="1"/>
        <v>100</v>
      </c>
      <c r="N19" s="421">
        <f t="shared" si="2"/>
        <v>100</v>
      </c>
      <c r="O19" s="383"/>
      <c r="P19" s="384"/>
      <c r="Q19" s="384">
        <v>49.3</v>
      </c>
      <c r="R19" s="385">
        <f t="shared" si="3"/>
        <v>49.3</v>
      </c>
      <c r="S19" s="334">
        <v>4</v>
      </c>
      <c r="T19" s="357"/>
      <c r="V19" s="343" t="s">
        <v>490</v>
      </c>
      <c r="W19" s="334" t="s">
        <v>20</v>
      </c>
      <c r="X19" s="334" t="s">
        <v>12</v>
      </c>
      <c r="Y19" s="344">
        <v>49.3</v>
      </c>
      <c r="AD19" s="343"/>
      <c r="AG19" s="344"/>
      <c r="AL19" s="343"/>
      <c r="AO19" s="344"/>
      <c r="AP19" s="343"/>
      <c r="AS19" s="344"/>
      <c r="AW19" s="344"/>
      <c r="BA19" s="345"/>
    </row>
    <row r="20" spans="1:53" s="208" customFormat="1">
      <c r="A20" s="102">
        <v>1964.88571428572</v>
      </c>
      <c r="B20" s="207">
        <v>24026</v>
      </c>
      <c r="C20" s="988" t="s">
        <v>624</v>
      </c>
      <c r="D20" s="988"/>
      <c r="E20" s="208">
        <f>365-E19</f>
        <v>82</v>
      </c>
      <c r="F20" s="208">
        <v>1</v>
      </c>
      <c r="G20" s="123">
        <v>9</v>
      </c>
      <c r="H20" s="208">
        <v>6</v>
      </c>
      <c r="J20" s="134">
        <v>15</v>
      </c>
      <c r="K20" s="92">
        <f t="shared" si="1"/>
        <v>60</v>
      </c>
      <c r="L20" s="92">
        <f t="shared" si="1"/>
        <v>40</v>
      </c>
      <c r="M20" s="92">
        <f t="shared" si="1"/>
        <v>0</v>
      </c>
      <c r="N20" s="125">
        <f t="shared" si="2"/>
        <v>100</v>
      </c>
      <c r="O20" s="91">
        <v>32.700000000000003</v>
      </c>
      <c r="P20" s="92">
        <v>20.7</v>
      </c>
      <c r="Q20" s="92"/>
      <c r="R20" s="93">
        <f t="shared" si="3"/>
        <v>53.400000000000006</v>
      </c>
      <c r="S20" s="208">
        <v>2</v>
      </c>
      <c r="T20" s="95">
        <v>23997</v>
      </c>
      <c r="U20" s="207">
        <v>24026</v>
      </c>
      <c r="V20" s="208" t="s">
        <v>491</v>
      </c>
      <c r="W20" s="208" t="s">
        <v>74</v>
      </c>
      <c r="X20" s="208" t="s">
        <v>11</v>
      </c>
      <c r="Y20" s="208">
        <v>20.7</v>
      </c>
      <c r="Z20" s="82" t="s">
        <v>84</v>
      </c>
      <c r="AA20" s="208" t="s">
        <v>75</v>
      </c>
      <c r="AB20" s="208" t="s">
        <v>18</v>
      </c>
      <c r="AC20" s="208">
        <v>12</v>
      </c>
      <c r="AD20" s="82" t="s">
        <v>271</v>
      </c>
      <c r="AE20" s="208" t="s">
        <v>17</v>
      </c>
      <c r="AF20" s="208" t="s">
        <v>18</v>
      </c>
      <c r="AG20" s="83">
        <v>8.6999999999999993</v>
      </c>
      <c r="AH20" s="208" t="s">
        <v>414</v>
      </c>
      <c r="AI20" s="208" t="s">
        <v>22</v>
      </c>
      <c r="AJ20" s="208" t="s">
        <v>11</v>
      </c>
      <c r="AK20" s="208">
        <v>12</v>
      </c>
      <c r="AL20" s="82"/>
      <c r="AO20" s="83"/>
      <c r="AP20" s="82"/>
      <c r="AS20" s="83"/>
      <c r="AW20" s="83"/>
      <c r="BA20" s="84"/>
    </row>
    <row r="21" spans="1:53" s="208" customFormat="1">
      <c r="A21" s="102">
        <v>1966</v>
      </c>
      <c r="B21" s="207"/>
      <c r="C21" s="988" t="s">
        <v>624</v>
      </c>
      <c r="D21" s="988"/>
      <c r="E21" s="208">
        <v>0</v>
      </c>
      <c r="G21" s="123">
        <v>9</v>
      </c>
      <c r="H21" s="208">
        <v>6</v>
      </c>
      <c r="J21" s="134">
        <v>15</v>
      </c>
      <c r="K21" s="92">
        <f t="shared" si="1"/>
        <v>60</v>
      </c>
      <c r="L21" s="92">
        <f t="shared" si="1"/>
        <v>40</v>
      </c>
      <c r="M21" s="92">
        <f t="shared" si="1"/>
        <v>0</v>
      </c>
      <c r="N21" s="125">
        <f t="shared" si="2"/>
        <v>100</v>
      </c>
      <c r="O21" s="91">
        <v>32.700000000000003</v>
      </c>
      <c r="P21" s="92">
        <v>20.7</v>
      </c>
      <c r="Q21" s="92"/>
      <c r="R21" s="93">
        <f t="shared" si="3"/>
        <v>53.400000000000006</v>
      </c>
      <c r="S21" s="208">
        <v>2</v>
      </c>
      <c r="T21" s="81"/>
      <c r="V21" s="208" t="s">
        <v>491</v>
      </c>
      <c r="W21" s="208" t="s">
        <v>74</v>
      </c>
      <c r="X21" s="208" t="s">
        <v>11</v>
      </c>
      <c r="Y21" s="208">
        <v>20.7</v>
      </c>
      <c r="Z21" s="82" t="s">
        <v>84</v>
      </c>
      <c r="AA21" s="208" t="s">
        <v>75</v>
      </c>
      <c r="AB21" s="208" t="s">
        <v>18</v>
      </c>
      <c r="AC21" s="208">
        <v>12</v>
      </c>
      <c r="AD21" s="82" t="s">
        <v>271</v>
      </c>
      <c r="AE21" s="208" t="s">
        <v>17</v>
      </c>
      <c r="AF21" s="208" t="s">
        <v>18</v>
      </c>
      <c r="AG21" s="83">
        <v>8.6999999999999993</v>
      </c>
      <c r="AH21" s="208" t="s">
        <v>414</v>
      </c>
      <c r="AI21" s="208" t="s">
        <v>22</v>
      </c>
      <c r="AJ21" s="208" t="s">
        <v>11</v>
      </c>
      <c r="AK21" s="208">
        <v>12</v>
      </c>
      <c r="AL21" s="82"/>
      <c r="AO21" s="83"/>
      <c r="AP21" s="82"/>
      <c r="AS21" s="83"/>
      <c r="AW21" s="83"/>
      <c r="BA21" s="84"/>
    </row>
    <row r="22" spans="1:53" s="208" customFormat="1">
      <c r="A22" s="102">
        <v>1965.8</v>
      </c>
      <c r="B22" s="207"/>
      <c r="C22" s="988" t="s">
        <v>624</v>
      </c>
      <c r="D22" s="988"/>
      <c r="E22" s="208">
        <v>365</v>
      </c>
      <c r="G22" s="123">
        <v>9</v>
      </c>
      <c r="H22" s="208">
        <v>6</v>
      </c>
      <c r="J22" s="134">
        <v>15</v>
      </c>
      <c r="K22" s="92">
        <f t="shared" si="1"/>
        <v>60</v>
      </c>
      <c r="L22" s="92">
        <f t="shared" si="1"/>
        <v>40</v>
      </c>
      <c r="M22" s="92">
        <f t="shared" si="1"/>
        <v>0</v>
      </c>
      <c r="N22" s="125">
        <f t="shared" si="2"/>
        <v>100</v>
      </c>
      <c r="O22" s="91">
        <v>32.700000000000003</v>
      </c>
      <c r="P22" s="92">
        <v>20.7</v>
      </c>
      <c r="Q22" s="92"/>
      <c r="R22" s="93">
        <f t="shared" si="3"/>
        <v>53.400000000000006</v>
      </c>
      <c r="S22" s="208">
        <v>2</v>
      </c>
      <c r="T22" s="81"/>
      <c r="V22" s="208" t="s">
        <v>491</v>
      </c>
      <c r="W22" s="208" t="s">
        <v>74</v>
      </c>
      <c r="X22" s="208" t="s">
        <v>11</v>
      </c>
      <c r="Y22" s="208">
        <v>20.7</v>
      </c>
      <c r="Z22" s="82" t="s">
        <v>84</v>
      </c>
      <c r="AA22" s="208" t="s">
        <v>75</v>
      </c>
      <c r="AB22" s="208" t="s">
        <v>18</v>
      </c>
      <c r="AC22" s="208">
        <v>12</v>
      </c>
      <c r="AD22" s="82" t="s">
        <v>271</v>
      </c>
      <c r="AE22" s="208" t="s">
        <v>17</v>
      </c>
      <c r="AF22" s="208" t="s">
        <v>18</v>
      </c>
      <c r="AG22" s="83">
        <v>8.6999999999999993</v>
      </c>
      <c r="AH22" s="208" t="s">
        <v>414</v>
      </c>
      <c r="AI22" s="208" t="s">
        <v>22</v>
      </c>
      <c r="AJ22" s="208" t="s">
        <v>11</v>
      </c>
      <c r="AK22" s="208">
        <v>12</v>
      </c>
      <c r="AL22" s="82"/>
      <c r="AO22" s="83"/>
      <c r="AP22" s="82"/>
      <c r="AS22" s="83"/>
      <c r="AW22" s="83"/>
      <c r="BA22" s="84"/>
    </row>
    <row r="23" spans="1:53" s="208" customFormat="1">
      <c r="A23" s="102">
        <v>1967</v>
      </c>
      <c r="B23" s="207"/>
      <c r="C23" s="988" t="s">
        <v>624</v>
      </c>
      <c r="D23" s="988"/>
      <c r="E23" s="208">
        <v>0</v>
      </c>
      <c r="G23" s="123">
        <v>9</v>
      </c>
      <c r="H23" s="208">
        <v>6</v>
      </c>
      <c r="J23" s="134">
        <v>15</v>
      </c>
      <c r="K23" s="92">
        <f t="shared" si="1"/>
        <v>60</v>
      </c>
      <c r="L23" s="92">
        <f t="shared" si="1"/>
        <v>40</v>
      </c>
      <c r="M23" s="92">
        <f t="shared" si="1"/>
        <v>0</v>
      </c>
      <c r="N23" s="125">
        <f t="shared" si="2"/>
        <v>100</v>
      </c>
      <c r="O23" s="91">
        <v>32.700000000000003</v>
      </c>
      <c r="P23" s="92">
        <v>20.7</v>
      </c>
      <c r="Q23" s="92"/>
      <c r="R23" s="93">
        <f t="shared" si="3"/>
        <v>53.400000000000006</v>
      </c>
      <c r="S23" s="208">
        <v>2</v>
      </c>
      <c r="T23" s="81"/>
      <c r="V23" s="208" t="s">
        <v>491</v>
      </c>
      <c r="W23" s="208" t="s">
        <v>74</v>
      </c>
      <c r="X23" s="208" t="s">
        <v>11</v>
      </c>
      <c r="Y23" s="208">
        <v>20.7</v>
      </c>
      <c r="Z23" s="82" t="s">
        <v>84</v>
      </c>
      <c r="AA23" s="208" t="s">
        <v>75</v>
      </c>
      <c r="AB23" s="208" t="s">
        <v>18</v>
      </c>
      <c r="AC23" s="208">
        <v>12</v>
      </c>
      <c r="AD23" s="82" t="s">
        <v>271</v>
      </c>
      <c r="AE23" s="208" t="s">
        <v>17</v>
      </c>
      <c r="AF23" s="208" t="s">
        <v>18</v>
      </c>
      <c r="AG23" s="83">
        <v>8.6999999999999993</v>
      </c>
      <c r="AH23" s="208" t="s">
        <v>414</v>
      </c>
      <c r="AI23" s="208" t="s">
        <v>22</v>
      </c>
      <c r="AJ23" s="208" t="s">
        <v>11</v>
      </c>
      <c r="AK23" s="208">
        <v>12</v>
      </c>
      <c r="AL23" s="82"/>
      <c r="AO23" s="83"/>
      <c r="AP23" s="82"/>
      <c r="AS23" s="83"/>
      <c r="AW23" s="83"/>
      <c r="BA23" s="84"/>
    </row>
    <row r="24" spans="1:53" s="208" customFormat="1">
      <c r="A24" s="102">
        <v>1966.7142857142901</v>
      </c>
      <c r="B24" s="207"/>
      <c r="C24" s="988" t="s">
        <v>624</v>
      </c>
      <c r="D24" s="988"/>
      <c r="E24" s="208">
        <v>365</v>
      </c>
      <c r="G24" s="123">
        <v>9</v>
      </c>
      <c r="H24" s="208">
        <v>6</v>
      </c>
      <c r="J24" s="134">
        <v>15</v>
      </c>
      <c r="K24" s="92">
        <f t="shared" si="1"/>
        <v>60</v>
      </c>
      <c r="L24" s="92">
        <f t="shared" si="1"/>
        <v>40</v>
      </c>
      <c r="M24" s="92">
        <f t="shared" si="1"/>
        <v>0</v>
      </c>
      <c r="N24" s="125">
        <f t="shared" si="2"/>
        <v>100</v>
      </c>
      <c r="O24" s="91">
        <v>32.700000000000003</v>
      </c>
      <c r="P24" s="92">
        <v>20.7</v>
      </c>
      <c r="Q24" s="92"/>
      <c r="R24" s="93">
        <f t="shared" si="3"/>
        <v>53.400000000000006</v>
      </c>
      <c r="S24" s="208">
        <v>2</v>
      </c>
      <c r="T24" s="81"/>
      <c r="V24" s="208" t="s">
        <v>491</v>
      </c>
      <c r="W24" s="208" t="s">
        <v>74</v>
      </c>
      <c r="X24" s="208" t="s">
        <v>11</v>
      </c>
      <c r="Y24" s="208">
        <v>20.7</v>
      </c>
      <c r="Z24" s="82" t="s">
        <v>84</v>
      </c>
      <c r="AA24" s="208" t="s">
        <v>75</v>
      </c>
      <c r="AB24" s="208" t="s">
        <v>18</v>
      </c>
      <c r="AC24" s="208">
        <v>12</v>
      </c>
      <c r="AD24" s="82" t="s">
        <v>271</v>
      </c>
      <c r="AE24" s="208" t="s">
        <v>17</v>
      </c>
      <c r="AF24" s="208" t="s">
        <v>18</v>
      </c>
      <c r="AG24" s="83">
        <v>8.6999999999999993</v>
      </c>
      <c r="AH24" s="208" t="s">
        <v>414</v>
      </c>
      <c r="AI24" s="208" t="s">
        <v>22</v>
      </c>
      <c r="AJ24" s="208" t="s">
        <v>11</v>
      </c>
      <c r="AK24" s="208">
        <v>12</v>
      </c>
      <c r="AL24" s="82"/>
      <c r="AO24" s="83"/>
      <c r="AP24" s="82"/>
      <c r="AS24" s="83"/>
      <c r="AW24" s="83"/>
      <c r="BA24" s="84"/>
    </row>
    <row r="25" spans="1:53" s="208" customFormat="1">
      <c r="A25" s="102">
        <v>1968</v>
      </c>
      <c r="B25" s="207"/>
      <c r="C25" s="988" t="s">
        <v>624</v>
      </c>
      <c r="D25" s="988"/>
      <c r="E25" s="208">
        <v>0</v>
      </c>
      <c r="G25" s="123">
        <v>9</v>
      </c>
      <c r="H25" s="208">
        <v>6</v>
      </c>
      <c r="J25" s="134">
        <v>15</v>
      </c>
      <c r="K25" s="92">
        <f t="shared" ref="K25:M89" si="4">G25/$J25*100</f>
        <v>60</v>
      </c>
      <c r="L25" s="92">
        <f t="shared" si="4"/>
        <v>40</v>
      </c>
      <c r="M25" s="92">
        <f t="shared" si="4"/>
        <v>0</v>
      </c>
      <c r="N25" s="125">
        <f t="shared" si="2"/>
        <v>100</v>
      </c>
      <c r="O25" s="91">
        <v>32.700000000000003</v>
      </c>
      <c r="P25" s="92">
        <v>20.7</v>
      </c>
      <c r="Q25" s="92"/>
      <c r="R25" s="93">
        <f t="shared" si="3"/>
        <v>53.400000000000006</v>
      </c>
      <c r="S25" s="208">
        <v>2</v>
      </c>
      <c r="T25" s="81"/>
      <c r="V25" s="208" t="s">
        <v>491</v>
      </c>
      <c r="W25" s="208" t="s">
        <v>74</v>
      </c>
      <c r="X25" s="208" t="s">
        <v>11</v>
      </c>
      <c r="Y25" s="208">
        <v>20.7</v>
      </c>
      <c r="Z25" s="82" t="s">
        <v>84</v>
      </c>
      <c r="AA25" s="208" t="s">
        <v>75</v>
      </c>
      <c r="AB25" s="208" t="s">
        <v>18</v>
      </c>
      <c r="AC25" s="208">
        <v>12</v>
      </c>
      <c r="AD25" s="82" t="s">
        <v>271</v>
      </c>
      <c r="AE25" s="208" t="s">
        <v>17</v>
      </c>
      <c r="AF25" s="208" t="s">
        <v>18</v>
      </c>
      <c r="AG25" s="83">
        <v>8.6999999999999993</v>
      </c>
      <c r="AH25" s="208" t="s">
        <v>414</v>
      </c>
      <c r="AI25" s="208" t="s">
        <v>22</v>
      </c>
      <c r="AJ25" s="208" t="s">
        <v>11</v>
      </c>
      <c r="AK25" s="208">
        <v>12</v>
      </c>
      <c r="AL25" s="82"/>
      <c r="AO25" s="83"/>
      <c r="AP25" s="82"/>
      <c r="AS25" s="83"/>
      <c r="AW25" s="83"/>
      <c r="BA25" s="84"/>
    </row>
    <row r="26" spans="1:53" s="208" customFormat="1">
      <c r="A26" s="102">
        <v>1967.62857142857</v>
      </c>
      <c r="B26" s="207"/>
      <c r="C26" s="988" t="s">
        <v>624</v>
      </c>
      <c r="D26" s="988"/>
      <c r="E26" s="208">
        <v>366</v>
      </c>
      <c r="G26" s="123">
        <v>9</v>
      </c>
      <c r="H26" s="208">
        <v>6</v>
      </c>
      <c r="J26" s="134">
        <v>15</v>
      </c>
      <c r="K26" s="92">
        <f t="shared" si="4"/>
        <v>60</v>
      </c>
      <c r="L26" s="92">
        <f t="shared" si="4"/>
        <v>40</v>
      </c>
      <c r="M26" s="92">
        <f t="shared" si="4"/>
        <v>0</v>
      </c>
      <c r="N26" s="125">
        <f t="shared" si="2"/>
        <v>100</v>
      </c>
      <c r="O26" s="91">
        <v>32.700000000000003</v>
      </c>
      <c r="P26" s="92">
        <v>20.7</v>
      </c>
      <c r="Q26" s="92"/>
      <c r="R26" s="93">
        <f t="shared" si="3"/>
        <v>53.400000000000006</v>
      </c>
      <c r="S26" s="208">
        <v>2</v>
      </c>
      <c r="T26" s="81"/>
      <c r="V26" s="208" t="s">
        <v>491</v>
      </c>
      <c r="W26" s="208" t="s">
        <v>74</v>
      </c>
      <c r="X26" s="208" t="s">
        <v>11</v>
      </c>
      <c r="Y26" s="208">
        <v>20.7</v>
      </c>
      <c r="Z26" s="82" t="s">
        <v>84</v>
      </c>
      <c r="AA26" s="208" t="s">
        <v>75</v>
      </c>
      <c r="AB26" s="208" t="s">
        <v>18</v>
      </c>
      <c r="AC26" s="208">
        <v>12</v>
      </c>
      <c r="AD26" s="82" t="s">
        <v>271</v>
      </c>
      <c r="AE26" s="208" t="s">
        <v>17</v>
      </c>
      <c r="AF26" s="208" t="s">
        <v>18</v>
      </c>
      <c r="AG26" s="83">
        <v>8.6999999999999993</v>
      </c>
      <c r="AH26" s="208" t="s">
        <v>414</v>
      </c>
      <c r="AI26" s="208" t="s">
        <v>22</v>
      </c>
      <c r="AJ26" s="208" t="s">
        <v>11</v>
      </c>
      <c r="AK26" s="208">
        <v>12</v>
      </c>
      <c r="AL26" s="82"/>
      <c r="AO26" s="83"/>
      <c r="AP26" s="82"/>
      <c r="AS26" s="83"/>
      <c r="AW26" s="83"/>
      <c r="BA26" s="84"/>
    </row>
    <row r="27" spans="1:53" s="208" customFormat="1">
      <c r="A27" s="102">
        <v>1969</v>
      </c>
      <c r="B27" s="207"/>
      <c r="C27" s="988" t="s">
        <v>624</v>
      </c>
      <c r="D27" s="988"/>
      <c r="E27" s="208">
        <v>249</v>
      </c>
      <c r="G27" s="123">
        <v>9</v>
      </c>
      <c r="H27" s="208">
        <v>6</v>
      </c>
      <c r="J27" s="134">
        <v>15</v>
      </c>
      <c r="K27" s="92">
        <f t="shared" si="4"/>
        <v>60</v>
      </c>
      <c r="L27" s="92">
        <f t="shared" si="4"/>
        <v>40</v>
      </c>
      <c r="M27" s="92">
        <f t="shared" si="4"/>
        <v>0</v>
      </c>
      <c r="N27" s="125">
        <f t="shared" si="2"/>
        <v>100</v>
      </c>
      <c r="O27" s="91">
        <v>32.700000000000003</v>
      </c>
      <c r="P27" s="92">
        <v>20.7</v>
      </c>
      <c r="Q27" s="92"/>
      <c r="R27" s="93">
        <f t="shared" si="3"/>
        <v>53.400000000000006</v>
      </c>
      <c r="S27" s="208">
        <v>2</v>
      </c>
      <c r="T27" s="81"/>
      <c r="V27" s="208" t="s">
        <v>491</v>
      </c>
      <c r="W27" s="208" t="s">
        <v>74</v>
      </c>
      <c r="X27" s="208" t="s">
        <v>11</v>
      </c>
      <c r="Y27" s="208">
        <v>20.7</v>
      </c>
      <c r="Z27" s="82" t="s">
        <v>84</v>
      </c>
      <c r="AA27" s="208" t="s">
        <v>75</v>
      </c>
      <c r="AB27" s="208" t="s">
        <v>18</v>
      </c>
      <c r="AC27" s="208">
        <v>12</v>
      </c>
      <c r="AD27" s="82" t="s">
        <v>271</v>
      </c>
      <c r="AE27" s="208" t="s">
        <v>17</v>
      </c>
      <c r="AF27" s="208" t="s">
        <v>18</v>
      </c>
      <c r="AG27" s="83">
        <v>8.6999999999999993</v>
      </c>
      <c r="AH27" s="208" t="s">
        <v>414</v>
      </c>
      <c r="AI27" s="208" t="s">
        <v>22</v>
      </c>
      <c r="AJ27" s="208" t="s">
        <v>11</v>
      </c>
      <c r="AK27" s="208">
        <v>12</v>
      </c>
      <c r="AL27" s="82"/>
      <c r="AO27" s="83"/>
      <c r="AP27" s="82"/>
      <c r="AS27" s="83"/>
      <c r="AW27" s="83"/>
      <c r="BA27" s="84"/>
    </row>
    <row r="28" spans="1:53" s="334" customFormat="1">
      <c r="A28" s="386">
        <v>1968.5428571428599</v>
      </c>
      <c r="B28" s="355">
        <v>25453</v>
      </c>
      <c r="C28" s="992" t="s">
        <v>625</v>
      </c>
      <c r="D28" s="992"/>
      <c r="E28" s="334">
        <f>365-E27</f>
        <v>116</v>
      </c>
      <c r="F28" s="334">
        <v>1</v>
      </c>
      <c r="G28" s="419">
        <v>9</v>
      </c>
      <c r="H28" s="334">
        <v>6</v>
      </c>
      <c r="J28" s="435">
        <v>15</v>
      </c>
      <c r="K28" s="384">
        <f t="shared" si="4"/>
        <v>60</v>
      </c>
      <c r="L28" s="384">
        <f t="shared" si="4"/>
        <v>40</v>
      </c>
      <c r="M28" s="384">
        <f t="shared" si="4"/>
        <v>0</v>
      </c>
      <c r="N28" s="421">
        <f t="shared" si="2"/>
        <v>100</v>
      </c>
      <c r="O28" s="383">
        <v>28</v>
      </c>
      <c r="P28" s="384">
        <v>22.6</v>
      </c>
      <c r="Q28" s="384"/>
      <c r="R28" s="385">
        <f t="shared" si="3"/>
        <v>50.6</v>
      </c>
      <c r="S28" s="334">
        <v>2</v>
      </c>
      <c r="T28" s="342">
        <v>25453</v>
      </c>
      <c r="U28" s="355">
        <v>25453</v>
      </c>
      <c r="V28" s="334" t="s">
        <v>491</v>
      </c>
      <c r="W28" s="334" t="s">
        <v>74</v>
      </c>
      <c r="X28" s="334" t="s">
        <v>11</v>
      </c>
      <c r="Y28" s="334">
        <v>19.3</v>
      </c>
      <c r="Z28" s="343" t="s">
        <v>84</v>
      </c>
      <c r="AA28" s="334" t="s">
        <v>75</v>
      </c>
      <c r="AB28" s="334" t="s">
        <v>18</v>
      </c>
      <c r="AC28" s="334">
        <v>13.3</v>
      </c>
      <c r="AD28" s="343" t="s">
        <v>271</v>
      </c>
      <c r="AE28" s="334" t="s">
        <v>17</v>
      </c>
      <c r="AF28" s="334" t="s">
        <v>18</v>
      </c>
      <c r="AG28" s="344">
        <v>9.3000000000000007</v>
      </c>
      <c r="AH28" s="334" t="s">
        <v>414</v>
      </c>
      <c r="AI28" s="334" t="s">
        <v>22</v>
      </c>
      <c r="AJ28" s="334" t="s">
        <v>11</v>
      </c>
      <c r="AK28" s="334">
        <v>8.6999999999999993</v>
      </c>
      <c r="AL28" s="343"/>
      <c r="AO28" s="344"/>
      <c r="AP28" s="343"/>
      <c r="AS28" s="344"/>
      <c r="AW28" s="344"/>
      <c r="BA28" s="345"/>
    </row>
    <row r="29" spans="1:53" s="334" customFormat="1">
      <c r="A29" s="386">
        <v>1970</v>
      </c>
      <c r="B29" s="355"/>
      <c r="C29" s="992" t="s">
        <v>625</v>
      </c>
      <c r="D29" s="992"/>
      <c r="E29" s="334">
        <v>0</v>
      </c>
      <c r="G29" s="419">
        <v>9</v>
      </c>
      <c r="H29" s="334">
        <v>6</v>
      </c>
      <c r="J29" s="435">
        <v>15</v>
      </c>
      <c r="K29" s="384">
        <f t="shared" si="4"/>
        <v>60</v>
      </c>
      <c r="L29" s="384">
        <f t="shared" si="4"/>
        <v>40</v>
      </c>
      <c r="M29" s="384">
        <f t="shared" si="4"/>
        <v>0</v>
      </c>
      <c r="N29" s="421">
        <f t="shared" si="2"/>
        <v>100</v>
      </c>
      <c r="O29" s="383">
        <v>28</v>
      </c>
      <c r="P29" s="384">
        <v>22.6</v>
      </c>
      <c r="Q29" s="384"/>
      <c r="R29" s="385">
        <f t="shared" si="3"/>
        <v>50.6</v>
      </c>
      <c r="S29" s="334">
        <v>2</v>
      </c>
      <c r="T29" s="357"/>
      <c r="V29" s="334" t="s">
        <v>491</v>
      </c>
      <c r="W29" s="334" t="s">
        <v>74</v>
      </c>
      <c r="X29" s="334" t="s">
        <v>11</v>
      </c>
      <c r="Y29" s="334">
        <v>19.3</v>
      </c>
      <c r="Z29" s="343" t="s">
        <v>84</v>
      </c>
      <c r="AA29" s="334" t="s">
        <v>75</v>
      </c>
      <c r="AB29" s="334" t="s">
        <v>18</v>
      </c>
      <c r="AC29" s="334">
        <v>13.3</v>
      </c>
      <c r="AD29" s="343" t="s">
        <v>271</v>
      </c>
      <c r="AE29" s="334" t="s">
        <v>17</v>
      </c>
      <c r="AF29" s="334" t="s">
        <v>18</v>
      </c>
      <c r="AG29" s="344">
        <v>9.3000000000000007</v>
      </c>
      <c r="AH29" s="334" t="s">
        <v>414</v>
      </c>
      <c r="AI29" s="334" t="s">
        <v>22</v>
      </c>
      <c r="AJ29" s="334" t="s">
        <v>11</v>
      </c>
      <c r="AK29" s="334">
        <v>8.6999999999999993</v>
      </c>
      <c r="AL29" s="343"/>
      <c r="AO29" s="344"/>
      <c r="AP29" s="343"/>
      <c r="AS29" s="344"/>
      <c r="AW29" s="344"/>
      <c r="BA29" s="345"/>
    </row>
    <row r="30" spans="1:53" s="334" customFormat="1">
      <c r="A30" s="386">
        <v>1970</v>
      </c>
      <c r="B30" s="355"/>
      <c r="C30" s="992" t="s">
        <v>625</v>
      </c>
      <c r="D30" s="992"/>
      <c r="E30" s="334">
        <v>365</v>
      </c>
      <c r="G30" s="419">
        <v>9</v>
      </c>
      <c r="H30" s="334">
        <v>6</v>
      </c>
      <c r="J30" s="435">
        <v>15</v>
      </c>
      <c r="K30" s="384">
        <f t="shared" si="4"/>
        <v>60</v>
      </c>
      <c r="L30" s="384">
        <f t="shared" si="4"/>
        <v>40</v>
      </c>
      <c r="M30" s="384">
        <f t="shared" si="4"/>
        <v>0</v>
      </c>
      <c r="N30" s="421">
        <f t="shared" si="2"/>
        <v>100</v>
      </c>
      <c r="O30" s="383">
        <v>28</v>
      </c>
      <c r="P30" s="384">
        <v>22.6</v>
      </c>
      <c r="Q30" s="384"/>
      <c r="R30" s="385">
        <f t="shared" si="3"/>
        <v>50.6</v>
      </c>
      <c r="S30" s="334">
        <v>2</v>
      </c>
      <c r="T30" s="357"/>
      <c r="V30" s="334" t="s">
        <v>491</v>
      </c>
      <c r="W30" s="334" t="s">
        <v>74</v>
      </c>
      <c r="X30" s="334" t="s">
        <v>11</v>
      </c>
      <c r="Y30" s="334">
        <v>19.3</v>
      </c>
      <c r="Z30" s="343" t="s">
        <v>84</v>
      </c>
      <c r="AA30" s="334" t="s">
        <v>75</v>
      </c>
      <c r="AB30" s="334" t="s">
        <v>18</v>
      </c>
      <c r="AC30" s="334">
        <v>13.3</v>
      </c>
      <c r="AD30" s="343" t="s">
        <v>271</v>
      </c>
      <c r="AE30" s="334" t="s">
        <v>17</v>
      </c>
      <c r="AF30" s="334" t="s">
        <v>18</v>
      </c>
      <c r="AG30" s="344">
        <v>9.3000000000000007</v>
      </c>
      <c r="AH30" s="334" t="s">
        <v>414</v>
      </c>
      <c r="AI30" s="334" t="s">
        <v>22</v>
      </c>
      <c r="AJ30" s="334" t="s">
        <v>11</v>
      </c>
      <c r="AK30" s="334">
        <v>8.6999999999999993</v>
      </c>
      <c r="AL30" s="343"/>
      <c r="AO30" s="344"/>
      <c r="AP30" s="343"/>
      <c r="AS30" s="344"/>
      <c r="AW30" s="344"/>
      <c r="BA30" s="345"/>
    </row>
    <row r="31" spans="1:53" s="334" customFormat="1">
      <c r="A31" s="386">
        <v>1971</v>
      </c>
      <c r="B31" s="355"/>
      <c r="C31" s="992" t="s">
        <v>625</v>
      </c>
      <c r="D31" s="992"/>
      <c r="E31" s="334">
        <v>71</v>
      </c>
      <c r="G31" s="419">
        <v>9</v>
      </c>
      <c r="H31" s="334">
        <v>6</v>
      </c>
      <c r="J31" s="435">
        <v>15</v>
      </c>
      <c r="K31" s="384">
        <f t="shared" si="4"/>
        <v>60</v>
      </c>
      <c r="L31" s="384">
        <f t="shared" si="4"/>
        <v>40</v>
      </c>
      <c r="M31" s="384">
        <f t="shared" si="4"/>
        <v>0</v>
      </c>
      <c r="N31" s="421">
        <f t="shared" si="2"/>
        <v>100</v>
      </c>
      <c r="O31" s="383">
        <v>28</v>
      </c>
      <c r="P31" s="384">
        <v>22.6</v>
      </c>
      <c r="Q31" s="384"/>
      <c r="R31" s="385">
        <f t="shared" si="3"/>
        <v>50.6</v>
      </c>
      <c r="S31" s="334">
        <v>2</v>
      </c>
      <c r="T31" s="357"/>
      <c r="V31" s="334" t="s">
        <v>491</v>
      </c>
      <c r="W31" s="334" t="s">
        <v>74</v>
      </c>
      <c r="X31" s="334" t="s">
        <v>11</v>
      </c>
      <c r="Y31" s="334">
        <v>19.3</v>
      </c>
      <c r="Z31" s="343" t="s">
        <v>84</v>
      </c>
      <c r="AA31" s="334" t="s">
        <v>75</v>
      </c>
      <c r="AB31" s="334" t="s">
        <v>18</v>
      </c>
      <c r="AC31" s="334">
        <v>13.3</v>
      </c>
      <c r="AD31" s="343" t="s">
        <v>271</v>
      </c>
      <c r="AE31" s="334" t="s">
        <v>17</v>
      </c>
      <c r="AF31" s="334" t="s">
        <v>18</v>
      </c>
      <c r="AG31" s="344">
        <v>9.3000000000000007</v>
      </c>
      <c r="AH31" s="334" t="s">
        <v>414</v>
      </c>
      <c r="AI31" s="334" t="s">
        <v>22</v>
      </c>
      <c r="AJ31" s="334" t="s">
        <v>11</v>
      </c>
      <c r="AK31" s="334">
        <v>8.6999999999999993</v>
      </c>
      <c r="AL31" s="343"/>
      <c r="AO31" s="344"/>
      <c r="AP31" s="343"/>
      <c r="AS31" s="344"/>
      <c r="AW31" s="344"/>
      <c r="BA31" s="345"/>
    </row>
    <row r="32" spans="1:53" s="208" customFormat="1">
      <c r="A32" s="102">
        <v>1971</v>
      </c>
      <c r="B32" s="207">
        <v>26005</v>
      </c>
      <c r="C32" s="988" t="s">
        <v>626</v>
      </c>
      <c r="D32" s="988"/>
      <c r="E32" s="208">
        <f>365-E31</f>
        <v>294</v>
      </c>
      <c r="F32" s="208">
        <v>4</v>
      </c>
      <c r="G32" s="123"/>
      <c r="I32" s="208">
        <v>15</v>
      </c>
      <c r="J32" s="134">
        <v>15</v>
      </c>
      <c r="K32" s="92">
        <f t="shared" si="4"/>
        <v>0</v>
      </c>
      <c r="L32" s="92">
        <f t="shared" si="4"/>
        <v>0</v>
      </c>
      <c r="M32" s="92">
        <f t="shared" si="4"/>
        <v>100</v>
      </c>
      <c r="N32" s="125">
        <f t="shared" si="2"/>
        <v>100</v>
      </c>
      <c r="O32" s="91"/>
      <c r="P32" s="92"/>
      <c r="Q32" s="92">
        <v>49.3</v>
      </c>
      <c r="R32" s="93">
        <f t="shared" si="3"/>
        <v>49.3</v>
      </c>
      <c r="S32" s="208">
        <v>4</v>
      </c>
      <c r="T32" s="81"/>
      <c r="U32" s="207">
        <v>26005</v>
      </c>
      <c r="V32" s="82" t="s">
        <v>490</v>
      </c>
      <c r="W32" s="208" t="s">
        <v>20</v>
      </c>
      <c r="X32" s="208" t="s">
        <v>12</v>
      </c>
      <c r="Y32" s="83">
        <v>49.3</v>
      </c>
      <c r="AD32" s="82"/>
      <c r="AG32" s="83"/>
      <c r="AH32" s="164"/>
      <c r="AL32" s="82"/>
      <c r="AO32" s="83"/>
      <c r="AP32" s="82"/>
      <c r="AS32" s="83"/>
      <c r="AW32" s="83"/>
      <c r="BA32" s="84"/>
    </row>
    <row r="33" spans="1:53" s="208" customFormat="1">
      <c r="A33" s="102">
        <v>1972</v>
      </c>
      <c r="B33" s="207"/>
      <c r="C33" s="988" t="s">
        <v>626</v>
      </c>
      <c r="D33" s="988"/>
      <c r="E33" s="208">
        <v>291</v>
      </c>
      <c r="G33" s="123"/>
      <c r="I33" s="208">
        <v>15</v>
      </c>
      <c r="J33" s="134">
        <v>15</v>
      </c>
      <c r="K33" s="92">
        <f t="shared" si="4"/>
        <v>0</v>
      </c>
      <c r="L33" s="92">
        <f t="shared" si="4"/>
        <v>0</v>
      </c>
      <c r="M33" s="92">
        <f t="shared" si="4"/>
        <v>100</v>
      </c>
      <c r="N33" s="125">
        <f t="shared" si="2"/>
        <v>100</v>
      </c>
      <c r="O33" s="91"/>
      <c r="P33" s="92"/>
      <c r="Q33" s="92">
        <v>49.3</v>
      </c>
      <c r="R33" s="93">
        <f t="shared" si="3"/>
        <v>49.3</v>
      </c>
      <c r="S33" s="208">
        <v>4</v>
      </c>
      <c r="T33" s="81"/>
      <c r="V33" s="82" t="s">
        <v>490</v>
      </c>
      <c r="W33" s="208" t="s">
        <v>20</v>
      </c>
      <c r="X33" s="208" t="s">
        <v>12</v>
      </c>
      <c r="Y33" s="83">
        <v>49.3</v>
      </c>
      <c r="AD33" s="82"/>
      <c r="AG33" s="83"/>
      <c r="AH33" s="164"/>
      <c r="AL33" s="82"/>
      <c r="AO33" s="83"/>
      <c r="AP33" s="82"/>
      <c r="AS33" s="83"/>
      <c r="AW33" s="83"/>
      <c r="BA33" s="84"/>
    </row>
    <row r="34" spans="1:53" s="334" customFormat="1">
      <c r="A34" s="386">
        <v>1972</v>
      </c>
      <c r="B34" s="355">
        <v>26590</v>
      </c>
      <c r="C34" s="992" t="s">
        <v>627</v>
      </c>
      <c r="D34" s="992"/>
      <c r="E34" s="334">
        <f>366-E33</f>
        <v>75</v>
      </c>
      <c r="F34" s="334">
        <v>2</v>
      </c>
      <c r="G34" s="419">
        <v>5</v>
      </c>
      <c r="H34" s="334">
        <v>10</v>
      </c>
      <c r="J34" s="435">
        <v>15</v>
      </c>
      <c r="K34" s="384">
        <f t="shared" si="4"/>
        <v>33.333333333333329</v>
      </c>
      <c r="L34" s="384">
        <f t="shared" si="4"/>
        <v>66.666666666666657</v>
      </c>
      <c r="M34" s="384">
        <f t="shared" si="4"/>
        <v>0</v>
      </c>
      <c r="N34" s="421">
        <f t="shared" si="2"/>
        <v>99.999999999999986</v>
      </c>
      <c r="O34" s="383">
        <v>8.6999999999999993</v>
      </c>
      <c r="P34" s="384">
        <v>22.6</v>
      </c>
      <c r="Q34" s="384"/>
      <c r="R34" s="385">
        <f t="shared" si="3"/>
        <v>31.3</v>
      </c>
      <c r="S34" s="334">
        <v>5</v>
      </c>
      <c r="T34" s="357"/>
      <c r="U34" s="355">
        <v>26590</v>
      </c>
      <c r="V34" s="343" t="s">
        <v>84</v>
      </c>
      <c r="W34" s="334" t="s">
        <v>75</v>
      </c>
      <c r="X34" s="334" t="s">
        <v>18</v>
      </c>
      <c r="Y34" s="344">
        <v>13.3</v>
      </c>
      <c r="Z34" s="343" t="s">
        <v>271</v>
      </c>
      <c r="AA34" s="334" t="s">
        <v>17</v>
      </c>
      <c r="AB34" s="334" t="s">
        <v>18</v>
      </c>
      <c r="AC34" s="334">
        <v>9.3000000000000007</v>
      </c>
      <c r="AD34" s="343" t="s">
        <v>414</v>
      </c>
      <c r="AE34" s="334" t="s">
        <v>22</v>
      </c>
      <c r="AF34" s="334" t="s">
        <v>11</v>
      </c>
      <c r="AG34" s="344">
        <v>8.6999999999999993</v>
      </c>
      <c r="AH34" s="452"/>
      <c r="AL34" s="343"/>
      <c r="AO34" s="344"/>
      <c r="AP34" s="343"/>
      <c r="AS34" s="344"/>
      <c r="AW34" s="344"/>
      <c r="BA34" s="345"/>
    </row>
    <row r="35" spans="1:53" s="334" customFormat="1">
      <c r="A35" s="386">
        <v>1973</v>
      </c>
      <c r="B35" s="355"/>
      <c r="C35" s="992" t="s">
        <v>627</v>
      </c>
      <c r="D35" s="992"/>
      <c r="E35" s="334">
        <v>288</v>
      </c>
      <c r="G35" s="419">
        <v>5</v>
      </c>
      <c r="H35" s="334">
        <v>10</v>
      </c>
      <c r="J35" s="435">
        <v>15</v>
      </c>
      <c r="K35" s="384">
        <f t="shared" si="4"/>
        <v>33.333333333333329</v>
      </c>
      <c r="L35" s="384">
        <f t="shared" si="4"/>
        <v>66.666666666666657</v>
      </c>
      <c r="M35" s="384">
        <f t="shared" si="4"/>
        <v>0</v>
      </c>
      <c r="N35" s="421">
        <f t="shared" si="2"/>
        <v>99.999999999999986</v>
      </c>
      <c r="O35" s="383">
        <v>8.6999999999999993</v>
      </c>
      <c r="P35" s="384">
        <v>22.6</v>
      </c>
      <c r="Q35" s="384"/>
      <c r="R35" s="385">
        <f t="shared" si="3"/>
        <v>31.3</v>
      </c>
      <c r="S35" s="334">
        <v>5</v>
      </c>
      <c r="T35" s="357"/>
      <c r="V35" s="343" t="s">
        <v>84</v>
      </c>
      <c r="W35" s="334" t="s">
        <v>75</v>
      </c>
      <c r="X35" s="334" t="s">
        <v>18</v>
      </c>
      <c r="Y35" s="344">
        <v>13.3</v>
      </c>
      <c r="Z35" s="343" t="s">
        <v>271</v>
      </c>
      <c r="AA35" s="334" t="s">
        <v>17</v>
      </c>
      <c r="AB35" s="334" t="s">
        <v>18</v>
      </c>
      <c r="AC35" s="334">
        <v>9.3000000000000007</v>
      </c>
      <c r="AD35" s="343" t="s">
        <v>414</v>
      </c>
      <c r="AE35" s="334" t="s">
        <v>22</v>
      </c>
      <c r="AF35" s="334" t="s">
        <v>11</v>
      </c>
      <c r="AG35" s="344">
        <v>8.6999999999999993</v>
      </c>
      <c r="AH35" s="452"/>
      <c r="AL35" s="343"/>
      <c r="AO35" s="344"/>
      <c r="AP35" s="343"/>
      <c r="AS35" s="344"/>
      <c r="AW35" s="344"/>
      <c r="BA35" s="345"/>
    </row>
    <row r="36" spans="1:53" s="208" customFormat="1">
      <c r="A36" s="102">
        <v>1973</v>
      </c>
      <c r="B36" s="207">
        <v>26953</v>
      </c>
      <c r="C36" s="988" t="s">
        <v>628</v>
      </c>
      <c r="D36" s="988"/>
      <c r="E36" s="208">
        <f>365-E35</f>
        <v>77</v>
      </c>
      <c r="F36" s="208">
        <v>1</v>
      </c>
      <c r="G36" s="123"/>
      <c r="I36" s="208">
        <v>15</v>
      </c>
      <c r="J36" s="134">
        <v>15</v>
      </c>
      <c r="K36" s="92">
        <f t="shared" si="4"/>
        <v>0</v>
      </c>
      <c r="L36" s="92">
        <f t="shared" si="4"/>
        <v>0</v>
      </c>
      <c r="M36" s="92">
        <f t="shared" si="4"/>
        <v>100</v>
      </c>
      <c r="N36" s="125">
        <f t="shared" si="2"/>
        <v>100</v>
      </c>
      <c r="O36" s="91"/>
      <c r="P36" s="92"/>
      <c r="Q36" s="92">
        <v>40</v>
      </c>
      <c r="R36" s="93">
        <f t="shared" si="3"/>
        <v>40</v>
      </c>
      <c r="S36" s="208">
        <v>4</v>
      </c>
      <c r="T36" s="95">
        <v>26916</v>
      </c>
      <c r="U36" s="207">
        <v>26953</v>
      </c>
      <c r="V36" s="82" t="s">
        <v>490</v>
      </c>
      <c r="W36" s="208" t="s">
        <v>20</v>
      </c>
      <c r="X36" s="208" t="s">
        <v>12</v>
      </c>
      <c r="Y36" s="83">
        <v>40</v>
      </c>
      <c r="AD36" s="82"/>
      <c r="AG36" s="83"/>
      <c r="AH36" s="164"/>
      <c r="AL36" s="82"/>
      <c r="AO36" s="83"/>
      <c r="AP36" s="82"/>
      <c r="AS36" s="83"/>
      <c r="AW36" s="83"/>
      <c r="BA36" s="84"/>
    </row>
    <row r="37" spans="1:53" s="208" customFormat="1">
      <c r="A37" s="102">
        <v>1974</v>
      </c>
      <c r="B37" s="207"/>
      <c r="C37" s="988" t="s">
        <v>628</v>
      </c>
      <c r="D37" s="988"/>
      <c r="E37" s="208">
        <v>0</v>
      </c>
      <c r="G37" s="123"/>
      <c r="I37" s="208">
        <v>15</v>
      </c>
      <c r="J37" s="134">
        <v>15</v>
      </c>
      <c r="K37" s="92">
        <f t="shared" si="4"/>
        <v>0</v>
      </c>
      <c r="L37" s="92">
        <f t="shared" si="4"/>
        <v>0</v>
      </c>
      <c r="M37" s="92">
        <f t="shared" si="4"/>
        <v>100</v>
      </c>
      <c r="N37" s="125">
        <f t="shared" si="2"/>
        <v>100</v>
      </c>
      <c r="O37" s="91"/>
      <c r="P37" s="92"/>
      <c r="Q37" s="92">
        <v>40</v>
      </c>
      <c r="R37" s="93">
        <f t="shared" si="3"/>
        <v>40</v>
      </c>
      <c r="S37" s="208">
        <v>4</v>
      </c>
      <c r="T37" s="81"/>
      <c r="V37" s="82" t="s">
        <v>490</v>
      </c>
      <c r="W37" s="208" t="s">
        <v>20</v>
      </c>
      <c r="X37" s="208" t="s">
        <v>12</v>
      </c>
      <c r="Y37" s="83">
        <v>40</v>
      </c>
      <c r="AD37" s="82"/>
      <c r="AG37" s="83"/>
      <c r="AH37" s="164"/>
      <c r="AL37" s="82"/>
      <c r="AO37" s="83"/>
      <c r="AP37" s="82"/>
      <c r="AS37" s="83"/>
      <c r="AW37" s="83"/>
      <c r="BA37" s="84"/>
    </row>
    <row r="38" spans="1:53" s="208" customFormat="1">
      <c r="A38" s="102">
        <v>1974</v>
      </c>
      <c r="B38" s="207"/>
      <c r="C38" s="988" t="s">
        <v>628</v>
      </c>
      <c r="D38" s="988"/>
      <c r="E38" s="208">
        <v>365</v>
      </c>
      <c r="G38" s="123"/>
      <c r="I38" s="208">
        <v>15</v>
      </c>
      <c r="J38" s="134">
        <v>15</v>
      </c>
      <c r="K38" s="92">
        <f t="shared" si="4"/>
        <v>0</v>
      </c>
      <c r="L38" s="92">
        <f t="shared" si="4"/>
        <v>0</v>
      </c>
      <c r="M38" s="92">
        <f t="shared" si="4"/>
        <v>100</v>
      </c>
      <c r="N38" s="125">
        <f t="shared" si="2"/>
        <v>100</v>
      </c>
      <c r="O38" s="91"/>
      <c r="P38" s="92"/>
      <c r="Q38" s="92">
        <v>40</v>
      </c>
      <c r="R38" s="93">
        <f t="shared" si="3"/>
        <v>40</v>
      </c>
      <c r="S38" s="208">
        <v>4</v>
      </c>
      <c r="T38" s="81"/>
      <c r="V38" s="82" t="s">
        <v>490</v>
      </c>
      <c r="W38" s="208" t="s">
        <v>20</v>
      </c>
      <c r="X38" s="208" t="s">
        <v>12</v>
      </c>
      <c r="Y38" s="83">
        <v>40</v>
      </c>
      <c r="AD38" s="82"/>
      <c r="AG38" s="83"/>
      <c r="AH38" s="164"/>
      <c r="AL38" s="82"/>
      <c r="AO38" s="83"/>
      <c r="AP38" s="82"/>
      <c r="AS38" s="83"/>
      <c r="AW38" s="83"/>
      <c r="BA38" s="84"/>
    </row>
    <row r="39" spans="1:53" s="208" customFormat="1">
      <c r="A39" s="102">
        <v>1975</v>
      </c>
      <c r="B39" s="207"/>
      <c r="C39" s="988" t="s">
        <v>628</v>
      </c>
      <c r="D39" s="988"/>
      <c r="E39" s="208">
        <v>0</v>
      </c>
      <c r="G39" s="123"/>
      <c r="I39" s="208">
        <v>15</v>
      </c>
      <c r="J39" s="134">
        <v>15</v>
      </c>
      <c r="K39" s="92">
        <f t="shared" si="4"/>
        <v>0</v>
      </c>
      <c r="L39" s="92">
        <f t="shared" si="4"/>
        <v>0</v>
      </c>
      <c r="M39" s="92">
        <f t="shared" si="4"/>
        <v>100</v>
      </c>
      <c r="N39" s="125">
        <f t="shared" si="2"/>
        <v>100</v>
      </c>
      <c r="O39" s="91"/>
      <c r="P39" s="92"/>
      <c r="Q39" s="92">
        <v>40</v>
      </c>
      <c r="R39" s="93">
        <f t="shared" si="3"/>
        <v>40</v>
      </c>
      <c r="S39" s="208">
        <v>4</v>
      </c>
      <c r="T39" s="81"/>
      <c r="V39" s="82" t="s">
        <v>490</v>
      </c>
      <c r="W39" s="208" t="s">
        <v>20</v>
      </c>
      <c r="X39" s="208" t="s">
        <v>12</v>
      </c>
      <c r="Y39" s="83">
        <v>40</v>
      </c>
      <c r="AD39" s="82"/>
      <c r="AG39" s="83"/>
      <c r="AH39" s="164"/>
      <c r="AL39" s="82"/>
      <c r="AO39" s="83"/>
      <c r="AP39" s="82"/>
      <c r="AS39" s="83"/>
      <c r="AW39" s="83"/>
      <c r="BA39" s="84"/>
    </row>
    <row r="40" spans="1:53" s="208" customFormat="1">
      <c r="A40" s="102">
        <v>1975</v>
      </c>
      <c r="B40" s="207"/>
      <c r="C40" s="988" t="s">
        <v>628</v>
      </c>
      <c r="D40" s="988"/>
      <c r="E40" s="208">
        <v>365</v>
      </c>
      <c r="G40" s="123"/>
      <c r="I40" s="208">
        <v>15</v>
      </c>
      <c r="J40" s="134">
        <v>15</v>
      </c>
      <c r="K40" s="92">
        <f t="shared" si="4"/>
        <v>0</v>
      </c>
      <c r="L40" s="92">
        <f t="shared" si="4"/>
        <v>0</v>
      </c>
      <c r="M40" s="92">
        <f t="shared" si="4"/>
        <v>100</v>
      </c>
      <c r="N40" s="125">
        <f t="shared" si="2"/>
        <v>100</v>
      </c>
      <c r="O40" s="91"/>
      <c r="P40" s="92"/>
      <c r="Q40" s="92">
        <v>40</v>
      </c>
      <c r="R40" s="93">
        <f t="shared" si="3"/>
        <v>40</v>
      </c>
      <c r="S40" s="208">
        <v>4</v>
      </c>
      <c r="T40" s="81"/>
      <c r="V40" s="82" t="s">
        <v>490</v>
      </c>
      <c r="W40" s="208" t="s">
        <v>20</v>
      </c>
      <c r="X40" s="208" t="s">
        <v>12</v>
      </c>
      <c r="Y40" s="83">
        <v>40</v>
      </c>
      <c r="AD40" s="82"/>
      <c r="AG40" s="83"/>
      <c r="AH40" s="164"/>
      <c r="AL40" s="82"/>
      <c r="AO40" s="83"/>
      <c r="AP40" s="82"/>
      <c r="AS40" s="83"/>
      <c r="AW40" s="83"/>
      <c r="BA40" s="84"/>
    </row>
    <row r="41" spans="1:53" s="208" customFormat="1">
      <c r="A41" s="102">
        <v>1976</v>
      </c>
      <c r="B41" s="207"/>
      <c r="C41" s="988" t="s">
        <v>628</v>
      </c>
      <c r="D41" s="988"/>
      <c r="E41" s="208">
        <v>11</v>
      </c>
      <c r="G41" s="123"/>
      <c r="I41" s="208">
        <v>15</v>
      </c>
      <c r="J41" s="134">
        <v>15</v>
      </c>
      <c r="K41" s="92">
        <f t="shared" si="4"/>
        <v>0</v>
      </c>
      <c r="L41" s="92">
        <f t="shared" si="4"/>
        <v>0</v>
      </c>
      <c r="M41" s="92">
        <f t="shared" si="4"/>
        <v>100</v>
      </c>
      <c r="N41" s="125">
        <f t="shared" si="2"/>
        <v>100</v>
      </c>
      <c r="O41" s="91"/>
      <c r="P41" s="92"/>
      <c r="Q41" s="92">
        <v>40</v>
      </c>
      <c r="R41" s="93">
        <f t="shared" si="3"/>
        <v>40</v>
      </c>
      <c r="S41" s="208">
        <v>4</v>
      </c>
      <c r="T41" s="81"/>
      <c r="V41" s="82" t="s">
        <v>490</v>
      </c>
      <c r="W41" s="208" t="s">
        <v>20</v>
      </c>
      <c r="X41" s="208" t="s">
        <v>12</v>
      </c>
      <c r="Y41" s="83">
        <v>40</v>
      </c>
      <c r="AD41" s="82"/>
      <c r="AG41" s="83"/>
      <c r="AH41" s="164"/>
      <c r="AL41" s="82"/>
      <c r="AO41" s="83"/>
      <c r="AP41" s="82"/>
      <c r="AS41" s="83"/>
      <c r="AW41" s="83"/>
      <c r="BA41" s="84"/>
    </row>
    <row r="42" spans="1:53" s="334" customFormat="1">
      <c r="A42" s="386">
        <v>1976</v>
      </c>
      <c r="B42" s="355">
        <v>27771</v>
      </c>
      <c r="C42" s="992" t="s">
        <v>629</v>
      </c>
      <c r="D42" s="992"/>
      <c r="E42" s="334">
        <f>366-E41</f>
        <v>355</v>
      </c>
      <c r="F42" s="334">
        <v>2</v>
      </c>
      <c r="G42" s="419"/>
      <c r="I42" s="334">
        <v>16</v>
      </c>
      <c r="J42" s="435">
        <v>16</v>
      </c>
      <c r="K42" s="384">
        <f t="shared" si="4"/>
        <v>0</v>
      </c>
      <c r="L42" s="384">
        <f t="shared" si="4"/>
        <v>0</v>
      </c>
      <c r="M42" s="384">
        <f t="shared" si="4"/>
        <v>100</v>
      </c>
      <c r="N42" s="421">
        <f t="shared" si="2"/>
        <v>100</v>
      </c>
      <c r="O42" s="383"/>
      <c r="P42" s="384"/>
      <c r="Q42" s="384">
        <v>40</v>
      </c>
      <c r="R42" s="385">
        <f t="shared" si="3"/>
        <v>40</v>
      </c>
      <c r="S42" s="334">
        <v>4</v>
      </c>
      <c r="T42" s="357"/>
      <c r="U42" s="355">
        <v>27771</v>
      </c>
      <c r="V42" s="343" t="s">
        <v>490</v>
      </c>
      <c r="W42" s="334" t="s">
        <v>20</v>
      </c>
      <c r="X42" s="334" t="s">
        <v>12</v>
      </c>
      <c r="Y42" s="344">
        <v>40</v>
      </c>
      <c r="AD42" s="343"/>
      <c r="AG42" s="344"/>
      <c r="AH42" s="452"/>
      <c r="AL42" s="343"/>
      <c r="AO42" s="344"/>
      <c r="AP42" s="343"/>
      <c r="AS42" s="344"/>
      <c r="AW42" s="344"/>
      <c r="BA42" s="345"/>
    </row>
    <row r="43" spans="1:53" s="334" customFormat="1">
      <c r="A43" s="386">
        <v>1977</v>
      </c>
      <c r="B43" s="355"/>
      <c r="C43" s="992" t="s">
        <v>629</v>
      </c>
      <c r="D43" s="992"/>
      <c r="E43" s="334">
        <v>254</v>
      </c>
      <c r="G43" s="419"/>
      <c r="I43" s="334">
        <v>16</v>
      </c>
      <c r="J43" s="435">
        <v>16</v>
      </c>
      <c r="K43" s="384">
        <f t="shared" si="4"/>
        <v>0</v>
      </c>
      <c r="L43" s="384">
        <f t="shared" si="4"/>
        <v>0</v>
      </c>
      <c r="M43" s="384">
        <f t="shared" si="4"/>
        <v>100</v>
      </c>
      <c r="N43" s="421">
        <f t="shared" si="2"/>
        <v>100</v>
      </c>
      <c r="O43" s="383"/>
      <c r="P43" s="384"/>
      <c r="Q43" s="384">
        <v>40</v>
      </c>
      <c r="R43" s="385">
        <f t="shared" si="3"/>
        <v>40</v>
      </c>
      <c r="S43" s="334">
        <v>4</v>
      </c>
      <c r="T43" s="357"/>
      <c r="V43" s="343" t="s">
        <v>490</v>
      </c>
      <c r="W43" s="334" t="s">
        <v>20</v>
      </c>
      <c r="X43" s="334" t="s">
        <v>12</v>
      </c>
      <c r="Y43" s="344">
        <v>40</v>
      </c>
      <c r="AD43" s="343"/>
      <c r="AG43" s="344"/>
      <c r="AH43" s="452"/>
      <c r="AL43" s="343"/>
      <c r="AO43" s="344"/>
      <c r="AP43" s="343"/>
      <c r="AS43" s="344"/>
      <c r="AW43" s="344"/>
      <c r="BA43" s="345"/>
    </row>
    <row r="44" spans="1:53" s="208" customFormat="1">
      <c r="A44" s="102">
        <v>1977</v>
      </c>
      <c r="B44" s="207">
        <v>28380</v>
      </c>
      <c r="C44" s="988" t="s">
        <v>630</v>
      </c>
      <c r="D44" s="988"/>
      <c r="E44" s="208">
        <f>365-E43</f>
        <v>111</v>
      </c>
      <c r="F44" s="208">
        <v>1</v>
      </c>
      <c r="G44" s="123"/>
      <c r="I44" s="208">
        <v>16</v>
      </c>
      <c r="J44" s="134">
        <v>16</v>
      </c>
      <c r="K44" s="92">
        <f t="shared" si="4"/>
        <v>0</v>
      </c>
      <c r="L44" s="92">
        <f t="shared" si="4"/>
        <v>0</v>
      </c>
      <c r="M44" s="92">
        <f t="shared" si="4"/>
        <v>100</v>
      </c>
      <c r="N44" s="125">
        <f t="shared" si="2"/>
        <v>100</v>
      </c>
      <c r="O44" s="91"/>
      <c r="P44" s="92"/>
      <c r="Q44" s="92">
        <v>49</v>
      </c>
      <c r="R44" s="93">
        <f t="shared" si="3"/>
        <v>49</v>
      </c>
      <c r="S44" s="208">
        <v>4</v>
      </c>
      <c r="T44" s="95">
        <v>28379</v>
      </c>
      <c r="U44" s="207">
        <v>28380</v>
      </c>
      <c r="V44" s="82" t="s">
        <v>490</v>
      </c>
      <c r="W44" s="208" t="s">
        <v>20</v>
      </c>
      <c r="X44" s="208" t="s">
        <v>12</v>
      </c>
      <c r="Y44" s="83">
        <v>49</v>
      </c>
      <c r="AD44" s="82"/>
      <c r="AG44" s="83"/>
      <c r="AH44" s="164"/>
      <c r="AL44" s="82"/>
      <c r="AO44" s="83"/>
      <c r="AP44" s="82"/>
      <c r="AS44" s="83"/>
      <c r="AW44" s="83"/>
      <c r="BA44" s="84"/>
    </row>
    <row r="45" spans="1:53" s="208" customFormat="1">
      <c r="A45" s="102">
        <v>1978</v>
      </c>
      <c r="B45" s="207"/>
      <c r="C45" s="988" t="s">
        <v>630</v>
      </c>
      <c r="D45" s="988"/>
      <c r="E45" s="208">
        <v>0</v>
      </c>
      <c r="G45" s="123"/>
      <c r="I45" s="208">
        <v>16</v>
      </c>
      <c r="J45" s="134">
        <v>16</v>
      </c>
      <c r="K45" s="92">
        <f t="shared" si="4"/>
        <v>0</v>
      </c>
      <c r="L45" s="92">
        <f t="shared" si="4"/>
        <v>0</v>
      </c>
      <c r="M45" s="92">
        <f t="shared" si="4"/>
        <v>100</v>
      </c>
      <c r="N45" s="125">
        <f t="shared" si="2"/>
        <v>100</v>
      </c>
      <c r="O45" s="91"/>
      <c r="P45" s="92"/>
      <c r="Q45" s="92">
        <v>49</v>
      </c>
      <c r="R45" s="93">
        <f t="shared" si="3"/>
        <v>49</v>
      </c>
      <c r="S45" s="208">
        <v>4</v>
      </c>
      <c r="T45" s="81"/>
      <c r="V45" s="82" t="s">
        <v>490</v>
      </c>
      <c r="W45" s="208" t="s">
        <v>20</v>
      </c>
      <c r="X45" s="208" t="s">
        <v>12</v>
      </c>
      <c r="Y45" s="83">
        <v>49</v>
      </c>
      <c r="AD45" s="82"/>
      <c r="AG45" s="83"/>
      <c r="AH45" s="164"/>
      <c r="AL45" s="82"/>
      <c r="AO45" s="83"/>
      <c r="AP45" s="82"/>
      <c r="AS45" s="83"/>
      <c r="AW45" s="83"/>
      <c r="BA45" s="84"/>
    </row>
    <row r="46" spans="1:53" s="208" customFormat="1">
      <c r="A46" s="102">
        <v>1978</v>
      </c>
      <c r="B46" s="207"/>
      <c r="C46" s="988" t="s">
        <v>630</v>
      </c>
      <c r="D46" s="988"/>
      <c r="E46" s="208">
        <v>365</v>
      </c>
      <c r="G46" s="123"/>
      <c r="I46" s="208">
        <v>16</v>
      </c>
      <c r="J46" s="134">
        <v>16</v>
      </c>
      <c r="K46" s="92">
        <f t="shared" si="4"/>
        <v>0</v>
      </c>
      <c r="L46" s="92">
        <f t="shared" si="4"/>
        <v>0</v>
      </c>
      <c r="M46" s="92">
        <f t="shared" si="4"/>
        <v>100</v>
      </c>
      <c r="N46" s="125">
        <f t="shared" si="2"/>
        <v>100</v>
      </c>
      <c r="O46" s="91"/>
      <c r="P46" s="92"/>
      <c r="Q46" s="92">
        <v>49</v>
      </c>
      <c r="R46" s="93">
        <f t="shared" si="3"/>
        <v>49</v>
      </c>
      <c r="S46" s="208">
        <v>4</v>
      </c>
      <c r="T46" s="81"/>
      <c r="V46" s="82" t="s">
        <v>490</v>
      </c>
      <c r="W46" s="208" t="s">
        <v>20</v>
      </c>
      <c r="X46" s="208" t="s">
        <v>12</v>
      </c>
      <c r="Y46" s="83">
        <v>49</v>
      </c>
      <c r="AD46" s="82"/>
      <c r="AG46" s="83"/>
      <c r="AH46" s="164"/>
      <c r="AL46" s="82"/>
      <c r="AO46" s="83"/>
      <c r="AP46" s="82"/>
      <c r="AS46" s="83"/>
      <c r="AW46" s="83"/>
      <c r="BA46" s="84"/>
    </row>
    <row r="47" spans="1:53" s="208" customFormat="1">
      <c r="A47" s="102">
        <v>1979</v>
      </c>
      <c r="B47" s="207"/>
      <c r="C47" s="988" t="s">
        <v>630</v>
      </c>
      <c r="D47" s="988"/>
      <c r="E47" s="208">
        <v>0</v>
      </c>
      <c r="G47" s="123"/>
      <c r="I47" s="208">
        <v>16</v>
      </c>
      <c r="J47" s="134">
        <v>16</v>
      </c>
      <c r="K47" s="92">
        <f t="shared" si="4"/>
        <v>0</v>
      </c>
      <c r="L47" s="92">
        <f t="shared" si="4"/>
        <v>0</v>
      </c>
      <c r="M47" s="92">
        <f t="shared" si="4"/>
        <v>100</v>
      </c>
      <c r="N47" s="125">
        <f t="shared" si="2"/>
        <v>100</v>
      </c>
      <c r="O47" s="91"/>
      <c r="P47" s="92"/>
      <c r="Q47" s="92">
        <v>49</v>
      </c>
      <c r="R47" s="93">
        <f t="shared" si="3"/>
        <v>49</v>
      </c>
      <c r="S47" s="208">
        <v>4</v>
      </c>
      <c r="T47" s="81"/>
      <c r="V47" s="82" t="s">
        <v>490</v>
      </c>
      <c r="W47" s="208" t="s">
        <v>20</v>
      </c>
      <c r="X47" s="208" t="s">
        <v>12</v>
      </c>
      <c r="Y47" s="83">
        <v>49</v>
      </c>
      <c r="AD47" s="82"/>
      <c r="AG47" s="83"/>
      <c r="AH47" s="164"/>
      <c r="AL47" s="82"/>
      <c r="AO47" s="83"/>
      <c r="AP47" s="82"/>
      <c r="AS47" s="83"/>
      <c r="AW47" s="83"/>
      <c r="BA47" s="84"/>
    </row>
    <row r="48" spans="1:53" s="208" customFormat="1">
      <c r="A48" s="102">
        <v>1979</v>
      </c>
      <c r="B48" s="207"/>
      <c r="C48" s="988" t="s">
        <v>630</v>
      </c>
      <c r="D48" s="988"/>
      <c r="E48" s="208">
        <v>365</v>
      </c>
      <c r="G48" s="123"/>
      <c r="I48" s="208">
        <v>16</v>
      </c>
      <c r="J48" s="134">
        <v>16</v>
      </c>
      <c r="K48" s="92">
        <f t="shared" si="4"/>
        <v>0</v>
      </c>
      <c r="L48" s="92">
        <f t="shared" si="4"/>
        <v>0</v>
      </c>
      <c r="M48" s="92">
        <f t="shared" si="4"/>
        <v>100</v>
      </c>
      <c r="N48" s="125">
        <f t="shared" si="2"/>
        <v>100</v>
      </c>
      <c r="O48" s="91"/>
      <c r="P48" s="92"/>
      <c r="Q48" s="92">
        <v>49</v>
      </c>
      <c r="R48" s="93">
        <f t="shared" si="3"/>
        <v>49</v>
      </c>
      <c r="S48" s="208">
        <v>4</v>
      </c>
      <c r="T48" s="81"/>
      <c r="V48" s="82" t="s">
        <v>490</v>
      </c>
      <c r="W48" s="208" t="s">
        <v>20</v>
      </c>
      <c r="X48" s="208" t="s">
        <v>12</v>
      </c>
      <c r="Y48" s="83">
        <v>49</v>
      </c>
      <c r="AD48" s="82"/>
      <c r="AG48" s="83"/>
      <c r="AH48" s="164"/>
      <c r="AL48" s="82"/>
      <c r="AO48" s="83"/>
      <c r="AP48" s="82"/>
      <c r="AS48" s="83"/>
      <c r="AW48" s="83"/>
      <c r="BA48" s="84"/>
    </row>
    <row r="49" spans="1:53" s="208" customFormat="1">
      <c r="A49" s="102">
        <v>1980</v>
      </c>
      <c r="B49" s="207"/>
      <c r="C49" s="988" t="s">
        <v>630</v>
      </c>
      <c r="D49" s="988"/>
      <c r="E49" s="208">
        <v>0</v>
      </c>
      <c r="G49" s="123"/>
      <c r="I49" s="208">
        <v>16</v>
      </c>
      <c r="J49" s="134">
        <v>16</v>
      </c>
      <c r="K49" s="92">
        <f t="shared" si="4"/>
        <v>0</v>
      </c>
      <c r="L49" s="92">
        <f t="shared" si="4"/>
        <v>0</v>
      </c>
      <c r="M49" s="92">
        <f t="shared" si="4"/>
        <v>100</v>
      </c>
      <c r="N49" s="125">
        <f t="shared" si="2"/>
        <v>100</v>
      </c>
      <c r="O49" s="91"/>
      <c r="P49" s="92"/>
      <c r="Q49" s="92">
        <v>49</v>
      </c>
      <c r="R49" s="93">
        <f t="shared" si="3"/>
        <v>49</v>
      </c>
      <c r="S49" s="208">
        <v>4</v>
      </c>
      <c r="T49" s="81"/>
      <c r="V49" s="82" t="s">
        <v>490</v>
      </c>
      <c r="W49" s="208" t="s">
        <v>20</v>
      </c>
      <c r="X49" s="208" t="s">
        <v>12</v>
      </c>
      <c r="Y49" s="83">
        <v>49</v>
      </c>
      <c r="AD49" s="82"/>
      <c r="AG49" s="83"/>
      <c r="AH49" s="164"/>
      <c r="AL49" s="82"/>
      <c r="AO49" s="83"/>
      <c r="AP49" s="82"/>
      <c r="AS49" s="83"/>
      <c r="AW49" s="83"/>
      <c r="BA49" s="84"/>
    </row>
    <row r="50" spans="1:53" s="208" customFormat="1">
      <c r="A50" s="102">
        <v>1980</v>
      </c>
      <c r="B50" s="207"/>
      <c r="C50" s="988" t="s">
        <v>630</v>
      </c>
      <c r="D50" s="988"/>
      <c r="E50" s="208">
        <v>366</v>
      </c>
      <c r="G50" s="123"/>
      <c r="I50" s="208">
        <v>16</v>
      </c>
      <c r="J50" s="134">
        <v>16</v>
      </c>
      <c r="K50" s="92">
        <f t="shared" si="4"/>
        <v>0</v>
      </c>
      <c r="L50" s="92">
        <f t="shared" si="4"/>
        <v>0</v>
      </c>
      <c r="M50" s="92">
        <f t="shared" si="4"/>
        <v>100</v>
      </c>
      <c r="N50" s="125">
        <f t="shared" si="2"/>
        <v>100</v>
      </c>
      <c r="O50" s="91"/>
      <c r="P50" s="92"/>
      <c r="Q50" s="92">
        <v>49</v>
      </c>
      <c r="R50" s="93">
        <f t="shared" si="3"/>
        <v>49</v>
      </c>
      <c r="S50" s="208">
        <v>4</v>
      </c>
      <c r="T50" s="81"/>
      <c r="V50" s="82" t="s">
        <v>490</v>
      </c>
      <c r="W50" s="208" t="s">
        <v>20</v>
      </c>
      <c r="X50" s="208" t="s">
        <v>12</v>
      </c>
      <c r="Y50" s="83">
        <v>49</v>
      </c>
      <c r="AD50" s="82"/>
      <c r="AG50" s="83"/>
      <c r="AH50" s="164"/>
      <c r="AL50" s="82"/>
      <c r="AO50" s="83"/>
      <c r="AP50" s="82"/>
      <c r="AS50" s="83"/>
      <c r="AW50" s="83"/>
      <c r="BA50" s="84"/>
    </row>
    <row r="51" spans="1:53" s="208" customFormat="1">
      <c r="A51" s="102">
        <v>1981</v>
      </c>
      <c r="B51" s="207"/>
      <c r="C51" s="988" t="s">
        <v>630</v>
      </c>
      <c r="D51" s="988"/>
      <c r="E51" s="208">
        <v>34</v>
      </c>
      <c r="G51" s="123"/>
      <c r="I51" s="208">
        <v>16</v>
      </c>
      <c r="J51" s="134">
        <v>16</v>
      </c>
      <c r="K51" s="92">
        <f t="shared" si="4"/>
        <v>0</v>
      </c>
      <c r="L51" s="92">
        <f t="shared" si="4"/>
        <v>0</v>
      </c>
      <c r="M51" s="92">
        <f t="shared" si="4"/>
        <v>100</v>
      </c>
      <c r="N51" s="125">
        <f t="shared" si="2"/>
        <v>100</v>
      </c>
      <c r="O51" s="91"/>
      <c r="P51" s="92"/>
      <c r="Q51" s="92">
        <v>49</v>
      </c>
      <c r="R51" s="93">
        <f t="shared" si="3"/>
        <v>49</v>
      </c>
      <c r="S51" s="208">
        <v>4</v>
      </c>
      <c r="T51" s="81"/>
      <c r="V51" s="82" t="s">
        <v>490</v>
      </c>
      <c r="W51" s="208" t="s">
        <v>20</v>
      </c>
      <c r="X51" s="208" t="s">
        <v>12</v>
      </c>
      <c r="Y51" s="83">
        <v>49</v>
      </c>
      <c r="AD51" s="82"/>
      <c r="AG51" s="83"/>
      <c r="AH51" s="164"/>
      <c r="AL51" s="82"/>
      <c r="AO51" s="83"/>
      <c r="AP51" s="82"/>
      <c r="AS51" s="83"/>
      <c r="AW51" s="83"/>
      <c r="BA51" s="84"/>
    </row>
    <row r="52" spans="1:53" s="334" customFormat="1">
      <c r="A52" s="386">
        <v>1981</v>
      </c>
      <c r="B52" s="355">
        <v>29621</v>
      </c>
      <c r="C52" s="992" t="s">
        <v>631</v>
      </c>
      <c r="D52" s="992"/>
      <c r="E52" s="334">
        <v>252</v>
      </c>
      <c r="F52" s="334">
        <v>3</v>
      </c>
      <c r="G52" s="419"/>
      <c r="I52" s="334">
        <v>17</v>
      </c>
      <c r="J52" s="435">
        <v>17</v>
      </c>
      <c r="K52" s="384">
        <f t="shared" si="4"/>
        <v>0</v>
      </c>
      <c r="L52" s="384">
        <f t="shared" si="4"/>
        <v>0</v>
      </c>
      <c r="M52" s="384">
        <f t="shared" si="4"/>
        <v>100</v>
      </c>
      <c r="N52" s="421">
        <f t="shared" si="2"/>
        <v>100</v>
      </c>
      <c r="O52" s="383"/>
      <c r="P52" s="384"/>
      <c r="Q52" s="384">
        <v>49</v>
      </c>
      <c r="R52" s="385">
        <f t="shared" si="3"/>
        <v>49</v>
      </c>
      <c r="S52" s="334">
        <v>4</v>
      </c>
      <c r="T52" s="357"/>
      <c r="U52" s="355">
        <v>29621</v>
      </c>
      <c r="V52" s="343" t="s">
        <v>490</v>
      </c>
      <c r="W52" s="334" t="s">
        <v>20</v>
      </c>
      <c r="X52" s="334" t="s">
        <v>12</v>
      </c>
      <c r="Y52" s="344">
        <v>49</v>
      </c>
      <c r="AD52" s="343"/>
      <c r="AG52" s="344"/>
      <c r="AH52" s="452"/>
      <c r="AL52" s="343"/>
      <c r="AO52" s="344"/>
      <c r="AP52" s="343"/>
      <c r="AS52" s="344"/>
      <c r="AW52" s="344"/>
      <c r="BA52" s="345"/>
    </row>
    <row r="53" spans="1:53" s="208" customFormat="1">
      <c r="A53" s="102">
        <v>1981</v>
      </c>
      <c r="B53" s="207">
        <v>29873</v>
      </c>
      <c r="C53" s="988" t="s">
        <v>632</v>
      </c>
      <c r="D53" s="988"/>
      <c r="E53" s="208">
        <f>365-E52-E51</f>
        <v>79</v>
      </c>
      <c r="F53" s="208">
        <v>1</v>
      </c>
      <c r="G53" s="123">
        <v>17</v>
      </c>
      <c r="J53" s="134">
        <v>17</v>
      </c>
      <c r="K53" s="92">
        <f t="shared" si="4"/>
        <v>100</v>
      </c>
      <c r="L53" s="92">
        <f t="shared" si="4"/>
        <v>0</v>
      </c>
      <c r="M53" s="92">
        <f t="shared" si="4"/>
        <v>0</v>
      </c>
      <c r="N53" s="125">
        <f t="shared" si="2"/>
        <v>100</v>
      </c>
      <c r="O53" s="91">
        <v>34.799999999999997</v>
      </c>
      <c r="P53" s="92"/>
      <c r="Q53" s="92"/>
      <c r="R53" s="93">
        <f t="shared" si="3"/>
        <v>34.799999999999997</v>
      </c>
      <c r="S53" s="208">
        <v>4</v>
      </c>
      <c r="T53" s="95">
        <v>29843</v>
      </c>
      <c r="U53" s="207">
        <v>29873</v>
      </c>
      <c r="V53" s="82" t="s">
        <v>491</v>
      </c>
      <c r="W53" s="208" t="s">
        <v>74</v>
      </c>
      <c r="X53" s="208" t="s">
        <v>11</v>
      </c>
      <c r="Y53" s="83">
        <v>34.799999999999997</v>
      </c>
      <c r="AD53" s="82"/>
      <c r="AG53" s="83"/>
      <c r="AH53" s="164"/>
      <c r="AL53" s="82"/>
      <c r="AO53" s="83"/>
      <c r="AP53" s="82"/>
      <c r="AS53" s="83"/>
      <c r="AW53" s="83"/>
      <c r="BA53" s="84"/>
    </row>
    <row r="54" spans="1:53" s="208" customFormat="1">
      <c r="A54" s="102">
        <v>1982</v>
      </c>
      <c r="B54" s="207"/>
      <c r="C54" s="988" t="s">
        <v>632</v>
      </c>
      <c r="D54" s="988"/>
      <c r="E54" s="208">
        <v>0</v>
      </c>
      <c r="G54" s="123">
        <v>17</v>
      </c>
      <c r="J54" s="134">
        <v>17</v>
      </c>
      <c r="K54" s="92">
        <f t="shared" si="4"/>
        <v>100</v>
      </c>
      <c r="L54" s="92">
        <f t="shared" si="4"/>
        <v>0</v>
      </c>
      <c r="M54" s="92">
        <f t="shared" si="4"/>
        <v>0</v>
      </c>
      <c r="N54" s="125">
        <f t="shared" si="2"/>
        <v>100</v>
      </c>
      <c r="O54" s="91">
        <v>34.799999999999997</v>
      </c>
      <c r="P54" s="92"/>
      <c r="Q54" s="92"/>
      <c r="R54" s="93">
        <f t="shared" si="3"/>
        <v>34.799999999999997</v>
      </c>
      <c r="S54" s="208">
        <v>4</v>
      </c>
      <c r="T54" s="81"/>
      <c r="V54" s="82" t="s">
        <v>491</v>
      </c>
      <c r="W54" s="208" t="s">
        <v>74</v>
      </c>
      <c r="X54" s="208" t="s">
        <v>11</v>
      </c>
      <c r="Y54" s="83">
        <v>34.799999999999997</v>
      </c>
      <c r="AD54" s="82"/>
      <c r="AG54" s="83"/>
      <c r="AH54" s="164"/>
      <c r="AL54" s="82"/>
      <c r="AO54" s="83"/>
      <c r="AP54" s="82"/>
      <c r="AS54" s="83"/>
      <c r="AW54" s="83"/>
      <c r="BA54" s="84"/>
    </row>
    <row r="55" spans="1:53" s="208" customFormat="1">
      <c r="A55" s="102">
        <v>1982</v>
      </c>
      <c r="B55" s="207"/>
      <c r="C55" s="988" t="s">
        <v>632</v>
      </c>
      <c r="D55" s="988"/>
      <c r="E55" s="208">
        <v>365</v>
      </c>
      <c r="G55" s="123">
        <v>17</v>
      </c>
      <c r="J55" s="134">
        <v>17</v>
      </c>
      <c r="K55" s="92">
        <f t="shared" si="4"/>
        <v>100</v>
      </c>
      <c r="L55" s="92">
        <f t="shared" si="4"/>
        <v>0</v>
      </c>
      <c r="M55" s="92">
        <f t="shared" si="4"/>
        <v>0</v>
      </c>
      <c r="N55" s="125">
        <f t="shared" si="2"/>
        <v>100</v>
      </c>
      <c r="O55" s="91">
        <v>34.799999999999997</v>
      </c>
      <c r="P55" s="92"/>
      <c r="Q55" s="92"/>
      <c r="R55" s="93">
        <f t="shared" si="3"/>
        <v>34.799999999999997</v>
      </c>
      <c r="S55" s="208">
        <v>4</v>
      </c>
      <c r="T55" s="81"/>
      <c r="V55" s="82" t="s">
        <v>491</v>
      </c>
      <c r="W55" s="208" t="s">
        <v>74</v>
      </c>
      <c r="X55" s="208" t="s">
        <v>11</v>
      </c>
      <c r="Y55" s="83">
        <v>34.799999999999997</v>
      </c>
      <c r="AD55" s="82"/>
      <c r="AG55" s="83"/>
      <c r="AH55" s="164"/>
      <c r="AL55" s="82"/>
      <c r="AO55" s="83"/>
      <c r="AP55" s="82"/>
      <c r="AS55" s="83"/>
      <c r="AW55" s="83"/>
      <c r="BA55" s="84"/>
    </row>
    <row r="56" spans="1:53" s="208" customFormat="1">
      <c r="A56" s="102">
        <v>1983</v>
      </c>
      <c r="B56" s="207"/>
      <c r="C56" s="988" t="s">
        <v>632</v>
      </c>
      <c r="D56" s="988"/>
      <c r="E56" s="208">
        <v>158</v>
      </c>
      <c r="G56" s="123">
        <v>17</v>
      </c>
      <c r="J56" s="134">
        <v>17</v>
      </c>
      <c r="K56" s="92">
        <f t="shared" si="4"/>
        <v>100</v>
      </c>
      <c r="L56" s="92">
        <f t="shared" si="4"/>
        <v>0</v>
      </c>
      <c r="M56" s="92">
        <f t="shared" si="4"/>
        <v>0</v>
      </c>
      <c r="N56" s="125">
        <f t="shared" si="2"/>
        <v>100</v>
      </c>
      <c r="O56" s="91">
        <v>34.799999999999997</v>
      </c>
      <c r="P56" s="92"/>
      <c r="Q56" s="92"/>
      <c r="R56" s="93">
        <f t="shared" si="3"/>
        <v>34.799999999999997</v>
      </c>
      <c r="S56" s="208">
        <v>4</v>
      </c>
      <c r="T56" s="81"/>
      <c r="V56" s="82" t="s">
        <v>491</v>
      </c>
      <c r="W56" s="208" t="s">
        <v>74</v>
      </c>
      <c r="X56" s="208" t="s">
        <v>11</v>
      </c>
      <c r="Y56" s="83">
        <v>34.799999999999997</v>
      </c>
      <c r="AD56" s="82"/>
      <c r="AG56" s="83"/>
      <c r="AH56" s="164"/>
      <c r="AL56" s="82"/>
      <c r="AO56" s="83"/>
      <c r="AP56" s="82"/>
      <c r="AS56" s="83"/>
      <c r="AW56" s="83"/>
      <c r="BA56" s="84"/>
    </row>
    <row r="57" spans="1:53" s="334" customFormat="1">
      <c r="A57" s="386">
        <v>1983</v>
      </c>
      <c r="B57" s="355">
        <v>30475</v>
      </c>
      <c r="C57" s="992" t="s">
        <v>633</v>
      </c>
      <c r="D57" s="992"/>
      <c r="E57" s="334">
        <f>365-E56</f>
        <v>207</v>
      </c>
      <c r="F57" s="334">
        <v>2</v>
      </c>
      <c r="G57" s="419">
        <v>12</v>
      </c>
      <c r="H57" s="334">
        <v>6</v>
      </c>
      <c r="J57" s="435">
        <v>18</v>
      </c>
      <c r="K57" s="384">
        <f t="shared" si="4"/>
        <v>66.666666666666657</v>
      </c>
      <c r="L57" s="384">
        <f t="shared" si="4"/>
        <v>33.333333333333329</v>
      </c>
      <c r="M57" s="384">
        <f t="shared" si="4"/>
        <v>0</v>
      </c>
      <c r="N57" s="421">
        <f t="shared" si="2"/>
        <v>99.999999999999986</v>
      </c>
      <c r="O57" s="383">
        <v>34.799999999999997</v>
      </c>
      <c r="P57" s="384">
        <v>16.799999999999997</v>
      </c>
      <c r="Q57" s="384"/>
      <c r="R57" s="385">
        <f t="shared" si="3"/>
        <v>51.599999999999994</v>
      </c>
      <c r="S57" s="334">
        <v>2</v>
      </c>
      <c r="T57" s="357"/>
      <c r="U57" s="355">
        <v>30475</v>
      </c>
      <c r="V57" s="343" t="s">
        <v>491</v>
      </c>
      <c r="W57" s="334" t="s">
        <v>74</v>
      </c>
      <c r="X57" s="334" t="s">
        <v>11</v>
      </c>
      <c r="Y57" s="344">
        <v>34.799999999999997</v>
      </c>
      <c r="Z57" s="343" t="s">
        <v>84</v>
      </c>
      <c r="AA57" s="334" t="s">
        <v>75</v>
      </c>
      <c r="AB57" s="334" t="s">
        <v>18</v>
      </c>
      <c r="AC57" s="334">
        <v>7.1</v>
      </c>
      <c r="AD57" s="343" t="s">
        <v>271</v>
      </c>
      <c r="AE57" s="334" t="s">
        <v>17</v>
      </c>
      <c r="AF57" s="334" t="s">
        <v>18</v>
      </c>
      <c r="AG57" s="344">
        <v>9.6999999999999993</v>
      </c>
      <c r="AH57" s="452"/>
      <c r="AL57" s="343"/>
      <c r="AO57" s="344"/>
      <c r="AP57" s="343"/>
      <c r="AS57" s="344"/>
      <c r="AW57" s="344"/>
      <c r="BA57" s="345"/>
    </row>
    <row r="58" spans="1:53" s="334" customFormat="1">
      <c r="A58" s="386">
        <v>1984</v>
      </c>
      <c r="B58" s="355"/>
      <c r="C58" s="992" t="s">
        <v>633</v>
      </c>
      <c r="D58" s="992"/>
      <c r="E58" s="334">
        <v>0</v>
      </c>
      <c r="G58" s="419">
        <v>12</v>
      </c>
      <c r="H58" s="334">
        <v>6</v>
      </c>
      <c r="J58" s="435">
        <v>18</v>
      </c>
      <c r="K58" s="384">
        <f t="shared" si="4"/>
        <v>66.666666666666657</v>
      </c>
      <c r="L58" s="384">
        <f t="shared" si="4"/>
        <v>33.333333333333329</v>
      </c>
      <c r="M58" s="384">
        <f t="shared" si="4"/>
        <v>0</v>
      </c>
      <c r="N58" s="421">
        <f t="shared" si="2"/>
        <v>99.999999999999986</v>
      </c>
      <c r="O58" s="383">
        <v>34.799999999999997</v>
      </c>
      <c r="P58" s="384">
        <v>16.799999999999997</v>
      </c>
      <c r="Q58" s="384"/>
      <c r="R58" s="385">
        <f t="shared" si="3"/>
        <v>51.599999999999994</v>
      </c>
      <c r="S58" s="334">
        <v>2</v>
      </c>
      <c r="T58" s="357"/>
      <c r="V58" s="343" t="s">
        <v>491</v>
      </c>
      <c r="W58" s="334" t="s">
        <v>74</v>
      </c>
      <c r="X58" s="334" t="s">
        <v>11</v>
      </c>
      <c r="Y58" s="344">
        <v>34.799999999999997</v>
      </c>
      <c r="Z58" s="343" t="s">
        <v>84</v>
      </c>
      <c r="AA58" s="334" t="s">
        <v>75</v>
      </c>
      <c r="AB58" s="334" t="s">
        <v>18</v>
      </c>
      <c r="AC58" s="334">
        <v>7.1</v>
      </c>
      <c r="AD58" s="343" t="s">
        <v>271</v>
      </c>
      <c r="AE58" s="334" t="s">
        <v>17</v>
      </c>
      <c r="AF58" s="334" t="s">
        <v>18</v>
      </c>
      <c r="AG58" s="344">
        <v>9.6999999999999993</v>
      </c>
      <c r="AH58" s="452"/>
      <c r="AL58" s="343"/>
      <c r="AO58" s="344"/>
      <c r="AP58" s="343"/>
      <c r="AS58" s="344"/>
      <c r="AW58" s="344"/>
      <c r="BA58" s="345"/>
    </row>
    <row r="59" spans="1:53" s="334" customFormat="1">
      <c r="A59" s="386">
        <v>1984</v>
      </c>
      <c r="B59" s="355"/>
      <c r="C59" s="992" t="s">
        <v>633</v>
      </c>
      <c r="D59" s="992"/>
      <c r="E59" s="334">
        <v>366</v>
      </c>
      <c r="G59" s="419">
        <v>12</v>
      </c>
      <c r="H59" s="334">
        <v>6</v>
      </c>
      <c r="J59" s="435">
        <v>18</v>
      </c>
      <c r="K59" s="384">
        <f t="shared" si="4"/>
        <v>66.666666666666657</v>
      </c>
      <c r="L59" s="384">
        <f t="shared" si="4"/>
        <v>33.333333333333329</v>
      </c>
      <c r="M59" s="384">
        <f t="shared" si="4"/>
        <v>0</v>
      </c>
      <c r="N59" s="421">
        <f t="shared" si="2"/>
        <v>99.999999999999986</v>
      </c>
      <c r="O59" s="383">
        <v>34.799999999999997</v>
      </c>
      <c r="P59" s="384">
        <v>16.799999999999997</v>
      </c>
      <c r="Q59" s="384"/>
      <c r="R59" s="385">
        <f t="shared" si="3"/>
        <v>51.599999999999994</v>
      </c>
      <c r="S59" s="334">
        <v>2</v>
      </c>
      <c r="T59" s="357"/>
      <c r="V59" s="343" t="s">
        <v>491</v>
      </c>
      <c r="W59" s="334" t="s">
        <v>74</v>
      </c>
      <c r="X59" s="334" t="s">
        <v>11</v>
      </c>
      <c r="Y59" s="344">
        <v>34.799999999999997</v>
      </c>
      <c r="Z59" s="343" t="s">
        <v>84</v>
      </c>
      <c r="AA59" s="334" t="s">
        <v>75</v>
      </c>
      <c r="AB59" s="334" t="s">
        <v>18</v>
      </c>
      <c r="AC59" s="334">
        <v>7.1</v>
      </c>
      <c r="AD59" s="343" t="s">
        <v>271</v>
      </c>
      <c r="AE59" s="334" t="s">
        <v>17</v>
      </c>
      <c r="AF59" s="334" t="s">
        <v>18</v>
      </c>
      <c r="AG59" s="344">
        <v>9.6999999999999993</v>
      </c>
      <c r="AH59" s="452"/>
      <c r="AL59" s="343"/>
      <c r="AO59" s="344"/>
      <c r="AP59" s="343"/>
      <c r="AS59" s="344"/>
      <c r="AW59" s="344"/>
      <c r="BA59" s="345"/>
    </row>
    <row r="60" spans="1:53" s="334" customFormat="1" ht="8.25" customHeight="1">
      <c r="A60" s="386">
        <v>1985</v>
      </c>
      <c r="B60" s="355"/>
      <c r="C60" s="992" t="s">
        <v>633</v>
      </c>
      <c r="D60" s="992"/>
      <c r="E60" s="334">
        <v>329</v>
      </c>
      <c r="G60" s="419">
        <v>12</v>
      </c>
      <c r="H60" s="334">
        <v>6</v>
      </c>
      <c r="J60" s="435">
        <v>18</v>
      </c>
      <c r="K60" s="384">
        <f t="shared" si="4"/>
        <v>66.666666666666657</v>
      </c>
      <c r="L60" s="384">
        <f t="shared" si="4"/>
        <v>33.333333333333329</v>
      </c>
      <c r="M60" s="384">
        <f t="shared" si="4"/>
        <v>0</v>
      </c>
      <c r="N60" s="421">
        <f t="shared" si="2"/>
        <v>99.999999999999986</v>
      </c>
      <c r="O60" s="383">
        <v>34.799999999999997</v>
      </c>
      <c r="P60" s="384">
        <v>16.799999999999997</v>
      </c>
      <c r="Q60" s="384"/>
      <c r="R60" s="385">
        <f t="shared" si="3"/>
        <v>51.599999999999994</v>
      </c>
      <c r="S60" s="334">
        <v>2</v>
      </c>
      <c r="T60" s="357"/>
      <c r="V60" s="343" t="s">
        <v>491</v>
      </c>
      <c r="W60" s="334" t="s">
        <v>74</v>
      </c>
      <c r="X60" s="334" t="s">
        <v>11</v>
      </c>
      <c r="Y60" s="344">
        <v>34.799999999999997</v>
      </c>
      <c r="Z60" s="343" t="s">
        <v>84</v>
      </c>
      <c r="AA60" s="334" t="s">
        <v>75</v>
      </c>
      <c r="AB60" s="334" t="s">
        <v>18</v>
      </c>
      <c r="AC60" s="334">
        <v>7.1</v>
      </c>
      <c r="AD60" s="343" t="s">
        <v>271</v>
      </c>
      <c r="AE60" s="334" t="s">
        <v>17</v>
      </c>
      <c r="AF60" s="334" t="s">
        <v>18</v>
      </c>
      <c r="AG60" s="344">
        <v>9.6999999999999993</v>
      </c>
      <c r="AH60" s="452"/>
      <c r="AL60" s="343"/>
      <c r="AO60" s="344"/>
      <c r="AP60" s="343"/>
      <c r="AS60" s="344"/>
      <c r="AW60" s="344"/>
      <c r="BA60" s="345"/>
    </row>
    <row r="61" spans="1:53" s="208" customFormat="1">
      <c r="A61" s="102">
        <v>1985</v>
      </c>
      <c r="B61" s="207">
        <v>31377</v>
      </c>
      <c r="C61" s="988" t="s">
        <v>634</v>
      </c>
      <c r="D61" s="988"/>
      <c r="E61" s="208">
        <f>365-E60</f>
        <v>36</v>
      </c>
      <c r="F61" s="208">
        <v>1</v>
      </c>
      <c r="G61" s="123">
        <v>11</v>
      </c>
      <c r="H61" s="208">
        <v>7</v>
      </c>
      <c r="J61" s="134">
        <v>18</v>
      </c>
      <c r="K61" s="92">
        <f t="shared" si="4"/>
        <v>61.111111111111114</v>
      </c>
      <c r="L61" s="92">
        <f t="shared" si="4"/>
        <v>38.888888888888893</v>
      </c>
      <c r="M61" s="92">
        <f t="shared" si="4"/>
        <v>0</v>
      </c>
      <c r="N61" s="125">
        <f t="shared" si="2"/>
        <v>100</v>
      </c>
      <c r="O61" s="91">
        <v>31.8</v>
      </c>
      <c r="P61" s="92">
        <v>17.799999999999997</v>
      </c>
      <c r="Q61" s="92"/>
      <c r="R61" s="93">
        <f t="shared" si="3"/>
        <v>49.599999999999994</v>
      </c>
      <c r="S61" s="208">
        <v>5</v>
      </c>
      <c r="T61" s="95">
        <v>31298</v>
      </c>
      <c r="U61" s="207">
        <v>31377</v>
      </c>
      <c r="V61" s="82" t="s">
        <v>491</v>
      </c>
      <c r="W61" s="208" t="s">
        <v>74</v>
      </c>
      <c r="X61" s="208" t="s">
        <v>11</v>
      </c>
      <c r="Y61" s="83">
        <v>31.8</v>
      </c>
      <c r="Z61" s="82" t="s">
        <v>84</v>
      </c>
      <c r="AA61" s="208" t="s">
        <v>75</v>
      </c>
      <c r="AB61" s="208" t="s">
        <v>18</v>
      </c>
      <c r="AC61" s="208">
        <v>7.6</v>
      </c>
      <c r="AD61" s="82" t="s">
        <v>271</v>
      </c>
      <c r="AE61" s="208" t="s">
        <v>17</v>
      </c>
      <c r="AF61" s="208" t="s">
        <v>18</v>
      </c>
      <c r="AG61" s="83">
        <v>10.199999999999999</v>
      </c>
      <c r="AH61" s="164"/>
      <c r="AL61" s="82"/>
      <c r="AO61" s="83"/>
      <c r="AP61" s="82"/>
      <c r="AS61" s="83"/>
      <c r="AW61" s="83"/>
      <c r="BA61" s="84"/>
    </row>
    <row r="62" spans="1:53" s="208" customFormat="1">
      <c r="A62" s="102">
        <v>1986</v>
      </c>
      <c r="B62" s="207"/>
      <c r="C62" s="988" t="s">
        <v>634</v>
      </c>
      <c r="D62" s="988"/>
      <c r="E62" s="208">
        <v>128</v>
      </c>
      <c r="G62" s="123">
        <v>11</v>
      </c>
      <c r="H62" s="208">
        <v>7</v>
      </c>
      <c r="J62" s="134">
        <v>18</v>
      </c>
      <c r="K62" s="92">
        <f t="shared" si="4"/>
        <v>61.111111111111114</v>
      </c>
      <c r="L62" s="92">
        <f t="shared" si="4"/>
        <v>38.888888888888893</v>
      </c>
      <c r="M62" s="92">
        <f t="shared" si="4"/>
        <v>0</v>
      </c>
      <c r="N62" s="125">
        <f t="shared" si="2"/>
        <v>100</v>
      </c>
      <c r="O62" s="91">
        <v>31.8</v>
      </c>
      <c r="P62" s="92">
        <v>17.799999999999997</v>
      </c>
      <c r="Q62" s="92"/>
      <c r="R62" s="93">
        <f t="shared" si="3"/>
        <v>49.599999999999994</v>
      </c>
      <c r="S62" s="208">
        <v>5</v>
      </c>
      <c r="T62" s="81"/>
      <c r="V62" s="82" t="s">
        <v>491</v>
      </c>
      <c r="W62" s="208" t="s">
        <v>74</v>
      </c>
      <c r="X62" s="208" t="s">
        <v>11</v>
      </c>
      <c r="Y62" s="83">
        <v>31.8</v>
      </c>
      <c r="Z62" s="82" t="s">
        <v>84</v>
      </c>
      <c r="AA62" s="208" t="s">
        <v>75</v>
      </c>
      <c r="AB62" s="208" t="s">
        <v>18</v>
      </c>
      <c r="AC62" s="208">
        <v>7.6</v>
      </c>
      <c r="AD62" s="82" t="s">
        <v>271</v>
      </c>
      <c r="AE62" s="208" t="s">
        <v>17</v>
      </c>
      <c r="AF62" s="208" t="s">
        <v>18</v>
      </c>
      <c r="AG62" s="83">
        <v>10.199999999999999</v>
      </c>
      <c r="AH62" s="164"/>
      <c r="AL62" s="82"/>
      <c r="AO62" s="83"/>
      <c r="AP62" s="82"/>
      <c r="AS62" s="83"/>
      <c r="AW62" s="83"/>
      <c r="BA62" s="84"/>
    </row>
    <row r="63" spans="1:53" s="334" customFormat="1">
      <c r="A63" s="386">
        <v>1986</v>
      </c>
      <c r="B63" s="355">
        <v>31541</v>
      </c>
      <c r="C63" s="992" t="s">
        <v>635</v>
      </c>
      <c r="D63" s="992"/>
      <c r="E63" s="334">
        <f>365-E62</f>
        <v>237</v>
      </c>
      <c r="F63" s="334">
        <v>1</v>
      </c>
      <c r="G63" s="419"/>
      <c r="I63" s="334">
        <v>18</v>
      </c>
      <c r="J63" s="435">
        <v>18</v>
      </c>
      <c r="K63" s="384">
        <f t="shared" si="4"/>
        <v>0</v>
      </c>
      <c r="L63" s="384">
        <f t="shared" si="4"/>
        <v>0</v>
      </c>
      <c r="M63" s="384">
        <f t="shared" si="4"/>
        <v>100</v>
      </c>
      <c r="N63" s="421">
        <f>K63+L63+M63</f>
        <v>100</v>
      </c>
      <c r="O63" s="383"/>
      <c r="P63" s="384"/>
      <c r="Q63" s="384">
        <v>45.2</v>
      </c>
      <c r="R63" s="385">
        <f t="shared" si="3"/>
        <v>45.2</v>
      </c>
      <c r="S63" s="334">
        <v>4</v>
      </c>
      <c r="T63" s="357"/>
      <c r="U63" s="355">
        <v>31541</v>
      </c>
      <c r="V63" s="343" t="s">
        <v>490</v>
      </c>
      <c r="W63" s="334" t="s">
        <v>20</v>
      </c>
      <c r="X63" s="334" t="s">
        <v>12</v>
      </c>
      <c r="Y63" s="344">
        <v>45.2</v>
      </c>
      <c r="AD63" s="343"/>
      <c r="AG63" s="344"/>
      <c r="AH63" s="452"/>
      <c r="AL63" s="343"/>
      <c r="AO63" s="344"/>
      <c r="AP63" s="343"/>
      <c r="AS63" s="344"/>
      <c r="AW63" s="344"/>
      <c r="BA63" s="345"/>
    </row>
    <row r="64" spans="1:53" s="334" customFormat="1">
      <c r="A64" s="386">
        <v>1987</v>
      </c>
      <c r="B64" s="355"/>
      <c r="C64" s="992" t="s">
        <v>635</v>
      </c>
      <c r="D64" s="992"/>
      <c r="E64" s="334">
        <v>0</v>
      </c>
      <c r="G64" s="419"/>
      <c r="I64" s="334">
        <v>18</v>
      </c>
      <c r="J64" s="435">
        <v>18</v>
      </c>
      <c r="K64" s="384">
        <f t="shared" si="4"/>
        <v>0</v>
      </c>
      <c r="L64" s="384">
        <f t="shared" si="4"/>
        <v>0</v>
      </c>
      <c r="M64" s="384">
        <f t="shared" si="4"/>
        <v>100</v>
      </c>
      <c r="N64" s="421">
        <f t="shared" ref="N64:N115" si="5">K64+L64+M64</f>
        <v>100</v>
      </c>
      <c r="O64" s="383"/>
      <c r="P64" s="384"/>
      <c r="Q64" s="384">
        <v>45.2</v>
      </c>
      <c r="R64" s="385">
        <f t="shared" si="3"/>
        <v>45.2</v>
      </c>
      <c r="S64" s="334">
        <v>4</v>
      </c>
      <c r="T64" s="357"/>
      <c r="V64" s="343" t="s">
        <v>490</v>
      </c>
      <c r="W64" s="334" t="s">
        <v>20</v>
      </c>
      <c r="X64" s="334" t="s">
        <v>12</v>
      </c>
      <c r="Y64" s="344">
        <v>45.2</v>
      </c>
      <c r="AD64" s="343"/>
      <c r="AG64" s="344"/>
      <c r="AH64" s="452"/>
      <c r="AL64" s="343"/>
      <c r="AO64" s="344"/>
      <c r="AP64" s="343"/>
      <c r="AS64" s="344"/>
      <c r="AW64" s="344"/>
      <c r="BA64" s="345"/>
    </row>
    <row r="65" spans="1:53" s="334" customFormat="1">
      <c r="A65" s="386">
        <v>1987</v>
      </c>
      <c r="B65" s="355"/>
      <c r="C65" s="992" t="s">
        <v>635</v>
      </c>
      <c r="D65" s="992"/>
      <c r="E65" s="334">
        <v>365</v>
      </c>
      <c r="G65" s="419"/>
      <c r="I65" s="334">
        <v>18</v>
      </c>
      <c r="J65" s="435">
        <v>18</v>
      </c>
      <c r="K65" s="384">
        <f t="shared" si="4"/>
        <v>0</v>
      </c>
      <c r="L65" s="384">
        <f t="shared" si="4"/>
        <v>0</v>
      </c>
      <c r="M65" s="384">
        <f t="shared" si="4"/>
        <v>100</v>
      </c>
      <c r="N65" s="421">
        <f t="shared" si="5"/>
        <v>100</v>
      </c>
      <c r="O65" s="383"/>
      <c r="P65" s="384"/>
      <c r="Q65" s="384">
        <v>45.2</v>
      </c>
      <c r="R65" s="385">
        <f t="shared" si="3"/>
        <v>45.2</v>
      </c>
      <c r="S65" s="334">
        <v>4</v>
      </c>
      <c r="T65" s="357"/>
      <c r="V65" s="343" t="s">
        <v>490</v>
      </c>
      <c r="W65" s="334" t="s">
        <v>20</v>
      </c>
      <c r="X65" s="334" t="s">
        <v>12</v>
      </c>
      <c r="Y65" s="344">
        <v>45.2</v>
      </c>
      <c r="AD65" s="343"/>
      <c r="AG65" s="344"/>
      <c r="AH65" s="452"/>
      <c r="AL65" s="343"/>
      <c r="AO65" s="344"/>
      <c r="AP65" s="343"/>
      <c r="AS65" s="344"/>
      <c r="AW65" s="344"/>
      <c r="BA65" s="345"/>
    </row>
    <row r="66" spans="1:53" s="334" customFormat="1">
      <c r="A66" s="386">
        <v>1988</v>
      </c>
      <c r="B66" s="355"/>
      <c r="C66" s="992" t="s">
        <v>635</v>
      </c>
      <c r="D66" s="992"/>
      <c r="E66" s="334">
        <v>0</v>
      </c>
      <c r="G66" s="419"/>
      <c r="I66" s="334">
        <v>18</v>
      </c>
      <c r="J66" s="435">
        <v>18</v>
      </c>
      <c r="K66" s="384">
        <f t="shared" si="4"/>
        <v>0</v>
      </c>
      <c r="L66" s="384">
        <f t="shared" si="4"/>
        <v>0</v>
      </c>
      <c r="M66" s="384">
        <f t="shared" si="4"/>
        <v>100</v>
      </c>
      <c r="N66" s="421">
        <f t="shared" si="5"/>
        <v>100</v>
      </c>
      <c r="O66" s="383"/>
      <c r="P66" s="384"/>
      <c r="Q66" s="384">
        <v>45.2</v>
      </c>
      <c r="R66" s="385">
        <f t="shared" si="3"/>
        <v>45.2</v>
      </c>
      <c r="S66" s="334">
        <v>4</v>
      </c>
      <c r="T66" s="357"/>
      <c r="V66" s="343" t="s">
        <v>490</v>
      </c>
      <c r="W66" s="334" t="s">
        <v>20</v>
      </c>
      <c r="X66" s="334" t="s">
        <v>12</v>
      </c>
      <c r="Y66" s="344">
        <v>45.2</v>
      </c>
      <c r="AD66" s="343"/>
      <c r="AG66" s="344"/>
      <c r="AH66" s="452"/>
      <c r="AL66" s="343"/>
      <c r="AO66" s="344"/>
      <c r="AP66" s="343"/>
      <c r="AS66" s="344"/>
      <c r="AW66" s="344"/>
      <c r="BA66" s="345"/>
    </row>
    <row r="67" spans="1:53" s="334" customFormat="1">
      <c r="A67" s="386">
        <v>1988</v>
      </c>
      <c r="B67" s="355"/>
      <c r="C67" s="992" t="s">
        <v>635</v>
      </c>
      <c r="D67" s="992"/>
      <c r="E67" s="334">
        <v>366</v>
      </c>
      <c r="G67" s="419"/>
      <c r="I67" s="334">
        <v>18</v>
      </c>
      <c r="J67" s="435">
        <v>18</v>
      </c>
      <c r="K67" s="384">
        <f t="shared" si="4"/>
        <v>0</v>
      </c>
      <c r="L67" s="384">
        <f t="shared" si="4"/>
        <v>0</v>
      </c>
      <c r="M67" s="384">
        <f t="shared" si="4"/>
        <v>100</v>
      </c>
      <c r="N67" s="421">
        <f t="shared" si="5"/>
        <v>100</v>
      </c>
      <c r="O67" s="383"/>
      <c r="P67" s="384"/>
      <c r="Q67" s="384">
        <v>45.2</v>
      </c>
      <c r="R67" s="385">
        <f t="shared" si="3"/>
        <v>45.2</v>
      </c>
      <c r="S67" s="334">
        <v>4</v>
      </c>
      <c r="T67" s="357"/>
      <c r="V67" s="343" t="s">
        <v>490</v>
      </c>
      <c r="W67" s="334" t="s">
        <v>20</v>
      </c>
      <c r="X67" s="334" t="s">
        <v>12</v>
      </c>
      <c r="Y67" s="344">
        <v>45.2</v>
      </c>
      <c r="AD67" s="343"/>
      <c r="AG67" s="344"/>
      <c r="AH67" s="452"/>
      <c r="AL67" s="343"/>
      <c r="AO67" s="344"/>
      <c r="AP67" s="343"/>
      <c r="AS67" s="344"/>
      <c r="AW67" s="344"/>
      <c r="BA67" s="345"/>
    </row>
    <row r="68" spans="1:53" s="334" customFormat="1">
      <c r="A68" s="386">
        <v>1989</v>
      </c>
      <c r="B68" s="355"/>
      <c r="C68" s="992" t="s">
        <v>635</v>
      </c>
      <c r="D68" s="992"/>
      <c r="E68" s="334">
        <v>288</v>
      </c>
      <c r="G68" s="419"/>
      <c r="I68" s="334">
        <v>18</v>
      </c>
      <c r="J68" s="435">
        <v>18</v>
      </c>
      <c r="K68" s="384">
        <f t="shared" si="4"/>
        <v>0</v>
      </c>
      <c r="L68" s="384">
        <f t="shared" si="4"/>
        <v>0</v>
      </c>
      <c r="M68" s="384">
        <f t="shared" si="4"/>
        <v>100</v>
      </c>
      <c r="N68" s="421">
        <f t="shared" si="5"/>
        <v>100</v>
      </c>
      <c r="O68" s="383"/>
      <c r="P68" s="384"/>
      <c r="Q68" s="384">
        <v>45.2</v>
      </c>
      <c r="R68" s="385">
        <f t="shared" si="3"/>
        <v>45.2</v>
      </c>
      <c r="S68" s="334">
        <v>4</v>
      </c>
      <c r="T68" s="357"/>
      <c r="V68" s="343" t="s">
        <v>490</v>
      </c>
      <c r="W68" s="334" t="s">
        <v>20</v>
      </c>
      <c r="X68" s="334" t="s">
        <v>12</v>
      </c>
      <c r="Y68" s="344">
        <v>45.2</v>
      </c>
      <c r="AD68" s="343"/>
      <c r="AG68" s="344"/>
      <c r="AH68" s="452"/>
      <c r="AL68" s="343"/>
      <c r="AO68" s="344"/>
      <c r="AP68" s="343"/>
      <c r="AS68" s="344"/>
      <c r="AW68" s="344"/>
      <c r="BA68" s="345"/>
    </row>
    <row r="69" spans="1:53" s="212" customFormat="1">
      <c r="A69" s="162">
        <v>1989</v>
      </c>
      <c r="B69" s="210">
        <v>32797</v>
      </c>
      <c r="C69" s="1027" t="s">
        <v>825</v>
      </c>
      <c r="D69" s="1027"/>
      <c r="E69" s="212">
        <f>365-E68</f>
        <v>77</v>
      </c>
      <c r="F69" s="212">
        <v>1</v>
      </c>
      <c r="G69" s="138">
        <v>8</v>
      </c>
      <c r="H69" s="212">
        <v>10</v>
      </c>
      <c r="J69" s="139">
        <v>18</v>
      </c>
      <c r="K69" s="140">
        <f t="shared" si="4"/>
        <v>44.444444444444443</v>
      </c>
      <c r="L69" s="140">
        <f t="shared" si="4"/>
        <v>55.555555555555557</v>
      </c>
      <c r="M69" s="140">
        <f t="shared" si="4"/>
        <v>0</v>
      </c>
      <c r="N69" s="141">
        <f t="shared" si="5"/>
        <v>100</v>
      </c>
      <c r="O69" s="142">
        <v>22.4</v>
      </c>
      <c r="P69" s="140">
        <v>15.2</v>
      </c>
      <c r="Q69" s="140"/>
      <c r="R69" s="143">
        <f t="shared" si="3"/>
        <v>37.599999999999994</v>
      </c>
      <c r="S69" s="212">
        <v>5</v>
      </c>
      <c r="T69" s="145">
        <v>32761</v>
      </c>
      <c r="U69" s="210">
        <v>32797</v>
      </c>
      <c r="V69" s="146" t="s">
        <v>491</v>
      </c>
      <c r="W69" s="212" t="s">
        <v>74</v>
      </c>
      <c r="X69" s="212" t="s">
        <v>11</v>
      </c>
      <c r="Y69" s="147">
        <v>22.4</v>
      </c>
      <c r="Z69" s="146" t="s">
        <v>84</v>
      </c>
      <c r="AA69" s="212" t="s">
        <v>75</v>
      </c>
      <c r="AB69" s="212" t="s">
        <v>18</v>
      </c>
      <c r="AC69" s="212">
        <v>6.7</v>
      </c>
      <c r="AD69" s="146" t="s">
        <v>271</v>
      </c>
      <c r="AE69" s="212" t="s">
        <v>17</v>
      </c>
      <c r="AF69" s="212" t="s">
        <v>18</v>
      </c>
      <c r="AG69" s="147">
        <v>8.5</v>
      </c>
      <c r="AH69" s="187"/>
      <c r="AL69" s="146"/>
      <c r="AO69" s="147"/>
      <c r="AP69" s="146"/>
      <c r="AS69" s="147"/>
      <c r="AW69" s="147"/>
      <c r="BA69" s="148"/>
    </row>
    <row r="70" spans="1:53" s="208" customFormat="1">
      <c r="A70" s="208">
        <v>1990</v>
      </c>
      <c r="C70" s="988" t="s">
        <v>825</v>
      </c>
      <c r="D70" s="988"/>
      <c r="E70" s="208">
        <v>306</v>
      </c>
      <c r="G70" s="123">
        <v>8</v>
      </c>
      <c r="H70" s="208">
        <v>10</v>
      </c>
      <c r="J70" s="134">
        <v>18</v>
      </c>
      <c r="K70" s="91">
        <f t="shared" si="4"/>
        <v>44.444444444444443</v>
      </c>
      <c r="L70" s="92">
        <f t="shared" si="4"/>
        <v>55.555555555555557</v>
      </c>
      <c r="M70" s="208">
        <f t="shared" si="4"/>
        <v>0</v>
      </c>
      <c r="N70" s="93">
        <f t="shared" si="5"/>
        <v>100</v>
      </c>
      <c r="O70" s="91">
        <v>22.4</v>
      </c>
      <c r="P70" s="92">
        <v>15.2</v>
      </c>
      <c r="Q70" s="92"/>
      <c r="R70" s="93">
        <f t="shared" si="3"/>
        <v>37.599999999999994</v>
      </c>
      <c r="S70" s="208">
        <v>5</v>
      </c>
      <c r="T70" s="81"/>
      <c r="V70" s="82" t="s">
        <v>491</v>
      </c>
      <c r="W70" s="208" t="s">
        <v>74</v>
      </c>
      <c r="X70" s="208" t="s">
        <v>11</v>
      </c>
      <c r="Y70" s="83">
        <v>22.4</v>
      </c>
      <c r="Z70" s="82" t="s">
        <v>84</v>
      </c>
      <c r="AA70" s="208" t="s">
        <v>75</v>
      </c>
      <c r="AB70" s="208" t="s">
        <v>18</v>
      </c>
      <c r="AC70" s="208">
        <v>6.7</v>
      </c>
      <c r="AD70" s="82" t="s">
        <v>271</v>
      </c>
      <c r="AE70" s="208" t="s">
        <v>17</v>
      </c>
      <c r="AF70" s="208" t="s">
        <v>18</v>
      </c>
      <c r="AG70" s="83">
        <v>8.5</v>
      </c>
      <c r="AH70" s="164"/>
      <c r="AL70" s="82"/>
      <c r="AO70" s="83"/>
      <c r="AP70" s="82"/>
      <c r="AS70" s="83"/>
      <c r="AW70" s="83"/>
      <c r="BA70" s="84"/>
    </row>
    <row r="71" spans="1:53" s="334" customFormat="1">
      <c r="A71" s="334">
        <v>1990</v>
      </c>
      <c r="B71" s="355">
        <v>33180</v>
      </c>
      <c r="C71" s="992" t="s">
        <v>826</v>
      </c>
      <c r="D71" s="992"/>
      <c r="E71" s="334">
        <f>365-E70</f>
        <v>59</v>
      </c>
      <c r="F71" s="334">
        <v>5</v>
      </c>
      <c r="G71" s="419"/>
      <c r="I71" s="334">
        <v>19</v>
      </c>
      <c r="J71" s="435">
        <v>19</v>
      </c>
      <c r="K71" s="384">
        <f t="shared" si="4"/>
        <v>0</v>
      </c>
      <c r="L71" s="384">
        <f t="shared" si="4"/>
        <v>0</v>
      </c>
      <c r="M71" s="384">
        <f t="shared" si="4"/>
        <v>100</v>
      </c>
      <c r="N71" s="421">
        <f t="shared" si="5"/>
        <v>100</v>
      </c>
      <c r="O71" s="383"/>
      <c r="P71" s="384"/>
      <c r="Q71" s="384">
        <v>38.200000000000003</v>
      </c>
      <c r="R71" s="385">
        <f t="shared" si="3"/>
        <v>38.200000000000003</v>
      </c>
      <c r="S71" s="334">
        <v>4</v>
      </c>
      <c r="T71" s="357"/>
      <c r="U71" s="355">
        <v>33180</v>
      </c>
      <c r="V71" s="343" t="s">
        <v>490</v>
      </c>
      <c r="W71" s="334" t="s">
        <v>20</v>
      </c>
      <c r="X71" s="334" t="s">
        <v>12</v>
      </c>
      <c r="Y71" s="344">
        <v>38.200000000000003</v>
      </c>
      <c r="AD71" s="343"/>
      <c r="AG71" s="344"/>
      <c r="AH71" s="452"/>
      <c r="AL71" s="343"/>
      <c r="AO71" s="344"/>
      <c r="AP71" s="343"/>
      <c r="AS71" s="344"/>
      <c r="AW71" s="344"/>
      <c r="BA71" s="345"/>
    </row>
    <row r="72" spans="1:53" s="334" customFormat="1">
      <c r="A72" s="334">
        <v>1991</v>
      </c>
      <c r="C72" s="992" t="s">
        <v>826</v>
      </c>
      <c r="D72" s="992"/>
      <c r="E72" s="334">
        <v>0</v>
      </c>
      <c r="G72" s="419"/>
      <c r="I72" s="334">
        <v>19</v>
      </c>
      <c r="J72" s="435">
        <v>19</v>
      </c>
      <c r="K72" s="384">
        <f t="shared" si="4"/>
        <v>0</v>
      </c>
      <c r="L72" s="384">
        <f t="shared" si="4"/>
        <v>0</v>
      </c>
      <c r="M72" s="384">
        <f t="shared" si="4"/>
        <v>100</v>
      </c>
      <c r="N72" s="421">
        <f t="shared" si="5"/>
        <v>100</v>
      </c>
      <c r="O72" s="383"/>
      <c r="P72" s="384"/>
      <c r="Q72" s="384">
        <v>38.200000000000003</v>
      </c>
      <c r="R72" s="385">
        <f t="shared" si="3"/>
        <v>38.200000000000003</v>
      </c>
      <c r="S72" s="334">
        <v>4</v>
      </c>
      <c r="T72" s="357"/>
      <c r="V72" s="343" t="s">
        <v>490</v>
      </c>
      <c r="W72" s="334" t="s">
        <v>20</v>
      </c>
      <c r="X72" s="334" t="s">
        <v>12</v>
      </c>
      <c r="Y72" s="344">
        <v>38.200000000000003</v>
      </c>
      <c r="AD72" s="343"/>
      <c r="AG72" s="344"/>
      <c r="AH72" s="452"/>
      <c r="AL72" s="343"/>
      <c r="AO72" s="344"/>
      <c r="AP72" s="343"/>
      <c r="AS72" s="344"/>
      <c r="AW72" s="344"/>
      <c r="BA72" s="345"/>
    </row>
    <row r="73" spans="1:53" s="334" customFormat="1">
      <c r="A73" s="334">
        <v>1991</v>
      </c>
      <c r="C73" s="992" t="s">
        <v>826</v>
      </c>
      <c r="D73" s="992"/>
      <c r="E73" s="334">
        <f>365-E72</f>
        <v>365</v>
      </c>
      <c r="G73" s="419"/>
      <c r="I73" s="334">
        <v>19</v>
      </c>
      <c r="J73" s="435">
        <v>19</v>
      </c>
      <c r="K73" s="384">
        <f t="shared" si="4"/>
        <v>0</v>
      </c>
      <c r="L73" s="384">
        <f t="shared" si="4"/>
        <v>0</v>
      </c>
      <c r="M73" s="384">
        <f t="shared" si="4"/>
        <v>100</v>
      </c>
      <c r="N73" s="421">
        <f t="shared" si="5"/>
        <v>100</v>
      </c>
      <c r="O73" s="383"/>
      <c r="P73" s="384"/>
      <c r="Q73" s="384">
        <v>38.200000000000003</v>
      </c>
      <c r="R73" s="385">
        <f t="shared" ref="R73:R117" si="6">O73+P73+Q73</f>
        <v>38.200000000000003</v>
      </c>
      <c r="S73" s="334">
        <v>4</v>
      </c>
      <c r="T73" s="357"/>
      <c r="V73" s="343" t="s">
        <v>490</v>
      </c>
      <c r="W73" s="334" t="s">
        <v>20</v>
      </c>
      <c r="X73" s="334" t="s">
        <v>12</v>
      </c>
      <c r="Y73" s="344">
        <v>38.200000000000003</v>
      </c>
      <c r="AD73" s="343"/>
      <c r="AG73" s="344"/>
      <c r="AH73" s="452"/>
      <c r="AL73" s="343"/>
      <c r="AO73" s="344"/>
      <c r="AP73" s="343"/>
      <c r="AS73" s="344"/>
      <c r="AW73" s="344"/>
      <c r="BA73" s="345"/>
    </row>
    <row r="74" spans="1:53" s="334" customFormat="1">
      <c r="A74" s="334">
        <v>1992</v>
      </c>
      <c r="C74" s="992" t="s">
        <v>826</v>
      </c>
      <c r="D74" s="992"/>
      <c r="E74" s="334">
        <v>0</v>
      </c>
      <c r="G74" s="419"/>
      <c r="I74" s="334">
        <v>19</v>
      </c>
      <c r="J74" s="435">
        <v>19</v>
      </c>
      <c r="K74" s="384">
        <f t="shared" si="4"/>
        <v>0</v>
      </c>
      <c r="L74" s="384">
        <f t="shared" si="4"/>
        <v>0</v>
      </c>
      <c r="M74" s="384">
        <f t="shared" si="4"/>
        <v>100</v>
      </c>
      <c r="N74" s="421">
        <f t="shared" si="5"/>
        <v>100</v>
      </c>
      <c r="O74" s="383"/>
      <c r="P74" s="384"/>
      <c r="Q74" s="384">
        <v>38.200000000000003</v>
      </c>
      <c r="R74" s="385">
        <f t="shared" si="6"/>
        <v>38.200000000000003</v>
      </c>
      <c r="S74" s="334">
        <v>4</v>
      </c>
      <c r="T74" s="357"/>
      <c r="V74" s="343" t="s">
        <v>490</v>
      </c>
      <c r="W74" s="334" t="s">
        <v>20</v>
      </c>
      <c r="X74" s="334" t="s">
        <v>12</v>
      </c>
      <c r="Y74" s="344">
        <v>38.200000000000003</v>
      </c>
      <c r="AD74" s="343"/>
      <c r="AG74" s="344"/>
      <c r="AH74" s="452"/>
      <c r="AL74" s="343"/>
      <c r="AO74" s="344"/>
      <c r="AP74" s="343"/>
      <c r="AS74" s="344"/>
      <c r="AW74" s="344"/>
      <c r="BA74" s="345"/>
    </row>
    <row r="75" spans="1:53" s="334" customFormat="1">
      <c r="A75" s="334">
        <v>1992</v>
      </c>
      <c r="C75" s="992" t="s">
        <v>826</v>
      </c>
      <c r="D75" s="992"/>
      <c r="E75" s="334">
        <v>366</v>
      </c>
      <c r="G75" s="419"/>
      <c r="I75" s="334">
        <v>19</v>
      </c>
      <c r="J75" s="435">
        <v>19</v>
      </c>
      <c r="K75" s="384">
        <f t="shared" si="4"/>
        <v>0</v>
      </c>
      <c r="L75" s="384">
        <f t="shared" si="4"/>
        <v>0</v>
      </c>
      <c r="M75" s="384">
        <f t="shared" si="4"/>
        <v>100</v>
      </c>
      <c r="N75" s="421">
        <f t="shared" si="5"/>
        <v>100</v>
      </c>
      <c r="O75" s="383"/>
      <c r="P75" s="384"/>
      <c r="Q75" s="384">
        <v>38.200000000000003</v>
      </c>
      <c r="R75" s="385">
        <f t="shared" si="6"/>
        <v>38.200000000000003</v>
      </c>
      <c r="S75" s="334">
        <v>4</v>
      </c>
      <c r="T75" s="357"/>
      <c r="V75" s="343" t="s">
        <v>490</v>
      </c>
      <c r="W75" s="334" t="s">
        <v>20</v>
      </c>
      <c r="X75" s="334" t="s">
        <v>12</v>
      </c>
      <c r="Y75" s="344">
        <v>38.200000000000003</v>
      </c>
      <c r="AD75" s="343"/>
      <c r="AG75" s="344"/>
      <c r="AH75" s="452"/>
      <c r="AL75" s="343"/>
      <c r="AO75" s="344"/>
      <c r="AP75" s="343"/>
      <c r="AS75" s="344"/>
      <c r="AW75" s="344"/>
      <c r="BA75" s="345"/>
    </row>
    <row r="76" spans="1:53" s="334" customFormat="1">
      <c r="A76" s="334">
        <v>1993</v>
      </c>
      <c r="C76" s="992" t="s">
        <v>826</v>
      </c>
      <c r="D76" s="992"/>
      <c r="E76" s="334">
        <v>256</v>
      </c>
      <c r="G76" s="419"/>
      <c r="I76" s="334">
        <v>19</v>
      </c>
      <c r="J76" s="435">
        <v>19</v>
      </c>
      <c r="K76" s="384">
        <f t="shared" si="4"/>
        <v>0</v>
      </c>
      <c r="L76" s="384">
        <f t="shared" si="4"/>
        <v>0</v>
      </c>
      <c r="M76" s="384">
        <f t="shared" si="4"/>
        <v>100</v>
      </c>
      <c r="N76" s="421">
        <f t="shared" si="5"/>
        <v>100</v>
      </c>
      <c r="O76" s="383"/>
      <c r="P76" s="384"/>
      <c r="Q76" s="384">
        <v>38.200000000000003</v>
      </c>
      <c r="R76" s="385">
        <f t="shared" si="6"/>
        <v>38.200000000000003</v>
      </c>
      <c r="S76" s="334">
        <v>4</v>
      </c>
      <c r="T76" s="357"/>
      <c r="V76" s="343" t="s">
        <v>490</v>
      </c>
      <c r="W76" s="334" t="s">
        <v>20</v>
      </c>
      <c r="X76" s="334" t="s">
        <v>12</v>
      </c>
      <c r="Y76" s="344">
        <v>38.200000000000003</v>
      </c>
      <c r="AD76" s="343"/>
      <c r="AG76" s="344"/>
      <c r="AH76" s="452"/>
      <c r="AL76" s="343"/>
      <c r="AO76" s="344"/>
      <c r="AP76" s="343"/>
      <c r="AS76" s="344"/>
      <c r="AW76" s="344"/>
      <c r="BA76" s="345"/>
    </row>
    <row r="77" spans="1:53" s="208" customFormat="1">
      <c r="A77" s="208">
        <v>1993</v>
      </c>
      <c r="B77" s="207">
        <v>34226</v>
      </c>
      <c r="C77" s="988" t="s">
        <v>1370</v>
      </c>
      <c r="D77" s="988"/>
      <c r="E77" s="208">
        <f>365-E76</f>
        <v>109</v>
      </c>
      <c r="F77" s="208">
        <v>1</v>
      </c>
      <c r="G77" s="123"/>
      <c r="I77" s="208">
        <v>19</v>
      </c>
      <c r="J77" s="134">
        <v>19</v>
      </c>
      <c r="K77" s="92">
        <f t="shared" si="4"/>
        <v>0</v>
      </c>
      <c r="L77" s="92">
        <f t="shared" si="4"/>
        <v>0</v>
      </c>
      <c r="M77" s="92">
        <f t="shared" si="4"/>
        <v>100</v>
      </c>
      <c r="N77" s="125">
        <f t="shared" si="5"/>
        <v>100</v>
      </c>
      <c r="O77" s="91"/>
      <c r="P77" s="92"/>
      <c r="Q77" s="92">
        <v>40.6</v>
      </c>
      <c r="R77" s="93">
        <f t="shared" si="6"/>
        <v>40.6</v>
      </c>
      <c r="S77" s="208">
        <v>4</v>
      </c>
      <c r="T77" s="95">
        <v>34224</v>
      </c>
      <c r="U77" s="207">
        <v>34226</v>
      </c>
      <c r="V77" s="82" t="s">
        <v>490</v>
      </c>
      <c r="W77" s="208" t="s">
        <v>20</v>
      </c>
      <c r="X77" s="208" t="s">
        <v>12</v>
      </c>
      <c r="Y77" s="83">
        <v>40.6</v>
      </c>
      <c r="AD77" s="82"/>
      <c r="AG77" s="83"/>
      <c r="AH77" s="164"/>
      <c r="AL77" s="82"/>
      <c r="AO77" s="83"/>
      <c r="AP77" s="82"/>
      <c r="AS77" s="83"/>
      <c r="AW77" s="83"/>
      <c r="BA77" s="84"/>
    </row>
    <row r="78" spans="1:53" s="208" customFormat="1">
      <c r="A78" s="208">
        <v>1994</v>
      </c>
      <c r="C78" s="988" t="s">
        <v>1370</v>
      </c>
      <c r="D78" s="988"/>
      <c r="E78" s="208">
        <v>0</v>
      </c>
      <c r="G78" s="123"/>
      <c r="I78" s="208">
        <v>18</v>
      </c>
      <c r="J78" s="134">
        <v>18</v>
      </c>
      <c r="K78" s="92">
        <f t="shared" si="4"/>
        <v>0</v>
      </c>
      <c r="L78" s="92">
        <f t="shared" si="4"/>
        <v>0</v>
      </c>
      <c r="M78" s="92">
        <f t="shared" si="4"/>
        <v>100</v>
      </c>
      <c r="N78" s="125">
        <f t="shared" si="5"/>
        <v>100</v>
      </c>
      <c r="O78" s="91"/>
      <c r="P78" s="92"/>
      <c r="Q78" s="92">
        <v>40.6</v>
      </c>
      <c r="R78" s="93">
        <f t="shared" si="6"/>
        <v>40.6</v>
      </c>
      <c r="S78" s="208">
        <v>4</v>
      </c>
      <c r="T78" s="81"/>
      <c r="V78" s="82" t="s">
        <v>490</v>
      </c>
      <c r="W78" s="208" t="s">
        <v>20</v>
      </c>
      <c r="X78" s="208" t="s">
        <v>12</v>
      </c>
      <c r="Y78" s="83">
        <v>40.6</v>
      </c>
      <c r="AD78" s="82"/>
      <c r="AG78" s="83"/>
      <c r="AH78" s="164"/>
      <c r="AL78" s="82"/>
      <c r="AO78" s="83"/>
      <c r="AP78" s="82"/>
      <c r="AS78" s="83"/>
      <c r="AW78" s="83"/>
      <c r="BA78" s="84"/>
    </row>
    <row r="79" spans="1:53" s="208" customFormat="1">
      <c r="A79" s="208">
        <v>1994</v>
      </c>
      <c r="C79" s="988" t="s">
        <v>1370</v>
      </c>
      <c r="D79" s="988"/>
      <c r="E79" s="208">
        <f>365-E78</f>
        <v>365</v>
      </c>
      <c r="G79" s="123"/>
      <c r="I79" s="208">
        <v>18</v>
      </c>
      <c r="J79" s="134">
        <v>18</v>
      </c>
      <c r="K79" s="92">
        <f t="shared" si="4"/>
        <v>0</v>
      </c>
      <c r="L79" s="92">
        <f t="shared" si="4"/>
        <v>0</v>
      </c>
      <c r="M79" s="92">
        <f t="shared" si="4"/>
        <v>100</v>
      </c>
      <c r="N79" s="125">
        <f t="shared" si="5"/>
        <v>100</v>
      </c>
      <c r="O79" s="91"/>
      <c r="P79" s="92"/>
      <c r="Q79" s="92">
        <v>40.6</v>
      </c>
      <c r="R79" s="93">
        <f t="shared" si="6"/>
        <v>40.6</v>
      </c>
      <c r="S79" s="208">
        <v>4</v>
      </c>
      <c r="T79" s="81"/>
      <c r="V79" s="82" t="s">
        <v>490</v>
      </c>
      <c r="W79" s="208" t="s">
        <v>20</v>
      </c>
      <c r="X79" s="208" t="s">
        <v>12</v>
      </c>
      <c r="Y79" s="83">
        <v>40.6</v>
      </c>
      <c r="AD79" s="82"/>
      <c r="AG79" s="83"/>
      <c r="AH79" s="164"/>
      <c r="AL79" s="82"/>
      <c r="AO79" s="83"/>
      <c r="AP79" s="82"/>
      <c r="AS79" s="83"/>
      <c r="AW79" s="83"/>
      <c r="BA79" s="84"/>
    </row>
    <row r="80" spans="1:53" s="208" customFormat="1">
      <c r="A80" s="208">
        <v>1995</v>
      </c>
      <c r="C80" s="988" t="s">
        <v>1370</v>
      </c>
      <c r="D80" s="988"/>
      <c r="E80" s="208">
        <v>0</v>
      </c>
      <c r="G80" s="123"/>
      <c r="I80" s="208">
        <v>18</v>
      </c>
      <c r="J80" s="134">
        <v>18</v>
      </c>
      <c r="K80" s="92">
        <f t="shared" si="4"/>
        <v>0</v>
      </c>
      <c r="L80" s="92">
        <f t="shared" si="4"/>
        <v>0</v>
      </c>
      <c r="M80" s="92">
        <f t="shared" si="4"/>
        <v>100</v>
      </c>
      <c r="N80" s="125">
        <f t="shared" si="5"/>
        <v>100</v>
      </c>
      <c r="O80" s="91"/>
      <c r="P80" s="92"/>
      <c r="Q80" s="92">
        <v>40.6</v>
      </c>
      <c r="R80" s="93">
        <f t="shared" si="6"/>
        <v>40.6</v>
      </c>
      <c r="S80" s="208">
        <v>4</v>
      </c>
      <c r="T80" s="81"/>
      <c r="V80" s="82" t="s">
        <v>490</v>
      </c>
      <c r="W80" s="208" t="s">
        <v>20</v>
      </c>
      <c r="X80" s="208" t="s">
        <v>12</v>
      </c>
      <c r="Y80" s="83">
        <v>40.6</v>
      </c>
      <c r="AD80" s="82"/>
      <c r="AG80" s="83"/>
      <c r="AH80" s="164"/>
      <c r="AL80" s="82"/>
      <c r="AO80" s="83"/>
      <c r="AP80" s="82"/>
      <c r="AS80" s="83"/>
      <c r="AW80" s="83"/>
      <c r="BA80" s="84"/>
    </row>
    <row r="81" spans="1:53" s="208" customFormat="1">
      <c r="A81" s="208">
        <v>1995</v>
      </c>
      <c r="C81" s="988" t="s">
        <v>1370</v>
      </c>
      <c r="D81" s="988"/>
      <c r="E81" s="208">
        <f>365-E80</f>
        <v>365</v>
      </c>
      <c r="G81" s="123"/>
      <c r="I81" s="208">
        <v>18</v>
      </c>
      <c r="J81" s="134">
        <v>18</v>
      </c>
      <c r="K81" s="92">
        <f t="shared" si="4"/>
        <v>0</v>
      </c>
      <c r="L81" s="92">
        <f t="shared" si="4"/>
        <v>0</v>
      </c>
      <c r="M81" s="92">
        <f t="shared" si="4"/>
        <v>100</v>
      </c>
      <c r="N81" s="125">
        <f t="shared" si="5"/>
        <v>100</v>
      </c>
      <c r="O81" s="91"/>
      <c r="P81" s="92"/>
      <c r="Q81" s="92">
        <v>40.6</v>
      </c>
      <c r="R81" s="93">
        <f t="shared" si="6"/>
        <v>40.6</v>
      </c>
      <c r="S81" s="208">
        <v>4</v>
      </c>
      <c r="T81" s="81"/>
      <c r="V81" s="82" t="s">
        <v>490</v>
      </c>
      <c r="W81" s="208" t="s">
        <v>20</v>
      </c>
      <c r="X81" s="208" t="s">
        <v>12</v>
      </c>
      <c r="Y81" s="83">
        <v>40.6</v>
      </c>
      <c r="AD81" s="82"/>
      <c r="AG81" s="83"/>
      <c r="AH81" s="164"/>
      <c r="AL81" s="82"/>
      <c r="AO81" s="83"/>
      <c r="AP81" s="82"/>
      <c r="AS81" s="83"/>
      <c r="AW81" s="83"/>
      <c r="BA81" s="84"/>
    </row>
    <row r="82" spans="1:53" s="208" customFormat="1">
      <c r="A82" s="208">
        <v>1996</v>
      </c>
      <c r="C82" s="988" t="s">
        <v>1370</v>
      </c>
      <c r="D82" s="988"/>
      <c r="E82" s="208">
        <v>298</v>
      </c>
      <c r="F82" s="150"/>
      <c r="G82" s="123"/>
      <c r="I82" s="208">
        <v>18</v>
      </c>
      <c r="J82" s="134">
        <v>18</v>
      </c>
      <c r="K82" s="92">
        <f t="shared" si="4"/>
        <v>0</v>
      </c>
      <c r="L82" s="92">
        <f t="shared" si="4"/>
        <v>0</v>
      </c>
      <c r="M82" s="92">
        <f t="shared" si="4"/>
        <v>100</v>
      </c>
      <c r="N82" s="125">
        <f t="shared" si="5"/>
        <v>100</v>
      </c>
      <c r="O82" s="91"/>
      <c r="P82" s="92"/>
      <c r="Q82" s="92">
        <v>40.6</v>
      </c>
      <c r="R82" s="93">
        <f t="shared" si="6"/>
        <v>40.6</v>
      </c>
      <c r="S82" s="208">
        <v>4</v>
      </c>
      <c r="T82" s="81"/>
      <c r="V82" s="82" t="s">
        <v>490</v>
      </c>
      <c r="W82" s="208" t="s">
        <v>20</v>
      </c>
      <c r="X82" s="208" t="s">
        <v>12</v>
      </c>
      <c r="Y82" s="83">
        <v>40.6</v>
      </c>
      <c r="AD82" s="82"/>
      <c r="AG82" s="83"/>
      <c r="AH82" s="164"/>
      <c r="AL82" s="82"/>
      <c r="AO82" s="83"/>
      <c r="AP82" s="82"/>
      <c r="AS82" s="83"/>
      <c r="AW82" s="83"/>
      <c r="BA82" s="84"/>
    </row>
    <row r="83" spans="1:53" s="334" customFormat="1">
      <c r="A83" s="334">
        <v>1996</v>
      </c>
      <c r="B83" s="355">
        <v>35363</v>
      </c>
      <c r="C83" s="992" t="s">
        <v>828</v>
      </c>
      <c r="D83" s="992"/>
      <c r="E83" s="334">
        <f>366-E82</f>
        <v>68</v>
      </c>
      <c r="F83" s="334">
        <v>2</v>
      </c>
      <c r="G83" s="419"/>
      <c r="I83" s="334">
        <v>19</v>
      </c>
      <c r="J83" s="435">
        <v>19</v>
      </c>
      <c r="K83" s="384">
        <f t="shared" si="4"/>
        <v>0</v>
      </c>
      <c r="L83" s="384">
        <f t="shared" si="4"/>
        <v>0</v>
      </c>
      <c r="M83" s="384">
        <f t="shared" si="4"/>
        <v>100</v>
      </c>
      <c r="N83" s="421">
        <f t="shared" si="5"/>
        <v>100</v>
      </c>
      <c r="O83" s="383"/>
      <c r="P83" s="384"/>
      <c r="Q83" s="384">
        <v>40.6</v>
      </c>
      <c r="R83" s="385">
        <f t="shared" si="6"/>
        <v>40.6</v>
      </c>
      <c r="S83" s="334">
        <v>4</v>
      </c>
      <c r="T83" s="357"/>
      <c r="U83" s="355">
        <v>35363</v>
      </c>
      <c r="V83" s="343" t="s">
        <v>490</v>
      </c>
      <c r="W83" s="334" t="s">
        <v>20</v>
      </c>
      <c r="X83" s="334" t="s">
        <v>12</v>
      </c>
      <c r="Y83" s="344">
        <v>40.6</v>
      </c>
      <c r="AD83" s="343"/>
      <c r="AG83" s="344"/>
      <c r="AH83" s="452"/>
      <c r="AL83" s="343"/>
      <c r="AO83" s="344"/>
      <c r="AP83" s="343"/>
      <c r="AS83" s="344"/>
      <c r="AW83" s="344"/>
      <c r="BA83" s="345"/>
    </row>
    <row r="84" spans="1:53" s="334" customFormat="1">
      <c r="A84" s="334">
        <v>1997</v>
      </c>
      <c r="C84" s="992" t="s">
        <v>828</v>
      </c>
      <c r="D84" s="992"/>
      <c r="E84" s="334">
        <v>289</v>
      </c>
      <c r="G84" s="419"/>
      <c r="I84" s="334">
        <v>19</v>
      </c>
      <c r="J84" s="435">
        <v>19</v>
      </c>
      <c r="K84" s="384">
        <f t="shared" si="4"/>
        <v>0</v>
      </c>
      <c r="L84" s="384">
        <f t="shared" si="4"/>
        <v>0</v>
      </c>
      <c r="M84" s="384">
        <f t="shared" si="4"/>
        <v>100</v>
      </c>
      <c r="N84" s="421">
        <f t="shared" si="5"/>
        <v>100</v>
      </c>
      <c r="O84" s="383"/>
      <c r="P84" s="384"/>
      <c r="Q84" s="384">
        <v>40.6</v>
      </c>
      <c r="R84" s="385">
        <f t="shared" si="6"/>
        <v>40.6</v>
      </c>
      <c r="S84" s="334">
        <v>4</v>
      </c>
      <c r="T84" s="357"/>
      <c r="V84" s="343" t="s">
        <v>490</v>
      </c>
      <c r="W84" s="334" t="s">
        <v>20</v>
      </c>
      <c r="X84" s="334" t="s">
        <v>12</v>
      </c>
      <c r="Y84" s="344">
        <v>40.6</v>
      </c>
      <c r="AD84" s="343"/>
      <c r="AG84" s="344"/>
      <c r="AH84" s="452"/>
      <c r="AL84" s="343"/>
      <c r="AO84" s="344"/>
      <c r="AP84" s="343"/>
      <c r="AS84" s="344"/>
      <c r="AW84" s="344"/>
      <c r="BA84" s="345"/>
    </row>
    <row r="85" spans="1:53" s="208" customFormat="1">
      <c r="A85" s="208">
        <v>1997</v>
      </c>
      <c r="B85" s="207">
        <v>35720</v>
      </c>
      <c r="C85" s="988" t="s">
        <v>827</v>
      </c>
      <c r="D85" s="988"/>
      <c r="E85" s="208">
        <f>365-E84</f>
        <v>76</v>
      </c>
      <c r="F85" s="208">
        <v>1</v>
      </c>
      <c r="G85" s="123">
        <v>4</v>
      </c>
      <c r="H85" s="208">
        <v>15</v>
      </c>
      <c r="J85" s="134">
        <v>19</v>
      </c>
      <c r="K85" s="92">
        <f t="shared" si="4"/>
        <v>21.052631578947366</v>
      </c>
      <c r="L85" s="92">
        <f t="shared" si="4"/>
        <v>78.94736842105263</v>
      </c>
      <c r="M85" s="92">
        <f t="shared" si="4"/>
        <v>0</v>
      </c>
      <c r="N85" s="125">
        <f t="shared" si="5"/>
        <v>100</v>
      </c>
      <c r="O85" s="91">
        <v>3.6</v>
      </c>
      <c r="P85" s="92">
        <v>21.9</v>
      </c>
      <c r="Q85" s="92"/>
      <c r="R85" s="93">
        <f t="shared" si="6"/>
        <v>25.5</v>
      </c>
      <c r="S85" s="208">
        <v>5</v>
      </c>
      <c r="T85" s="95">
        <v>35688</v>
      </c>
      <c r="U85" s="207">
        <v>35720</v>
      </c>
      <c r="V85" s="82" t="s">
        <v>271</v>
      </c>
      <c r="W85" s="208" t="s">
        <v>17</v>
      </c>
      <c r="X85" s="208" t="s">
        <v>18</v>
      </c>
      <c r="Y85" s="83">
        <v>15.2</v>
      </c>
      <c r="Z85" s="82" t="s">
        <v>84</v>
      </c>
      <c r="AA85" s="208" t="s">
        <v>75</v>
      </c>
      <c r="AB85" s="208" t="s">
        <v>18</v>
      </c>
      <c r="AC85" s="208">
        <v>6.7</v>
      </c>
      <c r="AD85" s="82" t="s">
        <v>414</v>
      </c>
      <c r="AE85" s="208" t="s">
        <v>22</v>
      </c>
      <c r="AF85" s="208" t="s">
        <v>11</v>
      </c>
      <c r="AG85" s="83">
        <v>3.6</v>
      </c>
      <c r="AH85" s="164"/>
      <c r="AL85" s="82"/>
      <c r="AO85" s="83"/>
      <c r="AP85" s="82"/>
      <c r="AS85" s="83"/>
      <c r="AW85" s="83"/>
      <c r="BA85" s="84"/>
    </row>
    <row r="86" spans="1:53" s="208" customFormat="1">
      <c r="A86" s="208">
        <v>1998</v>
      </c>
      <c r="C86" s="988" t="s">
        <v>827</v>
      </c>
      <c r="D86" s="988"/>
      <c r="E86" s="208">
        <v>0</v>
      </c>
      <c r="G86" s="123">
        <v>4</v>
      </c>
      <c r="H86" s="208">
        <v>15</v>
      </c>
      <c r="J86" s="134">
        <v>19</v>
      </c>
      <c r="K86" s="92">
        <f t="shared" si="4"/>
        <v>21.052631578947366</v>
      </c>
      <c r="L86" s="92">
        <f t="shared" si="4"/>
        <v>78.94736842105263</v>
      </c>
      <c r="M86" s="92">
        <f t="shared" si="4"/>
        <v>0</v>
      </c>
      <c r="N86" s="125">
        <f t="shared" si="5"/>
        <v>100</v>
      </c>
      <c r="O86" s="91">
        <v>3.6</v>
      </c>
      <c r="P86" s="92">
        <v>21.9</v>
      </c>
      <c r="Q86" s="92"/>
      <c r="R86" s="93">
        <f t="shared" si="6"/>
        <v>25.5</v>
      </c>
      <c r="S86" s="208">
        <v>5</v>
      </c>
      <c r="T86" s="81"/>
      <c r="V86" s="82" t="s">
        <v>271</v>
      </c>
      <c r="W86" s="208" t="s">
        <v>17</v>
      </c>
      <c r="X86" s="208" t="s">
        <v>18</v>
      </c>
      <c r="Y86" s="83">
        <v>15.2</v>
      </c>
      <c r="Z86" s="82" t="s">
        <v>84</v>
      </c>
      <c r="AA86" s="208" t="s">
        <v>75</v>
      </c>
      <c r="AB86" s="208" t="s">
        <v>18</v>
      </c>
      <c r="AC86" s="208">
        <v>6.7</v>
      </c>
      <c r="AD86" s="82" t="s">
        <v>414</v>
      </c>
      <c r="AE86" s="208" t="s">
        <v>22</v>
      </c>
      <c r="AF86" s="208" t="s">
        <v>11</v>
      </c>
      <c r="AG86" s="83">
        <v>3.6</v>
      </c>
      <c r="AH86" s="164"/>
      <c r="AL86" s="82"/>
      <c r="AO86" s="83"/>
      <c r="AP86" s="82"/>
      <c r="AS86" s="83"/>
      <c r="AW86" s="83"/>
      <c r="BA86" s="84"/>
    </row>
    <row r="87" spans="1:53" s="208" customFormat="1">
      <c r="A87" s="208">
        <v>1998</v>
      </c>
      <c r="C87" s="988" t="s">
        <v>827</v>
      </c>
      <c r="D87" s="988"/>
      <c r="E87" s="208">
        <f>365-E86</f>
        <v>365</v>
      </c>
      <c r="G87" s="123">
        <v>4</v>
      </c>
      <c r="H87" s="208">
        <v>15</v>
      </c>
      <c r="J87" s="134">
        <v>19</v>
      </c>
      <c r="K87" s="92">
        <f t="shared" si="4"/>
        <v>21.052631578947366</v>
      </c>
      <c r="L87" s="92">
        <f t="shared" si="4"/>
        <v>78.94736842105263</v>
      </c>
      <c r="M87" s="92">
        <f t="shared" si="4"/>
        <v>0</v>
      </c>
      <c r="N87" s="125">
        <f t="shared" si="5"/>
        <v>100</v>
      </c>
      <c r="O87" s="91">
        <v>3.6</v>
      </c>
      <c r="P87" s="92">
        <v>21.9</v>
      </c>
      <c r="Q87" s="92"/>
      <c r="R87" s="93">
        <f t="shared" si="6"/>
        <v>25.5</v>
      </c>
      <c r="S87" s="208">
        <v>5</v>
      </c>
      <c r="T87" s="81"/>
      <c r="V87" s="82" t="s">
        <v>271</v>
      </c>
      <c r="W87" s="208" t="s">
        <v>17</v>
      </c>
      <c r="X87" s="208" t="s">
        <v>18</v>
      </c>
      <c r="Y87" s="83">
        <v>15.2</v>
      </c>
      <c r="Z87" s="82" t="s">
        <v>84</v>
      </c>
      <c r="AA87" s="208" t="s">
        <v>75</v>
      </c>
      <c r="AB87" s="208" t="s">
        <v>18</v>
      </c>
      <c r="AC87" s="208">
        <v>6.7</v>
      </c>
      <c r="AD87" s="82" t="s">
        <v>414</v>
      </c>
      <c r="AE87" s="208" t="s">
        <v>22</v>
      </c>
      <c r="AF87" s="208" t="s">
        <v>11</v>
      </c>
      <c r="AG87" s="83">
        <v>3.6</v>
      </c>
      <c r="AH87" s="164"/>
      <c r="AL87" s="82"/>
      <c r="AO87" s="83"/>
      <c r="AP87" s="82"/>
      <c r="AS87" s="83"/>
      <c r="AW87" s="83"/>
      <c r="BA87" s="84"/>
    </row>
    <row r="88" spans="1:53" s="208" customFormat="1">
      <c r="A88" s="208">
        <v>1999</v>
      </c>
      <c r="C88" s="988" t="s">
        <v>827</v>
      </c>
      <c r="D88" s="988"/>
      <c r="E88" s="208">
        <v>0</v>
      </c>
      <c r="G88" s="123">
        <v>4</v>
      </c>
      <c r="H88" s="208">
        <v>15</v>
      </c>
      <c r="J88" s="134">
        <v>19</v>
      </c>
      <c r="K88" s="92">
        <f t="shared" si="4"/>
        <v>21.052631578947366</v>
      </c>
      <c r="L88" s="92">
        <f t="shared" si="4"/>
        <v>78.94736842105263</v>
      </c>
      <c r="M88" s="92">
        <f t="shared" si="4"/>
        <v>0</v>
      </c>
      <c r="N88" s="125">
        <f t="shared" si="5"/>
        <v>100</v>
      </c>
      <c r="O88" s="91">
        <v>3.6</v>
      </c>
      <c r="P88" s="92">
        <v>21.9</v>
      </c>
      <c r="Q88" s="92"/>
      <c r="R88" s="93">
        <f t="shared" si="6"/>
        <v>25.5</v>
      </c>
      <c r="S88" s="208">
        <v>5</v>
      </c>
      <c r="T88" s="81"/>
      <c r="V88" s="82" t="s">
        <v>271</v>
      </c>
      <c r="W88" s="208" t="s">
        <v>17</v>
      </c>
      <c r="X88" s="208" t="s">
        <v>18</v>
      </c>
      <c r="Y88" s="83">
        <v>15.2</v>
      </c>
      <c r="Z88" s="82" t="s">
        <v>84</v>
      </c>
      <c r="AA88" s="208" t="s">
        <v>75</v>
      </c>
      <c r="AB88" s="208" t="s">
        <v>18</v>
      </c>
      <c r="AC88" s="208">
        <v>6.7</v>
      </c>
      <c r="AD88" s="82" t="s">
        <v>414</v>
      </c>
      <c r="AE88" s="208" t="s">
        <v>22</v>
      </c>
      <c r="AF88" s="208" t="s">
        <v>11</v>
      </c>
      <c r="AG88" s="83">
        <v>3.6</v>
      </c>
      <c r="AH88" s="164"/>
      <c r="AL88" s="82"/>
      <c r="AO88" s="83"/>
      <c r="AP88" s="82"/>
      <c r="AS88" s="83"/>
      <c r="AW88" s="83"/>
      <c r="BA88" s="84"/>
    </row>
    <row r="89" spans="1:53" s="208" customFormat="1">
      <c r="A89" s="208">
        <v>1999</v>
      </c>
      <c r="C89" s="988" t="s">
        <v>827</v>
      </c>
      <c r="D89" s="988"/>
      <c r="E89" s="208">
        <f>365-E88</f>
        <v>365</v>
      </c>
      <c r="G89" s="123">
        <v>4</v>
      </c>
      <c r="H89" s="208">
        <v>15</v>
      </c>
      <c r="J89" s="134">
        <v>19</v>
      </c>
      <c r="K89" s="92">
        <f t="shared" si="4"/>
        <v>21.052631578947366</v>
      </c>
      <c r="L89" s="92">
        <f t="shared" si="4"/>
        <v>78.94736842105263</v>
      </c>
      <c r="M89" s="92">
        <f t="shared" si="4"/>
        <v>0</v>
      </c>
      <c r="N89" s="125">
        <f t="shared" si="5"/>
        <v>100</v>
      </c>
      <c r="O89" s="91">
        <v>3.6</v>
      </c>
      <c r="P89" s="92">
        <v>21.9</v>
      </c>
      <c r="Q89" s="92"/>
      <c r="R89" s="93">
        <f t="shared" si="6"/>
        <v>25.5</v>
      </c>
      <c r="S89" s="208">
        <v>5</v>
      </c>
      <c r="T89" s="81"/>
      <c r="V89" s="82" t="s">
        <v>271</v>
      </c>
      <c r="W89" s="208" t="s">
        <v>17</v>
      </c>
      <c r="X89" s="208" t="s">
        <v>18</v>
      </c>
      <c r="Y89" s="83">
        <v>15.2</v>
      </c>
      <c r="Z89" s="82" t="s">
        <v>84</v>
      </c>
      <c r="AA89" s="208" t="s">
        <v>75</v>
      </c>
      <c r="AB89" s="208" t="s">
        <v>18</v>
      </c>
      <c r="AC89" s="208">
        <v>6.7</v>
      </c>
      <c r="AD89" s="82" t="s">
        <v>414</v>
      </c>
      <c r="AE89" s="208" t="s">
        <v>22</v>
      </c>
      <c r="AF89" s="208" t="s">
        <v>11</v>
      </c>
      <c r="AG89" s="83">
        <v>3.6</v>
      </c>
      <c r="AH89" s="164"/>
      <c r="AL89" s="82"/>
      <c r="AO89" s="83"/>
      <c r="AP89" s="82"/>
      <c r="AS89" s="83"/>
      <c r="AW89" s="83"/>
      <c r="BA89" s="84"/>
    </row>
    <row r="90" spans="1:53" s="208" customFormat="1">
      <c r="A90" s="208">
        <v>2000</v>
      </c>
      <c r="C90" s="988" t="s">
        <v>827</v>
      </c>
      <c r="D90" s="988"/>
      <c r="E90" s="208">
        <v>76</v>
      </c>
      <c r="G90" s="123">
        <v>4</v>
      </c>
      <c r="H90" s="208">
        <v>15</v>
      </c>
      <c r="J90" s="134">
        <v>19</v>
      </c>
      <c r="K90" s="92">
        <f t="shared" ref="K90:M115" si="7">G90/$J90*100</f>
        <v>21.052631578947366</v>
      </c>
      <c r="L90" s="92">
        <f t="shared" si="7"/>
        <v>78.94736842105263</v>
      </c>
      <c r="M90" s="92">
        <f t="shared" si="7"/>
        <v>0</v>
      </c>
      <c r="N90" s="125">
        <f t="shared" si="5"/>
        <v>100</v>
      </c>
      <c r="O90" s="91">
        <v>3.6</v>
      </c>
      <c r="P90" s="92">
        <v>21.9</v>
      </c>
      <c r="Q90" s="92"/>
      <c r="R90" s="93">
        <f t="shared" si="6"/>
        <v>25.5</v>
      </c>
      <c r="S90" s="208">
        <v>5</v>
      </c>
      <c r="T90" s="81"/>
      <c r="V90" s="82" t="s">
        <v>271</v>
      </c>
      <c r="W90" s="208" t="s">
        <v>17</v>
      </c>
      <c r="X90" s="208" t="s">
        <v>18</v>
      </c>
      <c r="Y90" s="83">
        <v>15.2</v>
      </c>
      <c r="Z90" s="82" t="s">
        <v>84</v>
      </c>
      <c r="AA90" s="208" t="s">
        <v>75</v>
      </c>
      <c r="AB90" s="208" t="s">
        <v>18</v>
      </c>
      <c r="AC90" s="208">
        <v>6.7</v>
      </c>
      <c r="AD90" s="82" t="s">
        <v>414</v>
      </c>
      <c r="AE90" s="208" t="s">
        <v>22</v>
      </c>
      <c r="AF90" s="208" t="s">
        <v>11</v>
      </c>
      <c r="AG90" s="83">
        <v>3.6</v>
      </c>
      <c r="AH90" s="164"/>
      <c r="AL90" s="82"/>
      <c r="AO90" s="83"/>
      <c r="AP90" s="82"/>
      <c r="AS90" s="83"/>
      <c r="AW90" s="83"/>
      <c r="BA90" s="84"/>
    </row>
    <row r="91" spans="1:53" s="334" customFormat="1">
      <c r="A91" s="334">
        <v>2000</v>
      </c>
      <c r="B91" s="355">
        <v>36602</v>
      </c>
      <c r="C91" s="992" t="s">
        <v>829</v>
      </c>
      <c r="D91" s="992"/>
      <c r="E91" s="334">
        <f>366-E90</f>
        <v>290</v>
      </c>
      <c r="F91" s="334">
        <v>5</v>
      </c>
      <c r="G91" s="419"/>
      <c r="I91" s="334">
        <v>19</v>
      </c>
      <c r="J91" s="435">
        <v>19</v>
      </c>
      <c r="K91" s="384">
        <f t="shared" si="7"/>
        <v>0</v>
      </c>
      <c r="L91" s="384">
        <f t="shared" si="7"/>
        <v>0</v>
      </c>
      <c r="M91" s="384">
        <f t="shared" si="7"/>
        <v>100</v>
      </c>
      <c r="N91" s="421">
        <f t="shared" si="5"/>
        <v>100</v>
      </c>
      <c r="O91" s="383"/>
      <c r="P91" s="384"/>
      <c r="Q91" s="384">
        <v>39.4</v>
      </c>
      <c r="R91" s="385">
        <f t="shared" si="6"/>
        <v>39.4</v>
      </c>
      <c r="S91" s="334">
        <v>4</v>
      </c>
      <c r="T91" s="357"/>
      <c r="U91" s="355">
        <v>36602</v>
      </c>
      <c r="V91" s="343" t="s">
        <v>490</v>
      </c>
      <c r="W91" s="334" t="s">
        <v>20</v>
      </c>
      <c r="X91" s="334" t="s">
        <v>12</v>
      </c>
      <c r="Y91" s="344">
        <v>39.4</v>
      </c>
      <c r="Z91" s="343"/>
      <c r="AD91" s="343"/>
      <c r="AG91" s="344"/>
      <c r="AH91" s="452"/>
      <c r="AL91" s="343"/>
      <c r="AO91" s="344"/>
      <c r="AP91" s="343"/>
      <c r="AS91" s="344"/>
      <c r="AW91" s="344"/>
      <c r="BA91" s="345"/>
    </row>
    <row r="92" spans="1:53" s="334" customFormat="1">
      <c r="A92" s="334">
        <v>2001</v>
      </c>
      <c r="C92" s="992" t="s">
        <v>829</v>
      </c>
      <c r="D92" s="992"/>
      <c r="E92" s="334">
        <v>291</v>
      </c>
      <c r="G92" s="419"/>
      <c r="I92" s="334">
        <v>19</v>
      </c>
      <c r="J92" s="435">
        <v>19</v>
      </c>
      <c r="K92" s="384">
        <f t="shared" si="7"/>
        <v>0</v>
      </c>
      <c r="L92" s="384">
        <f t="shared" si="7"/>
        <v>0</v>
      </c>
      <c r="M92" s="384">
        <f t="shared" si="7"/>
        <v>100</v>
      </c>
      <c r="N92" s="421">
        <f t="shared" si="5"/>
        <v>100</v>
      </c>
      <c r="O92" s="383"/>
      <c r="P92" s="384"/>
      <c r="Q92" s="384">
        <v>39.4</v>
      </c>
      <c r="R92" s="385">
        <f t="shared" si="6"/>
        <v>39.4</v>
      </c>
      <c r="S92" s="334">
        <v>4</v>
      </c>
      <c r="T92" s="357"/>
      <c r="V92" s="343" t="s">
        <v>490</v>
      </c>
      <c r="W92" s="334" t="s">
        <v>20</v>
      </c>
      <c r="X92" s="334" t="s">
        <v>12</v>
      </c>
      <c r="Y92" s="344">
        <v>39.4</v>
      </c>
      <c r="Z92" s="343"/>
      <c r="AD92" s="343"/>
      <c r="AG92" s="344"/>
      <c r="AH92" s="452"/>
      <c r="AL92" s="343"/>
      <c r="AO92" s="344"/>
      <c r="AP92" s="343"/>
      <c r="AS92" s="344"/>
      <c r="AW92" s="344"/>
      <c r="BA92" s="345"/>
    </row>
    <row r="93" spans="1:53" s="208" customFormat="1">
      <c r="A93" s="208">
        <v>2001</v>
      </c>
      <c r="B93" s="207">
        <v>37183</v>
      </c>
      <c r="C93" s="988" t="s">
        <v>832</v>
      </c>
      <c r="D93" s="988"/>
      <c r="E93" s="208">
        <f>365-E92</f>
        <v>74</v>
      </c>
      <c r="F93" s="208">
        <v>1</v>
      </c>
      <c r="G93" s="123">
        <v>13</v>
      </c>
      <c r="H93" s="208">
        <v>6</v>
      </c>
      <c r="J93" s="134">
        <v>19</v>
      </c>
      <c r="K93" s="92">
        <f t="shared" si="7"/>
        <v>68.421052631578945</v>
      </c>
      <c r="L93" s="92">
        <f t="shared" si="7"/>
        <v>31.578947368421051</v>
      </c>
      <c r="M93" s="92">
        <f t="shared" si="7"/>
        <v>0</v>
      </c>
      <c r="N93" s="125">
        <f t="shared" si="5"/>
        <v>100</v>
      </c>
      <c r="O93" s="91">
        <v>24.2</v>
      </c>
      <c r="P93" s="92">
        <v>13.3</v>
      </c>
      <c r="Q93" s="92"/>
      <c r="R93" s="93">
        <f t="shared" si="6"/>
        <v>37.5</v>
      </c>
      <c r="S93" s="208">
        <v>5</v>
      </c>
      <c r="T93" s="95">
        <v>37144</v>
      </c>
      <c r="U93" s="207">
        <v>37183</v>
      </c>
      <c r="V93" s="82" t="s">
        <v>271</v>
      </c>
      <c r="W93" s="208" t="s">
        <v>17</v>
      </c>
      <c r="X93" s="208" t="s">
        <v>18</v>
      </c>
      <c r="Y93" s="83">
        <v>13.3</v>
      </c>
      <c r="Z93" s="82" t="s">
        <v>491</v>
      </c>
      <c r="AA93" s="208" t="s">
        <v>74</v>
      </c>
      <c r="AB93" s="208" t="s">
        <v>11</v>
      </c>
      <c r="AC93" s="208">
        <v>23</v>
      </c>
      <c r="AD93" s="82" t="s">
        <v>414</v>
      </c>
      <c r="AE93" s="208" t="s">
        <v>22</v>
      </c>
      <c r="AF93" s="208" t="s">
        <v>11</v>
      </c>
      <c r="AG93" s="83">
        <v>1.2</v>
      </c>
      <c r="AH93" s="164"/>
      <c r="AL93" s="82"/>
      <c r="AO93" s="83"/>
      <c r="AP93" s="82"/>
      <c r="AS93" s="83"/>
      <c r="AW93" s="83"/>
      <c r="BA93" s="84"/>
    </row>
    <row r="94" spans="1:53" s="208" customFormat="1">
      <c r="A94" s="208">
        <v>2002</v>
      </c>
      <c r="C94" s="988" t="s">
        <v>832</v>
      </c>
      <c r="D94" s="988"/>
      <c r="E94" s="208">
        <v>0</v>
      </c>
      <c r="G94" s="123">
        <v>13</v>
      </c>
      <c r="H94" s="208">
        <v>6</v>
      </c>
      <c r="J94" s="134">
        <v>19</v>
      </c>
      <c r="K94" s="92">
        <f t="shared" si="7"/>
        <v>68.421052631578945</v>
      </c>
      <c r="L94" s="92">
        <f t="shared" si="7"/>
        <v>31.578947368421051</v>
      </c>
      <c r="M94" s="92">
        <f t="shared" si="7"/>
        <v>0</v>
      </c>
      <c r="N94" s="125">
        <f t="shared" si="5"/>
        <v>100</v>
      </c>
      <c r="O94" s="91">
        <v>24.2</v>
      </c>
      <c r="P94" s="92">
        <v>13.3</v>
      </c>
      <c r="Q94" s="92"/>
      <c r="R94" s="93">
        <f t="shared" si="6"/>
        <v>37.5</v>
      </c>
      <c r="S94" s="208">
        <v>5</v>
      </c>
      <c r="T94" s="81"/>
      <c r="V94" s="82" t="s">
        <v>271</v>
      </c>
      <c r="W94" s="208" t="s">
        <v>17</v>
      </c>
      <c r="X94" s="208" t="s">
        <v>18</v>
      </c>
      <c r="Y94" s="83">
        <v>13.3</v>
      </c>
      <c r="Z94" s="82" t="s">
        <v>491</v>
      </c>
      <c r="AA94" s="208" t="s">
        <v>74</v>
      </c>
      <c r="AB94" s="208" t="s">
        <v>11</v>
      </c>
      <c r="AC94" s="208">
        <v>23</v>
      </c>
      <c r="AD94" s="82" t="s">
        <v>414</v>
      </c>
      <c r="AE94" s="208" t="s">
        <v>22</v>
      </c>
      <c r="AF94" s="208" t="s">
        <v>11</v>
      </c>
      <c r="AG94" s="83">
        <v>1.2</v>
      </c>
      <c r="AH94" s="164"/>
      <c r="AL94" s="82"/>
      <c r="AO94" s="83"/>
      <c r="AP94" s="82"/>
      <c r="AS94" s="83"/>
      <c r="AW94" s="83"/>
      <c r="BA94" s="84"/>
    </row>
    <row r="95" spans="1:53" s="208" customFormat="1">
      <c r="A95" s="208">
        <v>2002</v>
      </c>
      <c r="C95" s="988" t="s">
        <v>832</v>
      </c>
      <c r="D95" s="988"/>
      <c r="E95" s="208">
        <f>365-E94</f>
        <v>365</v>
      </c>
      <c r="G95" s="123">
        <v>13</v>
      </c>
      <c r="H95" s="208">
        <v>6</v>
      </c>
      <c r="J95" s="134">
        <v>19</v>
      </c>
      <c r="K95" s="92">
        <f t="shared" si="7"/>
        <v>68.421052631578945</v>
      </c>
      <c r="L95" s="92">
        <f t="shared" si="7"/>
        <v>31.578947368421051</v>
      </c>
      <c r="M95" s="92">
        <f t="shared" si="7"/>
        <v>0</v>
      </c>
      <c r="N95" s="125">
        <f t="shared" si="5"/>
        <v>100</v>
      </c>
      <c r="O95" s="91">
        <v>24.2</v>
      </c>
      <c r="P95" s="92">
        <v>13.3</v>
      </c>
      <c r="Q95" s="92"/>
      <c r="R95" s="93">
        <f t="shared" si="6"/>
        <v>37.5</v>
      </c>
      <c r="S95" s="208">
        <v>5</v>
      </c>
      <c r="T95" s="81"/>
      <c r="V95" s="82" t="s">
        <v>271</v>
      </c>
      <c r="W95" s="208" t="s">
        <v>17</v>
      </c>
      <c r="X95" s="208" t="s">
        <v>18</v>
      </c>
      <c r="Y95" s="83">
        <v>13.3</v>
      </c>
      <c r="Z95" s="82" t="s">
        <v>491</v>
      </c>
      <c r="AA95" s="208" t="s">
        <v>74</v>
      </c>
      <c r="AB95" s="208" t="s">
        <v>11</v>
      </c>
      <c r="AC95" s="208">
        <v>23</v>
      </c>
      <c r="AD95" s="82" t="s">
        <v>414</v>
      </c>
      <c r="AE95" s="208" t="s">
        <v>22</v>
      </c>
      <c r="AF95" s="208" t="s">
        <v>11</v>
      </c>
      <c r="AG95" s="83">
        <v>1.2</v>
      </c>
      <c r="AH95" s="164"/>
      <c r="AL95" s="82"/>
      <c r="AO95" s="83"/>
      <c r="AP95" s="82"/>
      <c r="AS95" s="83"/>
      <c r="AW95" s="83"/>
      <c r="BA95" s="84"/>
    </row>
    <row r="96" spans="1:53" s="208" customFormat="1">
      <c r="A96" s="208">
        <v>2003</v>
      </c>
      <c r="C96" s="988" t="s">
        <v>832</v>
      </c>
      <c r="D96" s="988"/>
      <c r="E96" s="208">
        <v>0</v>
      </c>
      <c r="G96" s="123">
        <v>13</v>
      </c>
      <c r="H96" s="208">
        <v>6</v>
      </c>
      <c r="J96" s="134">
        <v>19</v>
      </c>
      <c r="K96" s="92">
        <f t="shared" si="7"/>
        <v>68.421052631578945</v>
      </c>
      <c r="L96" s="92">
        <f t="shared" si="7"/>
        <v>31.578947368421051</v>
      </c>
      <c r="M96" s="92">
        <f t="shared" si="7"/>
        <v>0</v>
      </c>
      <c r="N96" s="125">
        <f t="shared" si="5"/>
        <v>100</v>
      </c>
      <c r="O96" s="91">
        <v>24.2</v>
      </c>
      <c r="P96" s="92">
        <v>13.3</v>
      </c>
      <c r="Q96" s="92"/>
      <c r="R96" s="93">
        <f t="shared" si="6"/>
        <v>37.5</v>
      </c>
      <c r="S96" s="208">
        <v>5</v>
      </c>
      <c r="T96" s="81"/>
      <c r="V96" s="82" t="s">
        <v>271</v>
      </c>
      <c r="W96" s="208" t="s">
        <v>17</v>
      </c>
      <c r="X96" s="208" t="s">
        <v>18</v>
      </c>
      <c r="Y96" s="83">
        <v>13.3</v>
      </c>
      <c r="Z96" s="82" t="s">
        <v>491</v>
      </c>
      <c r="AA96" s="208" t="s">
        <v>74</v>
      </c>
      <c r="AB96" s="208" t="s">
        <v>11</v>
      </c>
      <c r="AC96" s="208">
        <v>23</v>
      </c>
      <c r="AD96" s="82" t="s">
        <v>414</v>
      </c>
      <c r="AE96" s="208" t="s">
        <v>22</v>
      </c>
      <c r="AF96" s="208" t="s">
        <v>11</v>
      </c>
      <c r="AG96" s="83">
        <v>1.2</v>
      </c>
      <c r="AH96" s="164"/>
      <c r="AL96" s="82"/>
      <c r="AO96" s="83"/>
      <c r="AP96" s="82"/>
      <c r="AS96" s="83"/>
      <c r="AW96" s="83"/>
      <c r="BA96" s="84"/>
    </row>
    <row r="97" spans="1:53" s="208" customFormat="1">
      <c r="A97" s="208">
        <v>2003</v>
      </c>
      <c r="C97" s="988" t="s">
        <v>832</v>
      </c>
      <c r="D97" s="988"/>
      <c r="E97" s="208">
        <f>365-E96</f>
        <v>365</v>
      </c>
      <c r="G97" s="123">
        <v>13</v>
      </c>
      <c r="H97" s="208">
        <v>6</v>
      </c>
      <c r="J97" s="134">
        <v>19</v>
      </c>
      <c r="K97" s="92">
        <f t="shared" si="7"/>
        <v>68.421052631578945</v>
      </c>
      <c r="L97" s="92">
        <f t="shared" si="7"/>
        <v>31.578947368421051</v>
      </c>
      <c r="M97" s="92">
        <f t="shared" si="7"/>
        <v>0</v>
      </c>
      <c r="N97" s="125">
        <f t="shared" si="5"/>
        <v>100</v>
      </c>
      <c r="O97" s="91">
        <v>24.2</v>
      </c>
      <c r="P97" s="92">
        <v>13.3</v>
      </c>
      <c r="Q97" s="92"/>
      <c r="R97" s="93">
        <f t="shared" si="6"/>
        <v>37.5</v>
      </c>
      <c r="S97" s="208">
        <v>5</v>
      </c>
      <c r="T97" s="81"/>
      <c r="V97" s="82" t="s">
        <v>271</v>
      </c>
      <c r="W97" s="208" t="s">
        <v>17</v>
      </c>
      <c r="X97" s="208" t="s">
        <v>18</v>
      </c>
      <c r="Y97" s="83">
        <v>13.3</v>
      </c>
      <c r="Z97" s="82" t="s">
        <v>491</v>
      </c>
      <c r="AA97" s="208" t="s">
        <v>74</v>
      </c>
      <c r="AB97" s="208" t="s">
        <v>11</v>
      </c>
      <c r="AC97" s="208">
        <v>23</v>
      </c>
      <c r="AD97" s="82" t="s">
        <v>414</v>
      </c>
      <c r="AE97" s="208" t="s">
        <v>22</v>
      </c>
      <c r="AF97" s="208" t="s">
        <v>11</v>
      </c>
      <c r="AG97" s="83">
        <v>1.2</v>
      </c>
      <c r="AH97" s="164"/>
      <c r="AL97" s="82"/>
      <c r="AO97" s="83"/>
      <c r="AP97" s="82"/>
      <c r="AS97" s="83"/>
      <c r="AW97" s="83"/>
      <c r="BA97" s="84"/>
    </row>
    <row r="98" spans="1:53" s="208" customFormat="1">
      <c r="A98" s="208">
        <v>2004</v>
      </c>
      <c r="C98" s="988" t="s">
        <v>832</v>
      </c>
      <c r="D98" s="988"/>
      <c r="E98" s="208">
        <v>0</v>
      </c>
      <c r="G98" s="123">
        <v>13</v>
      </c>
      <c r="H98" s="208">
        <v>6</v>
      </c>
      <c r="J98" s="134">
        <v>19</v>
      </c>
      <c r="K98" s="92">
        <f t="shared" si="7"/>
        <v>68.421052631578945</v>
      </c>
      <c r="L98" s="92">
        <f t="shared" si="7"/>
        <v>31.578947368421051</v>
      </c>
      <c r="M98" s="92">
        <f t="shared" si="7"/>
        <v>0</v>
      </c>
      <c r="N98" s="125">
        <f t="shared" si="5"/>
        <v>100</v>
      </c>
      <c r="O98" s="91">
        <v>24.2</v>
      </c>
      <c r="P98" s="92">
        <v>13.3</v>
      </c>
      <c r="Q98" s="92"/>
      <c r="R98" s="93">
        <f t="shared" si="6"/>
        <v>37.5</v>
      </c>
      <c r="S98" s="208">
        <v>5</v>
      </c>
      <c r="T98" s="81"/>
      <c r="V98" s="82" t="s">
        <v>271</v>
      </c>
      <c r="W98" s="208" t="s">
        <v>17</v>
      </c>
      <c r="X98" s="208" t="s">
        <v>18</v>
      </c>
      <c r="Y98" s="83">
        <v>13.3</v>
      </c>
      <c r="Z98" s="82" t="s">
        <v>491</v>
      </c>
      <c r="AA98" s="208" t="s">
        <v>74</v>
      </c>
      <c r="AB98" s="208" t="s">
        <v>11</v>
      </c>
      <c r="AC98" s="208">
        <v>23</v>
      </c>
      <c r="AD98" s="82" t="s">
        <v>414</v>
      </c>
      <c r="AE98" s="208" t="s">
        <v>22</v>
      </c>
      <c r="AF98" s="208" t="s">
        <v>11</v>
      </c>
      <c r="AG98" s="83">
        <v>1.2</v>
      </c>
      <c r="AH98" s="164"/>
      <c r="AL98" s="82"/>
      <c r="AO98" s="83"/>
      <c r="AP98" s="82"/>
      <c r="AS98" s="83"/>
      <c r="AW98" s="83"/>
      <c r="BA98" s="84"/>
    </row>
    <row r="99" spans="1:53" s="208" customFormat="1">
      <c r="A99" s="208">
        <v>2004</v>
      </c>
      <c r="C99" s="988" t="s">
        <v>832</v>
      </c>
      <c r="D99" s="988"/>
      <c r="E99" s="208">
        <v>366</v>
      </c>
      <c r="G99" s="123">
        <v>13</v>
      </c>
      <c r="H99" s="208">
        <v>6</v>
      </c>
      <c r="J99" s="134">
        <v>19</v>
      </c>
      <c r="K99" s="92">
        <f t="shared" si="7"/>
        <v>68.421052631578945</v>
      </c>
      <c r="L99" s="92">
        <f t="shared" si="7"/>
        <v>31.578947368421051</v>
      </c>
      <c r="M99" s="92">
        <f t="shared" si="7"/>
        <v>0</v>
      </c>
      <c r="N99" s="125">
        <f t="shared" si="5"/>
        <v>100</v>
      </c>
      <c r="O99" s="91">
        <v>24.2</v>
      </c>
      <c r="P99" s="92">
        <v>13.3</v>
      </c>
      <c r="Q99" s="92"/>
      <c r="R99" s="93">
        <f t="shared" si="6"/>
        <v>37.5</v>
      </c>
      <c r="S99" s="208">
        <v>5</v>
      </c>
      <c r="T99" s="81"/>
      <c r="V99" s="82" t="s">
        <v>271</v>
      </c>
      <c r="W99" s="208" t="s">
        <v>17</v>
      </c>
      <c r="X99" s="208" t="s">
        <v>18</v>
      </c>
      <c r="Y99" s="83">
        <v>13.3</v>
      </c>
      <c r="Z99" s="82" t="s">
        <v>491</v>
      </c>
      <c r="AA99" s="208" t="s">
        <v>74</v>
      </c>
      <c r="AB99" s="208" t="s">
        <v>11</v>
      </c>
      <c r="AC99" s="208">
        <v>23</v>
      </c>
      <c r="AD99" s="82" t="s">
        <v>414</v>
      </c>
      <c r="AE99" s="208" t="s">
        <v>22</v>
      </c>
      <c r="AF99" s="208" t="s">
        <v>11</v>
      </c>
      <c r="AG99" s="83">
        <v>1.2</v>
      </c>
      <c r="AH99" s="164"/>
      <c r="AL99" s="82"/>
      <c r="AO99" s="83"/>
      <c r="AP99" s="82"/>
      <c r="AS99" s="83"/>
      <c r="AW99" s="83"/>
      <c r="BA99" s="84"/>
    </row>
    <row r="100" spans="1:53" s="208" customFormat="1">
      <c r="A100" s="208">
        <v>2005</v>
      </c>
      <c r="C100" s="988" t="s">
        <v>832</v>
      </c>
      <c r="D100" s="988"/>
      <c r="E100" s="208">
        <f>365-E101</f>
        <v>289</v>
      </c>
      <c r="G100" s="123">
        <v>13</v>
      </c>
      <c r="H100" s="208">
        <v>6</v>
      </c>
      <c r="J100" s="134">
        <v>19</v>
      </c>
      <c r="K100" s="92">
        <f t="shared" si="7"/>
        <v>68.421052631578945</v>
      </c>
      <c r="L100" s="92">
        <f t="shared" si="7"/>
        <v>31.578947368421051</v>
      </c>
      <c r="M100" s="92">
        <f t="shared" si="7"/>
        <v>0</v>
      </c>
      <c r="N100" s="125">
        <f t="shared" si="5"/>
        <v>100</v>
      </c>
      <c r="O100" s="91">
        <v>24.2</v>
      </c>
      <c r="P100" s="92">
        <v>13.3</v>
      </c>
      <c r="Q100" s="92"/>
      <c r="R100" s="93">
        <f t="shared" si="6"/>
        <v>37.5</v>
      </c>
      <c r="S100" s="208">
        <v>5</v>
      </c>
      <c r="T100" s="81"/>
      <c r="V100" s="82" t="s">
        <v>271</v>
      </c>
      <c r="W100" s="208" t="s">
        <v>17</v>
      </c>
      <c r="X100" s="208" t="s">
        <v>18</v>
      </c>
      <c r="Y100" s="83">
        <v>13.3</v>
      </c>
      <c r="Z100" s="82" t="s">
        <v>491</v>
      </c>
      <c r="AA100" s="208" t="s">
        <v>74</v>
      </c>
      <c r="AB100" s="208" t="s">
        <v>11</v>
      </c>
      <c r="AC100" s="208">
        <v>23</v>
      </c>
      <c r="AD100" s="82" t="s">
        <v>414</v>
      </c>
      <c r="AE100" s="208" t="s">
        <v>22</v>
      </c>
      <c r="AF100" s="208" t="s">
        <v>11</v>
      </c>
      <c r="AG100" s="83">
        <v>1.2</v>
      </c>
      <c r="AH100" s="164"/>
      <c r="AL100" s="82"/>
      <c r="AO100" s="83"/>
      <c r="AP100" s="82"/>
      <c r="AS100" s="83"/>
      <c r="AW100" s="83"/>
      <c r="BA100" s="84"/>
    </row>
    <row r="101" spans="1:53" s="334" customFormat="1">
      <c r="A101" s="334">
        <v>2005</v>
      </c>
      <c r="B101" s="355">
        <v>38642</v>
      </c>
      <c r="C101" s="992" t="s">
        <v>830</v>
      </c>
      <c r="D101" s="992"/>
      <c r="E101" s="334">
        <v>76</v>
      </c>
      <c r="F101" s="334">
        <v>1</v>
      </c>
      <c r="G101" s="419"/>
      <c r="H101" s="334">
        <v>4</v>
      </c>
      <c r="I101" s="334">
        <v>15</v>
      </c>
      <c r="J101" s="435">
        <v>19</v>
      </c>
      <c r="K101" s="384">
        <f t="shared" si="7"/>
        <v>0</v>
      </c>
      <c r="L101" s="384">
        <f t="shared" si="7"/>
        <v>21.052631578947366</v>
      </c>
      <c r="M101" s="384">
        <f t="shared" si="7"/>
        <v>78.94736842105263</v>
      </c>
      <c r="N101" s="421">
        <f t="shared" si="5"/>
        <v>100</v>
      </c>
      <c r="O101" s="383"/>
      <c r="P101" s="384">
        <v>6.5</v>
      </c>
      <c r="Q101" s="384">
        <v>45</v>
      </c>
      <c r="R101" s="385">
        <f t="shared" si="6"/>
        <v>51.5</v>
      </c>
      <c r="S101" s="334">
        <v>2</v>
      </c>
      <c r="T101" s="342">
        <v>38607</v>
      </c>
      <c r="U101" s="355">
        <v>38642</v>
      </c>
      <c r="V101" s="343" t="s">
        <v>490</v>
      </c>
      <c r="W101" s="334" t="s">
        <v>20</v>
      </c>
      <c r="X101" s="334" t="s">
        <v>12</v>
      </c>
      <c r="Y101" s="344">
        <v>36.1</v>
      </c>
      <c r="Z101" s="343" t="s">
        <v>84</v>
      </c>
      <c r="AA101" s="334" t="s">
        <v>75</v>
      </c>
      <c r="AB101" s="334" t="s">
        <v>18</v>
      </c>
      <c r="AC101" s="334">
        <v>6.5</v>
      </c>
      <c r="AD101" s="343" t="s">
        <v>492</v>
      </c>
      <c r="AE101" s="334" t="s">
        <v>116</v>
      </c>
      <c r="AF101" s="334" t="s">
        <v>12</v>
      </c>
      <c r="AG101" s="344">
        <v>8.9</v>
      </c>
      <c r="AH101" s="452"/>
      <c r="AL101" s="343"/>
      <c r="AO101" s="344"/>
      <c r="AP101" s="343"/>
      <c r="AS101" s="344"/>
      <c r="AW101" s="344"/>
      <c r="BA101" s="345"/>
    </row>
    <row r="102" spans="1:53" s="334" customFormat="1">
      <c r="A102" s="334">
        <v>2006</v>
      </c>
      <c r="C102" s="992" t="s">
        <v>830</v>
      </c>
      <c r="D102" s="992"/>
      <c r="E102" s="334">
        <v>0</v>
      </c>
      <c r="G102" s="419"/>
      <c r="H102" s="334">
        <v>4</v>
      </c>
      <c r="I102" s="334">
        <v>15</v>
      </c>
      <c r="J102" s="435">
        <v>19</v>
      </c>
      <c r="K102" s="384">
        <f t="shared" si="7"/>
        <v>0</v>
      </c>
      <c r="L102" s="384">
        <f t="shared" si="7"/>
        <v>21.052631578947366</v>
      </c>
      <c r="M102" s="384">
        <f t="shared" si="7"/>
        <v>78.94736842105263</v>
      </c>
      <c r="N102" s="421">
        <f t="shared" si="5"/>
        <v>100</v>
      </c>
      <c r="O102" s="383"/>
      <c r="P102" s="384">
        <v>6.5</v>
      </c>
      <c r="Q102" s="384">
        <v>45</v>
      </c>
      <c r="R102" s="385">
        <f t="shared" si="6"/>
        <v>51.5</v>
      </c>
      <c r="S102" s="334">
        <v>2</v>
      </c>
      <c r="T102" s="357"/>
      <c r="V102" s="343" t="s">
        <v>490</v>
      </c>
      <c r="W102" s="334" t="s">
        <v>20</v>
      </c>
      <c r="X102" s="334" t="s">
        <v>12</v>
      </c>
      <c r="Y102" s="344">
        <v>36.1</v>
      </c>
      <c r="Z102" s="343" t="s">
        <v>84</v>
      </c>
      <c r="AA102" s="334" t="s">
        <v>75</v>
      </c>
      <c r="AB102" s="334" t="s">
        <v>18</v>
      </c>
      <c r="AC102" s="334">
        <v>6.5</v>
      </c>
      <c r="AD102" s="343" t="s">
        <v>492</v>
      </c>
      <c r="AE102" s="334" t="s">
        <v>116</v>
      </c>
      <c r="AF102" s="334" t="s">
        <v>12</v>
      </c>
      <c r="AG102" s="344">
        <v>8.9</v>
      </c>
      <c r="AH102" s="452"/>
      <c r="AL102" s="343"/>
      <c r="AO102" s="344"/>
      <c r="AP102" s="343"/>
      <c r="AS102" s="344"/>
      <c r="AW102" s="344"/>
      <c r="BA102" s="345"/>
    </row>
    <row r="103" spans="1:53" s="334" customFormat="1">
      <c r="A103" s="334">
        <v>2006</v>
      </c>
      <c r="C103" s="992" t="s">
        <v>830</v>
      </c>
      <c r="D103" s="992"/>
      <c r="E103" s="334">
        <v>365</v>
      </c>
      <c r="G103" s="419"/>
      <c r="H103" s="334">
        <v>4</v>
      </c>
      <c r="I103" s="334">
        <v>15</v>
      </c>
      <c r="J103" s="435">
        <v>19</v>
      </c>
      <c r="K103" s="384">
        <f t="shared" si="7"/>
        <v>0</v>
      </c>
      <c r="L103" s="384">
        <f t="shared" si="7"/>
        <v>21.052631578947366</v>
      </c>
      <c r="M103" s="384">
        <f t="shared" si="7"/>
        <v>78.94736842105263</v>
      </c>
      <c r="N103" s="421">
        <f t="shared" si="5"/>
        <v>100</v>
      </c>
      <c r="O103" s="383"/>
      <c r="P103" s="384">
        <v>6.5</v>
      </c>
      <c r="Q103" s="384">
        <v>45</v>
      </c>
      <c r="R103" s="385">
        <f t="shared" si="6"/>
        <v>51.5</v>
      </c>
      <c r="S103" s="334">
        <v>2</v>
      </c>
      <c r="T103" s="357"/>
      <c r="V103" s="343" t="s">
        <v>490</v>
      </c>
      <c r="W103" s="334" t="s">
        <v>20</v>
      </c>
      <c r="X103" s="334" t="s">
        <v>12</v>
      </c>
      <c r="Y103" s="344">
        <v>36.1</v>
      </c>
      <c r="Z103" s="343" t="s">
        <v>84</v>
      </c>
      <c r="AA103" s="334" t="s">
        <v>75</v>
      </c>
      <c r="AB103" s="334" t="s">
        <v>18</v>
      </c>
      <c r="AC103" s="334">
        <v>6.5</v>
      </c>
      <c r="AD103" s="343" t="s">
        <v>492</v>
      </c>
      <c r="AE103" s="334" t="s">
        <v>116</v>
      </c>
      <c r="AF103" s="334" t="s">
        <v>12</v>
      </c>
      <c r="AG103" s="344">
        <v>8.9</v>
      </c>
      <c r="AH103" s="452"/>
      <c r="AL103" s="343"/>
      <c r="AO103" s="344"/>
      <c r="AP103" s="343"/>
      <c r="AS103" s="344"/>
      <c r="AW103" s="344"/>
      <c r="BA103" s="345"/>
    </row>
    <row r="104" spans="1:53" s="334" customFormat="1">
      <c r="A104" s="334">
        <v>2007</v>
      </c>
      <c r="C104" s="992" t="s">
        <v>830</v>
      </c>
      <c r="D104" s="992"/>
      <c r="E104" s="334">
        <v>0</v>
      </c>
      <c r="G104" s="419"/>
      <c r="H104" s="334">
        <v>4</v>
      </c>
      <c r="I104" s="334">
        <v>15</v>
      </c>
      <c r="J104" s="435">
        <v>19</v>
      </c>
      <c r="K104" s="384">
        <f t="shared" si="7"/>
        <v>0</v>
      </c>
      <c r="L104" s="384">
        <f t="shared" si="7"/>
        <v>21.052631578947366</v>
      </c>
      <c r="M104" s="384">
        <f t="shared" si="7"/>
        <v>78.94736842105263</v>
      </c>
      <c r="N104" s="421">
        <f t="shared" si="5"/>
        <v>100</v>
      </c>
      <c r="O104" s="383"/>
      <c r="P104" s="384">
        <v>6.5</v>
      </c>
      <c r="Q104" s="384">
        <v>45</v>
      </c>
      <c r="R104" s="385">
        <f t="shared" si="6"/>
        <v>51.5</v>
      </c>
      <c r="S104" s="334">
        <v>2</v>
      </c>
      <c r="T104" s="357"/>
      <c r="V104" s="343" t="s">
        <v>490</v>
      </c>
      <c r="W104" s="334" t="s">
        <v>20</v>
      </c>
      <c r="X104" s="334" t="s">
        <v>12</v>
      </c>
      <c r="Y104" s="344">
        <v>36.1</v>
      </c>
      <c r="Z104" s="343" t="s">
        <v>84</v>
      </c>
      <c r="AA104" s="334" t="s">
        <v>75</v>
      </c>
      <c r="AB104" s="334" t="s">
        <v>18</v>
      </c>
      <c r="AC104" s="334">
        <v>6.5</v>
      </c>
      <c r="AD104" s="343" t="s">
        <v>492</v>
      </c>
      <c r="AE104" s="334" t="s">
        <v>116</v>
      </c>
      <c r="AF104" s="334" t="s">
        <v>12</v>
      </c>
      <c r="AG104" s="344">
        <v>8.9</v>
      </c>
      <c r="AH104" s="452"/>
      <c r="AL104" s="343"/>
      <c r="AO104" s="344"/>
      <c r="AP104" s="343"/>
      <c r="AS104" s="344"/>
      <c r="AW104" s="344"/>
      <c r="BA104" s="345"/>
    </row>
    <row r="105" spans="1:53" s="334" customFormat="1">
      <c r="A105" s="334">
        <v>2007</v>
      </c>
      <c r="C105" s="992" t="s">
        <v>830</v>
      </c>
      <c r="D105" s="992"/>
      <c r="E105" s="334">
        <v>365</v>
      </c>
      <c r="G105" s="419"/>
      <c r="H105" s="334">
        <v>4</v>
      </c>
      <c r="I105" s="334">
        <v>15</v>
      </c>
      <c r="J105" s="435">
        <v>19</v>
      </c>
      <c r="K105" s="384">
        <f t="shared" si="7"/>
        <v>0</v>
      </c>
      <c r="L105" s="384">
        <f t="shared" si="7"/>
        <v>21.052631578947366</v>
      </c>
      <c r="M105" s="384">
        <f t="shared" si="7"/>
        <v>78.94736842105263</v>
      </c>
      <c r="N105" s="421">
        <f t="shared" si="5"/>
        <v>100</v>
      </c>
      <c r="O105" s="383"/>
      <c r="P105" s="384">
        <v>6.5</v>
      </c>
      <c r="Q105" s="384">
        <v>45</v>
      </c>
      <c r="R105" s="385">
        <f t="shared" si="6"/>
        <v>51.5</v>
      </c>
      <c r="S105" s="334">
        <v>2</v>
      </c>
      <c r="T105" s="357"/>
      <c r="V105" s="343" t="s">
        <v>490</v>
      </c>
      <c r="W105" s="334" t="s">
        <v>20</v>
      </c>
      <c r="X105" s="334" t="s">
        <v>12</v>
      </c>
      <c r="Y105" s="344">
        <v>36.1</v>
      </c>
      <c r="Z105" s="343" t="s">
        <v>84</v>
      </c>
      <c r="AA105" s="334" t="s">
        <v>75</v>
      </c>
      <c r="AB105" s="334" t="s">
        <v>18</v>
      </c>
      <c r="AC105" s="334">
        <v>6.5</v>
      </c>
      <c r="AD105" s="343" t="s">
        <v>492</v>
      </c>
      <c r="AE105" s="334" t="s">
        <v>116</v>
      </c>
      <c r="AF105" s="334" t="s">
        <v>12</v>
      </c>
      <c r="AG105" s="344">
        <v>8.9</v>
      </c>
      <c r="AH105" s="452"/>
      <c r="AL105" s="343"/>
      <c r="AO105" s="344"/>
      <c r="AP105" s="343"/>
      <c r="AS105" s="344"/>
      <c r="AW105" s="344"/>
      <c r="BA105" s="345"/>
    </row>
    <row r="106" spans="1:53" s="334" customFormat="1">
      <c r="A106" s="334">
        <v>2008</v>
      </c>
      <c r="C106" s="992" t="s">
        <v>830</v>
      </c>
      <c r="D106" s="992"/>
      <c r="E106" s="334">
        <v>0</v>
      </c>
      <c r="G106" s="419"/>
      <c r="H106" s="334">
        <v>4</v>
      </c>
      <c r="I106" s="334">
        <v>15</v>
      </c>
      <c r="J106" s="435">
        <v>19</v>
      </c>
      <c r="K106" s="384">
        <f t="shared" si="7"/>
        <v>0</v>
      </c>
      <c r="L106" s="384">
        <f t="shared" si="7"/>
        <v>21.052631578947366</v>
      </c>
      <c r="M106" s="384">
        <f t="shared" si="7"/>
        <v>78.94736842105263</v>
      </c>
      <c r="N106" s="421">
        <f t="shared" si="5"/>
        <v>100</v>
      </c>
      <c r="O106" s="383"/>
      <c r="P106" s="384">
        <v>6.5</v>
      </c>
      <c r="Q106" s="384">
        <v>45</v>
      </c>
      <c r="R106" s="385">
        <f t="shared" si="6"/>
        <v>51.5</v>
      </c>
      <c r="S106" s="334">
        <v>2</v>
      </c>
      <c r="T106" s="357"/>
      <c r="V106" s="343" t="s">
        <v>490</v>
      </c>
      <c r="W106" s="334" t="s">
        <v>20</v>
      </c>
      <c r="X106" s="334" t="s">
        <v>12</v>
      </c>
      <c r="Y106" s="344">
        <v>36.1</v>
      </c>
      <c r="Z106" s="343" t="s">
        <v>84</v>
      </c>
      <c r="AA106" s="334" t="s">
        <v>75</v>
      </c>
      <c r="AB106" s="334" t="s">
        <v>18</v>
      </c>
      <c r="AC106" s="334">
        <v>6.5</v>
      </c>
      <c r="AD106" s="343" t="s">
        <v>492</v>
      </c>
      <c r="AE106" s="334" t="s">
        <v>116</v>
      </c>
      <c r="AF106" s="334" t="s">
        <v>12</v>
      </c>
      <c r="AG106" s="344">
        <v>8.9</v>
      </c>
      <c r="AH106" s="452"/>
      <c r="AL106" s="343"/>
      <c r="AO106" s="344"/>
      <c r="AP106" s="343"/>
      <c r="AS106" s="344"/>
      <c r="AW106" s="344"/>
      <c r="BA106" s="345"/>
    </row>
    <row r="107" spans="1:53" s="334" customFormat="1">
      <c r="A107" s="334">
        <v>2008</v>
      </c>
      <c r="C107" s="992" t="s">
        <v>830</v>
      </c>
      <c r="D107" s="992"/>
      <c r="E107" s="334">
        <v>366</v>
      </c>
      <c r="G107" s="419"/>
      <c r="H107" s="334">
        <v>4</v>
      </c>
      <c r="I107" s="334">
        <v>15</v>
      </c>
      <c r="J107" s="435">
        <v>19</v>
      </c>
      <c r="K107" s="384">
        <f t="shared" si="7"/>
        <v>0</v>
      </c>
      <c r="L107" s="384">
        <f t="shared" si="7"/>
        <v>21.052631578947366</v>
      </c>
      <c r="M107" s="384">
        <f t="shared" si="7"/>
        <v>78.94736842105263</v>
      </c>
      <c r="N107" s="421">
        <f t="shared" si="5"/>
        <v>100</v>
      </c>
      <c r="O107" s="383"/>
      <c r="P107" s="384">
        <v>6.5</v>
      </c>
      <c r="Q107" s="384">
        <v>45</v>
      </c>
      <c r="R107" s="385">
        <f t="shared" si="6"/>
        <v>51.5</v>
      </c>
      <c r="S107" s="334">
        <v>2</v>
      </c>
      <c r="T107" s="357"/>
      <c r="V107" s="343" t="s">
        <v>490</v>
      </c>
      <c r="W107" s="334" t="s">
        <v>20</v>
      </c>
      <c r="X107" s="334" t="s">
        <v>12</v>
      </c>
      <c r="Y107" s="344">
        <v>36.1</v>
      </c>
      <c r="Z107" s="343" t="s">
        <v>84</v>
      </c>
      <c r="AA107" s="334" t="s">
        <v>75</v>
      </c>
      <c r="AB107" s="334" t="s">
        <v>18</v>
      </c>
      <c r="AC107" s="334">
        <v>6.5</v>
      </c>
      <c r="AD107" s="343" t="s">
        <v>492</v>
      </c>
      <c r="AE107" s="334" t="s">
        <v>116</v>
      </c>
      <c r="AF107" s="334" t="s">
        <v>12</v>
      </c>
      <c r="AG107" s="344">
        <v>8.9</v>
      </c>
      <c r="AH107" s="452"/>
      <c r="AL107" s="343"/>
      <c r="AO107" s="344"/>
      <c r="AP107" s="343"/>
      <c r="AS107" s="344"/>
      <c r="AW107" s="344"/>
      <c r="BA107" s="345"/>
    </row>
    <row r="108" spans="1:53" s="334" customFormat="1">
      <c r="A108" s="334">
        <v>2009</v>
      </c>
      <c r="C108" s="992" t="s">
        <v>830</v>
      </c>
      <c r="D108" s="992"/>
      <c r="E108" s="334">
        <v>292</v>
      </c>
      <c r="G108" s="419"/>
      <c r="H108" s="334">
        <v>4</v>
      </c>
      <c r="I108" s="334">
        <v>15</v>
      </c>
      <c r="J108" s="435">
        <v>19</v>
      </c>
      <c r="K108" s="384">
        <f t="shared" si="7"/>
        <v>0</v>
      </c>
      <c r="L108" s="384">
        <f t="shared" si="7"/>
        <v>21.052631578947366</v>
      </c>
      <c r="M108" s="384">
        <f t="shared" si="7"/>
        <v>78.94736842105263</v>
      </c>
      <c r="N108" s="421">
        <f t="shared" si="5"/>
        <v>100</v>
      </c>
      <c r="O108" s="383"/>
      <c r="P108" s="384">
        <v>6.5</v>
      </c>
      <c r="Q108" s="384">
        <v>45</v>
      </c>
      <c r="R108" s="385">
        <f t="shared" si="6"/>
        <v>51.5</v>
      </c>
      <c r="S108" s="334">
        <v>2</v>
      </c>
      <c r="T108" s="357"/>
      <c r="V108" s="343" t="s">
        <v>490</v>
      </c>
      <c r="W108" s="334" t="s">
        <v>20</v>
      </c>
      <c r="X108" s="334" t="s">
        <v>12</v>
      </c>
      <c r="Y108" s="344">
        <v>36.1</v>
      </c>
      <c r="Z108" s="343" t="s">
        <v>84</v>
      </c>
      <c r="AA108" s="334" t="s">
        <v>75</v>
      </c>
      <c r="AB108" s="334" t="s">
        <v>18</v>
      </c>
      <c r="AC108" s="334">
        <v>6.5</v>
      </c>
      <c r="AD108" s="343" t="s">
        <v>492</v>
      </c>
      <c r="AE108" s="334" t="s">
        <v>116</v>
      </c>
      <c r="AF108" s="334" t="s">
        <v>12</v>
      </c>
      <c r="AG108" s="344">
        <v>8.9</v>
      </c>
      <c r="AH108" s="452"/>
      <c r="AL108" s="343"/>
      <c r="AO108" s="344"/>
      <c r="AP108" s="343"/>
      <c r="AS108" s="344"/>
      <c r="AW108" s="344"/>
      <c r="BA108" s="345"/>
    </row>
    <row r="109" spans="1:53" s="208" customFormat="1">
      <c r="A109" s="208">
        <v>2009</v>
      </c>
      <c r="B109" s="207">
        <v>40106</v>
      </c>
      <c r="C109" s="988" t="s">
        <v>831</v>
      </c>
      <c r="D109" s="988"/>
      <c r="E109" s="208">
        <v>73</v>
      </c>
      <c r="F109" s="208">
        <v>1</v>
      </c>
      <c r="G109" s="123"/>
      <c r="H109" s="208">
        <v>4</v>
      </c>
      <c r="I109" s="208">
        <v>16</v>
      </c>
      <c r="J109" s="134">
        <v>20</v>
      </c>
      <c r="K109" s="92">
        <f t="shared" si="7"/>
        <v>0</v>
      </c>
      <c r="L109" s="92">
        <f t="shared" si="7"/>
        <v>20</v>
      </c>
      <c r="M109" s="92">
        <f t="shared" si="7"/>
        <v>80</v>
      </c>
      <c r="N109" s="125">
        <f t="shared" si="5"/>
        <v>100</v>
      </c>
      <c r="O109" s="91"/>
      <c r="P109" s="92">
        <v>6.5</v>
      </c>
      <c r="Q109" s="92">
        <v>44.4</v>
      </c>
      <c r="R109" s="93">
        <f t="shared" si="6"/>
        <v>50.9</v>
      </c>
      <c r="S109" s="208">
        <v>2</v>
      </c>
      <c r="T109" s="95">
        <v>40070</v>
      </c>
      <c r="U109" s="207">
        <v>40106</v>
      </c>
      <c r="V109" s="82" t="s">
        <v>490</v>
      </c>
      <c r="W109" s="208" t="s">
        <v>20</v>
      </c>
      <c r="X109" s="208" t="s">
        <v>12</v>
      </c>
      <c r="Y109" s="83">
        <v>37.9</v>
      </c>
      <c r="Z109" s="82" t="s">
        <v>84</v>
      </c>
      <c r="AA109" s="208" t="s">
        <v>75</v>
      </c>
      <c r="AB109" s="208" t="s">
        <v>18</v>
      </c>
      <c r="AC109" s="208">
        <v>6.5</v>
      </c>
      <c r="AD109" s="82" t="s">
        <v>492</v>
      </c>
      <c r="AE109" s="208" t="s">
        <v>116</v>
      </c>
      <c r="AF109" s="208" t="s">
        <v>12</v>
      </c>
      <c r="AG109" s="83">
        <v>6.5</v>
      </c>
      <c r="AH109" s="164"/>
      <c r="AL109" s="82"/>
      <c r="AO109" s="83"/>
      <c r="AP109" s="82"/>
      <c r="AS109" s="83"/>
      <c r="AW109" s="83"/>
      <c r="BA109" s="84"/>
    </row>
    <row r="110" spans="1:53" s="208" customFormat="1">
      <c r="A110" s="208">
        <v>2010</v>
      </c>
      <c r="C110" s="988" t="s">
        <v>831</v>
      </c>
      <c r="D110" s="988"/>
      <c r="E110" s="208">
        <v>0</v>
      </c>
      <c r="G110" s="123"/>
      <c r="H110" s="208">
        <v>4</v>
      </c>
      <c r="I110" s="208">
        <v>16</v>
      </c>
      <c r="J110" s="134">
        <v>20</v>
      </c>
      <c r="K110" s="92">
        <f t="shared" si="7"/>
        <v>0</v>
      </c>
      <c r="L110" s="92">
        <f t="shared" si="7"/>
        <v>20</v>
      </c>
      <c r="M110" s="92">
        <f t="shared" si="7"/>
        <v>80</v>
      </c>
      <c r="N110" s="125">
        <f t="shared" si="5"/>
        <v>100</v>
      </c>
      <c r="O110" s="91"/>
      <c r="P110" s="92">
        <v>6.5</v>
      </c>
      <c r="Q110" s="92">
        <v>44.4</v>
      </c>
      <c r="R110" s="93">
        <f t="shared" si="6"/>
        <v>50.9</v>
      </c>
      <c r="S110" s="208">
        <v>2</v>
      </c>
      <c r="T110" s="81"/>
      <c r="V110" s="82" t="s">
        <v>490</v>
      </c>
      <c r="W110" s="208" t="s">
        <v>20</v>
      </c>
      <c r="X110" s="208" t="s">
        <v>12</v>
      </c>
      <c r="Y110" s="83">
        <v>37.9</v>
      </c>
      <c r="Z110" s="82" t="s">
        <v>84</v>
      </c>
      <c r="AA110" s="208" t="s">
        <v>75</v>
      </c>
      <c r="AB110" s="208" t="s">
        <v>18</v>
      </c>
      <c r="AC110" s="208">
        <v>6.5</v>
      </c>
      <c r="AD110" s="82" t="s">
        <v>492</v>
      </c>
      <c r="AE110" s="208" t="s">
        <v>116</v>
      </c>
      <c r="AF110" s="208" t="s">
        <v>12</v>
      </c>
      <c r="AG110" s="83">
        <v>6.5</v>
      </c>
      <c r="AH110" s="164"/>
      <c r="AL110" s="82"/>
      <c r="AO110" s="83"/>
      <c r="AP110" s="82"/>
      <c r="AS110" s="83"/>
      <c r="AW110" s="83"/>
      <c r="BA110" s="84"/>
    </row>
    <row r="111" spans="1:53" s="208" customFormat="1">
      <c r="A111" s="208">
        <v>2010</v>
      </c>
      <c r="C111" s="988" t="s">
        <v>831</v>
      </c>
      <c r="D111" s="988"/>
      <c r="E111" s="208">
        <v>365</v>
      </c>
      <c r="G111" s="123"/>
      <c r="H111" s="208">
        <v>4</v>
      </c>
      <c r="I111" s="208">
        <v>16</v>
      </c>
      <c r="J111" s="134">
        <v>20</v>
      </c>
      <c r="K111" s="92">
        <f t="shared" si="7"/>
        <v>0</v>
      </c>
      <c r="L111" s="92">
        <f t="shared" si="7"/>
        <v>20</v>
      </c>
      <c r="M111" s="92">
        <f t="shared" si="7"/>
        <v>80</v>
      </c>
      <c r="N111" s="125">
        <f t="shared" si="5"/>
        <v>100</v>
      </c>
      <c r="O111" s="91"/>
      <c r="P111" s="92">
        <v>6.5</v>
      </c>
      <c r="Q111" s="92">
        <v>44.4</v>
      </c>
      <c r="R111" s="93">
        <f t="shared" si="6"/>
        <v>50.9</v>
      </c>
      <c r="S111" s="208">
        <v>2</v>
      </c>
      <c r="T111" s="81"/>
      <c r="V111" s="82" t="s">
        <v>490</v>
      </c>
      <c r="W111" s="208" t="s">
        <v>20</v>
      </c>
      <c r="X111" s="208" t="s">
        <v>12</v>
      </c>
      <c r="Y111" s="83">
        <v>37.9</v>
      </c>
      <c r="Z111" s="82" t="s">
        <v>84</v>
      </c>
      <c r="AA111" s="208" t="s">
        <v>75</v>
      </c>
      <c r="AB111" s="208" t="s">
        <v>18</v>
      </c>
      <c r="AC111" s="208">
        <v>6.5</v>
      </c>
      <c r="AD111" s="82" t="s">
        <v>492</v>
      </c>
      <c r="AE111" s="208" t="s">
        <v>116</v>
      </c>
      <c r="AF111" s="208" t="s">
        <v>12</v>
      </c>
      <c r="AG111" s="83">
        <v>6.5</v>
      </c>
      <c r="AH111" s="164"/>
      <c r="AL111" s="82"/>
      <c r="AO111" s="83"/>
      <c r="AP111" s="82"/>
      <c r="AS111" s="83"/>
      <c r="AW111" s="83"/>
      <c r="BA111" s="84"/>
    </row>
    <row r="112" spans="1:53" s="208" customFormat="1">
      <c r="A112" s="208">
        <v>2011</v>
      </c>
      <c r="C112" s="988" t="s">
        <v>831</v>
      </c>
      <c r="D112" s="988"/>
      <c r="E112" s="208">
        <v>0</v>
      </c>
      <c r="G112" s="123"/>
      <c r="H112" s="208">
        <v>4</v>
      </c>
      <c r="I112" s="208">
        <v>16</v>
      </c>
      <c r="J112" s="134">
        <v>20</v>
      </c>
      <c r="K112" s="92">
        <f t="shared" si="7"/>
        <v>0</v>
      </c>
      <c r="L112" s="92">
        <f t="shared" si="7"/>
        <v>20</v>
      </c>
      <c r="M112" s="92">
        <f t="shared" si="7"/>
        <v>80</v>
      </c>
      <c r="N112" s="125">
        <f t="shared" si="5"/>
        <v>100</v>
      </c>
      <c r="O112" s="91"/>
      <c r="P112" s="92">
        <v>6.5</v>
      </c>
      <c r="Q112" s="92">
        <v>44.4</v>
      </c>
      <c r="R112" s="93">
        <f t="shared" si="6"/>
        <v>50.9</v>
      </c>
      <c r="S112" s="208">
        <v>2</v>
      </c>
      <c r="T112" s="81"/>
      <c r="V112" s="82" t="s">
        <v>490</v>
      </c>
      <c r="W112" s="208" t="s">
        <v>20</v>
      </c>
      <c r="X112" s="208" t="s">
        <v>12</v>
      </c>
      <c r="Y112" s="83">
        <v>37.9</v>
      </c>
      <c r="Z112" s="82" t="s">
        <v>84</v>
      </c>
      <c r="AA112" s="208" t="s">
        <v>75</v>
      </c>
      <c r="AB112" s="208" t="s">
        <v>18</v>
      </c>
      <c r="AC112" s="208">
        <v>6.5</v>
      </c>
      <c r="AD112" s="82" t="s">
        <v>492</v>
      </c>
      <c r="AE112" s="208" t="s">
        <v>116</v>
      </c>
      <c r="AF112" s="208" t="s">
        <v>12</v>
      </c>
      <c r="AG112" s="83">
        <v>6.5</v>
      </c>
      <c r="AH112" s="164"/>
      <c r="AL112" s="82"/>
      <c r="AO112" s="83"/>
      <c r="AP112" s="82"/>
      <c r="AS112" s="83"/>
      <c r="AW112" s="83"/>
      <c r="BA112" s="84"/>
    </row>
    <row r="113" spans="1:53" s="208" customFormat="1">
      <c r="A113" s="208">
        <v>2011</v>
      </c>
      <c r="C113" s="988" t="s">
        <v>831</v>
      </c>
      <c r="D113" s="988"/>
      <c r="E113" s="208">
        <v>365</v>
      </c>
      <c r="G113" s="123"/>
      <c r="H113" s="208">
        <v>4</v>
      </c>
      <c r="I113" s="208">
        <v>16</v>
      </c>
      <c r="J113" s="134">
        <v>20</v>
      </c>
      <c r="K113" s="92">
        <f t="shared" si="7"/>
        <v>0</v>
      </c>
      <c r="L113" s="92">
        <f t="shared" si="7"/>
        <v>20</v>
      </c>
      <c r="M113" s="92">
        <f t="shared" si="7"/>
        <v>80</v>
      </c>
      <c r="N113" s="125">
        <f t="shared" si="5"/>
        <v>100</v>
      </c>
      <c r="O113" s="91"/>
      <c r="P113" s="92">
        <v>6.5</v>
      </c>
      <c r="Q113" s="92">
        <v>44.4</v>
      </c>
      <c r="R113" s="93">
        <f t="shared" si="6"/>
        <v>50.9</v>
      </c>
      <c r="S113" s="208">
        <v>2</v>
      </c>
      <c r="T113" s="81"/>
      <c r="V113" s="82" t="s">
        <v>490</v>
      </c>
      <c r="W113" s="208" t="s">
        <v>20</v>
      </c>
      <c r="X113" s="208" t="s">
        <v>12</v>
      </c>
      <c r="Y113" s="83">
        <v>37.9</v>
      </c>
      <c r="Z113" s="82" t="s">
        <v>84</v>
      </c>
      <c r="AA113" s="208" t="s">
        <v>75</v>
      </c>
      <c r="AB113" s="208" t="s">
        <v>18</v>
      </c>
      <c r="AC113" s="208">
        <v>6.5</v>
      </c>
      <c r="AD113" s="82" t="s">
        <v>492</v>
      </c>
      <c r="AE113" s="208" t="s">
        <v>116</v>
      </c>
      <c r="AF113" s="208" t="s">
        <v>12</v>
      </c>
      <c r="AG113" s="83">
        <v>6.5</v>
      </c>
      <c r="AH113" s="164"/>
      <c r="AL113" s="82"/>
      <c r="AO113" s="83"/>
      <c r="AP113" s="82"/>
      <c r="AS113" s="83"/>
      <c r="AW113" s="83"/>
      <c r="BA113" s="84"/>
    </row>
    <row r="114" spans="1:53" s="208" customFormat="1">
      <c r="A114" s="208">
        <v>2012</v>
      </c>
      <c r="C114" s="988" t="s">
        <v>831</v>
      </c>
      <c r="D114" s="988"/>
      <c r="E114" s="208">
        <v>0</v>
      </c>
      <c r="G114" s="123"/>
      <c r="H114" s="208">
        <v>4</v>
      </c>
      <c r="I114" s="208">
        <v>16</v>
      </c>
      <c r="J114" s="134">
        <v>20</v>
      </c>
      <c r="K114" s="92">
        <f t="shared" si="7"/>
        <v>0</v>
      </c>
      <c r="L114" s="92">
        <f t="shared" si="7"/>
        <v>20</v>
      </c>
      <c r="M114" s="92">
        <f t="shared" si="7"/>
        <v>80</v>
      </c>
      <c r="N114" s="125">
        <f t="shared" si="5"/>
        <v>100</v>
      </c>
      <c r="O114" s="91"/>
      <c r="P114" s="92">
        <v>6.5</v>
      </c>
      <c r="Q114" s="92">
        <v>44.4</v>
      </c>
      <c r="R114" s="93">
        <f t="shared" si="6"/>
        <v>50.9</v>
      </c>
      <c r="S114" s="208">
        <v>2</v>
      </c>
      <c r="T114" s="81"/>
      <c r="V114" s="82" t="s">
        <v>490</v>
      </c>
      <c r="W114" s="208" t="s">
        <v>20</v>
      </c>
      <c r="X114" s="208" t="s">
        <v>12</v>
      </c>
      <c r="Y114" s="83">
        <v>37.9</v>
      </c>
      <c r="Z114" s="82" t="s">
        <v>84</v>
      </c>
      <c r="AA114" s="208" t="s">
        <v>75</v>
      </c>
      <c r="AB114" s="208" t="s">
        <v>18</v>
      </c>
      <c r="AC114" s="208">
        <v>6.5</v>
      </c>
      <c r="AD114" s="82" t="s">
        <v>492</v>
      </c>
      <c r="AE114" s="208" t="s">
        <v>116</v>
      </c>
      <c r="AF114" s="208" t="s">
        <v>12</v>
      </c>
      <c r="AG114" s="83">
        <v>6.5</v>
      </c>
      <c r="AH114" s="164"/>
      <c r="AL114" s="82"/>
      <c r="AO114" s="83"/>
      <c r="AP114" s="82"/>
      <c r="AS114" s="83"/>
      <c r="AW114" s="83"/>
      <c r="BA114" s="84"/>
    </row>
    <row r="115" spans="1:53" s="208" customFormat="1">
      <c r="A115" s="208">
        <v>2012</v>
      </c>
      <c r="B115" s="149"/>
      <c r="C115" s="988" t="s">
        <v>831</v>
      </c>
      <c r="D115" s="988"/>
      <c r="E115" s="208">
        <v>366</v>
      </c>
      <c r="F115" s="150"/>
      <c r="G115" s="123"/>
      <c r="H115" s="208">
        <v>4</v>
      </c>
      <c r="I115" s="208">
        <v>16</v>
      </c>
      <c r="J115" s="134">
        <v>20</v>
      </c>
      <c r="K115" s="92">
        <f>G115/$J115*100</f>
        <v>0</v>
      </c>
      <c r="L115" s="92">
        <f t="shared" si="7"/>
        <v>20</v>
      </c>
      <c r="M115" s="92">
        <f t="shared" si="7"/>
        <v>80</v>
      </c>
      <c r="N115" s="125">
        <f t="shared" si="5"/>
        <v>100</v>
      </c>
      <c r="O115" s="91"/>
      <c r="P115" s="92">
        <v>6.5</v>
      </c>
      <c r="Q115" s="92">
        <v>44.4</v>
      </c>
      <c r="R115" s="93">
        <f t="shared" si="6"/>
        <v>50.9</v>
      </c>
      <c r="S115" s="208">
        <v>2</v>
      </c>
      <c r="T115" s="81"/>
      <c r="V115" s="82" t="s">
        <v>490</v>
      </c>
      <c r="W115" s="208" t="s">
        <v>20</v>
      </c>
      <c r="X115" s="208" t="s">
        <v>12</v>
      </c>
      <c r="Y115" s="83">
        <v>37.9</v>
      </c>
      <c r="Z115" s="82" t="s">
        <v>84</v>
      </c>
      <c r="AA115" s="208" t="s">
        <v>75</v>
      </c>
      <c r="AB115" s="208" t="s">
        <v>18</v>
      </c>
      <c r="AC115" s="208">
        <v>6.5</v>
      </c>
      <c r="AD115" s="82" t="s">
        <v>492</v>
      </c>
      <c r="AE115" s="208" t="s">
        <v>116</v>
      </c>
      <c r="AF115" s="208" t="s">
        <v>12</v>
      </c>
      <c r="AG115" s="83">
        <v>6.5</v>
      </c>
      <c r="AH115" s="164"/>
      <c r="AL115" s="82"/>
      <c r="AO115" s="83"/>
      <c r="AP115" s="82"/>
      <c r="AS115" s="83"/>
      <c r="AW115" s="83"/>
      <c r="BA115" s="84"/>
    </row>
    <row r="116" spans="1:53" s="310" customFormat="1">
      <c r="A116" s="310">
        <v>2013</v>
      </c>
      <c r="B116" s="149"/>
      <c r="C116" s="988" t="s">
        <v>831</v>
      </c>
      <c r="D116" s="988"/>
      <c r="E116" s="310">
        <v>288</v>
      </c>
      <c r="F116" s="150"/>
      <c r="G116" s="123"/>
      <c r="H116" s="310">
        <v>4</v>
      </c>
      <c r="I116" s="310">
        <v>16</v>
      </c>
      <c r="J116" s="134">
        <v>20</v>
      </c>
      <c r="K116" s="593">
        <f t="shared" ref="K116:K127" si="8">G116/$J116*100</f>
        <v>0</v>
      </c>
      <c r="L116" s="593">
        <f t="shared" ref="L116:L127" si="9">H116/$J116*100</f>
        <v>20</v>
      </c>
      <c r="M116" s="593">
        <f t="shared" ref="M116:M127" si="10">I116/$J116*100</f>
        <v>80</v>
      </c>
      <c r="N116" s="597">
        <f t="shared" ref="N116:N127" si="11">K116+L116+M116</f>
        <v>100</v>
      </c>
      <c r="O116" s="91"/>
      <c r="P116" s="92">
        <v>6.5</v>
      </c>
      <c r="Q116" s="92">
        <v>44.4</v>
      </c>
      <c r="R116" s="93">
        <f t="shared" si="6"/>
        <v>50.9</v>
      </c>
      <c r="S116" s="310">
        <v>2</v>
      </c>
      <c r="T116" s="81"/>
      <c r="V116" s="82" t="s">
        <v>490</v>
      </c>
      <c r="W116" s="310" t="s">
        <v>20</v>
      </c>
      <c r="X116" s="310" t="s">
        <v>12</v>
      </c>
      <c r="Y116" s="83">
        <v>37.9</v>
      </c>
      <c r="Z116" s="82" t="s">
        <v>84</v>
      </c>
      <c r="AA116" s="310" t="s">
        <v>75</v>
      </c>
      <c r="AB116" s="310" t="s">
        <v>18</v>
      </c>
      <c r="AC116" s="310">
        <v>6.5</v>
      </c>
      <c r="AD116" s="82" t="s">
        <v>492</v>
      </c>
      <c r="AE116" s="310" t="s">
        <v>116</v>
      </c>
      <c r="AF116" s="310" t="s">
        <v>12</v>
      </c>
      <c r="AG116" s="83">
        <v>6.5</v>
      </c>
      <c r="AH116" s="164"/>
      <c r="AL116" s="82"/>
      <c r="AO116" s="83"/>
      <c r="AP116" s="82"/>
      <c r="AS116" s="83"/>
      <c r="AW116" s="83"/>
      <c r="BA116" s="84"/>
    </row>
    <row r="117" spans="1:53" s="334" customFormat="1">
      <c r="A117" s="334">
        <v>2013</v>
      </c>
      <c r="B117" s="355">
        <v>41563</v>
      </c>
      <c r="C117" s="992" t="s">
        <v>1259</v>
      </c>
      <c r="D117" s="992"/>
      <c r="E117" s="334">
        <f>365-E116</f>
        <v>77</v>
      </c>
      <c r="F117" s="334">
        <v>1</v>
      </c>
      <c r="G117" s="419">
        <v>18</v>
      </c>
      <c r="J117" s="435">
        <v>18</v>
      </c>
      <c r="K117" s="640">
        <f t="shared" si="8"/>
        <v>100</v>
      </c>
      <c r="L117" s="640">
        <f t="shared" si="9"/>
        <v>0</v>
      </c>
      <c r="M117" s="640">
        <f t="shared" si="10"/>
        <v>0</v>
      </c>
      <c r="N117" s="643">
        <f t="shared" si="11"/>
        <v>100</v>
      </c>
      <c r="O117" s="383">
        <v>45.6</v>
      </c>
      <c r="P117" s="384"/>
      <c r="Q117" s="384"/>
      <c r="R117" s="385">
        <f t="shared" si="6"/>
        <v>45.6</v>
      </c>
      <c r="S117" s="334">
        <v>5</v>
      </c>
      <c r="T117" s="342">
        <v>41526</v>
      </c>
      <c r="U117" s="355">
        <v>41563</v>
      </c>
      <c r="V117" s="343" t="s">
        <v>491</v>
      </c>
      <c r="W117" s="334" t="s">
        <v>74</v>
      </c>
      <c r="X117" s="334" t="s">
        <v>11</v>
      </c>
      <c r="Y117" s="344">
        <v>28.4</v>
      </c>
      <c r="Z117" s="343" t="s">
        <v>1260</v>
      </c>
      <c r="AA117" s="334" t="s">
        <v>27</v>
      </c>
      <c r="AB117" s="334" t="s">
        <v>11</v>
      </c>
      <c r="AC117" s="334">
        <v>17.2</v>
      </c>
      <c r="AD117" s="343"/>
      <c r="AG117" s="344"/>
      <c r="AH117" s="452"/>
      <c r="AL117" s="343"/>
      <c r="AO117" s="344"/>
      <c r="AP117" s="343"/>
      <c r="AS117" s="344"/>
      <c r="AW117" s="344"/>
      <c r="BA117" s="345"/>
    </row>
    <row r="118" spans="1:53" s="651" customFormat="1">
      <c r="A118" s="651">
        <v>2014</v>
      </c>
      <c r="B118" s="648"/>
      <c r="C118" s="992" t="s">
        <v>1259</v>
      </c>
      <c r="D118" s="992"/>
      <c r="E118" s="651">
        <v>0</v>
      </c>
      <c r="G118" s="642">
        <v>18</v>
      </c>
      <c r="J118" s="644">
        <v>18</v>
      </c>
      <c r="K118" s="640">
        <f t="shared" si="8"/>
        <v>100</v>
      </c>
      <c r="L118" s="640">
        <f t="shared" si="9"/>
        <v>0</v>
      </c>
      <c r="M118" s="640">
        <f t="shared" si="10"/>
        <v>0</v>
      </c>
      <c r="N118" s="643">
        <f t="shared" si="11"/>
        <v>100</v>
      </c>
      <c r="O118" s="639">
        <v>45.6</v>
      </c>
      <c r="P118" s="640"/>
      <c r="Q118" s="640"/>
      <c r="R118" s="641">
        <f>O118+P118+Q118</f>
        <v>45.6</v>
      </c>
      <c r="S118" s="651">
        <v>5</v>
      </c>
      <c r="T118" s="487"/>
      <c r="U118" s="648"/>
      <c r="V118" s="634" t="s">
        <v>491</v>
      </c>
      <c r="W118" s="651" t="s">
        <v>74</v>
      </c>
      <c r="X118" s="651" t="s">
        <v>11</v>
      </c>
      <c r="Y118" s="635">
        <v>28.4</v>
      </c>
      <c r="Z118" s="634" t="s">
        <v>1260</v>
      </c>
      <c r="AA118" s="651" t="s">
        <v>27</v>
      </c>
      <c r="AB118" s="651" t="s">
        <v>11</v>
      </c>
      <c r="AC118" s="651">
        <v>17.2</v>
      </c>
      <c r="AD118" s="634"/>
      <c r="AG118" s="635"/>
      <c r="AH118" s="452"/>
      <c r="AL118" s="634"/>
      <c r="AO118" s="635"/>
      <c r="AP118" s="634"/>
      <c r="AS118" s="635"/>
      <c r="AW118" s="635"/>
      <c r="BA118" s="636"/>
    </row>
    <row r="119" spans="1:53" s="651" customFormat="1">
      <c r="A119" s="651">
        <v>2014</v>
      </c>
      <c r="B119" s="648"/>
      <c r="C119" s="992" t="s">
        <v>1259</v>
      </c>
      <c r="D119" s="992"/>
      <c r="E119" s="651">
        <v>365</v>
      </c>
      <c r="G119" s="642">
        <v>18</v>
      </c>
      <c r="J119" s="644">
        <v>18</v>
      </c>
      <c r="K119" s="640">
        <f t="shared" si="8"/>
        <v>100</v>
      </c>
      <c r="L119" s="640">
        <f t="shared" si="9"/>
        <v>0</v>
      </c>
      <c r="M119" s="640">
        <f t="shared" si="10"/>
        <v>0</v>
      </c>
      <c r="N119" s="643">
        <f t="shared" si="11"/>
        <v>100</v>
      </c>
      <c r="O119" s="639">
        <v>45.6</v>
      </c>
      <c r="P119" s="640"/>
      <c r="Q119" s="640"/>
      <c r="R119" s="641">
        <f>O119+P119+Q119</f>
        <v>45.6</v>
      </c>
      <c r="S119" s="651">
        <v>5</v>
      </c>
      <c r="T119" s="487"/>
      <c r="U119" s="648"/>
      <c r="V119" s="634" t="s">
        <v>491</v>
      </c>
      <c r="W119" s="651" t="s">
        <v>74</v>
      </c>
      <c r="X119" s="651" t="s">
        <v>11</v>
      </c>
      <c r="Y119" s="635">
        <v>28.4</v>
      </c>
      <c r="Z119" s="634" t="s">
        <v>1260</v>
      </c>
      <c r="AA119" s="651" t="s">
        <v>27</v>
      </c>
      <c r="AB119" s="651" t="s">
        <v>11</v>
      </c>
      <c r="AC119" s="651">
        <v>17.2</v>
      </c>
      <c r="AD119" s="634"/>
      <c r="AG119" s="635"/>
      <c r="AH119" s="452"/>
      <c r="AL119" s="634"/>
      <c r="AO119" s="635"/>
      <c r="AP119" s="634"/>
      <c r="AS119" s="635"/>
      <c r="AW119" s="635"/>
      <c r="BA119" s="636"/>
    </row>
    <row r="120" spans="1:53" s="745" customFormat="1">
      <c r="A120" s="745">
        <v>2015</v>
      </c>
      <c r="C120" s="992" t="s">
        <v>1259</v>
      </c>
      <c r="D120" s="992"/>
      <c r="E120" s="745">
        <v>349</v>
      </c>
      <c r="G120" s="642">
        <v>18</v>
      </c>
      <c r="J120" s="644">
        <v>18</v>
      </c>
      <c r="K120" s="640">
        <f t="shared" si="8"/>
        <v>100</v>
      </c>
      <c r="L120" s="640">
        <f t="shared" si="9"/>
        <v>0</v>
      </c>
      <c r="M120" s="640">
        <f t="shared" si="10"/>
        <v>0</v>
      </c>
      <c r="N120" s="643">
        <f t="shared" si="11"/>
        <v>100</v>
      </c>
      <c r="O120" s="639">
        <v>45.6</v>
      </c>
      <c r="P120" s="640"/>
      <c r="Q120" s="640"/>
      <c r="R120" s="641">
        <f t="shared" ref="R120:R121" si="12">O120+P120+Q120</f>
        <v>45.6</v>
      </c>
      <c r="S120" s="745">
        <v>5</v>
      </c>
      <c r="T120" s="487"/>
      <c r="U120" s="741"/>
      <c r="V120" s="634" t="s">
        <v>491</v>
      </c>
      <c r="W120" s="745" t="s">
        <v>74</v>
      </c>
      <c r="X120" s="745" t="s">
        <v>11</v>
      </c>
      <c r="Y120" s="635">
        <v>28.4</v>
      </c>
      <c r="Z120" s="634" t="s">
        <v>1260</v>
      </c>
      <c r="AA120" s="745" t="s">
        <v>27</v>
      </c>
      <c r="AB120" s="745" t="s">
        <v>11</v>
      </c>
      <c r="AC120" s="745">
        <v>17.2</v>
      </c>
      <c r="AD120" s="634"/>
      <c r="AG120" s="635"/>
      <c r="AH120" s="452"/>
      <c r="AL120" s="634"/>
      <c r="AO120" s="635"/>
      <c r="AP120" s="634"/>
      <c r="AS120" s="635"/>
      <c r="AW120" s="635"/>
      <c r="BA120" s="636"/>
    </row>
    <row r="121" spans="1:53" s="745" customFormat="1">
      <c r="A121" s="745">
        <v>2015</v>
      </c>
      <c r="B121" s="500">
        <v>42354</v>
      </c>
      <c r="C121" s="992" t="s">
        <v>1259</v>
      </c>
      <c r="D121" s="992"/>
      <c r="E121" s="745">
        <v>16</v>
      </c>
      <c r="F121" s="493">
        <v>0</v>
      </c>
      <c r="G121" s="642">
        <v>19</v>
      </c>
      <c r="J121" s="644">
        <v>19</v>
      </c>
      <c r="K121" s="640">
        <f t="shared" si="8"/>
        <v>100</v>
      </c>
      <c r="L121" s="640">
        <f t="shared" si="9"/>
        <v>0</v>
      </c>
      <c r="M121" s="640">
        <f t="shared" si="10"/>
        <v>0</v>
      </c>
      <c r="N121" s="643">
        <f t="shared" si="11"/>
        <v>100</v>
      </c>
      <c r="O121" s="639">
        <v>45.6</v>
      </c>
      <c r="P121" s="640"/>
      <c r="Q121" s="640"/>
      <c r="R121" s="641">
        <f t="shared" si="12"/>
        <v>45.6</v>
      </c>
      <c r="S121" s="745">
        <v>5</v>
      </c>
      <c r="T121" s="487"/>
      <c r="U121" s="741"/>
      <c r="V121" s="634" t="s">
        <v>491</v>
      </c>
      <c r="W121" s="745" t="s">
        <v>74</v>
      </c>
      <c r="X121" s="745" t="s">
        <v>11</v>
      </c>
      <c r="Y121" s="635">
        <v>28.4</v>
      </c>
      <c r="Z121" s="634" t="s">
        <v>1260</v>
      </c>
      <c r="AA121" s="745" t="s">
        <v>27</v>
      </c>
      <c r="AB121" s="745" t="s">
        <v>11</v>
      </c>
      <c r="AC121" s="745">
        <v>17.2</v>
      </c>
      <c r="AD121" s="634"/>
      <c r="AG121" s="635"/>
      <c r="AH121" s="452"/>
      <c r="AL121" s="634"/>
      <c r="AO121" s="635"/>
      <c r="AP121" s="634"/>
      <c r="AS121" s="635"/>
      <c r="AW121" s="635"/>
      <c r="BA121" s="636"/>
    </row>
    <row r="122" spans="1:53" s="841" customFormat="1">
      <c r="A122" s="841">
        <v>2016</v>
      </c>
      <c r="B122" s="500"/>
      <c r="C122" s="992" t="s">
        <v>1259</v>
      </c>
      <c r="D122" s="992"/>
      <c r="E122" s="841">
        <v>0</v>
      </c>
      <c r="F122" s="493"/>
      <c r="G122" s="642">
        <v>19</v>
      </c>
      <c r="J122" s="644">
        <v>19</v>
      </c>
      <c r="K122" s="640">
        <f t="shared" si="8"/>
        <v>100</v>
      </c>
      <c r="L122" s="640">
        <f t="shared" si="9"/>
        <v>0</v>
      </c>
      <c r="M122" s="640">
        <f t="shared" si="10"/>
        <v>0</v>
      </c>
      <c r="N122" s="643">
        <f t="shared" si="11"/>
        <v>100</v>
      </c>
      <c r="O122" s="639">
        <v>45.6</v>
      </c>
      <c r="P122" s="640"/>
      <c r="Q122" s="640"/>
      <c r="R122" s="641">
        <f t="shared" ref="R122" si="13">O122+P122+Q122</f>
        <v>45.6</v>
      </c>
      <c r="S122" s="841">
        <v>5</v>
      </c>
      <c r="T122" s="487"/>
      <c r="U122" s="836"/>
      <c r="V122" s="634" t="s">
        <v>491</v>
      </c>
      <c r="W122" s="841" t="s">
        <v>74</v>
      </c>
      <c r="X122" s="841" t="s">
        <v>11</v>
      </c>
      <c r="Y122" s="635">
        <v>28.4</v>
      </c>
      <c r="Z122" s="634" t="s">
        <v>1260</v>
      </c>
      <c r="AA122" s="841" t="s">
        <v>27</v>
      </c>
      <c r="AB122" s="841" t="s">
        <v>11</v>
      </c>
      <c r="AC122" s="841">
        <v>17.2</v>
      </c>
      <c r="AD122" s="634"/>
      <c r="AG122" s="635"/>
      <c r="AH122" s="452"/>
      <c r="AL122" s="634"/>
      <c r="AO122" s="635"/>
      <c r="AP122" s="634"/>
      <c r="AS122" s="635"/>
      <c r="AW122" s="635"/>
      <c r="BA122" s="636"/>
    </row>
    <row r="123" spans="1:53" s="841" customFormat="1">
      <c r="A123" s="841">
        <v>2016</v>
      </c>
      <c r="B123" s="500"/>
      <c r="C123" s="992" t="s">
        <v>1259</v>
      </c>
      <c r="D123" s="992"/>
      <c r="E123" s="841">
        <v>366</v>
      </c>
      <c r="F123" s="493"/>
      <c r="G123" s="642">
        <v>19</v>
      </c>
      <c r="J123" s="644">
        <v>19</v>
      </c>
      <c r="K123" s="640">
        <f t="shared" si="8"/>
        <v>100</v>
      </c>
      <c r="L123" s="640">
        <f t="shared" si="9"/>
        <v>0</v>
      </c>
      <c r="M123" s="640">
        <f t="shared" si="10"/>
        <v>0</v>
      </c>
      <c r="N123" s="643">
        <f t="shared" si="11"/>
        <v>100</v>
      </c>
      <c r="O123" s="639">
        <v>45.6</v>
      </c>
      <c r="P123" s="640"/>
      <c r="Q123" s="640"/>
      <c r="R123" s="641">
        <f>O123+P123+Q123</f>
        <v>45.6</v>
      </c>
      <c r="S123" s="841">
        <v>5</v>
      </c>
      <c r="T123" s="487"/>
      <c r="U123" s="836"/>
      <c r="V123" s="634" t="s">
        <v>491</v>
      </c>
      <c r="W123" s="841" t="s">
        <v>74</v>
      </c>
      <c r="X123" s="841" t="s">
        <v>11</v>
      </c>
      <c r="Y123" s="635">
        <v>28.4</v>
      </c>
      <c r="Z123" s="634" t="s">
        <v>1260</v>
      </c>
      <c r="AA123" s="841" t="s">
        <v>27</v>
      </c>
      <c r="AB123" s="841" t="s">
        <v>11</v>
      </c>
      <c r="AC123" s="841">
        <v>17.2</v>
      </c>
      <c r="AD123" s="634"/>
      <c r="AG123" s="635"/>
      <c r="AH123" s="452"/>
      <c r="AL123" s="634"/>
      <c r="AO123" s="635"/>
      <c r="AP123" s="634"/>
      <c r="AS123" s="635"/>
      <c r="AW123" s="635"/>
      <c r="BA123" s="636"/>
    </row>
    <row r="124" spans="1:53" s="895" customFormat="1">
      <c r="A124" s="895">
        <v>2017</v>
      </c>
      <c r="B124" s="500"/>
      <c r="C124" s="992" t="s">
        <v>1259</v>
      </c>
      <c r="D124" s="992"/>
      <c r="E124" s="895">
        <v>253</v>
      </c>
      <c r="F124" s="493"/>
      <c r="G124" s="642">
        <v>19</v>
      </c>
      <c r="J124" s="644">
        <v>19</v>
      </c>
      <c r="K124" s="640">
        <f t="shared" si="8"/>
        <v>100</v>
      </c>
      <c r="L124" s="640">
        <f t="shared" si="9"/>
        <v>0</v>
      </c>
      <c r="M124" s="640">
        <f t="shared" si="10"/>
        <v>0</v>
      </c>
      <c r="N124" s="643">
        <f t="shared" si="11"/>
        <v>100</v>
      </c>
      <c r="O124" s="639">
        <v>45.6</v>
      </c>
      <c r="P124" s="640"/>
      <c r="Q124" s="640"/>
      <c r="R124" s="641">
        <f>O124+P124+Q124</f>
        <v>45.6</v>
      </c>
      <c r="S124" s="895">
        <v>5</v>
      </c>
      <c r="T124" s="487"/>
      <c r="U124" s="893"/>
      <c r="V124" s="634" t="s">
        <v>491</v>
      </c>
      <c r="W124" s="895" t="s">
        <v>74</v>
      </c>
      <c r="X124" s="895" t="s">
        <v>11</v>
      </c>
      <c r="Y124" s="635">
        <v>28.4</v>
      </c>
      <c r="Z124" s="634" t="s">
        <v>1260</v>
      </c>
      <c r="AA124" s="895" t="s">
        <v>27</v>
      </c>
      <c r="AB124" s="895" t="s">
        <v>11</v>
      </c>
      <c r="AC124" s="895">
        <v>17.2</v>
      </c>
      <c r="AD124" s="634"/>
      <c r="AG124" s="635"/>
      <c r="AH124" s="452"/>
      <c r="AL124" s="634"/>
      <c r="AO124" s="635"/>
      <c r="AP124" s="634"/>
      <c r="AS124" s="635"/>
      <c r="AW124" s="635"/>
      <c r="BA124" s="636"/>
    </row>
    <row r="125" spans="1:53" s="896" customFormat="1">
      <c r="A125" s="896">
        <v>2017</v>
      </c>
      <c r="B125" s="894">
        <v>42989</v>
      </c>
      <c r="C125" s="988" t="s">
        <v>1396</v>
      </c>
      <c r="D125" s="988"/>
      <c r="E125" s="896">
        <v>112</v>
      </c>
      <c r="F125" s="896">
        <v>1</v>
      </c>
      <c r="G125" s="596">
        <v>19</v>
      </c>
      <c r="J125" s="598">
        <v>19</v>
      </c>
      <c r="K125" s="593">
        <f t="shared" si="8"/>
        <v>100</v>
      </c>
      <c r="L125" s="593">
        <f t="shared" si="9"/>
        <v>0</v>
      </c>
      <c r="M125" s="593">
        <f t="shared" si="10"/>
        <v>0</v>
      </c>
      <c r="N125" s="597">
        <f t="shared" si="11"/>
        <v>100</v>
      </c>
      <c r="O125" s="592">
        <v>42.6</v>
      </c>
      <c r="P125" s="593"/>
      <c r="Q125" s="593"/>
      <c r="R125" s="594">
        <f>O125+P125+Q125</f>
        <v>42.6</v>
      </c>
      <c r="S125" s="896">
        <v>5</v>
      </c>
      <c r="T125" s="595">
        <v>42989</v>
      </c>
      <c r="U125" s="894">
        <v>42989</v>
      </c>
      <c r="V125" s="588" t="s">
        <v>491</v>
      </c>
      <c r="W125" s="896" t="s">
        <v>74</v>
      </c>
      <c r="X125" s="896" t="s">
        <v>11</v>
      </c>
      <c r="Y125" s="589">
        <v>26.6</v>
      </c>
      <c r="Z125" s="588" t="s">
        <v>1260</v>
      </c>
      <c r="AA125" s="896" t="s">
        <v>27</v>
      </c>
      <c r="AB125" s="896" t="s">
        <v>11</v>
      </c>
      <c r="AC125" s="896">
        <v>16</v>
      </c>
      <c r="AD125" s="588"/>
      <c r="AG125" s="589"/>
      <c r="AH125" s="164"/>
      <c r="AL125" s="588"/>
      <c r="AO125" s="589"/>
      <c r="AP125" s="588"/>
      <c r="AS125" s="589"/>
      <c r="AW125" s="589"/>
      <c r="BA125" s="590"/>
    </row>
    <row r="126" spans="1:53" s="946" customFormat="1">
      <c r="A126" s="946">
        <v>2018</v>
      </c>
      <c r="B126" s="943"/>
      <c r="C126" s="988" t="s">
        <v>1396</v>
      </c>
      <c r="D126" s="988"/>
      <c r="E126" s="946">
        <v>16</v>
      </c>
      <c r="G126" s="596">
        <v>19</v>
      </c>
      <c r="J126" s="598">
        <v>19</v>
      </c>
      <c r="K126" s="593">
        <f t="shared" si="8"/>
        <v>100</v>
      </c>
      <c r="L126" s="593">
        <f t="shared" si="9"/>
        <v>0</v>
      </c>
      <c r="M126" s="593">
        <f t="shared" si="10"/>
        <v>0</v>
      </c>
      <c r="N126" s="597">
        <f t="shared" si="11"/>
        <v>100</v>
      </c>
      <c r="O126" s="592">
        <v>42.6</v>
      </c>
      <c r="P126" s="593"/>
      <c r="Q126" s="593"/>
      <c r="R126" s="594">
        <f>O126+P126+Q126</f>
        <v>42.6</v>
      </c>
      <c r="S126" s="946">
        <v>5</v>
      </c>
      <c r="T126" s="595"/>
      <c r="U126" s="943"/>
      <c r="V126" s="588" t="s">
        <v>491</v>
      </c>
      <c r="W126" s="946" t="s">
        <v>74</v>
      </c>
      <c r="X126" s="946" t="s">
        <v>11</v>
      </c>
      <c r="Y126" s="589">
        <v>26.6</v>
      </c>
      <c r="Z126" s="588" t="s">
        <v>1260</v>
      </c>
      <c r="AA126" s="946" t="s">
        <v>27</v>
      </c>
      <c r="AB126" s="946" t="s">
        <v>11</v>
      </c>
      <c r="AC126" s="946">
        <v>16</v>
      </c>
      <c r="AD126" s="588"/>
      <c r="AG126" s="589"/>
      <c r="AH126" s="164"/>
      <c r="AL126" s="588"/>
      <c r="AO126" s="589"/>
      <c r="AP126" s="588"/>
      <c r="AS126" s="589"/>
      <c r="AW126" s="589"/>
      <c r="BA126" s="590"/>
    </row>
    <row r="127" spans="1:53" s="945" customFormat="1">
      <c r="A127" s="945">
        <v>2018</v>
      </c>
      <c r="B127" s="944">
        <v>43117</v>
      </c>
      <c r="C127" s="992" t="s">
        <v>1418</v>
      </c>
      <c r="D127" s="992"/>
      <c r="E127" s="945">
        <v>349</v>
      </c>
      <c r="F127" s="945">
        <v>7</v>
      </c>
      <c r="G127" s="642">
        <v>18</v>
      </c>
      <c r="J127" s="644">
        <v>18</v>
      </c>
      <c r="K127" s="640">
        <f t="shared" si="8"/>
        <v>100</v>
      </c>
      <c r="L127" s="640">
        <f t="shared" si="9"/>
        <v>0</v>
      </c>
      <c r="M127" s="640">
        <f t="shared" si="10"/>
        <v>0</v>
      </c>
      <c r="N127" s="643">
        <f t="shared" si="11"/>
        <v>100</v>
      </c>
      <c r="O127" s="639">
        <v>52.1</v>
      </c>
      <c r="P127" s="640"/>
      <c r="Q127" s="640"/>
      <c r="R127" s="641">
        <f>O127+P127+Q127</f>
        <v>52.1</v>
      </c>
      <c r="S127" s="945">
        <v>3</v>
      </c>
      <c r="T127" s="487"/>
      <c r="U127" s="944">
        <v>43117</v>
      </c>
      <c r="V127" s="634" t="s">
        <v>491</v>
      </c>
      <c r="W127" s="945" t="s">
        <v>74</v>
      </c>
      <c r="X127" s="945" t="s">
        <v>11</v>
      </c>
      <c r="Y127" s="635">
        <v>26.6</v>
      </c>
      <c r="Z127" s="634" t="s">
        <v>1260</v>
      </c>
      <c r="AA127" s="945" t="s">
        <v>27</v>
      </c>
      <c r="AB127" s="945" t="s">
        <v>11</v>
      </c>
      <c r="AC127" s="945">
        <v>16</v>
      </c>
      <c r="AD127" s="634" t="s">
        <v>414</v>
      </c>
      <c r="AE127" s="945" t="s">
        <v>22</v>
      </c>
      <c r="AF127" s="945" t="s">
        <v>11</v>
      </c>
      <c r="AG127" s="635">
        <v>4.7</v>
      </c>
      <c r="AH127" s="452"/>
      <c r="AL127" s="634"/>
      <c r="AO127" s="635"/>
      <c r="AP127" s="634"/>
      <c r="AS127" s="635"/>
      <c r="AW127" s="635"/>
      <c r="BA127" s="636"/>
    </row>
    <row r="128" spans="1:53" s="896" customFormat="1">
      <c r="B128" s="135"/>
      <c r="C128" s="988"/>
      <c r="D128" s="988"/>
      <c r="F128" s="129"/>
      <c r="G128" s="596"/>
      <c r="J128" s="598"/>
      <c r="K128" s="593"/>
      <c r="L128" s="593"/>
      <c r="M128" s="593"/>
      <c r="N128" s="597"/>
      <c r="O128" s="592"/>
      <c r="P128" s="593"/>
      <c r="Q128" s="593"/>
      <c r="R128" s="594"/>
      <c r="T128" s="595"/>
      <c r="U128" s="894"/>
      <c r="V128" s="588"/>
      <c r="Y128" s="589"/>
      <c r="Z128" s="588"/>
      <c r="AD128" s="588"/>
      <c r="AG128" s="589"/>
      <c r="AH128" s="164"/>
      <c r="AL128" s="588"/>
      <c r="AO128" s="589"/>
      <c r="AP128" s="588"/>
      <c r="AS128" s="589"/>
      <c r="AW128" s="589"/>
      <c r="BA128" s="590"/>
    </row>
    <row r="129" spans="1:34" s="2" customFormat="1" ht="18" customHeight="1">
      <c r="B129" s="22" t="s">
        <v>1278</v>
      </c>
      <c r="H129" s="6"/>
    </row>
    <row r="130" spans="1:34" s="2" customFormat="1" ht="9" customHeight="1">
      <c r="H130" s="6"/>
    </row>
    <row r="131" spans="1:34" s="364" customFormat="1" ht="9" customHeight="1">
      <c r="A131" s="362"/>
      <c r="B131" s="363" t="s">
        <v>1229</v>
      </c>
      <c r="C131" s="363"/>
      <c r="D131" s="363"/>
      <c r="E131" s="363"/>
      <c r="F131" s="363"/>
      <c r="G131" s="363" t="s">
        <v>1230</v>
      </c>
      <c r="H131" s="363"/>
      <c r="I131" s="363"/>
      <c r="J131" s="363"/>
      <c r="K131" s="363"/>
      <c r="L131" s="363"/>
      <c r="M131" s="363"/>
      <c r="N131" s="363"/>
      <c r="R131" s="982" t="s">
        <v>1231</v>
      </c>
      <c r="S131" s="982"/>
      <c r="T131" s="982"/>
      <c r="U131" s="982"/>
      <c r="V131" s="982"/>
      <c r="W131" s="982"/>
      <c r="X131" s="365"/>
      <c r="Y131" s="365"/>
      <c r="AA131" s="365"/>
      <c r="AB131" s="365"/>
      <c r="AC131" s="365"/>
      <c r="AD131" s="365"/>
    </row>
    <row r="132" spans="1:34" s="369" customFormat="1" ht="9" customHeight="1">
      <c r="A132" s="366"/>
      <c r="B132" s="367" t="s">
        <v>1233</v>
      </c>
      <c r="C132" s="368"/>
      <c r="D132" s="368"/>
      <c r="E132" s="368"/>
      <c r="F132" s="368"/>
      <c r="G132" s="367" t="s">
        <v>1232</v>
      </c>
      <c r="H132" s="368"/>
      <c r="I132" s="368"/>
      <c r="J132" s="368"/>
      <c r="K132" s="368"/>
      <c r="L132" s="368"/>
      <c r="M132" s="368"/>
      <c r="N132" s="368"/>
      <c r="R132" s="370" t="s">
        <v>1234</v>
      </c>
      <c r="S132" s="371"/>
      <c r="T132" s="372"/>
      <c r="U132" s="372"/>
      <c r="V132" s="372"/>
      <c r="W132" s="370" t="s">
        <v>1235</v>
      </c>
      <c r="X132" s="372"/>
      <c r="Y132" s="372"/>
      <c r="AA132" s="372"/>
      <c r="AB132" s="372"/>
      <c r="AC132" s="372"/>
      <c r="AD132" s="372"/>
    </row>
    <row r="133" spans="1:34" s="351" customFormat="1" ht="12" customHeight="1">
      <c r="A133" s="373" t="s">
        <v>3</v>
      </c>
      <c r="B133" s="374" t="s">
        <v>8</v>
      </c>
      <c r="C133" s="374" t="s">
        <v>9</v>
      </c>
      <c r="D133" s="374" t="s">
        <v>10</v>
      </c>
      <c r="E133" s="375" t="s">
        <v>1209</v>
      </c>
      <c r="F133" s="374"/>
      <c r="G133" s="351" t="s">
        <v>3</v>
      </c>
      <c r="H133" s="983" t="s">
        <v>0</v>
      </c>
      <c r="I133" s="983"/>
      <c r="J133" s="983" t="s">
        <v>1</v>
      </c>
      <c r="K133" s="983"/>
      <c r="L133" s="983" t="s">
        <v>2</v>
      </c>
      <c r="M133" s="983"/>
      <c r="N133" s="984" t="s">
        <v>1209</v>
      </c>
      <c r="O133" s="984"/>
      <c r="P133" s="376"/>
      <c r="Q133" s="376"/>
      <c r="R133" s="377" t="s">
        <v>3</v>
      </c>
      <c r="S133" s="378" t="s">
        <v>136</v>
      </c>
      <c r="T133" s="376" t="s">
        <v>134</v>
      </c>
      <c r="U133" s="374" t="s">
        <v>135</v>
      </c>
      <c r="V133" s="376"/>
      <c r="W133" s="379" t="s">
        <v>26</v>
      </c>
    </row>
    <row r="134" spans="1:34" s="273" customFormat="1">
      <c r="A134" s="273">
        <v>1959</v>
      </c>
      <c r="B134" s="260">
        <f>(K6*($E6/365)) + (K7*($E7/365))</f>
        <v>0</v>
      </c>
      <c r="C134" s="260">
        <f>(L6*($E6/365)) + (L7*($E7/365))</f>
        <v>0</v>
      </c>
      <c r="D134" s="260">
        <f>(M6*($E6/365)) + (M7*($E7/365))</f>
        <v>100</v>
      </c>
      <c r="E134" s="261">
        <f>B134+C134+D134</f>
        <v>100</v>
      </c>
      <c r="G134" s="273">
        <v>1959</v>
      </c>
      <c r="H134" s="991">
        <f>(O6/$R6*100*($E6/365))+(O7/$R7*100*($E7/365))</f>
        <v>0</v>
      </c>
      <c r="I134" s="991"/>
      <c r="J134" s="991">
        <f>(P6/$R6*100*($E6/365))+(P7/$R7*100*($E7/365))</f>
        <v>0</v>
      </c>
      <c r="K134" s="991"/>
      <c r="L134" s="991">
        <f>(Q6/$R6*100*($E6/365))+(Q7/$R7*100*($E7/365))</f>
        <v>100</v>
      </c>
      <c r="M134" s="991"/>
      <c r="N134" s="993">
        <f>H134+J134+L134</f>
        <v>100</v>
      </c>
      <c r="O134" s="993"/>
      <c r="R134" s="273">
        <v>1959</v>
      </c>
      <c r="S134" s="260">
        <f>(O6*($E6/365)) + (O7*($E7/365))</f>
        <v>0</v>
      </c>
      <c r="T134" s="260">
        <f>(P6*($E6/365)) + (P7*($E7/365))</f>
        <v>0</v>
      </c>
      <c r="U134" s="260">
        <f>(Q6*($E6/365)) + (Q7*($E7/365))</f>
        <v>52</v>
      </c>
      <c r="V134" s="274"/>
      <c r="W134" s="274">
        <f>S134+T134+U134</f>
        <v>52</v>
      </c>
      <c r="AH134" s="280"/>
    </row>
    <row r="135" spans="1:34">
      <c r="A135" s="1">
        <v>1960</v>
      </c>
      <c r="B135" s="8">
        <f>(K8*($E8/366))+(K9*($E9/366))</f>
        <v>0</v>
      </c>
      <c r="C135" s="8">
        <f>(L8*($E8/366))+(L9*($E9/366))</f>
        <v>0</v>
      </c>
      <c r="D135" s="8">
        <f>(M8*($E8/366))+(M9*($E9/366))</f>
        <v>100</v>
      </c>
      <c r="E135" s="48">
        <f>B135+C135+D135</f>
        <v>100</v>
      </c>
      <c r="G135" s="1">
        <v>1960</v>
      </c>
      <c r="H135" s="989">
        <f>(O8/$R8*100*($E8/366))+(O9/$R9*100*($E9/366))</f>
        <v>0</v>
      </c>
      <c r="I135" s="989"/>
      <c r="J135" s="989">
        <f>(P8/$R8*100*($E8/366))+(P9/$R9*100*($E9/366))</f>
        <v>0</v>
      </c>
      <c r="K135" s="989"/>
      <c r="L135" s="989">
        <f>(Q8/$R8*100*($E8/366))+(Q9/$R9*100*($E9/366))</f>
        <v>100</v>
      </c>
      <c r="M135" s="989"/>
      <c r="N135" s="990">
        <f t="shared" ref="N135:N166" si="14">H135+J135+L135</f>
        <v>100</v>
      </c>
      <c r="O135" s="990"/>
      <c r="R135" s="1">
        <v>1960</v>
      </c>
      <c r="S135" s="8">
        <f>(O8*($E8/366))+(O9*($E9/366))</f>
        <v>0</v>
      </c>
      <c r="T135" s="8">
        <f>(P8*($E8/366))+(P9*($E9/366))</f>
        <v>0</v>
      </c>
      <c r="U135" s="8">
        <f>(Q8*($E8/366))+(Q9*($E9/366))</f>
        <v>52</v>
      </c>
      <c r="V135" s="7"/>
      <c r="W135" s="7">
        <f>S135+T135+U135</f>
        <v>52</v>
      </c>
    </row>
    <row r="136" spans="1:34">
      <c r="A136" s="1">
        <v>1961</v>
      </c>
      <c r="B136" s="8">
        <f>(K10*($E10/365))+(K11*($E11/365))</f>
        <v>0</v>
      </c>
      <c r="C136" s="8">
        <f>(L10*($E10/365))+(L11*($E11/365))</f>
        <v>0</v>
      </c>
      <c r="D136" s="8">
        <f>(M10*($E10/365))+(M11*($E11/365))</f>
        <v>100</v>
      </c>
      <c r="E136" s="48">
        <f t="shared" ref="E136:E188" si="15">B136+C136+D136</f>
        <v>100</v>
      </c>
      <c r="G136" s="1">
        <v>1961</v>
      </c>
      <c r="H136" s="989">
        <f>(O10/$R10*100*($E10/365))+(O11/$R11*100*($E11/365))</f>
        <v>0</v>
      </c>
      <c r="I136" s="989"/>
      <c r="J136" s="989">
        <f>(P10/$R10*100*($E10/365))+(P11/$R11*100*($E11/365))</f>
        <v>0</v>
      </c>
      <c r="K136" s="989"/>
      <c r="L136" s="989">
        <f>(Q10/$R10*100*($E10/365))+(Q11/$R11*100*($E11/365))</f>
        <v>100</v>
      </c>
      <c r="M136" s="989"/>
      <c r="N136" s="959">
        <f t="shared" si="14"/>
        <v>100</v>
      </c>
      <c r="O136" s="959"/>
      <c r="R136" s="1">
        <v>1961</v>
      </c>
      <c r="S136" s="8">
        <f>(O10*($E10/365))+(O11*($E11/365))</f>
        <v>0</v>
      </c>
      <c r="T136" s="8">
        <f>(P10*($E10/365))+(P11*($E11/365))</f>
        <v>0</v>
      </c>
      <c r="U136" s="8">
        <f>(Q10*($E10/365))+(Q11*($E11/365))</f>
        <v>51.171506849315072</v>
      </c>
      <c r="V136" s="7"/>
      <c r="W136" s="7">
        <f t="shared" ref="W136:W188" si="16">S136+T136+U136</f>
        <v>51.171506849315072</v>
      </c>
    </row>
    <row r="137" spans="1:34">
      <c r="A137" s="1">
        <v>1962</v>
      </c>
      <c r="B137" s="8">
        <f>(K12*($E12/365))+(K13*($E13/365))</f>
        <v>0</v>
      </c>
      <c r="C137" s="8">
        <f>(L12*($E12/365))+(L13*($E13/365))</f>
        <v>0</v>
      </c>
      <c r="D137" s="8">
        <f>(M12*($E12/365))+(M13*($E13/365))</f>
        <v>100</v>
      </c>
      <c r="E137" s="48">
        <f t="shared" si="15"/>
        <v>100</v>
      </c>
      <c r="G137" s="1">
        <v>1962</v>
      </c>
      <c r="H137" s="989">
        <f>(O12/$R12*100*($E12/365))+(O13/$R13*100*($E13/365))</f>
        <v>0</v>
      </c>
      <c r="I137" s="989"/>
      <c r="J137" s="989">
        <f>(P12/$R12*100*($E12/365))+(P13/$R13*100*($E13/365))</f>
        <v>0</v>
      </c>
      <c r="K137" s="989"/>
      <c r="L137" s="989">
        <f>(Q12/$R12*100*($E12/365))+(Q13/$R13*100*($E13/365))</f>
        <v>100</v>
      </c>
      <c r="M137" s="989"/>
      <c r="N137" s="959">
        <f t="shared" si="14"/>
        <v>100</v>
      </c>
      <c r="O137" s="959"/>
      <c r="R137" s="1">
        <v>1962</v>
      </c>
      <c r="S137" s="8">
        <f>(O12*($E12/365))+(O13*($E13/365))</f>
        <v>0</v>
      </c>
      <c r="T137" s="8">
        <f>(P12*($E12/365))+(P13*($E13/365))</f>
        <v>0</v>
      </c>
      <c r="U137" s="8">
        <f>(Q12*($E12/365))+(Q13*($E13/365))</f>
        <v>49.3</v>
      </c>
      <c r="V137" s="7"/>
      <c r="W137" s="7">
        <f t="shared" si="16"/>
        <v>49.3</v>
      </c>
    </row>
    <row r="138" spans="1:34">
      <c r="A138" s="1">
        <v>1963</v>
      </c>
      <c r="B138" s="8">
        <f>(K14*($E14/365))+(K15*($E15/365))+(K16*($E16/365))</f>
        <v>4.0913242009132427</v>
      </c>
      <c r="C138" s="8">
        <f>(L14*($E14/365))+(L15*($E15/365))+(L16*($E16/365))</f>
        <v>3.5799086757990866</v>
      </c>
      <c r="D138" s="8">
        <f>(M14*($E14/365))+(M15*($E15/365))+(M16*($E16/365))</f>
        <v>92.328767123287662</v>
      </c>
      <c r="E138" s="48">
        <f t="shared" si="15"/>
        <v>99.999999999999986</v>
      </c>
      <c r="G138" s="1">
        <v>1963</v>
      </c>
      <c r="H138" s="989">
        <f>(O14/$R14*100*($E14/365))+(O15/$R15*100*($E15/365))+(O16/$R16*100*($E16/365))</f>
        <v>4.4502486870988367</v>
      </c>
      <c r="I138" s="989"/>
      <c r="J138" s="989">
        <f>(P14/$R14*100*($E14/365))+(P15/$R15*100*($E15/365))+(P16/$R16*100*($E16/365))</f>
        <v>3.2209841896134934</v>
      </c>
      <c r="K138" s="989"/>
      <c r="L138" s="989">
        <f>(Q14/$R14*100*($E14/365))+(Q15/$R15*100*($E15/365))+(Q16/$R16*100*($E16/365))</f>
        <v>92.328767123287662</v>
      </c>
      <c r="M138" s="989"/>
      <c r="N138" s="959">
        <f t="shared" si="14"/>
        <v>99.999999999999986</v>
      </c>
      <c r="O138" s="959"/>
      <c r="R138" s="1">
        <v>1963</v>
      </c>
      <c r="S138" s="8">
        <f>(O14*($E14/365))+(O15*($E15/365))+(O16*($E16/365))</f>
        <v>2.1939726027397262</v>
      </c>
      <c r="T138" s="8">
        <f>(P14*($E14/365))+(P15*($E15/365))+(P16*($E16/365))</f>
        <v>1.5879452054794521</v>
      </c>
      <c r="U138" s="8">
        <f>(Q14*($E14/365))+(Q15*($E15/365))+(Q16*($E16/365))</f>
        <v>45.51808219178082</v>
      </c>
      <c r="V138" s="7"/>
      <c r="W138" s="7">
        <f t="shared" si="16"/>
        <v>49.3</v>
      </c>
    </row>
    <row r="139" spans="1:34">
      <c r="A139" s="1">
        <v>1964</v>
      </c>
      <c r="B139" s="8">
        <f>(K17*($E17/366))+(K18*($E18/366))</f>
        <v>0</v>
      </c>
      <c r="C139" s="8">
        <f>(L17*($E17/366))+(L18*($E18/366))</f>
        <v>0</v>
      </c>
      <c r="D139" s="8">
        <f>(M17*($E17/366))+(M18*($E18/366))</f>
        <v>100</v>
      </c>
      <c r="E139" s="48">
        <f t="shared" si="15"/>
        <v>100</v>
      </c>
      <c r="G139" s="1">
        <v>1964</v>
      </c>
      <c r="H139" s="989">
        <f>(O17/$R17*100*($E17/366))+(O18/$R18*100*($E18/366))</f>
        <v>0</v>
      </c>
      <c r="I139" s="989"/>
      <c r="J139" s="989">
        <f>(P17/$R17*100*($E17/366))+(P18/$R18*100*($E18/366))</f>
        <v>0</v>
      </c>
      <c r="K139" s="989"/>
      <c r="L139" s="989">
        <f>(Q17/$R17*100*($E17/366))+(Q18/$R18*100*($E18/366))</f>
        <v>100</v>
      </c>
      <c r="M139" s="989"/>
      <c r="N139" s="959">
        <f t="shared" si="14"/>
        <v>100</v>
      </c>
      <c r="O139" s="959"/>
      <c r="R139" s="1">
        <v>1964</v>
      </c>
      <c r="S139" s="8">
        <f>(O17*($E17/366))+(O18*($E18/366))</f>
        <v>0</v>
      </c>
      <c r="T139" s="8">
        <f>(P17*($E17/366))+(P18*($E18/366))</f>
        <v>0</v>
      </c>
      <c r="U139" s="8">
        <f>(Q17*($E17/366))+(Q18*($E18/366))</f>
        <v>49.3</v>
      </c>
      <c r="V139" s="7"/>
      <c r="W139" s="7">
        <f t="shared" si="16"/>
        <v>49.3</v>
      </c>
    </row>
    <row r="140" spans="1:34">
      <c r="A140" s="1">
        <v>1965</v>
      </c>
      <c r="B140" s="8">
        <f>(K19*($E19/365))+(K20*($E20/365))</f>
        <v>13.479452054794519</v>
      </c>
      <c r="C140" s="8">
        <f>(L19*($E19/365))+(L20*($E20/365))</f>
        <v>8.9863013698630141</v>
      </c>
      <c r="D140" s="8">
        <f>(M19*($E19/365))+(M20*($E20/365))</f>
        <v>77.534246575342465</v>
      </c>
      <c r="E140" s="48">
        <f t="shared" si="15"/>
        <v>100</v>
      </c>
      <c r="G140" s="1">
        <v>1965</v>
      </c>
      <c r="H140" s="989">
        <f>(O19/$R19*100*($E19/365))+(O20/$R20*100*($E20/365))</f>
        <v>13.757118670155455</v>
      </c>
      <c r="I140" s="989"/>
      <c r="J140" s="989">
        <f>(P19/$R19*100*($E19/365))+(P20/$R20*100*($E20/365))</f>
        <v>8.708634754502075</v>
      </c>
      <c r="K140" s="989"/>
      <c r="L140" s="989">
        <f>(Q19/$R19*100*($E19/365))+(Q20/$R20*100*($E20/365))</f>
        <v>77.534246575342465</v>
      </c>
      <c r="M140" s="989"/>
      <c r="N140" s="959">
        <f t="shared" si="14"/>
        <v>100</v>
      </c>
      <c r="O140" s="959"/>
      <c r="R140" s="1">
        <v>1965</v>
      </c>
      <c r="S140" s="8">
        <f>(O19*($E19/365))+(O20*($E20/365))</f>
        <v>7.3463013698630144</v>
      </c>
      <c r="T140" s="8">
        <f>(P19*($E19/365))+(P20*($E20/365))</f>
        <v>4.6504109589041089</v>
      </c>
      <c r="U140" s="8">
        <f>(Q19*($E19/365))+(Q20*($E20/365))</f>
        <v>38.224383561643833</v>
      </c>
      <c r="V140" s="7"/>
      <c r="W140" s="7">
        <f t="shared" si="16"/>
        <v>50.221095890410957</v>
      </c>
    </row>
    <row r="141" spans="1:34">
      <c r="A141" s="1">
        <v>1966</v>
      </c>
      <c r="B141" s="8">
        <f>(K21*($E21/365))+(K22*($E22/365))</f>
        <v>60</v>
      </c>
      <c r="C141" s="8">
        <f>(L21*($E21/365))+(L22*($E22/365))</f>
        <v>40</v>
      </c>
      <c r="D141" s="8">
        <f>(M21*($E21/365))+(M22*($E22/365))</f>
        <v>0</v>
      </c>
      <c r="E141" s="48">
        <f t="shared" si="15"/>
        <v>100</v>
      </c>
      <c r="G141" s="1">
        <v>1966</v>
      </c>
      <c r="H141" s="989">
        <f>(O21/$R21*100*($E21/365))+(O22/$R22*100*($E22/365))</f>
        <v>61.235955056179769</v>
      </c>
      <c r="I141" s="989"/>
      <c r="J141" s="989">
        <f>(P21/$R21*100*($E21/365))+(P22/$R22*100*($E22/365))</f>
        <v>38.764044943820217</v>
      </c>
      <c r="K141" s="989"/>
      <c r="L141" s="989">
        <f>(Q21/$R21*100*($E21/365))+(Q22/$R22*100*($E22/365))</f>
        <v>0</v>
      </c>
      <c r="M141" s="989"/>
      <c r="N141" s="959">
        <f t="shared" si="14"/>
        <v>99.999999999999986</v>
      </c>
      <c r="O141" s="959"/>
      <c r="R141" s="1">
        <v>1966</v>
      </c>
      <c r="S141" s="8">
        <f>(O21*($E21/365))+(O22*($E22/365))</f>
        <v>32.700000000000003</v>
      </c>
      <c r="T141" s="8">
        <f>(P21*($E21/365))+(P22*($E22/365))</f>
        <v>20.7</v>
      </c>
      <c r="U141" s="8">
        <f>(Q21*($E21/365))+(Q22*($E22/365))</f>
        <v>0</v>
      </c>
      <c r="V141" s="7"/>
      <c r="W141" s="7">
        <f t="shared" si="16"/>
        <v>53.400000000000006</v>
      </c>
    </row>
    <row r="142" spans="1:34">
      <c r="A142" s="1">
        <v>1967</v>
      </c>
      <c r="B142" s="8">
        <f>(K23*($E23/365))+(K24*($E24/365))</f>
        <v>60</v>
      </c>
      <c r="C142" s="8">
        <f>(L23*($E23/365))+(L24*($E24/365))</f>
        <v>40</v>
      </c>
      <c r="D142" s="8">
        <f>(M23*($E23/365))+(M24*($E24/365))</f>
        <v>0</v>
      </c>
      <c r="E142" s="48">
        <f t="shared" si="15"/>
        <v>100</v>
      </c>
      <c r="G142" s="1">
        <v>1967</v>
      </c>
      <c r="H142" s="989">
        <f>(O23/$R23*100*($E23/365))+(O24/$R24*100*($E24/365))</f>
        <v>61.235955056179769</v>
      </c>
      <c r="I142" s="989"/>
      <c r="J142" s="989">
        <f>(P23/$R23*100*($E23/365))+(P24/$R24*100*($E24/365))</f>
        <v>38.764044943820217</v>
      </c>
      <c r="K142" s="989"/>
      <c r="L142" s="989">
        <f>(Q23/$R23*100*($E23/365))+(Q24/$R24*100*($E24/365))</f>
        <v>0</v>
      </c>
      <c r="M142" s="989"/>
      <c r="N142" s="959">
        <f t="shared" si="14"/>
        <v>99.999999999999986</v>
      </c>
      <c r="O142" s="959"/>
      <c r="R142" s="1">
        <v>1967</v>
      </c>
      <c r="S142" s="8">
        <f>(O23*($E23/365))+(O24*($E24/365))</f>
        <v>32.700000000000003</v>
      </c>
      <c r="T142" s="8">
        <f>(P23*($E23/365))+(P24*($E24/365))</f>
        <v>20.7</v>
      </c>
      <c r="U142" s="8">
        <f>(Q23*($E23/365))+(Q24*($E24/365))</f>
        <v>0</v>
      </c>
      <c r="V142" s="7"/>
      <c r="W142" s="7">
        <f t="shared" si="16"/>
        <v>53.400000000000006</v>
      </c>
    </row>
    <row r="143" spans="1:34">
      <c r="A143" s="1">
        <v>1968</v>
      </c>
      <c r="B143" s="8">
        <f>(K25*($E25/366))+(K26*($E26/366))</f>
        <v>60</v>
      </c>
      <c r="C143" s="8">
        <f>(L25*($E25/366))+(L26*($E26/366))</f>
        <v>40</v>
      </c>
      <c r="D143" s="8">
        <f>(M25*($E25/366))+(M26*($E26/366))</f>
        <v>0</v>
      </c>
      <c r="E143" s="48">
        <f t="shared" si="15"/>
        <v>100</v>
      </c>
      <c r="G143" s="1">
        <v>1968</v>
      </c>
      <c r="H143" s="989">
        <f>(O25/$R25*100*($E25/366))+(O26/$R26*100*($E26/366))</f>
        <v>61.235955056179769</v>
      </c>
      <c r="I143" s="989"/>
      <c r="J143" s="989">
        <f>(P25/$R25*100*($E25/366))+(P26/$R26*100*($E26/366))</f>
        <v>38.764044943820217</v>
      </c>
      <c r="K143" s="989"/>
      <c r="L143" s="989">
        <f>(Q25/$R25*100*($E25/366))+(Q26/$R26*100*($E26/366))</f>
        <v>0</v>
      </c>
      <c r="M143" s="989"/>
      <c r="N143" s="959">
        <f t="shared" si="14"/>
        <v>99.999999999999986</v>
      </c>
      <c r="O143" s="959"/>
      <c r="R143" s="1">
        <v>1968</v>
      </c>
      <c r="S143" s="8">
        <f>(O25*($E25/366))+(O26*($E26/366))</f>
        <v>32.700000000000003</v>
      </c>
      <c r="T143" s="8">
        <f>(P25*($E25/366))+(P26*($E26/366))</f>
        <v>20.7</v>
      </c>
      <c r="U143" s="8">
        <f>(Q25*($E25/366))+(Q26*($E26/366))</f>
        <v>0</v>
      </c>
      <c r="V143" s="7"/>
      <c r="W143" s="7">
        <f t="shared" si="16"/>
        <v>53.400000000000006</v>
      </c>
    </row>
    <row r="144" spans="1:34">
      <c r="A144" s="1">
        <v>1969</v>
      </c>
      <c r="B144" s="8">
        <f>(K27*($E27/365))+(K28*($E28/365))</f>
        <v>60</v>
      </c>
      <c r="C144" s="8">
        <f>(L27*($E27/365))+(L28*($E28/365))</f>
        <v>40</v>
      </c>
      <c r="D144" s="8">
        <f>(M27*($E27/365))+(M28*($E28/365))</f>
        <v>0</v>
      </c>
      <c r="E144" s="48">
        <f t="shared" si="15"/>
        <v>100</v>
      </c>
      <c r="G144" s="1">
        <v>1969</v>
      </c>
      <c r="H144" s="989">
        <f>(O27/$R27*100*($E27/365))+(O28/$R28*100*($E28/365))</f>
        <v>59.360890797272802</v>
      </c>
      <c r="I144" s="989"/>
      <c r="J144" s="989">
        <f>(P27/$R27*100*($E27/365))+(P28/$R28*100*($E28/365))</f>
        <v>40.639109202727191</v>
      </c>
      <c r="K144" s="989"/>
      <c r="L144" s="989">
        <f>(Q27/$R27*100*($E27/365))+(Q28/$R28*100*($E28/365))</f>
        <v>0</v>
      </c>
      <c r="M144" s="989"/>
      <c r="N144" s="959">
        <f t="shared" si="14"/>
        <v>100</v>
      </c>
      <c r="O144" s="959"/>
      <c r="R144" s="1">
        <v>1969</v>
      </c>
      <c r="S144" s="8">
        <f>(O27*($E27/365))+(O28*($E28/365))</f>
        <v>31.206301369863017</v>
      </c>
      <c r="T144" s="8">
        <f>(P27*($E27/365))+(P28*($E28/365))</f>
        <v>21.303835616438356</v>
      </c>
      <c r="U144" s="8">
        <f>(Q27*($E27/365))+(Q28*($E28/365))</f>
        <v>0</v>
      </c>
      <c r="V144" s="7"/>
      <c r="W144" s="7">
        <f t="shared" si="16"/>
        <v>52.510136986301376</v>
      </c>
    </row>
    <row r="145" spans="1:23">
      <c r="A145" s="1">
        <v>1970</v>
      </c>
      <c r="B145" s="8">
        <f>(K29*($E29/365))+(K30*($E30/365))</f>
        <v>60</v>
      </c>
      <c r="C145" s="8">
        <f>(L29*($E29/365))+(L30*($E30/365))</f>
        <v>40</v>
      </c>
      <c r="D145" s="8">
        <f>(M29*($E29/365))+(M30*($E30/365))</f>
        <v>0</v>
      </c>
      <c r="E145" s="48">
        <f t="shared" si="15"/>
        <v>100</v>
      </c>
      <c r="G145" s="1">
        <v>1970</v>
      </c>
      <c r="H145" s="989">
        <f>(O29/$R29*100*($E29/365))+(O30/$R30*100*($E30/365))</f>
        <v>55.335968379446641</v>
      </c>
      <c r="I145" s="989"/>
      <c r="J145" s="989">
        <f>(P29/$R29*100*($E29/365))+(P30/$R30*100*($E30/365))</f>
        <v>44.664031620553359</v>
      </c>
      <c r="K145" s="989"/>
      <c r="L145" s="989">
        <f>(Q29/$R29*100*($E29/365))+(Q30/$R30*100*($E30/365))</f>
        <v>0</v>
      </c>
      <c r="M145" s="989"/>
      <c r="N145" s="959">
        <f t="shared" si="14"/>
        <v>100</v>
      </c>
      <c r="O145" s="959"/>
      <c r="R145" s="1">
        <v>1970</v>
      </c>
      <c r="S145" s="8">
        <f>(O29*($E29/365))+(O30*($E30/365))</f>
        <v>28</v>
      </c>
      <c r="T145" s="8">
        <f>(P29*($E29/365))+(P30*($E30/365))</f>
        <v>22.6</v>
      </c>
      <c r="U145" s="8">
        <f>(Q29*($E29/365))+(Q30*($E30/365))</f>
        <v>0</v>
      </c>
      <c r="V145" s="7"/>
      <c r="W145" s="7">
        <f t="shared" si="16"/>
        <v>50.6</v>
      </c>
    </row>
    <row r="146" spans="1:23">
      <c r="A146" s="1">
        <v>1971</v>
      </c>
      <c r="B146" s="8">
        <f>(K31*($E31/365))+(K32*($E32/365))</f>
        <v>11.671232876712329</v>
      </c>
      <c r="C146" s="8">
        <f>(L31*($E31/365))+(L32*($E32/365))</f>
        <v>7.7808219178082192</v>
      </c>
      <c r="D146" s="8">
        <f>(M31*($E31/365))+(M32*($E32/365))</f>
        <v>80.547945205479451</v>
      </c>
      <c r="E146" s="48">
        <f t="shared" si="15"/>
        <v>100</v>
      </c>
      <c r="G146" s="1">
        <v>1971</v>
      </c>
      <c r="H146" s="989">
        <f>(O31/$R31*100*($E31/365))+(O32/$R32*100*($E32/365))</f>
        <v>10.763982890248524</v>
      </c>
      <c r="I146" s="989"/>
      <c r="J146" s="989">
        <f>(P31/$R31*100*($E31/365))+(P32/$R32*100*($E32/365))</f>
        <v>8.6880719042720234</v>
      </c>
      <c r="K146" s="989"/>
      <c r="L146" s="989">
        <f>(Q31/$R31*100*($E31/365))+(Q32/$R32*100*($E32/365))</f>
        <v>80.547945205479451</v>
      </c>
      <c r="M146" s="989"/>
      <c r="N146" s="959">
        <f t="shared" si="14"/>
        <v>100</v>
      </c>
      <c r="O146" s="959"/>
      <c r="R146" s="1">
        <v>1971</v>
      </c>
      <c r="S146" s="8">
        <f>(O31*($E31/365))+(O32*($E32/365))</f>
        <v>5.4465753424657537</v>
      </c>
      <c r="T146" s="8">
        <f>(P31*($E31/365))+(P32*($E32/365))</f>
        <v>4.3961643835616444</v>
      </c>
      <c r="U146" s="8">
        <f>(Q31*($E31/365))+(Q32*($E32/365))</f>
        <v>39.710136986301372</v>
      </c>
      <c r="V146" s="7"/>
      <c r="W146" s="7">
        <f t="shared" si="16"/>
        <v>49.552876712328768</v>
      </c>
    </row>
    <row r="147" spans="1:23">
      <c r="A147" s="1">
        <v>1972</v>
      </c>
      <c r="B147" s="8">
        <f>(K33*($E33/366))+(K34*($E34/366))</f>
        <v>6.830601092896174</v>
      </c>
      <c r="C147" s="8">
        <f>(L33*($E33/366))+(L34*($E34/366))</f>
        <v>13.661202185792348</v>
      </c>
      <c r="D147" s="8">
        <f>(M33*($E33/366))+(M34*($E34/366))</f>
        <v>79.508196721311478</v>
      </c>
      <c r="E147" s="48">
        <f t="shared" si="15"/>
        <v>100</v>
      </c>
      <c r="G147" s="1">
        <v>1972</v>
      </c>
      <c r="H147" s="989">
        <f>(O33/$R33*100*($E33/366))+(O34/$R34*100*($E34/366))</f>
        <v>5.6958047451945726</v>
      </c>
      <c r="I147" s="989"/>
      <c r="J147" s="989">
        <f>(P33/$R33*100*($E33/366))+(P34/$R34*100*($E34/366))</f>
        <v>14.795998533493954</v>
      </c>
      <c r="K147" s="989"/>
      <c r="L147" s="989">
        <f>(Q33/$R33*100*($E33/366))+(Q34/$R34*100*($E34/366))</f>
        <v>79.508196721311478</v>
      </c>
      <c r="M147" s="989"/>
      <c r="N147" s="959">
        <f t="shared" si="14"/>
        <v>100</v>
      </c>
      <c r="O147" s="959"/>
      <c r="R147" s="1">
        <v>1972</v>
      </c>
      <c r="S147" s="8">
        <f>(O33*($E33/366))+(O34*($E34/366))</f>
        <v>1.7827868852459015</v>
      </c>
      <c r="T147" s="8">
        <f>(P33*($E33/366))+(P34*($E34/366))</f>
        <v>4.6311475409836067</v>
      </c>
      <c r="U147" s="8">
        <f>(Q33*($E33/366))+(Q34*($E34/366))</f>
        <v>39.197540983606558</v>
      </c>
      <c r="V147" s="7"/>
      <c r="W147" s="7">
        <f t="shared" si="16"/>
        <v>45.611475409836068</v>
      </c>
    </row>
    <row r="148" spans="1:23">
      <c r="A148" s="1">
        <v>1973</v>
      </c>
      <c r="B148" s="8">
        <f>(K35*($E35/365))+(K36*($E36/365))</f>
        <v>26.301369863013694</v>
      </c>
      <c r="C148" s="8">
        <f>(L35*($E35/365))+(L36*($E36/365))</f>
        <v>52.602739726027387</v>
      </c>
      <c r="D148" s="8">
        <f>(M35*($E35/365))+(M36*($E36/365))</f>
        <v>21.095890410958905</v>
      </c>
      <c r="E148" s="48">
        <f t="shared" si="15"/>
        <v>99.999999999999986</v>
      </c>
      <c r="G148" s="1">
        <v>1973</v>
      </c>
      <c r="H148" s="989">
        <f>(O35/$R35*100*($E35/365))+(O36/$R36*100*($E36/365))</f>
        <v>21.931813208455505</v>
      </c>
      <c r="I148" s="989"/>
      <c r="J148" s="989">
        <f>(P35/$R35*100*($E35/365))+(P36/$R36*100*($E36/365))</f>
        <v>56.97229638058559</v>
      </c>
      <c r="K148" s="989"/>
      <c r="L148" s="989">
        <f>(Q35/$R35*100*($E35/365))+(Q36/$R36*100*($E36/365))</f>
        <v>21.095890410958905</v>
      </c>
      <c r="M148" s="989"/>
      <c r="N148" s="959">
        <f t="shared" si="14"/>
        <v>100</v>
      </c>
      <c r="O148" s="959"/>
      <c r="R148" s="1">
        <v>1973</v>
      </c>
      <c r="S148" s="8">
        <f>(O35*($E35/365))+(O36*($E36/365))</f>
        <v>6.8646575342465743</v>
      </c>
      <c r="T148" s="8">
        <f>(P35*($E35/365))+(P36*($E36/365))</f>
        <v>17.83232876712329</v>
      </c>
      <c r="U148" s="8">
        <f>(Q35*($E35/365))+(Q36*($E36/365))</f>
        <v>8.4383561643835616</v>
      </c>
      <c r="V148" s="7"/>
      <c r="W148" s="7">
        <f t="shared" si="16"/>
        <v>33.135342465753425</v>
      </c>
    </row>
    <row r="149" spans="1:23">
      <c r="A149" s="1">
        <v>1974</v>
      </c>
      <c r="B149" s="8">
        <f>(K37*($E37/365))+(K38*($E38/365))</f>
        <v>0</v>
      </c>
      <c r="C149" s="8">
        <f>(L37*($E37/365))+(L38*($E38/365))</f>
        <v>0</v>
      </c>
      <c r="D149" s="8">
        <f>(M37*($E37/365))+(M38*($E38/365))</f>
        <v>100</v>
      </c>
      <c r="E149" s="48">
        <f t="shared" si="15"/>
        <v>100</v>
      </c>
      <c r="G149" s="1">
        <v>1974</v>
      </c>
      <c r="H149" s="989">
        <f>(O37/$R37*100*($E37/365))+(O38/$R38*100*($E38/365))</f>
        <v>0</v>
      </c>
      <c r="I149" s="989"/>
      <c r="J149" s="989">
        <f>(P37/$R37*100*($E37/365))+(P38/$R38*100*($E38/365))</f>
        <v>0</v>
      </c>
      <c r="K149" s="989"/>
      <c r="L149" s="989">
        <f>(Q37/$R37*100*($E37/365))+(Q38/$R38*100*($E38/365))</f>
        <v>100</v>
      </c>
      <c r="M149" s="989"/>
      <c r="N149" s="959">
        <f t="shared" si="14"/>
        <v>100</v>
      </c>
      <c r="O149" s="959"/>
      <c r="R149" s="1">
        <v>1974</v>
      </c>
      <c r="S149" s="8">
        <f>(O37*($E37/365))+(O38*($E38/365))</f>
        <v>0</v>
      </c>
      <c r="T149" s="8">
        <f>(P37*($E37/365))+(P38*($E38/365))</f>
        <v>0</v>
      </c>
      <c r="U149" s="8">
        <f>(Q37*($E37/365))+(Q38*($E38/365))</f>
        <v>40</v>
      </c>
      <c r="V149" s="7"/>
      <c r="W149" s="7">
        <f t="shared" si="16"/>
        <v>40</v>
      </c>
    </row>
    <row r="150" spans="1:23">
      <c r="A150" s="1">
        <v>1975</v>
      </c>
      <c r="B150" s="8">
        <f>(K39*($E39/365))+(K40*($E40/365))</f>
        <v>0</v>
      </c>
      <c r="C150" s="8">
        <f>(L39*($E39/365))+(L40*($E40/365))</f>
        <v>0</v>
      </c>
      <c r="D150" s="8">
        <f>(M39*($E39/365))+(M40*($E40/365))</f>
        <v>100</v>
      </c>
      <c r="E150" s="48">
        <f t="shared" si="15"/>
        <v>100</v>
      </c>
      <c r="G150" s="1">
        <v>1975</v>
      </c>
      <c r="H150" s="989">
        <f>(O39/$R39*100*($E39/365))+(O40/$R40*100*($E40/365))</f>
        <v>0</v>
      </c>
      <c r="I150" s="989"/>
      <c r="J150" s="989">
        <f>(P39/$R39*100*($E39/365))+(P40/$R40*100*($E40/365))</f>
        <v>0</v>
      </c>
      <c r="K150" s="989"/>
      <c r="L150" s="989">
        <f>(Q39/$R39*100*($E39/365))+(Q40/$R40*100*($E40/365))</f>
        <v>100</v>
      </c>
      <c r="M150" s="989"/>
      <c r="N150" s="959">
        <f t="shared" si="14"/>
        <v>100</v>
      </c>
      <c r="O150" s="959"/>
      <c r="R150" s="1">
        <v>1975</v>
      </c>
      <c r="S150" s="8">
        <f>(O39*($E39/365))+(O40*($E40/365))</f>
        <v>0</v>
      </c>
      <c r="T150" s="8">
        <f>(P39*($E39/365))+(P40*($E40/365))</f>
        <v>0</v>
      </c>
      <c r="U150" s="8">
        <f>(Q39*($E39/365))+(Q40*($E40/365))</f>
        <v>40</v>
      </c>
      <c r="V150" s="7"/>
      <c r="W150" s="7">
        <f t="shared" si="16"/>
        <v>40</v>
      </c>
    </row>
    <row r="151" spans="1:23">
      <c r="A151" s="1">
        <v>1976</v>
      </c>
      <c r="B151" s="8">
        <f>(K41*($E41/366))+(K42*($E42/366))</f>
        <v>0</v>
      </c>
      <c r="C151" s="8">
        <f>(L41*($E41/366))+(L42*($E42/366))</f>
        <v>0</v>
      </c>
      <c r="D151" s="8">
        <f>(M41*($E41/366))+(M42*($E42/366))</f>
        <v>100</v>
      </c>
      <c r="E151" s="48">
        <f t="shared" si="15"/>
        <v>100</v>
      </c>
      <c r="G151" s="1">
        <v>1976</v>
      </c>
      <c r="H151" s="989">
        <f>(O41/$R41*100*($E41/366))+(O42/$R42*100*($E42/366))</f>
        <v>0</v>
      </c>
      <c r="I151" s="989"/>
      <c r="J151" s="989">
        <f>(P41/$R41*100*($E41/366))+(P42/$R42*100*($E42/366))</f>
        <v>0</v>
      </c>
      <c r="K151" s="989"/>
      <c r="L151" s="989">
        <f>(Q41/$R41*100*($E41/366))+(Q42/$R42*100*($E42/366))</f>
        <v>100</v>
      </c>
      <c r="M151" s="989"/>
      <c r="N151" s="959">
        <f t="shared" si="14"/>
        <v>100</v>
      </c>
      <c r="O151" s="959"/>
      <c r="R151" s="1">
        <v>1976</v>
      </c>
      <c r="S151" s="8">
        <f>(O41*($E41/366))+(O42*($E42/366))</f>
        <v>0</v>
      </c>
      <c r="T151" s="8">
        <f>(P41*($E41/366))+(P42*($E42/366))</f>
        <v>0</v>
      </c>
      <c r="U151" s="8">
        <f>(Q41*($E41/366))+(Q42*($E42/366))</f>
        <v>39.999999999999993</v>
      </c>
      <c r="V151" s="7"/>
      <c r="W151" s="7">
        <f t="shared" si="16"/>
        <v>39.999999999999993</v>
      </c>
    </row>
    <row r="152" spans="1:23">
      <c r="A152" s="1">
        <v>1977</v>
      </c>
      <c r="B152" s="8">
        <f>(K43*($E43/365))+(K44*($E44/365))</f>
        <v>0</v>
      </c>
      <c r="C152" s="8">
        <f>(L43*($E43/365))+(L44*($E44/365))</f>
        <v>0</v>
      </c>
      <c r="D152" s="8">
        <f>(M43*($E43/365))+(M44*($E44/365))</f>
        <v>100</v>
      </c>
      <c r="E152" s="48">
        <f t="shared" si="15"/>
        <v>100</v>
      </c>
      <c r="G152" s="1">
        <v>1977</v>
      </c>
      <c r="H152" s="989">
        <f>(O43/$R43*100*($E43/365))+(O44/$R44*100*($E44/365))</f>
        <v>0</v>
      </c>
      <c r="I152" s="989"/>
      <c r="J152" s="989">
        <f>(P43/$R43*100*($E43/365))+(P44/$R44*100*($E44/365))</f>
        <v>0</v>
      </c>
      <c r="K152" s="989"/>
      <c r="L152" s="989">
        <f>(Q43/$R43*100*($E43/365))+(Q44/$R44*100*($E44/365))</f>
        <v>100</v>
      </c>
      <c r="M152" s="989"/>
      <c r="N152" s="959">
        <f t="shared" si="14"/>
        <v>100</v>
      </c>
      <c r="O152" s="959"/>
      <c r="R152" s="1">
        <v>1977</v>
      </c>
      <c r="S152" s="8">
        <f>(O43*($E43/365))+(O44*($E44/365))</f>
        <v>0</v>
      </c>
      <c r="T152" s="8">
        <f>(P43*($E43/365))+(P44*($E44/365))</f>
        <v>0</v>
      </c>
      <c r="U152" s="8">
        <f>(Q43*($E43/365))+(Q44*($E44/365))</f>
        <v>42.736986301369868</v>
      </c>
      <c r="V152" s="7"/>
      <c r="W152" s="7">
        <f t="shared" si="16"/>
        <v>42.736986301369868</v>
      </c>
    </row>
    <row r="153" spans="1:23">
      <c r="A153" s="1">
        <v>1978</v>
      </c>
      <c r="B153" s="8">
        <f>(K45*($E45/365))+(K46*($E46/365))</f>
        <v>0</v>
      </c>
      <c r="C153" s="8">
        <f>(L45*($E45/365))+(L46*($E46/365))</f>
        <v>0</v>
      </c>
      <c r="D153" s="8">
        <f>(M45*($E45/365))+(M46*($E46/365))</f>
        <v>100</v>
      </c>
      <c r="E153" s="48">
        <f t="shared" si="15"/>
        <v>100</v>
      </c>
      <c r="G153" s="1">
        <v>1978</v>
      </c>
      <c r="H153" s="989">
        <f>(O45/$R45*100*($E45/365))+(O46/$R46*100*($E46/365))</f>
        <v>0</v>
      </c>
      <c r="I153" s="989"/>
      <c r="J153" s="989">
        <f>(P45/$R45*100*($E45/365))+(P46/$R46*100*($E46/365))</f>
        <v>0</v>
      </c>
      <c r="K153" s="989"/>
      <c r="L153" s="989">
        <f>(Q45/$R45*100*($E45/365))+(Q46/$R46*100*($E46/365))</f>
        <v>100</v>
      </c>
      <c r="M153" s="989"/>
      <c r="N153" s="959">
        <f t="shared" si="14"/>
        <v>100</v>
      </c>
      <c r="O153" s="959"/>
      <c r="R153" s="1">
        <v>1978</v>
      </c>
      <c r="S153" s="8">
        <f>(O45*($E45/365))+(O46*($E46/365))</f>
        <v>0</v>
      </c>
      <c r="T153" s="8">
        <f>(P45*($E45/365))+(P46*($E46/365))</f>
        <v>0</v>
      </c>
      <c r="U153" s="8">
        <f>(Q45*($E45/365))+(Q46*($E46/365))</f>
        <v>49</v>
      </c>
      <c r="V153" s="7"/>
      <c r="W153" s="7">
        <f t="shared" si="16"/>
        <v>49</v>
      </c>
    </row>
    <row r="154" spans="1:23">
      <c r="A154" s="1">
        <v>1979</v>
      </c>
      <c r="B154" s="8">
        <f>(K47*($E47/365))+(K48*($E48/365))</f>
        <v>0</v>
      </c>
      <c r="C154" s="8">
        <f>(L47*($E47/365))+(L48*($E48/365))</f>
        <v>0</v>
      </c>
      <c r="D154" s="8">
        <f>(M47*($E47/365))+(M48*($E48/365))</f>
        <v>100</v>
      </c>
      <c r="E154" s="48">
        <f t="shared" si="15"/>
        <v>100</v>
      </c>
      <c r="G154" s="1">
        <v>1979</v>
      </c>
      <c r="H154" s="989">
        <f>(O47/$R47*100*($E47/365))+(O48/$R48*100*($E48/365))</f>
        <v>0</v>
      </c>
      <c r="I154" s="989"/>
      <c r="J154" s="989">
        <f>(P47/$R47*100*($E47/365))+(P48/$R48*100*($E48/365))</f>
        <v>0</v>
      </c>
      <c r="K154" s="989"/>
      <c r="L154" s="989">
        <f>(Q47/$R47*100*($E47/365))+(Q48/$R48*100*($E48/365))</f>
        <v>100</v>
      </c>
      <c r="M154" s="989"/>
      <c r="N154" s="959">
        <f t="shared" si="14"/>
        <v>100</v>
      </c>
      <c r="O154" s="959"/>
      <c r="R154" s="1">
        <v>1979</v>
      </c>
      <c r="S154" s="8">
        <f>(O47*($E47/365))+(O48*($E48/365))</f>
        <v>0</v>
      </c>
      <c r="T154" s="8">
        <f>(P47*($E47/365))+(P48*($E48/365))</f>
        <v>0</v>
      </c>
      <c r="U154" s="8">
        <f>(Q47*($E47/365))+(Q48*($E48/365))</f>
        <v>49</v>
      </c>
      <c r="V154" s="7"/>
      <c r="W154" s="7">
        <f t="shared" si="16"/>
        <v>49</v>
      </c>
    </row>
    <row r="155" spans="1:23">
      <c r="A155" s="1">
        <v>1980</v>
      </c>
      <c r="B155" s="8">
        <f>(K49*($E49/366))+(K50*($E50/366))</f>
        <v>0</v>
      </c>
      <c r="C155" s="8">
        <f>(L49*($E49/366))+(L50*($E50/366))</f>
        <v>0</v>
      </c>
      <c r="D155" s="8">
        <f>(M49*($E49/366))+(M50*($E50/366))</f>
        <v>100</v>
      </c>
      <c r="E155" s="48">
        <f t="shared" si="15"/>
        <v>100</v>
      </c>
      <c r="G155" s="1">
        <v>1980</v>
      </c>
      <c r="H155" s="989">
        <f>(O49/$R49*100*($E49/366))+(O50/$R50*100*($E50/366))</f>
        <v>0</v>
      </c>
      <c r="I155" s="989"/>
      <c r="J155" s="989">
        <f>(P49/$R49*100*($E49/366))+(P50/$R50*100*($E50/366))</f>
        <v>0</v>
      </c>
      <c r="K155" s="989"/>
      <c r="L155" s="989">
        <f>(Q49/$R49*100*($E49/366))+(Q50/$R50*100*($E50/366))</f>
        <v>100</v>
      </c>
      <c r="M155" s="989"/>
      <c r="N155" s="959">
        <f t="shared" si="14"/>
        <v>100</v>
      </c>
      <c r="O155" s="959"/>
      <c r="R155" s="1">
        <v>1980</v>
      </c>
      <c r="S155" s="8">
        <f>(O49*($E49/366))+(O50*($E50/366))</f>
        <v>0</v>
      </c>
      <c r="T155" s="8">
        <f>(P49*($E49/366))+(P50*($E50/366))</f>
        <v>0</v>
      </c>
      <c r="U155" s="8">
        <f>(Q49*($E49/366))+(Q50*($E50/366))</f>
        <v>49</v>
      </c>
      <c r="V155" s="7"/>
      <c r="W155" s="7">
        <f t="shared" si="16"/>
        <v>49</v>
      </c>
    </row>
    <row r="156" spans="1:23">
      <c r="A156" s="1">
        <v>1981</v>
      </c>
      <c r="B156" s="8">
        <f>(K51*($E51/365))+(K52*($E52/365))+(K53*($E53/365))</f>
        <v>21.643835616438356</v>
      </c>
      <c r="C156" s="8">
        <f>(L51*($E51/365))+(L52*($E52/365))+(L53*($E53/365))</f>
        <v>0</v>
      </c>
      <c r="D156" s="8">
        <f>(M51*($E51/365))+(M52*($E52/365))+(M53*($E53/365))</f>
        <v>78.356164383561648</v>
      </c>
      <c r="E156" s="48">
        <f t="shared" si="15"/>
        <v>100</v>
      </c>
      <c r="G156" s="1">
        <v>1981</v>
      </c>
      <c r="H156" s="989">
        <f>(O51/$R51*100*($E51/365))+(O52/$R52*100*($E52/365))+(O53/$R53*100*($E53/365))</f>
        <v>21.643835616438356</v>
      </c>
      <c r="I156" s="989"/>
      <c r="J156" s="989">
        <f>(P51/$R51*100*($E51/365))+(P52/$R52*100*($E52/365))+(P53/$R53*100*($E53/365))</f>
        <v>0</v>
      </c>
      <c r="K156" s="989"/>
      <c r="L156" s="989">
        <f>(Q51/$R51*100*($E51/365))+(Q52/$R52*100*($E52/365))+(Q53/$R53*100*($E53/365))</f>
        <v>78.356164383561648</v>
      </c>
      <c r="M156" s="989"/>
      <c r="N156" s="959">
        <f t="shared" si="14"/>
        <v>100</v>
      </c>
      <c r="O156" s="959"/>
      <c r="R156" s="1">
        <v>1981</v>
      </c>
      <c r="S156" s="8">
        <f>(O51*($E51/365))+(O52*($E52/365))+(O53*($E53/365))</f>
        <v>7.5320547945205476</v>
      </c>
      <c r="T156" s="8">
        <f>(P51*($E51/365))+(P52*($E52/365))+(P53*($E53/365))</f>
        <v>0</v>
      </c>
      <c r="U156" s="8">
        <f>(Q51*($E51/365))+(Q52*($E52/365))+(Q53*($E53/365))</f>
        <v>38.394520547945206</v>
      </c>
      <c r="V156" s="7"/>
      <c r="W156" s="7">
        <f t="shared" si="16"/>
        <v>45.926575342465753</v>
      </c>
    </row>
    <row r="157" spans="1:23">
      <c r="A157" s="1">
        <v>1982</v>
      </c>
      <c r="B157" s="8">
        <f>(K54*($E54/365))+(K55*($E55/365))</f>
        <v>100</v>
      </c>
      <c r="C157" s="8">
        <f>(L54*($E54/365))+(L55*($E55/365))</f>
        <v>0</v>
      </c>
      <c r="D157" s="8">
        <f>(M54*($E54/365))+(M55*($E55/365))</f>
        <v>0</v>
      </c>
      <c r="E157" s="48">
        <f t="shared" si="15"/>
        <v>100</v>
      </c>
      <c r="G157" s="1">
        <v>1982</v>
      </c>
      <c r="H157" s="989">
        <f>(O54/$R54*100*($E54/365))+(O55/$R55*100*($E55/365))</f>
        <v>100</v>
      </c>
      <c r="I157" s="989"/>
      <c r="J157" s="989">
        <f>(P54/$R54*100*($E54/365))+(P55/$R55*100*($E55/365))</f>
        <v>0</v>
      </c>
      <c r="K157" s="989"/>
      <c r="L157" s="989">
        <f>(Q54/$R54*100*($E54/365))+(Q55/$R55*100*($E55/365))</f>
        <v>0</v>
      </c>
      <c r="M157" s="989"/>
      <c r="N157" s="959">
        <f t="shared" si="14"/>
        <v>100</v>
      </c>
      <c r="O157" s="959"/>
      <c r="R157" s="1">
        <v>1982</v>
      </c>
      <c r="S157" s="8">
        <f>(O54*($E54/365))+(O55*($E55/365))</f>
        <v>34.799999999999997</v>
      </c>
      <c r="T157" s="8">
        <f>(P54*($E54/365))+(P55*($E55/365))</f>
        <v>0</v>
      </c>
      <c r="U157" s="8">
        <f>(Q54*($E54/365))+(Q55*($E55/365))</f>
        <v>0</v>
      </c>
      <c r="V157" s="7"/>
      <c r="W157" s="7">
        <f t="shared" si="16"/>
        <v>34.799999999999997</v>
      </c>
    </row>
    <row r="158" spans="1:23">
      <c r="A158" s="1">
        <v>1983</v>
      </c>
      <c r="B158" s="8">
        <f>(K56*($E56/365))+(K57*($E57/365))</f>
        <v>81.095890410958901</v>
      </c>
      <c r="C158" s="8">
        <f>(L56*($E56/365))+(L57*($E57/365))</f>
        <v>18.904109589041092</v>
      </c>
      <c r="D158" s="8">
        <f>(M56*($E56/365))+(M57*($E57/365))</f>
        <v>0</v>
      </c>
      <c r="E158" s="48">
        <f t="shared" si="15"/>
        <v>100</v>
      </c>
      <c r="G158" s="1">
        <v>1983</v>
      </c>
      <c r="H158" s="989">
        <f>(O56/$R56*100*($E56/365))+(O57/$R57*100*($E57/365))</f>
        <v>81.535520866517999</v>
      </c>
      <c r="I158" s="989"/>
      <c r="J158" s="989">
        <f>(P56/$R56*100*($E56/365))+(P57/$R57*100*($E57/365))</f>
        <v>18.464479133481998</v>
      </c>
      <c r="K158" s="989"/>
      <c r="L158" s="989">
        <f>(Q56/$R56*100*($E56/365))+(Q57/$R57*100*($E57/365))</f>
        <v>0</v>
      </c>
      <c r="M158" s="989"/>
      <c r="N158" s="959">
        <f t="shared" si="14"/>
        <v>100</v>
      </c>
      <c r="O158" s="959"/>
      <c r="R158" s="1">
        <v>1983</v>
      </c>
      <c r="S158" s="8">
        <f>(O56*($E56/365))+(O57*($E57/365))</f>
        <v>34.799999999999997</v>
      </c>
      <c r="T158" s="8">
        <f>(P56*($E56/365))+(P57*($E57/365))</f>
        <v>9.5276712328767115</v>
      </c>
      <c r="U158" s="8">
        <f>(Q56*($E56/365))+(Q57*($E57/365))</f>
        <v>0</v>
      </c>
      <c r="V158" s="7"/>
      <c r="W158" s="7">
        <f t="shared" si="16"/>
        <v>44.32767123287671</v>
      </c>
    </row>
    <row r="159" spans="1:23">
      <c r="A159" s="1">
        <v>1984</v>
      </c>
      <c r="B159" s="8">
        <f>(K58*($E58/366))+(K59*($E59/366))</f>
        <v>66.666666666666657</v>
      </c>
      <c r="C159" s="8">
        <f>(L58*($E58/366))+(L59*($E59/366))</f>
        <v>33.333333333333329</v>
      </c>
      <c r="D159" s="8">
        <f>(M58*($E58/366))+(M59*($E59/366))</f>
        <v>0</v>
      </c>
      <c r="E159" s="48">
        <f t="shared" si="15"/>
        <v>99.999999999999986</v>
      </c>
      <c r="G159" s="1">
        <v>1984</v>
      </c>
      <c r="H159" s="989">
        <f>(O58/$R58*100*($E58/366))+(O59/$R59*100*($E59/366))</f>
        <v>67.441860465116278</v>
      </c>
      <c r="I159" s="989"/>
      <c r="J159" s="989">
        <f>(P58/$R58*100*($E58/366))+(P59/$R59*100*($E59/366))</f>
        <v>32.558139534883715</v>
      </c>
      <c r="K159" s="989"/>
      <c r="L159" s="989">
        <f>(Q58/$R58*100*($E58/366))+(Q59/$R59*100*($E59/366))</f>
        <v>0</v>
      </c>
      <c r="M159" s="989"/>
      <c r="N159" s="959">
        <f t="shared" si="14"/>
        <v>100</v>
      </c>
      <c r="O159" s="959"/>
      <c r="R159" s="1">
        <v>1984</v>
      </c>
      <c r="S159" s="8">
        <f>(O58*($E58/366))+(O59*($E59/366))</f>
        <v>34.799999999999997</v>
      </c>
      <c r="T159" s="8">
        <f>(P58*($E58/366))+(P59*($E59/366))</f>
        <v>16.799999999999997</v>
      </c>
      <c r="U159" s="8">
        <f>(Q58*($E58/366))+(Q59*($E59/366))</f>
        <v>0</v>
      </c>
      <c r="V159" s="7"/>
      <c r="W159" s="7">
        <f t="shared" si="16"/>
        <v>51.599999999999994</v>
      </c>
    </row>
    <row r="160" spans="1:23">
      <c r="A160" s="1">
        <v>1985</v>
      </c>
      <c r="B160" s="8">
        <f>(K60*($E60/365))+(K61*($E61/365))</f>
        <v>66.118721461187207</v>
      </c>
      <c r="C160" s="8">
        <f>(L60*($E60/365))+(L61*($E61/365))</f>
        <v>33.881278538812779</v>
      </c>
      <c r="D160" s="8">
        <f>(M60*($E60/365))+(M61*($E61/365))</f>
        <v>0</v>
      </c>
      <c r="E160" s="48">
        <f t="shared" si="15"/>
        <v>99.999999999999986</v>
      </c>
      <c r="G160" s="1">
        <v>1985</v>
      </c>
      <c r="H160" s="989">
        <f>(O60/$R60*100*($E60/365))+(O61/$R61*100*($E61/365))</f>
        <v>67.113524956581614</v>
      </c>
      <c r="I160" s="989"/>
      <c r="J160" s="989">
        <f>(P60/$R60*100*($E60/365))+(P61/$R61*100*($E61/365))</f>
        <v>32.886475043418386</v>
      </c>
      <c r="K160" s="989"/>
      <c r="L160" s="989">
        <f>(Q60/$R60*100*($E60/365))+(Q61/$R61*100*($E61/365))</f>
        <v>0</v>
      </c>
      <c r="M160" s="989"/>
      <c r="N160" s="959">
        <f t="shared" si="14"/>
        <v>100</v>
      </c>
      <c r="O160" s="959"/>
      <c r="R160" s="1">
        <v>1985</v>
      </c>
      <c r="S160" s="8">
        <f>(O60*($E60/365))+(O61*($E61/365))</f>
        <v>34.504109589041093</v>
      </c>
      <c r="T160" s="8">
        <f>(P60*($E60/365))+(P61*($E61/365))</f>
        <v>16.898630136986299</v>
      </c>
      <c r="U160" s="8">
        <f>(Q60*($E60/365))+(Q61*($E61/365))</f>
        <v>0</v>
      </c>
      <c r="V160" s="7"/>
      <c r="W160" s="7">
        <f t="shared" si="16"/>
        <v>51.402739726027391</v>
      </c>
    </row>
    <row r="161" spans="1:23">
      <c r="A161" s="1">
        <v>1986</v>
      </c>
      <c r="B161" s="8">
        <f>(K62*($E62/365))+(K63*($E63/365))</f>
        <v>21.430745814307461</v>
      </c>
      <c r="C161" s="8">
        <f>(L62*($E62/365))+(L63*($E63/365))</f>
        <v>13.637747336377474</v>
      </c>
      <c r="D161" s="8">
        <f>(M62*($E62/365))+(M63*($E63/365))</f>
        <v>64.93150684931507</v>
      </c>
      <c r="E161" s="48">
        <f t="shared" si="15"/>
        <v>100</v>
      </c>
      <c r="G161" s="1">
        <v>1986</v>
      </c>
      <c r="H161" s="989">
        <f>(O62/$R62*100*($E62/365))+(O63/$R63*100*($E63/365))</f>
        <v>22.483429076447198</v>
      </c>
      <c r="I161" s="989"/>
      <c r="J161" s="989">
        <f>(P62/$R62*100*($E62/365))+(P63/$R63*100*($E63/365))</f>
        <v>12.585064074237737</v>
      </c>
      <c r="K161" s="989"/>
      <c r="L161" s="989">
        <f>(Q62/$R62*100*($E62/365))+(Q63/$R63*100*($E63/365))</f>
        <v>64.93150684931507</v>
      </c>
      <c r="M161" s="989"/>
      <c r="N161" s="959">
        <f t="shared" si="14"/>
        <v>100</v>
      </c>
      <c r="O161" s="959"/>
      <c r="R161" s="1">
        <v>1986</v>
      </c>
      <c r="S161" s="8">
        <f>(O62*($E62/365))+(O63*($E63/365))</f>
        <v>11.151780821917809</v>
      </c>
      <c r="T161" s="8">
        <f>(P62*($E62/365))+(P63*($E63/365))</f>
        <v>6.2421917808219165</v>
      </c>
      <c r="U161" s="8">
        <f>(Q62*($E62/365))+(Q63*($E63/365))</f>
        <v>29.349041095890414</v>
      </c>
      <c r="V161" s="7"/>
      <c r="W161" s="7">
        <f t="shared" si="16"/>
        <v>46.743013698630136</v>
      </c>
    </row>
    <row r="162" spans="1:23">
      <c r="A162" s="1">
        <v>1987</v>
      </c>
      <c r="B162" s="8">
        <f>(K64*($E64/365))+(K65*($E65/365))</f>
        <v>0</v>
      </c>
      <c r="C162" s="8">
        <f>(L64*($E64/365))+(L65*($E65/365))</f>
        <v>0</v>
      </c>
      <c r="D162" s="8">
        <f>(M64*($E64/365))+(M65*($E65/365))</f>
        <v>100</v>
      </c>
      <c r="E162" s="48">
        <f t="shared" si="15"/>
        <v>100</v>
      </c>
      <c r="G162" s="1">
        <v>1987</v>
      </c>
      <c r="H162" s="989">
        <f>(O64/$R64*100*($E64/365))+(O65/$R65*100*($E65/365))</f>
        <v>0</v>
      </c>
      <c r="I162" s="989"/>
      <c r="J162" s="989">
        <f>(P64/$R64*100*($E64/365))+(P65/$R65*100*($E65/365))</f>
        <v>0</v>
      </c>
      <c r="K162" s="989"/>
      <c r="L162" s="989">
        <f>(Q64/$R64*100*($E64/365))+(Q65/$R65*100*($E65/365))</f>
        <v>100</v>
      </c>
      <c r="M162" s="989"/>
      <c r="N162" s="959">
        <f t="shared" si="14"/>
        <v>100</v>
      </c>
      <c r="O162" s="959"/>
      <c r="R162" s="1">
        <v>1987</v>
      </c>
      <c r="S162" s="8">
        <f>(O64*($E64/365))+(O65*($E65/365))</f>
        <v>0</v>
      </c>
      <c r="T162" s="8">
        <f>(P64*($E64/365))+(P65*($E65/365))</f>
        <v>0</v>
      </c>
      <c r="U162" s="8">
        <f>(Q64*($E64/365))+(Q65*($E65/365))</f>
        <v>45.2</v>
      </c>
      <c r="V162" s="7"/>
      <c r="W162" s="7">
        <f t="shared" si="16"/>
        <v>45.2</v>
      </c>
    </row>
    <row r="163" spans="1:23">
      <c r="A163" s="1">
        <v>1988</v>
      </c>
      <c r="B163" s="8">
        <f>(K66*($E66/366))+(K67*($E67/366))</f>
        <v>0</v>
      </c>
      <c r="C163" s="8">
        <f>(L66*($E66/366))+(L67*($E67/366))</f>
        <v>0</v>
      </c>
      <c r="D163" s="8">
        <f>(M66*($E66/366))+(M67*($E67/366))</f>
        <v>100</v>
      </c>
      <c r="E163" s="48">
        <f t="shared" si="15"/>
        <v>100</v>
      </c>
      <c r="G163" s="1">
        <v>1988</v>
      </c>
      <c r="H163" s="989">
        <f>(O66/$R66*100*($E66/366))+(O67/$R67*100*($E67/366))</f>
        <v>0</v>
      </c>
      <c r="I163" s="989"/>
      <c r="J163" s="989">
        <f>(P66/$R66*100*($E66/366))+(P67/$R67*100*($E67/366))</f>
        <v>0</v>
      </c>
      <c r="K163" s="989"/>
      <c r="L163" s="989">
        <f>(Q66/$R66*100*($E66/366))+(Q67/$R67*100*($E67/366))</f>
        <v>100</v>
      </c>
      <c r="M163" s="989"/>
      <c r="N163" s="959">
        <f t="shared" si="14"/>
        <v>100</v>
      </c>
      <c r="O163" s="959"/>
      <c r="R163" s="1">
        <v>1988</v>
      </c>
      <c r="S163" s="8">
        <f>(O66*($E66/366))+(O67*($E67/366))</f>
        <v>0</v>
      </c>
      <c r="T163" s="8">
        <f>(P66*($E66/366))+(P67*($E67/366))</f>
        <v>0</v>
      </c>
      <c r="U163" s="8">
        <f>(Q66*($E66/366))+(Q67*($E67/366))</f>
        <v>45.2</v>
      </c>
      <c r="V163" s="7"/>
      <c r="W163" s="7">
        <f t="shared" si="16"/>
        <v>45.2</v>
      </c>
    </row>
    <row r="164" spans="1:23">
      <c r="A164" s="1">
        <v>1989</v>
      </c>
      <c r="B164" s="8">
        <f>(K68*($E68/365))+(K69*($E69/365))</f>
        <v>9.3759512937595115</v>
      </c>
      <c r="C164" s="8">
        <f>(L68*($E68/365))+(L69*($E69/365))</f>
        <v>11.719939117199392</v>
      </c>
      <c r="D164" s="8">
        <f>(M68*($E68/365))+(M69*($E69/365))</f>
        <v>78.904109589041099</v>
      </c>
      <c r="E164" s="48">
        <f t="shared" si="15"/>
        <v>100</v>
      </c>
      <c r="G164" s="1">
        <v>1989</v>
      </c>
      <c r="H164" s="989">
        <f>(O68/$R68*100*($E68/365))+(O69/$R69*100*($E69/365))</f>
        <v>12.567764500145731</v>
      </c>
      <c r="I164" s="989"/>
      <c r="J164" s="989">
        <f>(P68/$R68*100*($E68/365))+(P69/$R69*100*($E69/365))</f>
        <v>8.5281259108131735</v>
      </c>
      <c r="K164" s="989"/>
      <c r="L164" s="989">
        <f>(Q68/$R68*100*($E68/365))+(Q69/$R69*100*($E69/365))</f>
        <v>78.904109589041099</v>
      </c>
      <c r="M164" s="989"/>
      <c r="N164" s="959">
        <f t="shared" si="14"/>
        <v>100</v>
      </c>
      <c r="O164" s="959"/>
      <c r="R164" s="1">
        <v>1989</v>
      </c>
      <c r="S164" s="8">
        <f>(O68*($E68/365))+(O69*($E69/365))</f>
        <v>4.7254794520547945</v>
      </c>
      <c r="T164" s="8">
        <f>(P68*($E68/365))+(P69*($E69/365))</f>
        <v>3.206575342465753</v>
      </c>
      <c r="U164" s="8">
        <f>(Q68*($E68/365))+(Q69*($E69/365))</f>
        <v>35.664657534246579</v>
      </c>
      <c r="V164" s="7"/>
      <c r="W164" s="7">
        <f t="shared" si="16"/>
        <v>43.596712328767126</v>
      </c>
    </row>
    <row r="165" spans="1:23">
      <c r="A165" s="1">
        <v>1990</v>
      </c>
      <c r="B165" s="8">
        <f>(K70*($E70/365))+(K71*($E71/365))</f>
        <v>37.260273972602739</v>
      </c>
      <c r="C165" s="8">
        <f>(L70*($E70/365))+(L71*($E71/365))</f>
        <v>46.575342465753423</v>
      </c>
      <c r="D165" s="8">
        <f>(M70*($E70/365))+(M71*($E71/365))</f>
        <v>16.164383561643834</v>
      </c>
      <c r="E165" s="48">
        <f t="shared" si="15"/>
        <v>100</v>
      </c>
      <c r="G165" s="1">
        <v>1990</v>
      </c>
      <c r="H165" s="989">
        <f>(O70/$R70*100*($E70/365))+(O71/$R71*100*($E71/365))</f>
        <v>49.944622559020701</v>
      </c>
      <c r="I165" s="989"/>
      <c r="J165" s="989">
        <f>(P70/$R70*100*($E70/365))+(P71/$R71*100*($E71/365))</f>
        <v>33.890993879335468</v>
      </c>
      <c r="K165" s="989"/>
      <c r="L165" s="989">
        <f>(Q70/$R70*100*($E70/365))+(Q71/$R71*100*($E71/365))</f>
        <v>16.164383561643834</v>
      </c>
      <c r="M165" s="989"/>
      <c r="N165" s="959">
        <f t="shared" si="14"/>
        <v>100</v>
      </c>
      <c r="O165" s="959"/>
      <c r="R165" s="1">
        <v>1990</v>
      </c>
      <c r="S165" s="8">
        <f>(O70*($E70/365))+(O71*($E71/365))</f>
        <v>18.77917808219178</v>
      </c>
      <c r="T165" s="8">
        <f>(P70*($E70/365))+(P71*($E71/365))</f>
        <v>12.743013698630136</v>
      </c>
      <c r="U165" s="8">
        <f>(Q70*($E70/365))+(Q71*($E71/365))</f>
        <v>6.1747945205479455</v>
      </c>
      <c r="V165" s="7"/>
      <c r="W165" s="7">
        <f t="shared" si="16"/>
        <v>37.696986301369861</v>
      </c>
    </row>
    <row r="166" spans="1:23">
      <c r="A166" s="1">
        <v>1991</v>
      </c>
      <c r="B166" s="8">
        <f>(K72*($E72/365))+(K73*($E73/365))</f>
        <v>0</v>
      </c>
      <c r="C166" s="8">
        <f>(L72*($E72/365))+(L73*($E73/365))</f>
        <v>0</v>
      </c>
      <c r="D166" s="8">
        <f>(M72*($E72/365))+(M73*($E73/365))</f>
        <v>100</v>
      </c>
      <c r="E166" s="48">
        <f t="shared" si="15"/>
        <v>100</v>
      </c>
      <c r="G166" s="1">
        <v>1991</v>
      </c>
      <c r="H166" s="989">
        <f>(O72/$R72*100*($E72/365))+(O73/$R73*100*($E73/365))</f>
        <v>0</v>
      </c>
      <c r="I166" s="989"/>
      <c r="J166" s="989">
        <f>(P72/$R72*100*($E72/365))+(P73/$R73*100*($E73/365))</f>
        <v>0</v>
      </c>
      <c r="K166" s="989"/>
      <c r="L166" s="989">
        <f>(Q72/$R72*100*($E72/365))+(Q73/$R73*100*($E73/365))</f>
        <v>100</v>
      </c>
      <c r="M166" s="989"/>
      <c r="N166" s="959">
        <f t="shared" si="14"/>
        <v>100</v>
      </c>
      <c r="O166" s="959"/>
      <c r="R166" s="1">
        <v>1991</v>
      </c>
      <c r="S166" s="8">
        <f>(O72*($E72/365))+(O73*($E73/365))</f>
        <v>0</v>
      </c>
      <c r="T166" s="8">
        <f>(P72*($E72/365))+(P73*($E73/365))</f>
        <v>0</v>
      </c>
      <c r="U166" s="8">
        <f>(Q72*($E72/365))+(Q73*($E73/365))</f>
        <v>38.200000000000003</v>
      </c>
      <c r="V166" s="7"/>
      <c r="W166" s="7">
        <f t="shared" si="16"/>
        <v>38.200000000000003</v>
      </c>
    </row>
    <row r="167" spans="1:23">
      <c r="A167" s="1">
        <v>1992</v>
      </c>
      <c r="B167" s="8">
        <f>(K74*($E74/366))+(K75*($E75/366))</f>
        <v>0</v>
      </c>
      <c r="C167" s="8">
        <f>(L74*($E74/366))+(L75*($E75/366))</f>
        <v>0</v>
      </c>
      <c r="D167" s="8">
        <f>(M74*($E74/366))+(M75*($E75/366))</f>
        <v>100</v>
      </c>
      <c r="E167" s="48">
        <f t="shared" si="15"/>
        <v>100</v>
      </c>
      <c r="G167" s="1">
        <v>1992</v>
      </c>
      <c r="H167" s="989">
        <f>(O74/$R74*100*($E74/366))+(O75/$R75*100*($E75/366))</f>
        <v>0</v>
      </c>
      <c r="I167" s="989"/>
      <c r="J167" s="989">
        <f>(P74/$R74*100*($E74/366))+(P75/$R75*100*($E75/366))</f>
        <v>0</v>
      </c>
      <c r="K167" s="989"/>
      <c r="L167" s="989">
        <f>(Q74/$R74*100*($E74/366))+(Q75/$R75*100*($E75/366))</f>
        <v>100</v>
      </c>
      <c r="M167" s="989"/>
      <c r="N167" s="959">
        <f t="shared" ref="N167:N187" si="17">H167+J167+L167</f>
        <v>100</v>
      </c>
      <c r="O167" s="959"/>
      <c r="R167" s="1">
        <v>1992</v>
      </c>
      <c r="S167" s="8">
        <f>(O74*($E74/366))+(O75*($E75/366))</f>
        <v>0</v>
      </c>
      <c r="T167" s="8">
        <f>(P74*($E74/366))+(P75*($E75/366))</f>
        <v>0</v>
      </c>
      <c r="U167" s="8">
        <f>(Q74*($E74/366))+(Q75*($E75/366))</f>
        <v>38.200000000000003</v>
      </c>
      <c r="V167" s="7"/>
      <c r="W167" s="7">
        <f t="shared" si="16"/>
        <v>38.200000000000003</v>
      </c>
    </row>
    <row r="168" spans="1:23">
      <c r="A168" s="1">
        <v>1993</v>
      </c>
      <c r="B168" s="8">
        <f>(K76*($E76/365))+(K77*($E77/365))</f>
        <v>0</v>
      </c>
      <c r="C168" s="8">
        <f>(L76*($E76/365))+(L77*($E77/365))</f>
        <v>0</v>
      </c>
      <c r="D168" s="8">
        <f>(M76*($E76/365))+(M77*($E77/365))</f>
        <v>100</v>
      </c>
      <c r="E168" s="48">
        <f t="shared" si="15"/>
        <v>100</v>
      </c>
      <c r="G168" s="1">
        <v>1993</v>
      </c>
      <c r="H168" s="989">
        <f>(O76/$R76*100*($E76/365))+(O77/$R77*100*($E77/365))</f>
        <v>0</v>
      </c>
      <c r="I168" s="989"/>
      <c r="J168" s="989">
        <f>(P76/$R76*100*($E76/365))+(P77/$R77*100*($E77/365))</f>
        <v>0</v>
      </c>
      <c r="K168" s="989"/>
      <c r="L168" s="989">
        <f>(Q76/$R76*100*($E76/365))+(Q77/$R77*100*($E77/365))</f>
        <v>100</v>
      </c>
      <c r="M168" s="989"/>
      <c r="N168" s="959">
        <f t="shared" si="17"/>
        <v>100</v>
      </c>
      <c r="O168" s="959"/>
      <c r="R168" s="1">
        <v>1993</v>
      </c>
      <c r="S168" s="8">
        <f>(O76*($E76/365))+(O77*($E77/365))</f>
        <v>0</v>
      </c>
      <c r="T168" s="8">
        <f>(P76*($E76/365))+(P77*($E77/365))</f>
        <v>0</v>
      </c>
      <c r="U168" s="8">
        <f>(Q76*($E76/365))+(Q77*($E77/365))</f>
        <v>38.916712328767126</v>
      </c>
      <c r="V168" s="7"/>
      <c r="W168" s="7">
        <f t="shared" si="16"/>
        <v>38.916712328767126</v>
      </c>
    </row>
    <row r="169" spans="1:23">
      <c r="A169" s="1">
        <v>1994</v>
      </c>
      <c r="B169" s="8">
        <f>(K78*($E78/365))+(K79*($E79/365))</f>
        <v>0</v>
      </c>
      <c r="C169" s="8">
        <f>(L78*($E78/365))+(L79*($E79/365))</f>
        <v>0</v>
      </c>
      <c r="D169" s="8">
        <f>(M78*($E78/365))+(M79*($E79/365))</f>
        <v>100</v>
      </c>
      <c r="E169" s="48">
        <f t="shared" si="15"/>
        <v>100</v>
      </c>
      <c r="G169" s="1">
        <v>1994</v>
      </c>
      <c r="H169" s="989">
        <f>(O78/$R78*100*($E78/365))+(O79/$R79*100*($E79/365))</f>
        <v>0</v>
      </c>
      <c r="I169" s="989"/>
      <c r="J169" s="989">
        <f>(P78/$R78*100*($E78/365))+(P79/$R79*100*($E79/365))</f>
        <v>0</v>
      </c>
      <c r="K169" s="989"/>
      <c r="L169" s="989">
        <f>(Q78/$R78*100*($E78/365))+(Q79/$R79*100*($E79/365))</f>
        <v>100</v>
      </c>
      <c r="M169" s="989"/>
      <c r="N169" s="959">
        <f t="shared" si="17"/>
        <v>100</v>
      </c>
      <c r="O169" s="959"/>
      <c r="R169" s="1">
        <v>1994</v>
      </c>
      <c r="S169" s="8">
        <f>(O78*($E78/365))+(O79*($E79/365))</f>
        <v>0</v>
      </c>
      <c r="T169" s="8">
        <f>(P78*($E78/365))+(P79*($E79/365))</f>
        <v>0</v>
      </c>
      <c r="U169" s="8">
        <f>(Q78*($E78/365))+(Q79*($E79/365))</f>
        <v>40.6</v>
      </c>
      <c r="V169" s="7"/>
      <c r="W169" s="7">
        <f t="shared" si="16"/>
        <v>40.6</v>
      </c>
    </row>
    <row r="170" spans="1:23">
      <c r="A170" s="1">
        <v>1995</v>
      </c>
      <c r="B170" s="8">
        <f>(K80*($E80/365))+(K81*($E81/365))</f>
        <v>0</v>
      </c>
      <c r="C170" s="8">
        <f>(L80*($E80/365))+(L81*($E81/365))</f>
        <v>0</v>
      </c>
      <c r="D170" s="8">
        <f>(M80*($E80/365))+(M81*($E81/365))</f>
        <v>100</v>
      </c>
      <c r="E170" s="48">
        <f t="shared" si="15"/>
        <v>100</v>
      </c>
      <c r="G170" s="1">
        <v>1995</v>
      </c>
      <c r="H170" s="989">
        <f>(O80/$R80*100*($E80/365))+(O81/$R81*100*($E81/365))</f>
        <v>0</v>
      </c>
      <c r="I170" s="989"/>
      <c r="J170" s="989">
        <f>(P80/$R80*100*($E80/365))+(P81/$R81*100*($E81/365))</f>
        <v>0</v>
      </c>
      <c r="K170" s="989"/>
      <c r="L170" s="989">
        <f>(Q80/$R80*100*($E80/365))+(Q81/$R81*100*($E81/365))</f>
        <v>100</v>
      </c>
      <c r="M170" s="989"/>
      <c r="N170" s="959">
        <f t="shared" si="17"/>
        <v>100</v>
      </c>
      <c r="O170" s="959"/>
      <c r="R170" s="1">
        <v>1995</v>
      </c>
      <c r="S170" s="8">
        <f>(O80*($E80/365))+(O81*($E81/365))</f>
        <v>0</v>
      </c>
      <c r="T170" s="8">
        <f>(P80*($E80/365))+(P81*($E81/365))</f>
        <v>0</v>
      </c>
      <c r="U170" s="8">
        <f>(Q80*($E80/365))+(Q81*($E81/365))</f>
        <v>40.6</v>
      </c>
      <c r="V170" s="7"/>
      <c r="W170" s="7">
        <f t="shared" si="16"/>
        <v>40.6</v>
      </c>
    </row>
    <row r="171" spans="1:23">
      <c r="A171" s="1">
        <v>1996</v>
      </c>
      <c r="B171" s="8">
        <f>(K82*($E82/366))+(K83*($E83/366))</f>
        <v>0</v>
      </c>
      <c r="C171" s="8">
        <f>(L82*($E82/366))+(L83*($E83/366))</f>
        <v>0</v>
      </c>
      <c r="D171" s="8">
        <f>(M82*($E82/366))+(M83*($E83/366))</f>
        <v>100</v>
      </c>
      <c r="E171" s="48">
        <f t="shared" si="15"/>
        <v>100</v>
      </c>
      <c r="G171" s="1">
        <v>1996</v>
      </c>
      <c r="H171" s="989">
        <f>(O82/$R82*100*($E82/366))+(O83/$R83*100*($E83/366))</f>
        <v>0</v>
      </c>
      <c r="I171" s="989"/>
      <c r="J171" s="989">
        <f>(P82/$R82*100*($E82/366))+(P83/$R83*100*($E83/366))</f>
        <v>0</v>
      </c>
      <c r="K171" s="989"/>
      <c r="L171" s="989">
        <f>(Q82/$R82*100*($E82/366))+(Q83/$R83*100*($E83/366))</f>
        <v>100</v>
      </c>
      <c r="M171" s="989"/>
      <c r="N171" s="959">
        <f t="shared" si="17"/>
        <v>100</v>
      </c>
      <c r="O171" s="959"/>
      <c r="R171" s="1">
        <v>1996</v>
      </c>
      <c r="S171" s="8">
        <f>(O82*($E82/366))+(O83*($E83/366))</f>
        <v>0</v>
      </c>
      <c r="T171" s="8">
        <f>(P82*($E82/366))+(P83*($E83/366))</f>
        <v>0</v>
      </c>
      <c r="U171" s="8">
        <f>(Q82*($E82/366))+(Q83*($E83/366))</f>
        <v>40.6</v>
      </c>
      <c r="V171" s="7"/>
      <c r="W171" s="7">
        <f t="shared" si="16"/>
        <v>40.6</v>
      </c>
    </row>
    <row r="172" spans="1:23">
      <c r="A172" s="1">
        <v>1997</v>
      </c>
      <c r="B172" s="8">
        <f>(K84*($E84/365))+(K85*($E85/365))</f>
        <v>4.3835616438356162</v>
      </c>
      <c r="C172" s="8">
        <f>(L84*($E84/365))+(L85*($E85/365))</f>
        <v>16.438356164383563</v>
      </c>
      <c r="D172" s="8">
        <f>(M84*($E84/365))+(M85*($E85/365))</f>
        <v>79.178082191780817</v>
      </c>
      <c r="E172" s="48">
        <f t="shared" si="15"/>
        <v>100</v>
      </c>
      <c r="G172" s="1">
        <v>1997</v>
      </c>
      <c r="H172" s="989">
        <f>(O84/$R84*100*($E84/365))+(O85/$R85*100*($E85/365))</f>
        <v>2.9395648670427077</v>
      </c>
      <c r="I172" s="989"/>
      <c r="J172" s="989">
        <f>(P84/$R84*100*($E84/365))+(P85/$R85*100*($E85/365))</f>
        <v>17.882352941176471</v>
      </c>
      <c r="K172" s="989"/>
      <c r="L172" s="989">
        <f>(Q84/$R84*100*($E84/365))+(Q85/$R85*100*($E85/365))</f>
        <v>79.178082191780817</v>
      </c>
      <c r="M172" s="989"/>
      <c r="N172" s="959">
        <f t="shared" si="17"/>
        <v>100</v>
      </c>
      <c r="O172" s="959"/>
      <c r="R172" s="1">
        <v>1997</v>
      </c>
      <c r="S172" s="8">
        <f>(O84*($E84/365))+(O85*($E85/365))</f>
        <v>0.74958904109589042</v>
      </c>
      <c r="T172" s="8">
        <f>(P84*($E84/365))+(P85*($E85/365))</f>
        <v>4.5599999999999996</v>
      </c>
      <c r="U172" s="8">
        <f>(Q84*($E84/365))+(Q85*($E85/365))</f>
        <v>32.146301369863011</v>
      </c>
      <c r="V172" s="7"/>
      <c r="W172" s="7">
        <f t="shared" si="16"/>
        <v>37.455890410958901</v>
      </c>
    </row>
    <row r="173" spans="1:23">
      <c r="A173" s="1">
        <v>1998</v>
      </c>
      <c r="B173" s="8">
        <f>(K86*($E86/365))+(K87*($E87/365))</f>
        <v>21.052631578947366</v>
      </c>
      <c r="C173" s="8">
        <f>(L86*($E86/365))+(L87*($E87/365))</f>
        <v>78.94736842105263</v>
      </c>
      <c r="D173" s="8">
        <f>(M86*($E86/365))+(M87*($E87/365))</f>
        <v>0</v>
      </c>
      <c r="E173" s="48">
        <f t="shared" si="15"/>
        <v>100</v>
      </c>
      <c r="G173" s="1">
        <v>1998</v>
      </c>
      <c r="H173" s="989">
        <f>(O86/$R86*100*($E86/365))+(O87/$R87*100*($E87/365))</f>
        <v>14.117647058823529</v>
      </c>
      <c r="I173" s="989"/>
      <c r="J173" s="989">
        <f>(P86/$R86*100*($E86/365))+(P87/$R87*100*($E87/365))</f>
        <v>85.882352941176464</v>
      </c>
      <c r="K173" s="989"/>
      <c r="L173" s="989">
        <f>(Q86/$R86*100*($E86/365))+(Q87/$R87*100*($E87/365))</f>
        <v>0</v>
      </c>
      <c r="M173" s="989"/>
      <c r="N173" s="959">
        <f t="shared" si="17"/>
        <v>100</v>
      </c>
      <c r="O173" s="959"/>
      <c r="R173" s="1">
        <v>1998</v>
      </c>
      <c r="S173" s="8">
        <f>(O86*($E86/365))+(O87*($E87/365))</f>
        <v>3.6</v>
      </c>
      <c r="T173" s="8">
        <f>(P86*($E86/365))+(P87*($E87/365))</f>
        <v>21.9</v>
      </c>
      <c r="U173" s="8">
        <f>(Q86*($E86/365))+(Q87*($E87/365))</f>
        <v>0</v>
      </c>
      <c r="V173" s="7"/>
      <c r="W173" s="7">
        <f t="shared" si="16"/>
        <v>25.5</v>
      </c>
    </row>
    <row r="174" spans="1:23">
      <c r="A174" s="1">
        <v>1999</v>
      </c>
      <c r="B174" s="8">
        <f>(K88*($E88/365))+(K89*($E89/365))</f>
        <v>21.052631578947366</v>
      </c>
      <c r="C174" s="8">
        <f>(L88*($E88/365))+(L89*($E89/365))</f>
        <v>78.94736842105263</v>
      </c>
      <c r="D174" s="8">
        <f>(M88*($E88/365))+(M89*($E89/365))</f>
        <v>0</v>
      </c>
      <c r="E174" s="48">
        <f t="shared" si="15"/>
        <v>100</v>
      </c>
      <c r="G174" s="1">
        <v>1999</v>
      </c>
      <c r="H174" s="989">
        <f>(O88/$R88*100*($E88/365))+(O89/$R89*100*($E89/365))</f>
        <v>14.117647058823529</v>
      </c>
      <c r="I174" s="989"/>
      <c r="J174" s="989">
        <f>(P88/$R88*100*($E88/365))+(P89/$R89*100*($E89/365))</f>
        <v>85.882352941176464</v>
      </c>
      <c r="K174" s="989"/>
      <c r="L174" s="989">
        <f>(Q88/$R88*100*($E88/365))+(Q89/$R89*100*($E89/365))</f>
        <v>0</v>
      </c>
      <c r="M174" s="989"/>
      <c r="N174" s="959">
        <f t="shared" si="17"/>
        <v>100</v>
      </c>
      <c r="O174" s="959"/>
      <c r="R174" s="1">
        <v>1999</v>
      </c>
      <c r="S174" s="8">
        <f>(O88*($E88/365))+(O89*($E89/365))</f>
        <v>3.6</v>
      </c>
      <c r="T174" s="8">
        <f>(P88*($E88/365))+(P89*($E89/365))</f>
        <v>21.9</v>
      </c>
      <c r="U174" s="8">
        <f>(Q88*($E88/365))+(Q89*($E89/365))</f>
        <v>0</v>
      </c>
      <c r="V174" s="7"/>
      <c r="W174" s="7">
        <f t="shared" si="16"/>
        <v>25.5</v>
      </c>
    </row>
    <row r="175" spans="1:23">
      <c r="A175" s="1">
        <v>2000</v>
      </c>
      <c r="B175" s="8">
        <f>(K90*($E90/366))+(K91*($E91/366))</f>
        <v>4.3715846994535514</v>
      </c>
      <c r="C175" s="8">
        <f>(L90*($E90/366))+(L91*($E91/366))</f>
        <v>16.393442622950818</v>
      </c>
      <c r="D175" s="8">
        <f>(M90*($E90/366))+(M91*($E91/366))</f>
        <v>79.234972677595621</v>
      </c>
      <c r="E175" s="48">
        <f t="shared" si="15"/>
        <v>100</v>
      </c>
      <c r="G175" s="1">
        <v>2000</v>
      </c>
      <c r="H175" s="989">
        <f>(O90/$R90*100*($E90/366))+(O91/$R91*100*($E91/366))</f>
        <v>2.9315332690453233</v>
      </c>
      <c r="I175" s="989"/>
      <c r="J175" s="989">
        <f>(P90/$R90*100*($E90/366))+(P91/$R91*100*($E91/366))</f>
        <v>17.833494053359047</v>
      </c>
      <c r="K175" s="989"/>
      <c r="L175" s="989">
        <f>(Q90/$R90*100*($E90/366))+(Q91/$R91*100*($E91/366))</f>
        <v>79.234972677595621</v>
      </c>
      <c r="M175" s="989"/>
      <c r="N175" s="959">
        <f t="shared" si="17"/>
        <v>100</v>
      </c>
      <c r="O175" s="959"/>
      <c r="R175" s="1">
        <v>2000</v>
      </c>
      <c r="S175" s="8">
        <f>(O90*($E90/366))+(O91*($E91/366))</f>
        <v>0.74754098360655741</v>
      </c>
      <c r="T175" s="8">
        <f>(P90*($E90/366))+(P91*($E91/366))</f>
        <v>4.5475409836065577</v>
      </c>
      <c r="U175" s="8">
        <f>(Q90*($E90/366))+(Q91*($E91/366))</f>
        <v>31.218579234972676</v>
      </c>
      <c r="V175" s="7"/>
      <c r="W175" s="7">
        <f t="shared" si="16"/>
        <v>36.513661202185787</v>
      </c>
    </row>
    <row r="176" spans="1:23">
      <c r="A176" s="1">
        <v>2001</v>
      </c>
      <c r="B176" s="8">
        <f>(K92*($E92/365))+(K93*($E93/365))</f>
        <v>13.871665465032443</v>
      </c>
      <c r="C176" s="8">
        <f>(L92*($E92/365))+(L93*($E93/365))</f>
        <v>6.4023071377072815</v>
      </c>
      <c r="D176" s="8">
        <f>(M92*($E92/365))+(M93*($E93/365))</f>
        <v>79.726027397260268</v>
      </c>
      <c r="E176" s="48">
        <f t="shared" si="15"/>
        <v>100</v>
      </c>
      <c r="G176" s="1">
        <v>2001</v>
      </c>
      <c r="H176" s="989">
        <f>(O92/$R92*100*($E92/365))+(O93/$R93*100*($E93/365))</f>
        <v>13.083470319634703</v>
      </c>
      <c r="I176" s="989"/>
      <c r="J176" s="989">
        <f>(P92/$R92*100*($E92/365))+(P93/$R93*100*($E93/365))</f>
        <v>7.1905022831050234</v>
      </c>
      <c r="K176" s="989"/>
      <c r="L176" s="989">
        <f>(Q92/$R92*100*($E92/365))+(Q93/$R93*100*($E93/365))</f>
        <v>79.726027397260268</v>
      </c>
      <c r="M176" s="989"/>
      <c r="N176" s="959">
        <f t="shared" si="17"/>
        <v>100</v>
      </c>
      <c r="O176" s="959"/>
      <c r="R176" s="1">
        <v>2001</v>
      </c>
      <c r="S176" s="8">
        <f>(O92*($E92/365))+(O93*($E93/365))</f>
        <v>4.9063013698630131</v>
      </c>
      <c r="T176" s="8">
        <f>(P92*($E92/365))+(P93*($E93/365))</f>
        <v>2.6964383561643839</v>
      </c>
      <c r="U176" s="8">
        <f>(Q92*($E92/365))+(Q93*($E93/365))</f>
        <v>31.412054794520543</v>
      </c>
      <c r="V176" s="7"/>
      <c r="W176" s="7">
        <f t="shared" si="16"/>
        <v>39.014794520547937</v>
      </c>
    </row>
    <row r="177" spans="1:34">
      <c r="A177" s="1">
        <v>2002</v>
      </c>
      <c r="B177" s="8">
        <f>(K94*($E94/365))+(K95*($E95/365))</f>
        <v>68.421052631578945</v>
      </c>
      <c r="C177" s="8">
        <f>(L94*($E94/365))+(L95*($E95/365))</f>
        <v>31.578947368421051</v>
      </c>
      <c r="D177" s="8">
        <f>(M94*($E94/365))+(M95*($E95/365))</f>
        <v>0</v>
      </c>
      <c r="E177" s="48">
        <f t="shared" si="15"/>
        <v>100</v>
      </c>
      <c r="G177" s="1">
        <v>2002</v>
      </c>
      <c r="H177" s="989">
        <f>(O94/$R94*100*($E94/365))+(O95/$R95*100*($E95/365))</f>
        <v>64.533333333333331</v>
      </c>
      <c r="I177" s="989"/>
      <c r="J177" s="989">
        <f>(P94/$R94*100*($E94/365))+(P95/$R95*100*($E95/365))</f>
        <v>35.466666666666669</v>
      </c>
      <c r="K177" s="989"/>
      <c r="L177" s="989">
        <f>(Q94/$R94*100*($E94/365))+(Q95/$R95*100*($E95/365))</f>
        <v>0</v>
      </c>
      <c r="M177" s="989"/>
      <c r="N177" s="959">
        <f t="shared" si="17"/>
        <v>100</v>
      </c>
      <c r="O177" s="959"/>
      <c r="R177" s="1">
        <v>2002</v>
      </c>
      <c r="S177" s="8">
        <f>(O94*($E94/365))+(O95*($E95/365))</f>
        <v>24.2</v>
      </c>
      <c r="T177" s="8">
        <f>(P94*($E94/365))+(P95*($E95/365))</f>
        <v>13.3</v>
      </c>
      <c r="U177" s="8">
        <f>(Q94*($E94/365))+(Q95*($E95/365))</f>
        <v>0</v>
      </c>
      <c r="V177" s="7"/>
      <c r="W177" s="7">
        <f t="shared" si="16"/>
        <v>37.5</v>
      </c>
    </row>
    <row r="178" spans="1:34">
      <c r="A178" s="1">
        <v>2003</v>
      </c>
      <c r="B178" s="8">
        <f>(K96*($E96/365))+(K97*($E97/365))</f>
        <v>68.421052631578945</v>
      </c>
      <c r="C178" s="8">
        <f>(L96*($E96/365))+(L97*($E97/365))</f>
        <v>31.578947368421051</v>
      </c>
      <c r="D178" s="8">
        <f>(M96*($E96/365))+(M97*($E97/365))</f>
        <v>0</v>
      </c>
      <c r="E178" s="48">
        <f t="shared" si="15"/>
        <v>100</v>
      </c>
      <c r="G178" s="1">
        <v>2003</v>
      </c>
      <c r="H178" s="989">
        <f>(O96/$R96*100*($E96/365))+(O97/$R97*100*($E97/365))</f>
        <v>64.533333333333331</v>
      </c>
      <c r="I178" s="989"/>
      <c r="J178" s="989">
        <f>(P96/$R96*100*($E96/365))+(P97/$R97*100*($E97/365))</f>
        <v>35.466666666666669</v>
      </c>
      <c r="K178" s="989"/>
      <c r="L178" s="989">
        <f>(Q96/$R96*100*($E96/365))+(Q97/$R97*100*($E97/365))</f>
        <v>0</v>
      </c>
      <c r="M178" s="989"/>
      <c r="N178" s="959">
        <f t="shared" si="17"/>
        <v>100</v>
      </c>
      <c r="O178" s="959"/>
      <c r="R178" s="1">
        <v>2003</v>
      </c>
      <c r="S178" s="8">
        <f>(O96*($E96/365))+(O97*($E97/365))</f>
        <v>24.2</v>
      </c>
      <c r="T178" s="8">
        <f>(P96*($E96/365))+(P97*($E97/365))</f>
        <v>13.3</v>
      </c>
      <c r="U178" s="8">
        <f>(Q96*($E96/365))+(Q97*($E97/365))</f>
        <v>0</v>
      </c>
      <c r="V178" s="7"/>
      <c r="W178" s="7">
        <f t="shared" si="16"/>
        <v>37.5</v>
      </c>
    </row>
    <row r="179" spans="1:34">
      <c r="A179" s="1">
        <v>2004</v>
      </c>
      <c r="B179" s="8">
        <f>(K98*($E98/366))+(K99*($E99/366))</f>
        <v>68.421052631578945</v>
      </c>
      <c r="C179" s="8">
        <f>(L98*($E98/366))+(L99*($E99/366))</f>
        <v>31.578947368421051</v>
      </c>
      <c r="D179" s="8">
        <f>(M98*($E98/366))+(M99*($E99/366))</f>
        <v>0</v>
      </c>
      <c r="E179" s="48">
        <f t="shared" si="15"/>
        <v>100</v>
      </c>
      <c r="G179" s="1">
        <v>2004</v>
      </c>
      <c r="H179" s="989">
        <f>(O98/$R98*100*($E98/366))+(O99/$R99*100*($E99/366))</f>
        <v>64.533333333333331</v>
      </c>
      <c r="I179" s="989"/>
      <c r="J179" s="989">
        <f>(P98/$R98*100*($E98/366))+(P99/$R99*100*($E99/366))</f>
        <v>35.466666666666669</v>
      </c>
      <c r="K179" s="989"/>
      <c r="L179" s="989">
        <f>(Q98/$R98*100*($E98/366))+(Q99/$R99*100*($E99/366))</f>
        <v>0</v>
      </c>
      <c r="M179" s="989"/>
      <c r="N179" s="959">
        <f t="shared" si="17"/>
        <v>100</v>
      </c>
      <c r="O179" s="959"/>
      <c r="R179" s="1">
        <v>2004</v>
      </c>
      <c r="S179" s="8">
        <f>(O98*($E98/366))+(O99*($E99/366))</f>
        <v>24.2</v>
      </c>
      <c r="T179" s="8">
        <f>(P98*($E98/366))+(P99*($E99/366))</f>
        <v>13.3</v>
      </c>
      <c r="U179" s="8">
        <f>(Q98*($E98/366))+(Q99*($E99/366))</f>
        <v>0</v>
      </c>
      <c r="V179" s="7"/>
      <c r="W179" s="7">
        <f t="shared" si="16"/>
        <v>37.5</v>
      </c>
    </row>
    <row r="180" spans="1:34">
      <c r="A180" s="1">
        <v>2005</v>
      </c>
      <c r="B180" s="8">
        <f>(K100*($E100/365))+(K101*($E101/365))</f>
        <v>54.174477289113192</v>
      </c>
      <c r="C180" s="8">
        <f>(L100*($E100/365))+(L101*($E101/365))</f>
        <v>29.387166546503241</v>
      </c>
      <c r="D180" s="8">
        <f>(M100*($E100/365))+(M101*($E101/365))</f>
        <v>16.438356164383563</v>
      </c>
      <c r="E180" s="48">
        <f t="shared" si="15"/>
        <v>100</v>
      </c>
      <c r="G180" s="1">
        <v>2005</v>
      </c>
      <c r="H180" s="989">
        <f>(O100/$R100*100*($E100/365))+(O101/$R101*100*($E101/365))</f>
        <v>51.096255707762552</v>
      </c>
      <c r="I180" s="989"/>
      <c r="J180" s="989">
        <f>(P100/$R100*100*($E100/365))+(P101/$R101*100*($E101/365))</f>
        <v>30.709835527774082</v>
      </c>
      <c r="K180" s="989"/>
      <c r="L180" s="989">
        <f>(Q100/$R100*100*($E100/365))+(Q101/$R101*100*($E101/365))</f>
        <v>18.193908764463359</v>
      </c>
      <c r="M180" s="989"/>
      <c r="N180" s="959">
        <f t="shared" si="17"/>
        <v>99.999999999999986</v>
      </c>
      <c r="O180" s="959"/>
      <c r="R180" s="1">
        <v>2005</v>
      </c>
      <c r="S180" s="8">
        <f>(O100*($E100/365))+(O101*($E101/365))</f>
        <v>19.161095890410959</v>
      </c>
      <c r="T180" s="8">
        <f>(P100*($E100/365))+(P101*($E101/365))</f>
        <v>11.884109589041095</v>
      </c>
      <c r="U180" s="8">
        <f>(Q100*($E100/365))+(Q101*($E101/365))</f>
        <v>9.3698630136986303</v>
      </c>
      <c r="V180" s="7"/>
      <c r="W180" s="7">
        <f t="shared" si="16"/>
        <v>40.415068493150685</v>
      </c>
    </row>
    <row r="181" spans="1:34">
      <c r="A181" s="1">
        <v>2006</v>
      </c>
      <c r="B181" s="8">
        <f>(K102*($E102/365))+(K103*($E103/365))</f>
        <v>0</v>
      </c>
      <c r="C181" s="8">
        <f>(L102*($E102/365))+(L103*($E103/365))</f>
        <v>21.052631578947366</v>
      </c>
      <c r="D181" s="8">
        <f>(M102*($E102/365))+(M103*($E103/365))</f>
        <v>78.94736842105263</v>
      </c>
      <c r="E181" s="48">
        <f t="shared" si="15"/>
        <v>100</v>
      </c>
      <c r="G181" s="1">
        <v>2006</v>
      </c>
      <c r="H181" s="989">
        <f>(O102/$R102*100*($E102/365))+(O103/$R103*100*($E103/365))</f>
        <v>0</v>
      </c>
      <c r="I181" s="989"/>
      <c r="J181" s="989">
        <f>(P102/$R102*100*($E102/365))+(P103/$R103*100*($E103/365))</f>
        <v>12.621359223300971</v>
      </c>
      <c r="K181" s="989"/>
      <c r="L181" s="989">
        <f>(Q102/$R102*100*($E102/365))+(Q103/$R103*100*($E103/365))</f>
        <v>87.378640776699029</v>
      </c>
      <c r="M181" s="989"/>
      <c r="N181" s="959">
        <f t="shared" si="17"/>
        <v>100</v>
      </c>
      <c r="O181" s="959"/>
      <c r="R181" s="1">
        <v>2006</v>
      </c>
      <c r="S181" s="8">
        <f>(O102*($E102/365))+(O103*($E103/365))</f>
        <v>0</v>
      </c>
      <c r="T181" s="8">
        <f>(P102*($E102/365))+(P103*($E103/365))</f>
        <v>6.5</v>
      </c>
      <c r="U181" s="8">
        <f>(Q102*($E102/365))+(Q103*($E103/365))</f>
        <v>45</v>
      </c>
      <c r="V181" s="7"/>
      <c r="W181" s="7">
        <f t="shared" si="16"/>
        <v>51.5</v>
      </c>
    </row>
    <row r="182" spans="1:34">
      <c r="A182" s="1">
        <v>2007</v>
      </c>
      <c r="B182" s="8">
        <f>(K104*($E104/365))+(K105*($E105/365))</f>
        <v>0</v>
      </c>
      <c r="C182" s="8">
        <f>(L104*($E104/365))+(L105*($E105/365))</f>
        <v>21.052631578947366</v>
      </c>
      <c r="D182" s="8">
        <f>(M104*($E104/365))+(M105*($E105/365))</f>
        <v>78.94736842105263</v>
      </c>
      <c r="E182" s="48">
        <f t="shared" si="15"/>
        <v>100</v>
      </c>
      <c r="G182" s="1">
        <v>2007</v>
      </c>
      <c r="H182" s="989">
        <f>(O104/$R104*100*($E104/365))+(O105/$R105*100*($E105/365))</f>
        <v>0</v>
      </c>
      <c r="I182" s="989"/>
      <c r="J182" s="989">
        <f>(P104/$R104*100*($E104/365))+(P105/$R105*100*($E105/365))</f>
        <v>12.621359223300971</v>
      </c>
      <c r="K182" s="989"/>
      <c r="L182" s="989">
        <f>(Q104/$R104*100*($E104/365))+(Q105/$R105*100*($E105/365))</f>
        <v>87.378640776699029</v>
      </c>
      <c r="M182" s="989"/>
      <c r="N182" s="959">
        <f t="shared" si="17"/>
        <v>100</v>
      </c>
      <c r="O182" s="959"/>
      <c r="R182" s="1">
        <v>2007</v>
      </c>
      <c r="S182" s="8">
        <f>(O104*($E104/365))+(O105*($E105/365))</f>
        <v>0</v>
      </c>
      <c r="T182" s="8">
        <f>(P104*($E104/365))+(P105*($E105/365))</f>
        <v>6.5</v>
      </c>
      <c r="U182" s="8">
        <f>(Q104*($E104/365))+(Q105*($E105/365))</f>
        <v>45</v>
      </c>
      <c r="V182" s="7"/>
      <c r="W182" s="7">
        <f t="shared" si="16"/>
        <v>51.5</v>
      </c>
    </row>
    <row r="183" spans="1:34">
      <c r="A183" s="1">
        <v>2008</v>
      </c>
      <c r="B183" s="8">
        <f>(K106*($E106/366))+(K107*($E107/366))</f>
        <v>0</v>
      </c>
      <c r="C183" s="8">
        <f>(L106*($E106/366))+(L107*($E107/366))</f>
        <v>21.052631578947366</v>
      </c>
      <c r="D183" s="8">
        <f>(M106*($E106/366))+(M107*($E107/366))</f>
        <v>78.94736842105263</v>
      </c>
      <c r="E183" s="48">
        <f t="shared" si="15"/>
        <v>100</v>
      </c>
      <c r="G183" s="1">
        <v>2008</v>
      </c>
      <c r="H183" s="989">
        <f>(O106/$R106*100*($E106/366))+(O107/$R107*100*($E107/366))</f>
        <v>0</v>
      </c>
      <c r="I183" s="989"/>
      <c r="J183" s="989">
        <f>(P106/$R106*100*($E106/366))+(P107/$R107*100*($E107/366))</f>
        <v>12.621359223300971</v>
      </c>
      <c r="K183" s="989"/>
      <c r="L183" s="989">
        <f>(Q106/$R106*100*($E106/366))+(Q107/$R107*100*($E107/366))</f>
        <v>87.378640776699029</v>
      </c>
      <c r="M183" s="989"/>
      <c r="N183" s="959">
        <f t="shared" si="17"/>
        <v>100</v>
      </c>
      <c r="O183" s="959"/>
      <c r="R183" s="1">
        <v>2008</v>
      </c>
      <c r="S183" s="8">
        <f>(O106*($E106/366))+(O107*($E107/366))</f>
        <v>0</v>
      </c>
      <c r="T183" s="8">
        <f>(P106*($E106/366))+(P107*($E107/366))</f>
        <v>6.5</v>
      </c>
      <c r="U183" s="8">
        <f>(Q106*($E106/366))+(Q107*($E107/366))</f>
        <v>45</v>
      </c>
      <c r="V183" s="7"/>
      <c r="W183" s="7">
        <f t="shared" si="16"/>
        <v>51.5</v>
      </c>
    </row>
    <row r="184" spans="1:34">
      <c r="A184" s="1">
        <v>2009</v>
      </c>
      <c r="B184" s="8">
        <f>(K108*($E108/365))+(K109*($E109/365))</f>
        <v>0</v>
      </c>
      <c r="C184" s="8">
        <f>(L108*($E108/365))+(L109*($E109/365))</f>
        <v>20.842105263157894</v>
      </c>
      <c r="D184" s="8">
        <f>(M108*($E108/365))+(M109*($E109/365))</f>
        <v>79.15789473684211</v>
      </c>
      <c r="E184" s="48">
        <f t="shared" si="15"/>
        <v>100</v>
      </c>
      <c r="G184" s="1">
        <v>2009</v>
      </c>
      <c r="H184" s="989">
        <f>(O108/$R108*100*($E108/365))+(O109/$R109*100*($E109/365))</f>
        <v>0</v>
      </c>
      <c r="I184" s="989"/>
      <c r="J184" s="989">
        <f>(P108/$R108*100*($E108/365))+(P109/$R109*100*($E109/365))</f>
        <v>12.651114883552369</v>
      </c>
      <c r="K184" s="989"/>
      <c r="L184" s="989">
        <f>(Q108/$R108*100*($E108/365))+(Q109/$R109*100*($E109/365))</f>
        <v>87.348885116447633</v>
      </c>
      <c r="M184" s="989"/>
      <c r="N184" s="959">
        <f t="shared" si="17"/>
        <v>100</v>
      </c>
      <c r="O184" s="959"/>
      <c r="R184" s="1">
        <v>2009</v>
      </c>
      <c r="S184" s="8">
        <f>(O108*($E108/365))+(O109*($E109/365))</f>
        <v>0</v>
      </c>
      <c r="T184" s="8">
        <f>(P108*($E108/365))+(P109*($E109/365))</f>
        <v>6.5</v>
      </c>
      <c r="U184" s="8">
        <f>(Q108*($E108/365))+(Q109*($E109/365))</f>
        <v>44.88</v>
      </c>
      <c r="V184" s="7"/>
      <c r="W184" s="7">
        <f t="shared" si="16"/>
        <v>51.38</v>
      </c>
    </row>
    <row r="185" spans="1:34">
      <c r="A185" s="1">
        <v>2010</v>
      </c>
      <c r="B185" s="8">
        <f>(K110*($E110/365))+(K111*($E111/365))</f>
        <v>0</v>
      </c>
      <c r="C185" s="8">
        <f>(L110*($E110/365))+(L111*($E111/365))</f>
        <v>20</v>
      </c>
      <c r="D185" s="8">
        <f>(M110*($E110/365))+(M111*($E111/365))</f>
        <v>80</v>
      </c>
      <c r="E185" s="48">
        <f t="shared" si="15"/>
        <v>100</v>
      </c>
      <c r="G185" s="1">
        <v>2010</v>
      </c>
      <c r="H185" s="989">
        <f>(O110/$R110*100*($E110/365))+(O111/$R111*100*($E111/365))</f>
        <v>0</v>
      </c>
      <c r="I185" s="989"/>
      <c r="J185" s="989">
        <f>(P110/$R110*100*($E110/365))+(P111/$R111*100*($E111/365))</f>
        <v>12.770137524557956</v>
      </c>
      <c r="K185" s="989"/>
      <c r="L185" s="989">
        <f>(Q110/$R110*100*($E110/365))+(Q111/$R111*100*($E111/365))</f>
        <v>87.229862475442047</v>
      </c>
      <c r="M185" s="989"/>
      <c r="N185" s="959">
        <f t="shared" si="17"/>
        <v>100</v>
      </c>
      <c r="O185" s="959"/>
      <c r="R185" s="1">
        <v>2010</v>
      </c>
      <c r="S185" s="8">
        <f>(O110*($E110/365))+(O111*($E111/365))</f>
        <v>0</v>
      </c>
      <c r="T185" s="8">
        <f>(P110*($E110/365))+(P111*($E111/365))</f>
        <v>6.5</v>
      </c>
      <c r="U185" s="8">
        <f>(Q110*($E110/365))+(Q111*($E111/365))</f>
        <v>44.4</v>
      </c>
      <c r="V185" s="7"/>
      <c r="W185" s="7">
        <f t="shared" si="16"/>
        <v>50.9</v>
      </c>
    </row>
    <row r="186" spans="1:34">
      <c r="A186" s="1">
        <v>2011</v>
      </c>
      <c r="B186" s="8">
        <f>(K112*($E112/365))+(K113*($E113/365))</f>
        <v>0</v>
      </c>
      <c r="C186" s="8">
        <f>(L112*($E112/365))+(L113*($E113/365))</f>
        <v>20</v>
      </c>
      <c r="D186" s="8">
        <f>(M112*($E112/365))+(M113*($E113/365))</f>
        <v>80</v>
      </c>
      <c r="E186" s="48">
        <f t="shared" si="15"/>
        <v>100</v>
      </c>
      <c r="G186" s="1">
        <v>2011</v>
      </c>
      <c r="H186" s="989">
        <f>(O112/$R112*100*($E112/365))+(O113/$R113*100*($E113/365))</f>
        <v>0</v>
      </c>
      <c r="I186" s="989"/>
      <c r="J186" s="989">
        <f>(P112/$R112*100*($E112/365))+(P113/$R113*100*($E113/365))</f>
        <v>12.770137524557956</v>
      </c>
      <c r="K186" s="989"/>
      <c r="L186" s="989">
        <f>(Q112/$R112*100*($E112/365))+(Q113/$R113*100*($E113/365))</f>
        <v>87.229862475442047</v>
      </c>
      <c r="M186" s="989"/>
      <c r="N186" s="959">
        <f t="shared" si="17"/>
        <v>100</v>
      </c>
      <c r="O186" s="959"/>
      <c r="R186" s="1">
        <v>2011</v>
      </c>
      <c r="S186" s="8">
        <f>(O112*($E112/365))+(O113*($E113/365))</f>
        <v>0</v>
      </c>
      <c r="T186" s="8">
        <f>(P112*($E112/365))+(P113*($E113/365))</f>
        <v>6.5</v>
      </c>
      <c r="U186" s="8">
        <f>(Q112*($E112/365))+(Q113*($E113/365))</f>
        <v>44.4</v>
      </c>
      <c r="V186" s="7"/>
      <c r="W186" s="7">
        <f t="shared" si="16"/>
        <v>50.9</v>
      </c>
    </row>
    <row r="187" spans="1:34">
      <c r="A187" s="1">
        <v>2012</v>
      </c>
      <c r="B187" s="8">
        <f>(K114*($E114/366))+(K115*($E115/366))</f>
        <v>0</v>
      </c>
      <c r="C187" s="8">
        <f>(L114*($E114/366))+(L115*($E115/366))</f>
        <v>20</v>
      </c>
      <c r="D187" s="8">
        <f>(M114*($E114/366))+(M115*($E115/366))</f>
        <v>80</v>
      </c>
      <c r="E187" s="48">
        <f t="shared" si="15"/>
        <v>100</v>
      </c>
      <c r="G187" s="1">
        <v>2012</v>
      </c>
      <c r="H187" s="989">
        <f>(O114/$R114*100*($E114/366))+(O115/$R115*100*($E115/366))</f>
        <v>0</v>
      </c>
      <c r="I187" s="989"/>
      <c r="J187" s="989">
        <f>(P114/$R114*100*($E114/366))+(P115/$R115*100*($E115/366))</f>
        <v>12.770137524557956</v>
      </c>
      <c r="K187" s="989"/>
      <c r="L187" s="989">
        <f>(Q114/$R114*100*($E114/366))+(Q115/$R115*100*($E115/366))</f>
        <v>87.229862475442047</v>
      </c>
      <c r="M187" s="989"/>
      <c r="N187" s="959">
        <f t="shared" si="17"/>
        <v>100</v>
      </c>
      <c r="O187" s="959"/>
      <c r="R187" s="1">
        <v>2012</v>
      </c>
      <c r="S187" s="8">
        <f>(O114*($E114/366))+(O115*($E115/366))</f>
        <v>0</v>
      </c>
      <c r="T187" s="8">
        <f>(P114*($E114/366))+(P115*($E115/366))</f>
        <v>6.5</v>
      </c>
      <c r="U187" s="8">
        <f>(Q114*($E114/366))+(Q115*($E115/366))</f>
        <v>44.4</v>
      </c>
      <c r="V187" s="7"/>
      <c r="W187" s="7">
        <f t="shared" si="16"/>
        <v>50.9</v>
      </c>
    </row>
    <row r="188" spans="1:34">
      <c r="A188" s="1">
        <v>2013</v>
      </c>
      <c r="B188" s="8">
        <f>(K116*($E116/365))+(K117*($E117/365))</f>
        <v>21.095890410958905</v>
      </c>
      <c r="C188" s="8">
        <f>(L116*($E116/365))+(L117*($E117/365))</f>
        <v>15.780821917808218</v>
      </c>
      <c r="D188" s="8">
        <f>(M116*($E116/365))+(M117*($E117/365))</f>
        <v>63.123287671232873</v>
      </c>
      <c r="E188" s="309">
        <f t="shared" si="15"/>
        <v>100</v>
      </c>
      <c r="G188" s="1">
        <v>2013</v>
      </c>
      <c r="H188" s="989">
        <f>(O116/$R116*100*($E116/365))+(O117/$R117*100*($E117/365))</f>
        <v>21.095890410958905</v>
      </c>
      <c r="I188" s="989"/>
      <c r="J188" s="989">
        <f>(P116/$R116*100*($E116/365))+(P117/$R117*100*($E117/365))</f>
        <v>10.07616330704847</v>
      </c>
      <c r="K188" s="989"/>
      <c r="L188" s="989">
        <f>(Q116/$R116*100*($E116/365))+(Q117/$R117*100*($E117/365))</f>
        <v>68.827946281992624</v>
      </c>
      <c r="M188" s="989"/>
      <c r="N188" s="959">
        <f>H188+J188+L188</f>
        <v>100</v>
      </c>
      <c r="O188" s="959"/>
      <c r="R188" s="1">
        <v>2013</v>
      </c>
      <c r="S188" s="8">
        <f>(O116*($E116/365))+(O117*($E117/365))</f>
        <v>9.6197260273972596</v>
      </c>
      <c r="T188" s="8">
        <f>(P116*($E116/365))+(P117*($E117/365))</f>
        <v>5.1287671232876715</v>
      </c>
      <c r="U188" s="8">
        <f>(Q116*($E116/365))+(Q117*($E117/365))</f>
        <v>35.033424657534248</v>
      </c>
      <c r="W188" s="7">
        <f t="shared" si="16"/>
        <v>49.781917808219177</v>
      </c>
      <c r="X188" s="7"/>
    </row>
    <row r="189" spans="1:34">
      <c r="A189" s="1">
        <v>2014</v>
      </c>
      <c r="B189" s="8">
        <f>(K118*($E118/365))+(K119*($E119/365))</f>
        <v>100</v>
      </c>
      <c r="C189" s="8">
        <f>(L118*($E118/365))+(L119*($E119/365))</f>
        <v>0</v>
      </c>
      <c r="D189" s="8">
        <f>(M118*($E118/365))+(M119*($E119/365))</f>
        <v>0</v>
      </c>
      <c r="E189" s="649">
        <f>B189+C189+D189</f>
        <v>100</v>
      </c>
      <c r="G189" s="1">
        <v>2014</v>
      </c>
      <c r="H189" s="989">
        <f>(O118/$R118*100*($E118/365))+(O119/$R119*100*($E119/365))</f>
        <v>100</v>
      </c>
      <c r="I189" s="989"/>
      <c r="J189" s="989">
        <f>(P118/$R118*100*($E118/365))+(P119/$R119*100*($E119/365))</f>
        <v>0</v>
      </c>
      <c r="K189" s="989"/>
      <c r="L189" s="989">
        <f>(Q118/$R118*100*($E118/365))+(Q119/$R119*100*($E119/365))</f>
        <v>0</v>
      </c>
      <c r="M189" s="989"/>
      <c r="N189" s="959">
        <f>H189+J189+L189</f>
        <v>100</v>
      </c>
      <c r="O189" s="959"/>
      <c r="R189" s="1">
        <v>2014</v>
      </c>
      <c r="S189" s="8">
        <f>(O118*($E118/365))+(O119*($E119/365))</f>
        <v>45.6</v>
      </c>
      <c r="T189" s="8">
        <f>(P118*($E118/365))+(P119*($E119/365))</f>
        <v>0</v>
      </c>
      <c r="U189" s="8">
        <f>(Q118*($E118/365))+(Q119*($E119/365))</f>
        <v>0</v>
      </c>
      <c r="W189" s="7">
        <f>S189+T189+U189</f>
        <v>45.6</v>
      </c>
      <c r="X189" s="7"/>
    </row>
    <row r="190" spans="1:34" s="747" customFormat="1">
      <c r="A190" s="747">
        <v>2015</v>
      </c>
      <c r="B190" s="742">
        <f>(K120*($E120/365))+(K121*($E121/365))</f>
        <v>100</v>
      </c>
      <c r="C190" s="742">
        <f>(L120*($E120/365))+(L121*($E121/365))</f>
        <v>0</v>
      </c>
      <c r="D190" s="742">
        <f>(M120*($E120/365))+(M121*($E121/365))</f>
        <v>0</v>
      </c>
      <c r="E190" s="743">
        <f>B190+C190+D190</f>
        <v>100</v>
      </c>
      <c r="G190" s="747">
        <v>2015</v>
      </c>
      <c r="H190" s="989">
        <f>(O120/$R120*100*($E120/365))+(O121/$R121*100*($E121/365))</f>
        <v>100</v>
      </c>
      <c r="I190" s="989"/>
      <c r="J190" s="989">
        <f>(P120/$R120*100*($E120/365))+(P121/$R121*100*($E121/365))</f>
        <v>0</v>
      </c>
      <c r="K190" s="989"/>
      <c r="L190" s="989">
        <f>(Q120/$R120*100*($E120/365))+(Q121/$R121*100*($E121/365))</f>
        <v>0</v>
      </c>
      <c r="M190" s="989"/>
      <c r="N190" s="959">
        <f>H190+J190+L190</f>
        <v>100</v>
      </c>
      <c r="O190" s="959"/>
      <c r="R190" s="747">
        <v>2015</v>
      </c>
      <c r="S190" s="742">
        <f>(O120*($E120/365))+(O121*($E121/365))</f>
        <v>45.6</v>
      </c>
      <c r="T190" s="742">
        <f>(P120*($E120/365))+(P121*($E121/365))</f>
        <v>0</v>
      </c>
      <c r="U190" s="742">
        <f>(Q120*($E120/365))+(Q121*($E121/365))</f>
        <v>0</v>
      </c>
      <c r="W190" s="746">
        <f>S190+T190+U190</f>
        <v>45.6</v>
      </c>
      <c r="X190" s="746"/>
      <c r="AH190" s="37"/>
    </row>
    <row r="191" spans="1:34" s="747" customFormat="1">
      <c r="A191" s="844">
        <v>2016</v>
      </c>
      <c r="B191" s="838">
        <f>(K122*($E122/366))+(K123*($E123/366))</f>
        <v>100</v>
      </c>
      <c r="C191" s="838">
        <f>(L122*($E122/366))+(L123*($E123/366))</f>
        <v>0</v>
      </c>
      <c r="D191" s="838">
        <f>(M122*($E122/366))+(M123*($E123/366))</f>
        <v>0</v>
      </c>
      <c r="E191" s="839">
        <f t="shared" ref="E191" si="18">B191+C191+D191</f>
        <v>100</v>
      </c>
      <c r="F191" s="844"/>
      <c r="G191" s="844">
        <v>2016</v>
      </c>
      <c r="H191" s="989">
        <f>(O122/$R122*100*($E122/366))+(O123/$R123*100*($E123/366))</f>
        <v>100</v>
      </c>
      <c r="I191" s="989"/>
      <c r="J191" s="989">
        <f>(P122/$R122*100*($E122/366))+(P123/$R123*100*($E123/366))</f>
        <v>0</v>
      </c>
      <c r="K191" s="989"/>
      <c r="L191" s="989">
        <f>(Q122/$R122*100*($E122/366))+(Q123/$R123*100*($E123/366))</f>
        <v>0</v>
      </c>
      <c r="M191" s="989"/>
      <c r="N191" s="959">
        <f t="shared" ref="N191" si="19">H191+J191+L191</f>
        <v>100</v>
      </c>
      <c r="O191" s="959"/>
      <c r="P191" s="844"/>
      <c r="Q191" s="844"/>
      <c r="R191" s="844">
        <v>2016</v>
      </c>
      <c r="S191" s="838">
        <f>(O122*($E122/366))+(O123*($E123/366))</f>
        <v>45.6</v>
      </c>
      <c r="T191" s="838">
        <f>(P122*($E122/366))+(P123*($E123/366))</f>
        <v>0</v>
      </c>
      <c r="U191" s="838">
        <f>(Q122*($E122/366))+(Q123*($E123/366))</f>
        <v>0</v>
      </c>
      <c r="V191" s="844"/>
      <c r="W191" s="842">
        <f t="shared" ref="W191" si="20">S191+T191+U191</f>
        <v>45.6</v>
      </c>
      <c r="X191" s="746"/>
      <c r="AH191" s="37"/>
    </row>
    <row r="192" spans="1:34">
      <c r="A192" s="920">
        <v>2017</v>
      </c>
      <c r="B192" s="915">
        <f>(K124*($E124/365))+(K125*($E125/365))</f>
        <v>100</v>
      </c>
      <c r="C192" s="915">
        <f t="shared" ref="C192:D192" si="21">(L124*($E124/365))+(L125*($E125/365))</f>
        <v>0</v>
      </c>
      <c r="D192" s="915">
        <f t="shared" si="21"/>
        <v>0</v>
      </c>
      <c r="E192" s="916">
        <f t="shared" ref="E192" si="22">B192+C192+D192</f>
        <v>100</v>
      </c>
      <c r="F192" s="920"/>
      <c r="G192" s="920">
        <v>2017</v>
      </c>
      <c r="H192" s="989">
        <f>(O124/$R124*100*($E124/365))+(O125/$R125*100*($E125/365))</f>
        <v>100</v>
      </c>
      <c r="I192" s="989"/>
      <c r="J192" s="989">
        <f>(P124/$R124*100*($E124/365))+(P125/$R125*100*($E125/365))</f>
        <v>0</v>
      </c>
      <c r="K192" s="989"/>
      <c r="L192" s="989">
        <f>(Q124/$R124*100*($E124/365))+(Q125/$R125*100*($E125/365))</f>
        <v>0</v>
      </c>
      <c r="M192" s="989"/>
      <c r="N192" s="959">
        <f t="shared" ref="N192" si="23">H192+J192+L192</f>
        <v>100</v>
      </c>
      <c r="O192" s="959"/>
      <c r="P192" s="920"/>
      <c r="Q192" s="920"/>
      <c r="R192" s="920">
        <v>2017</v>
      </c>
      <c r="S192" s="915">
        <f>(O124*($E124/365))+(O125*($E125/365))</f>
        <v>44.679452054794524</v>
      </c>
      <c r="T192" s="915">
        <f t="shared" ref="T192:U192" si="24">(P124*($E124/365))+(P125*($E125/365))</f>
        <v>0</v>
      </c>
      <c r="U192" s="915">
        <f t="shared" si="24"/>
        <v>0</v>
      </c>
      <c r="V192" s="920"/>
      <c r="W192" s="917">
        <f t="shared" ref="W192" si="25">S192+T192+U192</f>
        <v>44.679452054794524</v>
      </c>
    </row>
    <row r="193" spans="1:23">
      <c r="A193" s="950">
        <v>2018</v>
      </c>
      <c r="B193" s="947">
        <f>(K126*($E126/365))+(K127*($E127/365))</f>
        <v>100</v>
      </c>
      <c r="C193" s="947">
        <f>(L126*($E126/365))+(L127*($E127/365))</f>
        <v>0</v>
      </c>
      <c r="D193" s="947">
        <f>(M126*($E126/365))+(M127*($E127/365))</f>
        <v>0</v>
      </c>
      <c r="E193" s="948">
        <f t="shared" ref="E193" si="26">B193+C193+D193</f>
        <v>100</v>
      </c>
      <c r="F193" s="950"/>
      <c r="G193" s="950">
        <v>2018</v>
      </c>
      <c r="H193" s="989">
        <f>(O126/$R126*100*($E126/365))+(O127/$R127*100*($E127/365))</f>
        <v>100</v>
      </c>
      <c r="I193" s="989"/>
      <c r="J193" s="989">
        <f>(P126/$R126*100*($E126/365))+(P127/$R127*100*($E127/365))</f>
        <v>0</v>
      </c>
      <c r="K193" s="989"/>
      <c r="L193" s="989">
        <f>(Q126/$R126*100*($E126/365))+(Q127/$R127*100*($E127/365))</f>
        <v>0</v>
      </c>
      <c r="M193" s="989"/>
      <c r="N193" s="959">
        <f t="shared" ref="N193" si="27">H193+J193+L193</f>
        <v>100</v>
      </c>
      <c r="O193" s="959"/>
      <c r="P193" s="950"/>
      <c r="Q193" s="950"/>
      <c r="R193" s="950">
        <v>2018</v>
      </c>
      <c r="S193" s="947">
        <f>(O126*($E126/365))+(O127*($E127/365))</f>
        <v>51.683561643835617</v>
      </c>
      <c r="T193" s="947">
        <f>(P126*($E126/365))+(P127*($E127/365))</f>
        <v>0</v>
      </c>
      <c r="U193" s="947">
        <f>(Q126*($E126/365))+(Q127*($E127/365))</f>
        <v>0</v>
      </c>
      <c r="V193" s="950"/>
      <c r="W193" s="949">
        <f t="shared" ref="W193" si="28">S193+T193+U193</f>
        <v>51.683561643835617</v>
      </c>
    </row>
  </sheetData>
  <mergeCells count="389">
    <mergeCell ref="N173:O173"/>
    <mergeCell ref="L173:M173"/>
    <mergeCell ref="H190:I190"/>
    <mergeCell ref="J190:K190"/>
    <mergeCell ref="L190:M190"/>
    <mergeCell ref="N190:O190"/>
    <mergeCell ref="H189:I189"/>
    <mergeCell ref="J189:K189"/>
    <mergeCell ref="L189:M189"/>
    <mergeCell ref="N189:O189"/>
    <mergeCell ref="L175:M175"/>
    <mergeCell ref="N175:O175"/>
    <mergeCell ref="L185:M185"/>
    <mergeCell ref="L181:M181"/>
    <mergeCell ref="N181:O181"/>
    <mergeCell ref="N176:O176"/>
    <mergeCell ref="J184:K184"/>
    <mergeCell ref="J185:K185"/>
    <mergeCell ref="L177:M177"/>
    <mergeCell ref="L178:M178"/>
    <mergeCell ref="L176:M176"/>
    <mergeCell ref="N174:O174"/>
    <mergeCell ref="N171:O171"/>
    <mergeCell ref="L174:M174"/>
    <mergeCell ref="H193:I193"/>
    <mergeCell ref="J193:K193"/>
    <mergeCell ref="L193:M193"/>
    <mergeCell ref="N193:O193"/>
    <mergeCell ref="L187:M187"/>
    <mergeCell ref="N186:O186"/>
    <mergeCell ref="N187:O187"/>
    <mergeCell ref="L184:M184"/>
    <mergeCell ref="N184:O184"/>
    <mergeCell ref="N185:O185"/>
    <mergeCell ref="N178:O178"/>
    <mergeCell ref="N179:O179"/>
    <mergeCell ref="L182:M182"/>
    <mergeCell ref="L183:M183"/>
    <mergeCell ref="L179:M179"/>
    <mergeCell ref="L180:M180"/>
    <mergeCell ref="N180:O180"/>
    <mergeCell ref="J182:K182"/>
    <mergeCell ref="J183:K183"/>
    <mergeCell ref="J172:K172"/>
    <mergeCell ref="AT4:AW4"/>
    <mergeCell ref="AX4:BA4"/>
    <mergeCell ref="N188:O188"/>
    <mergeCell ref="C116:D116"/>
    <mergeCell ref="C117:D117"/>
    <mergeCell ref="H188:I188"/>
    <mergeCell ref="J188:K188"/>
    <mergeCell ref="L188:M188"/>
    <mergeCell ref="H187:I187"/>
    <mergeCell ref="J187:K187"/>
    <mergeCell ref="C114:D114"/>
    <mergeCell ref="C115:D115"/>
    <mergeCell ref="N182:O182"/>
    <mergeCell ref="N183:O183"/>
    <mergeCell ref="N172:O172"/>
    <mergeCell ref="N177:O177"/>
    <mergeCell ref="N166:O166"/>
    <mergeCell ref="N163:O163"/>
    <mergeCell ref="N164:O164"/>
    <mergeCell ref="N165:O165"/>
    <mergeCell ref="R131:W131"/>
    <mergeCell ref="H186:I186"/>
    <mergeCell ref="J186:K186"/>
    <mergeCell ref="L186:M186"/>
    <mergeCell ref="J179:K179"/>
    <mergeCell ref="J180:K180"/>
    <mergeCell ref="J181:K181"/>
    <mergeCell ref="H181:I181"/>
    <mergeCell ref="H166:I166"/>
    <mergeCell ref="H167:I167"/>
    <mergeCell ref="H168:I168"/>
    <mergeCell ref="H182:I182"/>
    <mergeCell ref="J173:K173"/>
    <mergeCell ref="J174:K174"/>
    <mergeCell ref="J175:K175"/>
    <mergeCell ref="J176:K176"/>
    <mergeCell ref="J177:K177"/>
    <mergeCell ref="J166:K166"/>
    <mergeCell ref="J167:K167"/>
    <mergeCell ref="J168:K168"/>
    <mergeCell ref="J169:K169"/>
    <mergeCell ref="J170:K170"/>
    <mergeCell ref="J171:K171"/>
    <mergeCell ref="H183:I183"/>
    <mergeCell ref="H184:I184"/>
    <mergeCell ref="H185:I185"/>
    <mergeCell ref="J161:K161"/>
    <mergeCell ref="J162:K162"/>
    <mergeCell ref="J163:K163"/>
    <mergeCell ref="J164:K164"/>
    <mergeCell ref="J165:K165"/>
    <mergeCell ref="H175:I175"/>
    <mergeCell ref="H176:I176"/>
    <mergeCell ref="H177:I177"/>
    <mergeCell ref="H178:I178"/>
    <mergeCell ref="H179:I179"/>
    <mergeCell ref="H180:I180"/>
    <mergeCell ref="H169:I169"/>
    <mergeCell ref="H170:I170"/>
    <mergeCell ref="H171:I171"/>
    <mergeCell ref="H172:I172"/>
    <mergeCell ref="H173:I173"/>
    <mergeCell ref="H174:I174"/>
    <mergeCell ref="H163:I163"/>
    <mergeCell ref="H164:I164"/>
    <mergeCell ref="H165:I165"/>
    <mergeCell ref="J178:K178"/>
    <mergeCell ref="H160:I160"/>
    <mergeCell ref="J160:K160"/>
    <mergeCell ref="L160:M160"/>
    <mergeCell ref="N160:O160"/>
    <mergeCell ref="H161:I161"/>
    <mergeCell ref="H162:I162"/>
    <mergeCell ref="N161:O161"/>
    <mergeCell ref="N162:O162"/>
    <mergeCell ref="L164:M164"/>
    <mergeCell ref="L161:M161"/>
    <mergeCell ref="L162:M162"/>
    <mergeCell ref="L163:M163"/>
    <mergeCell ref="L165:M165"/>
    <mergeCell ref="L166:M166"/>
    <mergeCell ref="L167:M167"/>
    <mergeCell ref="L168:M168"/>
    <mergeCell ref="L169:M169"/>
    <mergeCell ref="L170:M170"/>
    <mergeCell ref="L171:M171"/>
    <mergeCell ref="L172:M172"/>
    <mergeCell ref="N167:O167"/>
    <mergeCell ref="N168:O168"/>
    <mergeCell ref="N169:O169"/>
    <mergeCell ref="N170:O170"/>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3:I143"/>
    <mergeCell ref="J143:K143"/>
    <mergeCell ref="L143:M143"/>
    <mergeCell ref="N143:O143"/>
    <mergeCell ref="H140:I140"/>
    <mergeCell ref="J140:K140"/>
    <mergeCell ref="L140:M140"/>
    <mergeCell ref="N140:O140"/>
    <mergeCell ref="H141:I141"/>
    <mergeCell ref="J141:K141"/>
    <mergeCell ref="L141:M141"/>
    <mergeCell ref="N141:O141"/>
    <mergeCell ref="N136:O136"/>
    <mergeCell ref="H137:I137"/>
    <mergeCell ref="J137:K137"/>
    <mergeCell ref="L137:M137"/>
    <mergeCell ref="N137:O137"/>
    <mergeCell ref="H142:I142"/>
    <mergeCell ref="J142:K142"/>
    <mergeCell ref="L142:M142"/>
    <mergeCell ref="N142:O142"/>
    <mergeCell ref="J139:K139"/>
    <mergeCell ref="L139:M139"/>
    <mergeCell ref="N139:O139"/>
    <mergeCell ref="H136:I136"/>
    <mergeCell ref="J136:K136"/>
    <mergeCell ref="L136:M136"/>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7:D107"/>
    <mergeCell ref="C108:D108"/>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H133:I133"/>
    <mergeCell ref="C118:D118"/>
    <mergeCell ref="C119:D119"/>
    <mergeCell ref="C120:D120"/>
    <mergeCell ref="C121:D121"/>
    <mergeCell ref="C124:D124"/>
    <mergeCell ref="C125:D125"/>
    <mergeCell ref="C128:D128"/>
    <mergeCell ref="C122:D122"/>
    <mergeCell ref="C123:D123"/>
    <mergeCell ref="C126:D126"/>
    <mergeCell ref="C127:D127"/>
    <mergeCell ref="H192:I192"/>
    <mergeCell ref="J192:K192"/>
    <mergeCell ref="L192:M192"/>
    <mergeCell ref="N192:O192"/>
    <mergeCell ref="H191:I191"/>
    <mergeCell ref="J191:K191"/>
    <mergeCell ref="L191:M191"/>
    <mergeCell ref="N191:O191"/>
    <mergeCell ref="J133:K133"/>
    <mergeCell ref="L133:M133"/>
    <mergeCell ref="N133:O133"/>
    <mergeCell ref="H135:I135"/>
    <mergeCell ref="J135:K135"/>
    <mergeCell ref="L135:M135"/>
    <mergeCell ref="N135:O135"/>
    <mergeCell ref="H134:I134"/>
    <mergeCell ref="J134:K134"/>
    <mergeCell ref="L134:M134"/>
    <mergeCell ref="N134:O134"/>
    <mergeCell ref="H138:I138"/>
    <mergeCell ref="J138:K138"/>
    <mergeCell ref="L138:M138"/>
    <mergeCell ref="N138:O138"/>
    <mergeCell ref="H139:I13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A133"/>
  <sheetViews>
    <sheetView zoomScale="107" zoomScaleNormal="120" workbookViewId="0">
      <pane xSplit="1" ySplit="5" topLeftCell="B79" activePane="bottomRight" state="frozen"/>
      <selection pane="topRight" activeCell="B1" sqref="B1"/>
      <selection pane="bottomLeft" activeCell="A6" sqref="A6"/>
      <selection pane="bottomRight" activeCell="W133" sqref="W13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144</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190" customFormat="1">
      <c r="A6" s="190">
        <v>1991</v>
      </c>
      <c r="C6" s="1005" t="s">
        <v>1277</v>
      </c>
      <c r="D6" s="1005"/>
      <c r="E6" s="189">
        <v>356</v>
      </c>
      <c r="F6" s="191"/>
      <c r="G6" s="123"/>
      <c r="J6" s="134"/>
      <c r="K6" s="92"/>
      <c r="L6" s="92"/>
      <c r="M6" s="92"/>
      <c r="N6" s="125"/>
      <c r="O6" s="91"/>
      <c r="P6" s="92"/>
      <c r="Q6" s="92"/>
      <c r="R6" s="93"/>
      <c r="T6" s="81"/>
      <c r="V6" s="82"/>
      <c r="Y6" s="83"/>
      <c r="AD6" s="82"/>
      <c r="AG6" s="83"/>
      <c r="AL6" s="82"/>
      <c r="AO6" s="83"/>
      <c r="AP6" s="82"/>
      <c r="AS6" s="83"/>
      <c r="AW6" s="83"/>
      <c r="BA6" s="84"/>
    </row>
    <row r="7" spans="1:53" s="334" customFormat="1">
      <c r="A7" s="334">
        <v>1991</v>
      </c>
      <c r="B7" s="355">
        <v>33595</v>
      </c>
      <c r="C7" s="992" t="s">
        <v>942</v>
      </c>
      <c r="D7" s="992"/>
      <c r="E7" s="334">
        <v>9</v>
      </c>
      <c r="F7" s="334" t="s">
        <v>345</v>
      </c>
      <c r="G7" s="419">
        <v>3</v>
      </c>
      <c r="H7" s="334">
        <v>7</v>
      </c>
      <c r="J7" s="435">
        <v>23</v>
      </c>
      <c r="K7" s="384">
        <f t="shared" ref="K7:M11" si="0">G7/J7*100</f>
        <v>13.043478260869565</v>
      </c>
      <c r="L7" s="384">
        <f t="shared" si="0"/>
        <v>53.666666666666671</v>
      </c>
      <c r="M7" s="384">
        <f t="shared" si="0"/>
        <v>0</v>
      </c>
      <c r="N7" s="421">
        <f>K7+L7+M7</f>
        <v>66.710144927536234</v>
      </c>
      <c r="O7" s="383">
        <v>9.6</v>
      </c>
      <c r="P7" s="384">
        <v>16.8</v>
      </c>
      <c r="Q7" s="384"/>
      <c r="R7" s="385">
        <f t="shared" ref="R7:R80" si="1">SUM(O7:Q7)</f>
        <v>26.4</v>
      </c>
      <c r="S7" s="334">
        <v>5</v>
      </c>
      <c r="T7" s="342">
        <v>33538</v>
      </c>
      <c r="U7" s="355">
        <v>33595</v>
      </c>
      <c r="V7" s="343" t="s">
        <v>101</v>
      </c>
      <c r="W7" s="334" t="s">
        <v>77</v>
      </c>
      <c r="X7" s="334" t="s">
        <v>11</v>
      </c>
      <c r="Y7" s="344">
        <v>9.6</v>
      </c>
      <c r="Z7" s="334" t="s">
        <v>943</v>
      </c>
      <c r="AA7" s="334" t="s">
        <v>86</v>
      </c>
      <c r="AB7" s="334" t="s">
        <v>18</v>
      </c>
      <c r="AC7" s="334">
        <v>10.7</v>
      </c>
      <c r="AD7" s="343" t="s">
        <v>944</v>
      </c>
      <c r="AE7" s="334" t="s">
        <v>945</v>
      </c>
      <c r="AF7" s="334" t="s">
        <v>18</v>
      </c>
      <c r="AG7" s="344">
        <v>6.1</v>
      </c>
      <c r="AL7" s="343"/>
      <c r="AO7" s="344"/>
      <c r="AP7" s="343"/>
      <c r="AS7" s="344"/>
      <c r="AW7" s="344"/>
      <c r="BA7" s="345"/>
    </row>
    <row r="8" spans="1:53" s="334" customFormat="1">
      <c r="A8" s="334">
        <v>1992</v>
      </c>
      <c r="C8" s="992" t="s">
        <v>942</v>
      </c>
      <c r="D8" s="992"/>
      <c r="E8" s="334">
        <v>157</v>
      </c>
      <c r="G8" s="419">
        <v>3</v>
      </c>
      <c r="H8" s="334">
        <v>7</v>
      </c>
      <c r="J8" s="435">
        <v>23</v>
      </c>
      <c r="K8" s="384">
        <f t="shared" si="0"/>
        <v>13.043478260869565</v>
      </c>
      <c r="L8" s="384">
        <f t="shared" si="0"/>
        <v>53.666666666666671</v>
      </c>
      <c r="M8" s="384">
        <f t="shared" si="0"/>
        <v>0</v>
      </c>
      <c r="N8" s="421">
        <f>K8+L8+M8</f>
        <v>66.710144927536234</v>
      </c>
      <c r="O8" s="383">
        <v>9.6</v>
      </c>
      <c r="P8" s="384">
        <v>16.8</v>
      </c>
      <c r="Q8" s="384"/>
      <c r="R8" s="385">
        <f t="shared" si="1"/>
        <v>26.4</v>
      </c>
      <c r="S8" s="334">
        <v>5</v>
      </c>
      <c r="T8" s="357"/>
      <c r="V8" s="343" t="s">
        <v>101</v>
      </c>
      <c r="W8" s="334" t="s">
        <v>77</v>
      </c>
      <c r="X8" s="334" t="s">
        <v>11</v>
      </c>
      <c r="Y8" s="344">
        <v>9.6</v>
      </c>
      <c r="Z8" s="334" t="s">
        <v>943</v>
      </c>
      <c r="AA8" s="334" t="s">
        <v>86</v>
      </c>
      <c r="AB8" s="334" t="s">
        <v>18</v>
      </c>
      <c r="AC8" s="334">
        <v>10.7</v>
      </c>
      <c r="AD8" s="343" t="s">
        <v>944</v>
      </c>
      <c r="AE8" s="334" t="s">
        <v>945</v>
      </c>
      <c r="AF8" s="334" t="s">
        <v>18</v>
      </c>
      <c r="AG8" s="344">
        <v>6.1</v>
      </c>
      <c r="AL8" s="343"/>
      <c r="AO8" s="344"/>
      <c r="AP8" s="343"/>
      <c r="AS8" s="344"/>
      <c r="AW8" s="344"/>
      <c r="BA8" s="345"/>
    </row>
    <row r="9" spans="1:53" s="190" customFormat="1">
      <c r="A9" s="190">
        <v>1992</v>
      </c>
      <c r="B9" s="188">
        <v>33761</v>
      </c>
      <c r="C9" s="988" t="s">
        <v>946</v>
      </c>
      <c r="D9" s="988"/>
      <c r="E9" s="190">
        <v>35</v>
      </c>
      <c r="F9" s="190">
        <v>5</v>
      </c>
      <c r="G9" s="123">
        <v>0</v>
      </c>
      <c r="H9" s="190">
        <v>0</v>
      </c>
      <c r="I9" s="190">
        <v>0</v>
      </c>
      <c r="J9" s="134">
        <v>0</v>
      </c>
      <c r="K9" s="92">
        <v>0</v>
      </c>
      <c r="L9" s="92">
        <v>0</v>
      </c>
      <c r="M9" s="92">
        <v>0</v>
      </c>
      <c r="N9" s="125">
        <v>0</v>
      </c>
      <c r="O9" s="91">
        <v>0</v>
      </c>
      <c r="P9" s="92">
        <v>0</v>
      </c>
      <c r="Q9" s="92">
        <v>0</v>
      </c>
      <c r="R9" s="93">
        <f t="shared" si="1"/>
        <v>0</v>
      </c>
      <c r="S9" s="190">
        <v>6</v>
      </c>
      <c r="T9" s="81"/>
      <c r="U9" s="188">
        <v>33761</v>
      </c>
      <c r="V9" s="1034" t="s">
        <v>1163</v>
      </c>
      <c r="W9" s="1035"/>
      <c r="X9" s="1035"/>
      <c r="Y9" s="1035"/>
      <c r="Z9" s="1035"/>
      <c r="AA9" s="1035"/>
      <c r="AB9" s="1035"/>
      <c r="AC9" s="1036"/>
      <c r="AH9" s="82"/>
      <c r="AK9" s="83"/>
      <c r="AP9" s="82"/>
      <c r="AS9" s="83"/>
      <c r="AW9" s="83"/>
      <c r="BA9" s="84"/>
    </row>
    <row r="10" spans="1:53" s="334" customFormat="1">
      <c r="A10" s="334">
        <v>1992</v>
      </c>
      <c r="B10" s="355">
        <v>33796</v>
      </c>
      <c r="C10" s="992" t="s">
        <v>1164</v>
      </c>
      <c r="D10" s="992"/>
      <c r="E10" s="334">
        <f>366-E9-E8</f>
        <v>174</v>
      </c>
      <c r="F10" s="334">
        <v>5</v>
      </c>
      <c r="G10" s="419">
        <v>7</v>
      </c>
      <c r="H10" s="334">
        <v>9</v>
      </c>
      <c r="J10" s="435">
        <v>19</v>
      </c>
      <c r="K10" s="384">
        <f t="shared" si="0"/>
        <v>36.84210526315789</v>
      </c>
      <c r="L10" s="384">
        <f t="shared" si="0"/>
        <v>24.428571428571434</v>
      </c>
      <c r="M10" s="384">
        <f t="shared" si="0"/>
        <v>0</v>
      </c>
      <c r="N10" s="421">
        <f>K10+L10+M10</f>
        <v>61.270676691729321</v>
      </c>
      <c r="O10" s="383">
        <v>21.5</v>
      </c>
      <c r="P10" s="384">
        <v>17.899999999999999</v>
      </c>
      <c r="Q10" s="384"/>
      <c r="R10" s="385">
        <f t="shared" si="1"/>
        <v>39.4</v>
      </c>
      <c r="S10" s="334">
        <v>5</v>
      </c>
      <c r="T10" s="357"/>
      <c r="U10" s="355">
        <v>33796</v>
      </c>
      <c r="V10" s="343" t="s">
        <v>561</v>
      </c>
      <c r="W10" s="334" t="s">
        <v>22</v>
      </c>
      <c r="X10" s="334" t="s">
        <v>11</v>
      </c>
      <c r="Y10" s="344">
        <v>13.5</v>
      </c>
      <c r="Z10" s="334" t="s">
        <v>947</v>
      </c>
      <c r="AA10" s="334" t="s">
        <v>86</v>
      </c>
      <c r="AB10" s="334" t="s">
        <v>18</v>
      </c>
      <c r="AC10" s="334">
        <v>10.7</v>
      </c>
      <c r="AD10" s="343" t="s">
        <v>949</v>
      </c>
      <c r="AE10" s="334" t="s">
        <v>88</v>
      </c>
      <c r="AF10" s="334" t="s">
        <v>11</v>
      </c>
      <c r="AG10" s="334">
        <v>8</v>
      </c>
      <c r="AH10" s="343" t="s">
        <v>944</v>
      </c>
      <c r="AI10" s="334" t="s">
        <v>945</v>
      </c>
      <c r="AJ10" s="334" t="s">
        <v>18</v>
      </c>
      <c r="AK10" s="344">
        <v>6.1</v>
      </c>
      <c r="AL10" s="343" t="s">
        <v>948</v>
      </c>
      <c r="AM10" s="334" t="s">
        <v>17</v>
      </c>
      <c r="AN10" s="334" t="s">
        <v>18</v>
      </c>
      <c r="AO10" s="344">
        <v>1.1000000000000001</v>
      </c>
      <c r="AP10" s="343" t="s">
        <v>1165</v>
      </c>
      <c r="AQ10" s="334" t="s">
        <v>337</v>
      </c>
      <c r="AR10" s="334" t="s">
        <v>18</v>
      </c>
      <c r="AS10" s="344">
        <v>0</v>
      </c>
      <c r="AW10" s="344"/>
      <c r="BA10" s="345"/>
    </row>
    <row r="11" spans="1:53" s="334" customFormat="1">
      <c r="A11" s="334">
        <v>1993</v>
      </c>
      <c r="C11" s="992" t="s">
        <v>1164</v>
      </c>
      <c r="D11" s="992"/>
      <c r="E11" s="334">
        <v>298</v>
      </c>
      <c r="G11" s="419">
        <v>7</v>
      </c>
      <c r="H11" s="334">
        <v>9</v>
      </c>
      <c r="J11" s="435">
        <v>19</v>
      </c>
      <c r="K11" s="384">
        <f t="shared" si="0"/>
        <v>36.84210526315789</v>
      </c>
      <c r="L11" s="384">
        <f t="shared" si="0"/>
        <v>24.428571428571434</v>
      </c>
      <c r="M11" s="384">
        <f t="shared" si="0"/>
        <v>0</v>
      </c>
      <c r="N11" s="421">
        <f>K11+L11+M11</f>
        <v>61.270676691729321</v>
      </c>
      <c r="O11" s="383">
        <v>21.5</v>
      </c>
      <c r="P11" s="384">
        <v>17.899999999999999</v>
      </c>
      <c r="Q11" s="384"/>
      <c r="R11" s="385">
        <f t="shared" si="1"/>
        <v>39.4</v>
      </c>
      <c r="S11" s="334">
        <v>5</v>
      </c>
      <c r="T11" s="357"/>
      <c r="V11" s="343" t="s">
        <v>561</v>
      </c>
      <c r="W11" s="334" t="s">
        <v>22</v>
      </c>
      <c r="X11" s="334" t="s">
        <v>11</v>
      </c>
      <c r="Y11" s="344">
        <v>13.5</v>
      </c>
      <c r="Z11" s="334" t="s">
        <v>947</v>
      </c>
      <c r="AA11" s="334" t="s">
        <v>86</v>
      </c>
      <c r="AB11" s="334" t="s">
        <v>18</v>
      </c>
      <c r="AC11" s="334">
        <v>10.7</v>
      </c>
      <c r="AD11" s="343" t="s">
        <v>949</v>
      </c>
      <c r="AE11" s="334" t="s">
        <v>88</v>
      </c>
      <c r="AF11" s="334" t="s">
        <v>11</v>
      </c>
      <c r="AG11" s="334">
        <v>8</v>
      </c>
      <c r="AH11" s="343" t="s">
        <v>944</v>
      </c>
      <c r="AI11" s="334" t="s">
        <v>945</v>
      </c>
      <c r="AJ11" s="334" t="s">
        <v>18</v>
      </c>
      <c r="AK11" s="344">
        <v>6.1</v>
      </c>
      <c r="AL11" s="343" t="s">
        <v>948</v>
      </c>
      <c r="AM11" s="334" t="s">
        <v>17</v>
      </c>
      <c r="AN11" s="334" t="s">
        <v>18</v>
      </c>
      <c r="AO11" s="344">
        <v>1.1000000000000001</v>
      </c>
      <c r="AP11" s="343" t="s">
        <v>1165</v>
      </c>
      <c r="AQ11" s="334" t="s">
        <v>337</v>
      </c>
      <c r="AR11" s="334" t="s">
        <v>18</v>
      </c>
      <c r="AS11" s="344">
        <v>0</v>
      </c>
      <c r="AW11" s="344"/>
      <c r="BA11" s="345"/>
    </row>
    <row r="12" spans="1:53" s="190" customFormat="1">
      <c r="A12" s="190">
        <v>1993</v>
      </c>
      <c r="B12" s="188">
        <v>34268</v>
      </c>
      <c r="C12" s="988" t="s">
        <v>952</v>
      </c>
      <c r="D12" s="988"/>
      <c r="E12" s="190">
        <f xml:space="preserve"> 365-E11</f>
        <v>67</v>
      </c>
      <c r="F12" s="190">
        <v>5</v>
      </c>
      <c r="G12" s="123"/>
      <c r="I12" s="190">
        <v>13</v>
      </c>
      <c r="J12" s="134">
        <v>20</v>
      </c>
      <c r="K12" s="92">
        <f>G12/J12*100</f>
        <v>0</v>
      </c>
      <c r="L12" s="92">
        <f>H12/J12*100</f>
        <v>0</v>
      </c>
      <c r="M12" s="92">
        <f>I12/J12*100</f>
        <v>65</v>
      </c>
      <c r="N12" s="125">
        <f t="shared" ref="N12:N84" si="2">SUM(K12:M12)</f>
        <v>65</v>
      </c>
      <c r="O12" s="91"/>
      <c r="P12" s="92"/>
      <c r="Q12" s="92">
        <v>65.900000000000006</v>
      </c>
      <c r="R12" s="93">
        <f t="shared" si="1"/>
        <v>65.900000000000006</v>
      </c>
      <c r="S12" s="190">
        <v>2</v>
      </c>
      <c r="T12" s="95">
        <v>34231</v>
      </c>
      <c r="U12" s="188">
        <v>34268</v>
      </c>
      <c r="V12" s="82" t="s">
        <v>951</v>
      </c>
      <c r="W12" s="190" t="s">
        <v>97</v>
      </c>
      <c r="X12" s="190" t="s">
        <v>12</v>
      </c>
      <c r="Y12" s="83">
        <v>37.200000000000003</v>
      </c>
      <c r="Z12" s="190" t="s">
        <v>950</v>
      </c>
      <c r="AA12" s="190" t="s">
        <v>880</v>
      </c>
      <c r="AB12" s="190" t="s">
        <v>12</v>
      </c>
      <c r="AC12" s="190">
        <v>28.7</v>
      </c>
      <c r="AD12" s="82"/>
      <c r="AG12" s="83"/>
      <c r="AL12" s="82"/>
      <c r="AO12" s="83"/>
      <c r="AP12" s="82"/>
      <c r="AS12" s="83"/>
      <c r="AW12" s="83"/>
      <c r="BA12" s="84"/>
    </row>
    <row r="13" spans="1:53" s="190" customFormat="1">
      <c r="A13" s="190">
        <v>1994</v>
      </c>
      <c r="C13" s="988" t="s">
        <v>952</v>
      </c>
      <c r="D13" s="988"/>
      <c r="E13" s="190">
        <v>0</v>
      </c>
      <c r="G13" s="123"/>
      <c r="I13" s="190">
        <v>13</v>
      </c>
      <c r="J13" s="134">
        <v>20</v>
      </c>
      <c r="K13" s="92">
        <f t="shared" ref="K13:K75" si="3">G13/J13*100</f>
        <v>0</v>
      </c>
      <c r="L13" s="92">
        <f t="shared" ref="L13:L75" si="4">H13/J13*100</f>
        <v>0</v>
      </c>
      <c r="M13" s="92">
        <f t="shared" ref="M13:M75" si="5">I13/J13*100</f>
        <v>65</v>
      </c>
      <c r="N13" s="125">
        <f t="shared" si="2"/>
        <v>65</v>
      </c>
      <c r="O13" s="91"/>
      <c r="P13" s="92"/>
      <c r="Q13" s="92">
        <v>65.900000000000006</v>
      </c>
      <c r="R13" s="93">
        <f t="shared" si="1"/>
        <v>65.900000000000006</v>
      </c>
      <c r="S13" s="190">
        <v>2</v>
      </c>
      <c r="T13" s="81"/>
      <c r="V13" s="82" t="s">
        <v>951</v>
      </c>
      <c r="W13" s="190" t="s">
        <v>97</v>
      </c>
      <c r="X13" s="190" t="s">
        <v>12</v>
      </c>
      <c r="Y13" s="83">
        <v>37.200000000000003</v>
      </c>
      <c r="Z13" s="190" t="s">
        <v>950</v>
      </c>
      <c r="AA13" s="190" t="s">
        <v>880</v>
      </c>
      <c r="AB13" s="190" t="s">
        <v>12</v>
      </c>
      <c r="AC13" s="190">
        <v>28.7</v>
      </c>
      <c r="AD13" s="82"/>
      <c r="AG13" s="83"/>
      <c r="AL13" s="82"/>
      <c r="AO13" s="83"/>
      <c r="AP13" s="82"/>
      <c r="AS13" s="83"/>
      <c r="AW13" s="83"/>
      <c r="BA13" s="84"/>
    </row>
    <row r="14" spans="1:53" s="190" customFormat="1">
      <c r="A14" s="190">
        <v>1994</v>
      </c>
      <c r="C14" s="988" t="s">
        <v>952</v>
      </c>
      <c r="D14" s="988"/>
      <c r="E14" s="190">
        <v>365</v>
      </c>
      <c r="G14" s="123"/>
      <c r="I14" s="190">
        <v>13</v>
      </c>
      <c r="J14" s="134">
        <v>20</v>
      </c>
      <c r="K14" s="92">
        <f t="shared" si="3"/>
        <v>0</v>
      </c>
      <c r="L14" s="92">
        <f t="shared" si="4"/>
        <v>0</v>
      </c>
      <c r="M14" s="92">
        <f t="shared" si="5"/>
        <v>65</v>
      </c>
      <c r="N14" s="125">
        <f t="shared" si="2"/>
        <v>65</v>
      </c>
      <c r="O14" s="91"/>
      <c r="P14" s="92"/>
      <c r="Q14" s="92">
        <v>65.900000000000006</v>
      </c>
      <c r="R14" s="93">
        <f t="shared" si="1"/>
        <v>65.900000000000006</v>
      </c>
      <c r="S14" s="190">
        <v>2</v>
      </c>
      <c r="T14" s="81"/>
      <c r="V14" s="82" t="s">
        <v>951</v>
      </c>
      <c r="W14" s="190" t="s">
        <v>97</v>
      </c>
      <c r="X14" s="190" t="s">
        <v>12</v>
      </c>
      <c r="Y14" s="83">
        <v>37.200000000000003</v>
      </c>
      <c r="Z14" s="190" t="s">
        <v>950</v>
      </c>
      <c r="AA14" s="190" t="s">
        <v>880</v>
      </c>
      <c r="AB14" s="190" t="s">
        <v>12</v>
      </c>
      <c r="AC14" s="190">
        <v>28.7</v>
      </c>
      <c r="AD14" s="82"/>
      <c r="AG14" s="83"/>
      <c r="AL14" s="82"/>
      <c r="AO14" s="83"/>
      <c r="AP14" s="82"/>
      <c r="AS14" s="83"/>
      <c r="AW14" s="83"/>
      <c r="BA14" s="84"/>
    </row>
    <row r="15" spans="1:53" s="190" customFormat="1">
      <c r="A15" s="190">
        <v>1995</v>
      </c>
      <c r="C15" s="988" t="s">
        <v>952</v>
      </c>
      <c r="D15" s="988"/>
      <c r="E15" s="190">
        <v>64</v>
      </c>
      <c r="G15" s="123"/>
      <c r="I15" s="190">
        <v>13</v>
      </c>
      <c r="J15" s="134">
        <v>20</v>
      </c>
      <c r="K15" s="92">
        <f t="shared" si="3"/>
        <v>0</v>
      </c>
      <c r="L15" s="92">
        <f t="shared" si="4"/>
        <v>0</v>
      </c>
      <c r="M15" s="92">
        <f t="shared" si="5"/>
        <v>65</v>
      </c>
      <c r="N15" s="125">
        <f t="shared" si="2"/>
        <v>65</v>
      </c>
      <c r="O15" s="91"/>
      <c r="P15" s="92"/>
      <c r="Q15" s="92">
        <v>65.900000000000006</v>
      </c>
      <c r="R15" s="93">
        <f t="shared" si="1"/>
        <v>65.900000000000006</v>
      </c>
      <c r="S15" s="190">
        <v>2</v>
      </c>
      <c r="T15" s="81"/>
      <c r="V15" s="82" t="s">
        <v>951</v>
      </c>
      <c r="W15" s="190" t="s">
        <v>97</v>
      </c>
      <c r="X15" s="190" t="s">
        <v>12</v>
      </c>
      <c r="Y15" s="83">
        <v>37.200000000000003</v>
      </c>
      <c r="Z15" s="190" t="s">
        <v>950</v>
      </c>
      <c r="AA15" s="190" t="s">
        <v>880</v>
      </c>
      <c r="AB15" s="190" t="s">
        <v>12</v>
      </c>
      <c r="AC15" s="190">
        <v>28.7</v>
      </c>
      <c r="AD15" s="82"/>
      <c r="AG15" s="83"/>
      <c r="AL15" s="82"/>
      <c r="AO15" s="83"/>
      <c r="AP15" s="82"/>
      <c r="AS15" s="83"/>
      <c r="AW15" s="83"/>
      <c r="BA15" s="84"/>
    </row>
    <row r="16" spans="1:53" s="334" customFormat="1">
      <c r="A16" s="334">
        <v>1995</v>
      </c>
      <c r="B16" s="355">
        <v>34764</v>
      </c>
      <c r="C16" s="992" t="s">
        <v>953</v>
      </c>
      <c r="D16" s="992"/>
      <c r="E16" s="334">
        <f xml:space="preserve"> 365-E15</f>
        <v>301</v>
      </c>
      <c r="F16" s="334">
        <v>6</v>
      </c>
      <c r="G16" s="419"/>
      <c r="I16" s="334">
        <v>18</v>
      </c>
      <c r="J16" s="435">
        <v>21</v>
      </c>
      <c r="K16" s="384">
        <f t="shared" si="3"/>
        <v>0</v>
      </c>
      <c r="L16" s="384">
        <f t="shared" si="4"/>
        <v>0</v>
      </c>
      <c r="M16" s="384">
        <f t="shared" si="5"/>
        <v>85.714285714285708</v>
      </c>
      <c r="N16" s="421">
        <f t="shared" si="2"/>
        <v>85.714285714285708</v>
      </c>
      <c r="O16" s="383"/>
      <c r="P16" s="384"/>
      <c r="Q16" s="384">
        <v>65.900000000000006</v>
      </c>
      <c r="R16" s="385">
        <f t="shared" si="1"/>
        <v>65.900000000000006</v>
      </c>
      <c r="S16" s="334">
        <v>2</v>
      </c>
      <c r="T16" s="357"/>
      <c r="U16" s="355">
        <v>34764</v>
      </c>
      <c r="V16" s="343" t="s">
        <v>951</v>
      </c>
      <c r="W16" s="334" t="s">
        <v>97</v>
      </c>
      <c r="X16" s="334" t="s">
        <v>12</v>
      </c>
      <c r="Y16" s="344">
        <v>37.200000000000003</v>
      </c>
      <c r="Z16" s="334" t="s">
        <v>950</v>
      </c>
      <c r="AA16" s="334" t="s">
        <v>880</v>
      </c>
      <c r="AB16" s="334" t="s">
        <v>12</v>
      </c>
      <c r="AC16" s="334">
        <v>28.7</v>
      </c>
      <c r="AD16" s="343"/>
      <c r="AG16" s="344"/>
      <c r="AL16" s="343"/>
      <c r="AO16" s="344"/>
      <c r="AP16" s="343"/>
      <c r="AS16" s="344"/>
      <c r="AW16" s="344"/>
      <c r="BA16" s="345"/>
    </row>
    <row r="17" spans="1:53" s="334" customFormat="1">
      <c r="A17" s="334">
        <v>1996</v>
      </c>
      <c r="C17" s="992" t="s">
        <v>953</v>
      </c>
      <c r="D17" s="992"/>
      <c r="E17" s="334">
        <v>37</v>
      </c>
      <c r="G17" s="419"/>
      <c r="I17" s="334">
        <v>18</v>
      </c>
      <c r="J17" s="435">
        <v>21</v>
      </c>
      <c r="K17" s="384">
        <f t="shared" si="3"/>
        <v>0</v>
      </c>
      <c r="L17" s="384">
        <f t="shared" si="4"/>
        <v>0</v>
      </c>
      <c r="M17" s="384">
        <f t="shared" si="5"/>
        <v>85.714285714285708</v>
      </c>
      <c r="N17" s="421">
        <f t="shared" si="2"/>
        <v>85.714285714285708</v>
      </c>
      <c r="O17" s="383"/>
      <c r="P17" s="384"/>
      <c r="Q17" s="384">
        <v>65.900000000000006</v>
      </c>
      <c r="R17" s="385">
        <f t="shared" si="1"/>
        <v>65.900000000000006</v>
      </c>
      <c r="S17" s="334">
        <v>2</v>
      </c>
      <c r="T17" s="357"/>
      <c r="V17" s="343" t="s">
        <v>951</v>
      </c>
      <c r="W17" s="334" t="s">
        <v>97</v>
      </c>
      <c r="X17" s="334" t="s">
        <v>12</v>
      </c>
      <c r="Y17" s="344">
        <v>37.200000000000003</v>
      </c>
      <c r="Z17" s="334" t="s">
        <v>950</v>
      </c>
      <c r="AA17" s="334" t="s">
        <v>880</v>
      </c>
      <c r="AB17" s="334" t="s">
        <v>12</v>
      </c>
      <c r="AC17" s="334">
        <v>28.7</v>
      </c>
      <c r="AD17" s="343"/>
      <c r="AG17" s="344"/>
      <c r="AL17" s="343"/>
      <c r="AO17" s="344"/>
      <c r="AP17" s="343"/>
      <c r="AS17" s="344"/>
      <c r="AW17" s="344"/>
      <c r="BA17" s="345"/>
    </row>
    <row r="18" spans="1:53" s="190" customFormat="1">
      <c r="A18" s="190">
        <v>1996</v>
      </c>
      <c r="B18" s="188">
        <v>35102</v>
      </c>
      <c r="C18" s="988" t="s">
        <v>954</v>
      </c>
      <c r="D18" s="988"/>
      <c r="E18" s="190">
        <v>237</v>
      </c>
      <c r="F18" s="190">
        <v>2</v>
      </c>
      <c r="G18" s="123"/>
      <c r="I18" s="190">
        <v>14</v>
      </c>
      <c r="J18" s="134">
        <v>21</v>
      </c>
      <c r="K18" s="92">
        <f t="shared" si="3"/>
        <v>0</v>
      </c>
      <c r="L18" s="92">
        <f t="shared" si="4"/>
        <v>0</v>
      </c>
      <c r="M18" s="92">
        <f t="shared" si="5"/>
        <v>66.666666666666657</v>
      </c>
      <c r="N18" s="125">
        <f t="shared" si="2"/>
        <v>66.666666666666657</v>
      </c>
      <c r="O18" s="91"/>
      <c r="P18" s="92"/>
      <c r="Q18" s="92">
        <v>65.900000000000006</v>
      </c>
      <c r="R18" s="93">
        <f t="shared" si="1"/>
        <v>65.900000000000006</v>
      </c>
      <c r="S18" s="190">
        <v>2</v>
      </c>
      <c r="T18" s="81"/>
      <c r="V18" s="82" t="s">
        <v>951</v>
      </c>
      <c r="W18" s="190" t="s">
        <v>97</v>
      </c>
      <c r="X18" s="190" t="s">
        <v>12</v>
      </c>
      <c r="Y18" s="83">
        <v>37.200000000000003</v>
      </c>
      <c r="Z18" s="190" t="s">
        <v>950</v>
      </c>
      <c r="AA18" s="190" t="s">
        <v>880</v>
      </c>
      <c r="AB18" s="190" t="s">
        <v>12</v>
      </c>
      <c r="AC18" s="190">
        <v>28.7</v>
      </c>
      <c r="AD18" s="82"/>
      <c r="AG18" s="83"/>
      <c r="AL18" s="82"/>
      <c r="AO18" s="83"/>
      <c r="AP18" s="82"/>
      <c r="AS18" s="83"/>
      <c r="AW18" s="83"/>
      <c r="BA18" s="84"/>
    </row>
    <row r="19" spans="1:53" s="190" customFormat="1">
      <c r="A19" s="190">
        <v>1996</v>
      </c>
      <c r="B19" s="216">
        <v>35339</v>
      </c>
      <c r="C19" s="988" t="s">
        <v>954</v>
      </c>
      <c r="D19" s="988"/>
      <c r="E19" s="190">
        <v>92</v>
      </c>
      <c r="F19" s="217">
        <v>0</v>
      </c>
      <c r="G19" s="123"/>
      <c r="I19" s="190">
        <v>13</v>
      </c>
      <c r="J19" s="134">
        <v>20</v>
      </c>
      <c r="K19" s="92">
        <f t="shared" si="3"/>
        <v>0</v>
      </c>
      <c r="L19" s="92">
        <f t="shared" si="4"/>
        <v>0</v>
      </c>
      <c r="M19" s="92">
        <f t="shared" si="5"/>
        <v>65</v>
      </c>
      <c r="N19" s="125">
        <f t="shared" si="2"/>
        <v>65</v>
      </c>
      <c r="O19" s="91"/>
      <c r="P19" s="92"/>
      <c r="Q19" s="92">
        <v>65.900000000000006</v>
      </c>
      <c r="R19" s="93">
        <f t="shared" si="1"/>
        <v>65.900000000000006</v>
      </c>
      <c r="S19" s="190">
        <v>2</v>
      </c>
      <c r="T19" s="81"/>
      <c r="V19" s="82" t="s">
        <v>951</v>
      </c>
      <c r="W19" s="190" t="s">
        <v>97</v>
      </c>
      <c r="X19" s="190" t="s">
        <v>12</v>
      </c>
      <c r="Y19" s="83">
        <v>37.200000000000003</v>
      </c>
      <c r="Z19" s="190" t="s">
        <v>950</v>
      </c>
      <c r="AA19" s="190" t="s">
        <v>880</v>
      </c>
      <c r="AB19" s="190" t="s">
        <v>12</v>
      </c>
      <c r="AC19" s="190">
        <v>28.7</v>
      </c>
      <c r="AD19" s="82"/>
      <c r="AG19" s="83"/>
      <c r="AL19" s="82"/>
      <c r="AO19" s="83"/>
      <c r="AP19" s="82"/>
      <c r="AS19" s="83"/>
      <c r="AW19" s="83"/>
      <c r="BA19" s="84"/>
    </row>
    <row r="20" spans="1:53" s="190" customFormat="1">
      <c r="A20" s="190">
        <v>1997</v>
      </c>
      <c r="B20" s="216">
        <v>35431</v>
      </c>
      <c r="C20" s="988" t="s">
        <v>954</v>
      </c>
      <c r="D20" s="988"/>
      <c r="E20" s="190">
        <v>209</v>
      </c>
      <c r="F20" s="217">
        <v>0</v>
      </c>
      <c r="G20" s="123"/>
      <c r="I20" s="190">
        <v>12</v>
      </c>
      <c r="J20" s="134">
        <v>18</v>
      </c>
      <c r="K20" s="92">
        <f>G20/J20*100</f>
        <v>0</v>
      </c>
      <c r="L20" s="92">
        <f>H20/J20*100</f>
        <v>0</v>
      </c>
      <c r="M20" s="92">
        <f>I20/J20*100</f>
        <v>66.666666666666657</v>
      </c>
      <c r="N20" s="125">
        <f>SUM(K20:M20)</f>
        <v>66.666666666666657</v>
      </c>
      <c r="O20" s="91"/>
      <c r="P20" s="92"/>
      <c r="Q20" s="92">
        <v>65.900000000000006</v>
      </c>
      <c r="R20" s="93">
        <f>SUM(O20:Q20)</f>
        <v>65.900000000000006</v>
      </c>
      <c r="S20" s="190">
        <v>2</v>
      </c>
      <c r="T20" s="81"/>
      <c r="V20" s="82" t="s">
        <v>951</v>
      </c>
      <c r="W20" s="190" t="s">
        <v>97</v>
      </c>
      <c r="X20" s="190" t="s">
        <v>12</v>
      </c>
      <c r="Y20" s="83">
        <v>37.200000000000003</v>
      </c>
      <c r="Z20" s="190" t="s">
        <v>950</v>
      </c>
      <c r="AA20" s="190" t="s">
        <v>880</v>
      </c>
      <c r="AB20" s="190" t="s">
        <v>12</v>
      </c>
      <c r="AC20" s="190">
        <v>28.7</v>
      </c>
      <c r="AD20" s="82"/>
      <c r="AG20" s="83"/>
      <c r="AL20" s="82"/>
      <c r="AO20" s="83"/>
      <c r="AP20" s="82"/>
      <c r="AS20" s="83"/>
      <c r="AW20" s="83"/>
      <c r="BA20" s="84"/>
    </row>
    <row r="21" spans="1:53" s="190" customFormat="1">
      <c r="A21" s="190">
        <v>1997</v>
      </c>
      <c r="B21" s="216">
        <v>35640</v>
      </c>
      <c r="C21" s="988" t="s">
        <v>954</v>
      </c>
      <c r="D21" s="988"/>
      <c r="E21" s="190">
        <v>94</v>
      </c>
      <c r="F21" s="217">
        <v>0</v>
      </c>
      <c r="G21" s="123"/>
      <c r="I21" s="190">
        <v>13</v>
      </c>
      <c r="J21" s="134">
        <v>19</v>
      </c>
      <c r="K21" s="92">
        <f t="shared" si="3"/>
        <v>0</v>
      </c>
      <c r="L21" s="92">
        <f t="shared" si="4"/>
        <v>0</v>
      </c>
      <c r="M21" s="92">
        <f t="shared" si="5"/>
        <v>68.421052631578945</v>
      </c>
      <c r="N21" s="125">
        <f t="shared" si="2"/>
        <v>68.421052631578945</v>
      </c>
      <c r="O21" s="91"/>
      <c r="P21" s="92"/>
      <c r="Q21" s="92">
        <v>65.900000000000006</v>
      </c>
      <c r="R21" s="93">
        <f t="shared" si="1"/>
        <v>65.900000000000006</v>
      </c>
      <c r="S21" s="190">
        <v>2</v>
      </c>
      <c r="T21" s="81"/>
      <c r="V21" s="82" t="s">
        <v>951</v>
      </c>
      <c r="W21" s="190" t="s">
        <v>97</v>
      </c>
      <c r="X21" s="190" t="s">
        <v>12</v>
      </c>
      <c r="Y21" s="83">
        <v>37.200000000000003</v>
      </c>
      <c r="Z21" s="190" t="s">
        <v>950</v>
      </c>
      <c r="AA21" s="190" t="s">
        <v>880</v>
      </c>
      <c r="AB21" s="190" t="s">
        <v>12</v>
      </c>
      <c r="AC21" s="190">
        <v>28.7</v>
      </c>
      <c r="AD21" s="82"/>
      <c r="AG21" s="83"/>
      <c r="AL21" s="82"/>
      <c r="AO21" s="83"/>
      <c r="AP21" s="82"/>
      <c r="AS21" s="83"/>
      <c r="AW21" s="83"/>
      <c r="BA21" s="84"/>
    </row>
    <row r="22" spans="1:53" s="334" customFormat="1">
      <c r="A22" s="334">
        <v>1997</v>
      </c>
      <c r="B22" s="355">
        <v>35734</v>
      </c>
      <c r="C22" s="992" t="s">
        <v>1166</v>
      </c>
      <c r="D22" s="992"/>
      <c r="E22" s="334">
        <v>62</v>
      </c>
      <c r="F22" s="334">
        <v>1</v>
      </c>
      <c r="G22" s="419">
        <v>22</v>
      </c>
      <c r="J22" s="435">
        <v>23</v>
      </c>
      <c r="K22" s="384">
        <f t="shared" si="3"/>
        <v>95.652173913043484</v>
      </c>
      <c r="L22" s="384">
        <f t="shared" si="4"/>
        <v>0</v>
      </c>
      <c r="M22" s="384">
        <f t="shared" si="5"/>
        <v>0</v>
      </c>
      <c r="N22" s="421">
        <f t="shared" si="2"/>
        <v>95.652173913043484</v>
      </c>
      <c r="O22" s="383">
        <v>56.7</v>
      </c>
      <c r="P22" s="384"/>
      <c r="Q22" s="384"/>
      <c r="R22" s="385">
        <f t="shared" si="1"/>
        <v>56.7</v>
      </c>
      <c r="S22" s="334">
        <v>2</v>
      </c>
      <c r="T22" s="342">
        <v>35694</v>
      </c>
      <c r="U22" s="355">
        <v>35734</v>
      </c>
      <c r="V22" s="343" t="s">
        <v>955</v>
      </c>
      <c r="W22" s="334" t="s">
        <v>335</v>
      </c>
      <c r="X22" s="334" t="s">
        <v>11</v>
      </c>
      <c r="Y22" s="344">
        <v>43.7</v>
      </c>
      <c r="Z22" s="334" t="s">
        <v>956</v>
      </c>
      <c r="AA22" s="334" t="s">
        <v>107</v>
      </c>
      <c r="AB22" s="334" t="s">
        <v>11</v>
      </c>
      <c r="AC22" s="334">
        <v>13</v>
      </c>
      <c r="AD22" s="343"/>
      <c r="AG22" s="344"/>
      <c r="AL22" s="343"/>
      <c r="AO22" s="344"/>
      <c r="AP22" s="343"/>
      <c r="AS22" s="344"/>
      <c r="AW22" s="344"/>
      <c r="BA22" s="345"/>
    </row>
    <row r="23" spans="1:53" s="334" customFormat="1">
      <c r="A23" s="334">
        <v>1998</v>
      </c>
      <c r="C23" s="992" t="s">
        <v>1166</v>
      </c>
      <c r="D23" s="992"/>
      <c r="E23" s="334">
        <v>207</v>
      </c>
      <c r="G23" s="419">
        <v>22</v>
      </c>
      <c r="J23" s="435">
        <v>23</v>
      </c>
      <c r="K23" s="384">
        <f t="shared" si="3"/>
        <v>95.652173913043484</v>
      </c>
      <c r="L23" s="384">
        <f t="shared" si="4"/>
        <v>0</v>
      </c>
      <c r="M23" s="384">
        <f t="shared" si="5"/>
        <v>0</v>
      </c>
      <c r="N23" s="421">
        <f t="shared" si="2"/>
        <v>95.652173913043484</v>
      </c>
      <c r="O23" s="383">
        <v>56.7</v>
      </c>
      <c r="P23" s="384"/>
      <c r="Q23" s="384"/>
      <c r="R23" s="385">
        <f t="shared" si="1"/>
        <v>56.7</v>
      </c>
      <c r="S23" s="334">
        <v>2</v>
      </c>
      <c r="T23" s="357"/>
      <c r="V23" s="343" t="s">
        <v>955</v>
      </c>
      <c r="W23" s="334" t="s">
        <v>335</v>
      </c>
      <c r="X23" s="334" t="s">
        <v>11</v>
      </c>
      <c r="Y23" s="344">
        <v>43.7</v>
      </c>
      <c r="Z23" s="334" t="s">
        <v>956</v>
      </c>
      <c r="AA23" s="334" t="s">
        <v>107</v>
      </c>
      <c r="AB23" s="334" t="s">
        <v>11</v>
      </c>
      <c r="AC23" s="334">
        <v>13</v>
      </c>
      <c r="AD23" s="343"/>
      <c r="AG23" s="344"/>
      <c r="AL23" s="343"/>
      <c r="AO23" s="344"/>
      <c r="AP23" s="343"/>
      <c r="AS23" s="344"/>
      <c r="AW23" s="344"/>
      <c r="BA23" s="345"/>
    </row>
    <row r="24" spans="1:53" s="334" customFormat="1">
      <c r="A24" s="334">
        <v>1998</v>
      </c>
      <c r="B24" s="450">
        <v>36003</v>
      </c>
      <c r="C24" s="992" t="s">
        <v>1166</v>
      </c>
      <c r="D24" s="992"/>
      <c r="E24" s="334">
        <v>122</v>
      </c>
      <c r="F24" s="451">
        <v>0</v>
      </c>
      <c r="G24" s="419">
        <v>21</v>
      </c>
      <c r="J24" s="435">
        <v>22</v>
      </c>
      <c r="K24" s="384">
        <f t="shared" si="3"/>
        <v>95.454545454545453</v>
      </c>
      <c r="L24" s="384">
        <f t="shared" si="4"/>
        <v>0</v>
      </c>
      <c r="M24" s="384">
        <f t="shared" si="5"/>
        <v>0</v>
      </c>
      <c r="N24" s="421">
        <f t="shared" si="2"/>
        <v>95.454545454545453</v>
      </c>
      <c r="O24" s="383">
        <v>56.7</v>
      </c>
      <c r="P24" s="384"/>
      <c r="Q24" s="384"/>
      <c r="R24" s="385">
        <f t="shared" si="1"/>
        <v>56.7</v>
      </c>
      <c r="S24" s="334">
        <v>2</v>
      </c>
      <c r="T24" s="357"/>
      <c r="V24" s="343" t="s">
        <v>955</v>
      </c>
      <c r="W24" s="334" t="s">
        <v>335</v>
      </c>
      <c r="X24" s="334" t="s">
        <v>11</v>
      </c>
      <c r="Y24" s="344">
        <v>43.7</v>
      </c>
      <c r="Z24" s="334" t="s">
        <v>956</v>
      </c>
      <c r="AA24" s="334" t="s">
        <v>107</v>
      </c>
      <c r="AB24" s="334" t="s">
        <v>11</v>
      </c>
      <c r="AC24" s="334">
        <v>13</v>
      </c>
      <c r="AD24" s="343"/>
      <c r="AG24" s="344"/>
      <c r="AL24" s="343"/>
      <c r="AO24" s="344"/>
      <c r="AP24" s="343"/>
      <c r="AS24" s="344"/>
      <c r="AW24" s="344"/>
      <c r="BA24" s="345"/>
    </row>
    <row r="25" spans="1:53" s="334" customFormat="1">
      <c r="A25" s="334">
        <v>1998</v>
      </c>
      <c r="B25" s="450">
        <v>36125</v>
      </c>
      <c r="C25" s="992" t="s">
        <v>1166</v>
      </c>
      <c r="D25" s="992"/>
      <c r="E25" s="334">
        <f xml:space="preserve"> 365-E24-E23</f>
        <v>36</v>
      </c>
      <c r="F25" s="451">
        <v>0</v>
      </c>
      <c r="G25" s="419">
        <v>22</v>
      </c>
      <c r="J25" s="435">
        <v>22</v>
      </c>
      <c r="K25" s="384">
        <f t="shared" si="3"/>
        <v>100</v>
      </c>
      <c r="L25" s="384">
        <f t="shared" si="4"/>
        <v>0</v>
      </c>
      <c r="M25" s="384">
        <f t="shared" si="5"/>
        <v>0</v>
      </c>
      <c r="N25" s="421">
        <f t="shared" si="2"/>
        <v>100</v>
      </c>
      <c r="O25" s="383">
        <v>56.7</v>
      </c>
      <c r="P25" s="384"/>
      <c r="Q25" s="384"/>
      <c r="R25" s="385">
        <f t="shared" si="1"/>
        <v>56.7</v>
      </c>
      <c r="S25" s="334">
        <v>2</v>
      </c>
      <c r="T25" s="357"/>
      <c r="V25" s="343" t="s">
        <v>955</v>
      </c>
      <c r="W25" s="334" t="s">
        <v>335</v>
      </c>
      <c r="X25" s="334" t="s">
        <v>11</v>
      </c>
      <c r="Y25" s="344">
        <v>43.7</v>
      </c>
      <c r="Z25" s="334" t="s">
        <v>956</v>
      </c>
      <c r="AA25" s="334" t="s">
        <v>107</v>
      </c>
      <c r="AB25" s="334" t="s">
        <v>11</v>
      </c>
      <c r="AC25" s="334">
        <v>13</v>
      </c>
      <c r="AD25" s="343"/>
      <c r="AG25" s="344"/>
      <c r="AL25" s="343"/>
      <c r="AO25" s="344"/>
      <c r="AP25" s="343"/>
      <c r="AS25" s="344"/>
      <c r="AW25" s="344"/>
      <c r="BA25" s="345"/>
    </row>
    <row r="26" spans="1:53" s="334" customFormat="1">
      <c r="A26" s="334">
        <v>1999</v>
      </c>
      <c r="B26" s="451"/>
      <c r="C26" s="992" t="s">
        <v>1166</v>
      </c>
      <c r="D26" s="992"/>
      <c r="E26" s="334">
        <v>84</v>
      </c>
      <c r="F26" s="451"/>
      <c r="G26" s="419">
        <v>22</v>
      </c>
      <c r="J26" s="435">
        <v>22</v>
      </c>
      <c r="K26" s="384">
        <f t="shared" si="3"/>
        <v>100</v>
      </c>
      <c r="L26" s="384">
        <f t="shared" si="4"/>
        <v>0</v>
      </c>
      <c r="M26" s="384">
        <f t="shared" si="5"/>
        <v>0</v>
      </c>
      <c r="N26" s="421">
        <f t="shared" si="2"/>
        <v>100</v>
      </c>
      <c r="O26" s="383">
        <v>56.7</v>
      </c>
      <c r="P26" s="384"/>
      <c r="Q26" s="384"/>
      <c r="R26" s="385">
        <f t="shared" si="1"/>
        <v>56.7</v>
      </c>
      <c r="S26" s="334">
        <v>2</v>
      </c>
      <c r="T26" s="357"/>
      <c r="V26" s="343" t="s">
        <v>955</v>
      </c>
      <c r="W26" s="334" t="s">
        <v>335</v>
      </c>
      <c r="X26" s="334" t="s">
        <v>11</v>
      </c>
      <c r="Y26" s="344">
        <v>43.7</v>
      </c>
      <c r="Z26" s="334" t="s">
        <v>956</v>
      </c>
      <c r="AA26" s="334" t="s">
        <v>107</v>
      </c>
      <c r="AB26" s="334" t="s">
        <v>11</v>
      </c>
      <c r="AC26" s="334">
        <v>13</v>
      </c>
      <c r="AD26" s="343"/>
      <c r="AG26" s="344"/>
      <c r="AL26" s="343"/>
      <c r="AO26" s="344"/>
      <c r="AP26" s="343"/>
      <c r="AS26" s="344"/>
      <c r="AW26" s="344"/>
      <c r="BA26" s="345"/>
    </row>
    <row r="27" spans="1:53" s="334" customFormat="1">
      <c r="A27" s="334">
        <v>1999</v>
      </c>
      <c r="B27" s="450">
        <v>36245</v>
      </c>
      <c r="C27" s="992" t="s">
        <v>1166</v>
      </c>
      <c r="D27" s="992"/>
      <c r="E27" s="334">
        <v>281</v>
      </c>
      <c r="F27" s="451">
        <v>0</v>
      </c>
      <c r="G27" s="419">
        <v>19</v>
      </c>
      <c r="J27" s="435">
        <v>19</v>
      </c>
      <c r="K27" s="384">
        <f t="shared" si="3"/>
        <v>100</v>
      </c>
      <c r="L27" s="384">
        <f t="shared" si="4"/>
        <v>0</v>
      </c>
      <c r="M27" s="384">
        <f t="shared" si="5"/>
        <v>0</v>
      </c>
      <c r="N27" s="421">
        <f t="shared" si="2"/>
        <v>100</v>
      </c>
      <c r="O27" s="383">
        <v>56.7</v>
      </c>
      <c r="P27" s="384"/>
      <c r="Q27" s="384"/>
      <c r="R27" s="385">
        <f t="shared" si="1"/>
        <v>56.7</v>
      </c>
      <c r="S27" s="334">
        <v>2</v>
      </c>
      <c r="T27" s="357"/>
      <c r="V27" s="343" t="s">
        <v>955</v>
      </c>
      <c r="W27" s="334" t="s">
        <v>335</v>
      </c>
      <c r="X27" s="334" t="s">
        <v>11</v>
      </c>
      <c r="Y27" s="344">
        <v>43.7</v>
      </c>
      <c r="Z27" s="334" t="s">
        <v>956</v>
      </c>
      <c r="AA27" s="334" t="s">
        <v>107</v>
      </c>
      <c r="AB27" s="334" t="s">
        <v>11</v>
      </c>
      <c r="AC27" s="334">
        <v>13</v>
      </c>
      <c r="AD27" s="343"/>
      <c r="AG27" s="344"/>
      <c r="AL27" s="343"/>
      <c r="AO27" s="344"/>
      <c r="AP27" s="343"/>
      <c r="AS27" s="344"/>
      <c r="AW27" s="344"/>
      <c r="BA27" s="345"/>
    </row>
    <row r="28" spans="1:53" s="334" customFormat="1">
      <c r="A28" s="334">
        <v>2000</v>
      </c>
      <c r="B28" s="450"/>
      <c r="C28" s="992" t="s">
        <v>1166</v>
      </c>
      <c r="D28" s="992"/>
      <c r="E28" s="334">
        <v>163</v>
      </c>
      <c r="F28" s="451"/>
      <c r="G28" s="419">
        <v>19</v>
      </c>
      <c r="J28" s="435">
        <v>19</v>
      </c>
      <c r="K28" s="384">
        <f t="shared" si="3"/>
        <v>100</v>
      </c>
      <c r="L28" s="384">
        <f t="shared" si="4"/>
        <v>0</v>
      </c>
      <c r="M28" s="384">
        <f t="shared" si="5"/>
        <v>0</v>
      </c>
      <c r="N28" s="421">
        <f t="shared" si="2"/>
        <v>100</v>
      </c>
      <c r="O28" s="383">
        <v>56.7</v>
      </c>
      <c r="P28" s="384"/>
      <c r="Q28" s="384"/>
      <c r="R28" s="385">
        <f t="shared" si="1"/>
        <v>56.7</v>
      </c>
      <c r="S28" s="334">
        <v>2</v>
      </c>
      <c r="T28" s="357"/>
      <c r="V28" s="343" t="s">
        <v>955</v>
      </c>
      <c r="W28" s="334" t="s">
        <v>335</v>
      </c>
      <c r="X28" s="334" t="s">
        <v>11</v>
      </c>
      <c r="Y28" s="344">
        <v>43.7</v>
      </c>
      <c r="Z28" s="334" t="s">
        <v>956</v>
      </c>
      <c r="AA28" s="334" t="s">
        <v>107</v>
      </c>
      <c r="AB28" s="334" t="s">
        <v>11</v>
      </c>
      <c r="AC28" s="334">
        <v>13</v>
      </c>
      <c r="AD28" s="343"/>
      <c r="AG28" s="344"/>
      <c r="AL28" s="343"/>
      <c r="AO28" s="344"/>
      <c r="AP28" s="343"/>
      <c r="AS28" s="344"/>
      <c r="AW28" s="344"/>
      <c r="BA28" s="345"/>
    </row>
    <row r="29" spans="1:53" s="334" customFormat="1">
      <c r="A29" s="334">
        <v>2000</v>
      </c>
      <c r="B29" s="450">
        <v>36689</v>
      </c>
      <c r="C29" s="992" t="s">
        <v>1166</v>
      </c>
      <c r="D29" s="992"/>
      <c r="E29" s="334">
        <v>17</v>
      </c>
      <c r="F29" s="451">
        <v>0</v>
      </c>
      <c r="G29" s="419">
        <v>17</v>
      </c>
      <c r="J29" s="435">
        <v>19</v>
      </c>
      <c r="K29" s="384">
        <f t="shared" si="3"/>
        <v>89.473684210526315</v>
      </c>
      <c r="L29" s="384">
        <f t="shared" si="4"/>
        <v>0</v>
      </c>
      <c r="M29" s="384">
        <f t="shared" si="5"/>
        <v>0</v>
      </c>
      <c r="N29" s="421">
        <f t="shared" si="2"/>
        <v>89.473684210526315</v>
      </c>
      <c r="O29" s="383">
        <v>56.7</v>
      </c>
      <c r="P29" s="384"/>
      <c r="Q29" s="384"/>
      <c r="R29" s="385">
        <f t="shared" si="1"/>
        <v>56.7</v>
      </c>
      <c r="S29" s="334">
        <v>2</v>
      </c>
      <c r="T29" s="357"/>
      <c r="V29" s="343" t="s">
        <v>955</v>
      </c>
      <c r="W29" s="334" t="s">
        <v>335</v>
      </c>
      <c r="X29" s="334" t="s">
        <v>11</v>
      </c>
      <c r="Y29" s="344">
        <v>43.7</v>
      </c>
      <c r="Z29" s="334" t="s">
        <v>956</v>
      </c>
      <c r="AA29" s="334" t="s">
        <v>107</v>
      </c>
      <c r="AB29" s="334" t="s">
        <v>11</v>
      </c>
      <c r="AC29" s="334">
        <v>13</v>
      </c>
      <c r="AD29" s="343"/>
      <c r="AG29" s="344"/>
      <c r="AL29" s="343"/>
      <c r="AO29" s="344"/>
      <c r="AP29" s="343"/>
      <c r="AS29" s="344"/>
      <c r="AW29" s="344"/>
      <c r="BA29" s="345"/>
    </row>
    <row r="30" spans="1:53" s="206" customFormat="1">
      <c r="A30" s="206">
        <v>2000</v>
      </c>
      <c r="B30" s="205">
        <v>36706</v>
      </c>
      <c r="C30" s="988" t="s">
        <v>1167</v>
      </c>
      <c r="D30" s="988"/>
      <c r="E30" s="206">
        <v>48</v>
      </c>
      <c r="F30" s="206">
        <v>4</v>
      </c>
      <c r="G30" s="123">
        <v>16</v>
      </c>
      <c r="J30" s="134">
        <v>19</v>
      </c>
      <c r="K30" s="92">
        <f>G30/J30*100</f>
        <v>84.210526315789465</v>
      </c>
      <c r="L30" s="92">
        <f>H30/J30*100</f>
        <v>0</v>
      </c>
      <c r="M30" s="92">
        <f>I30/J30*100</f>
        <v>0</v>
      </c>
      <c r="N30" s="125">
        <f>SUM(K30:M30)</f>
        <v>84.210526315789465</v>
      </c>
      <c r="O30" s="91">
        <v>43.7</v>
      </c>
      <c r="P30" s="92"/>
      <c r="Q30" s="92"/>
      <c r="R30" s="93">
        <f>SUM(O30:Q30)</f>
        <v>43.7</v>
      </c>
      <c r="S30" s="206">
        <v>4</v>
      </c>
      <c r="T30" s="81"/>
      <c r="U30" s="205">
        <v>36706</v>
      </c>
      <c r="V30" s="82" t="s">
        <v>955</v>
      </c>
      <c r="W30" s="206" t="s">
        <v>335</v>
      </c>
      <c r="X30" s="206" t="s">
        <v>11</v>
      </c>
      <c r="Y30" s="83">
        <v>43.7</v>
      </c>
      <c r="AD30" s="82"/>
      <c r="AG30" s="83"/>
      <c r="AL30" s="82"/>
      <c r="AO30" s="83"/>
      <c r="AP30" s="82"/>
      <c r="AS30" s="83"/>
      <c r="AW30" s="83"/>
      <c r="BA30" s="84"/>
    </row>
    <row r="31" spans="1:53" s="190" customFormat="1">
      <c r="A31" s="190">
        <v>2000</v>
      </c>
      <c r="B31" s="216">
        <v>36754</v>
      </c>
      <c r="C31" s="988" t="s">
        <v>1167</v>
      </c>
      <c r="D31" s="988"/>
      <c r="E31" s="190">
        <v>138</v>
      </c>
      <c r="F31" s="217">
        <v>0</v>
      </c>
      <c r="G31" s="123">
        <v>15</v>
      </c>
      <c r="J31" s="134">
        <v>19</v>
      </c>
      <c r="K31" s="92">
        <f t="shared" si="3"/>
        <v>78.94736842105263</v>
      </c>
      <c r="L31" s="92">
        <f t="shared" si="4"/>
        <v>0</v>
      </c>
      <c r="M31" s="92">
        <f t="shared" si="5"/>
        <v>0</v>
      </c>
      <c r="N31" s="125">
        <f t="shared" si="2"/>
        <v>78.94736842105263</v>
      </c>
      <c r="O31" s="91">
        <v>43.7</v>
      </c>
      <c r="P31" s="92"/>
      <c r="Q31" s="92"/>
      <c r="R31" s="93">
        <f t="shared" si="1"/>
        <v>43.7</v>
      </c>
      <c r="S31" s="190">
        <v>4</v>
      </c>
      <c r="T31" s="81"/>
      <c r="U31" s="188"/>
      <c r="V31" s="82" t="s">
        <v>955</v>
      </c>
      <c r="W31" s="190" t="s">
        <v>335</v>
      </c>
      <c r="X31" s="190" t="s">
        <v>11</v>
      </c>
      <c r="Y31" s="83">
        <v>43.7</v>
      </c>
      <c r="AD31" s="82"/>
      <c r="AG31" s="83"/>
      <c r="AL31" s="82"/>
      <c r="AO31" s="83"/>
      <c r="AP31" s="82"/>
      <c r="AS31" s="83"/>
      <c r="AW31" s="83"/>
      <c r="BA31" s="84"/>
    </row>
    <row r="32" spans="1:53" s="190" customFormat="1">
      <c r="A32" s="190">
        <v>2001</v>
      </c>
      <c r="B32" s="217"/>
      <c r="C32" s="988" t="s">
        <v>1167</v>
      </c>
      <c r="D32" s="988"/>
      <c r="E32" s="190">
        <v>58</v>
      </c>
      <c r="F32" s="217"/>
      <c r="G32" s="123">
        <v>15</v>
      </c>
      <c r="J32" s="134">
        <v>19</v>
      </c>
      <c r="K32" s="92">
        <f t="shared" si="3"/>
        <v>78.94736842105263</v>
      </c>
      <c r="L32" s="92">
        <f t="shared" si="4"/>
        <v>0</v>
      </c>
      <c r="M32" s="92">
        <f t="shared" si="5"/>
        <v>0</v>
      </c>
      <c r="N32" s="125">
        <f t="shared" si="2"/>
        <v>78.94736842105263</v>
      </c>
      <c r="O32" s="91">
        <v>43.7</v>
      </c>
      <c r="P32" s="92"/>
      <c r="Q32" s="92"/>
      <c r="R32" s="93">
        <f t="shared" si="1"/>
        <v>43.7</v>
      </c>
      <c r="S32" s="190">
        <v>4</v>
      </c>
      <c r="T32" s="81"/>
      <c r="V32" s="82" t="s">
        <v>955</v>
      </c>
      <c r="W32" s="190" t="s">
        <v>335</v>
      </c>
      <c r="X32" s="190" t="s">
        <v>11</v>
      </c>
      <c r="Y32" s="83">
        <v>43.7</v>
      </c>
      <c r="AD32" s="82"/>
      <c r="AG32" s="83"/>
      <c r="AL32" s="82"/>
      <c r="AO32" s="83"/>
      <c r="AP32" s="82"/>
      <c r="AS32" s="83"/>
      <c r="AW32" s="83"/>
      <c r="BA32" s="84"/>
    </row>
    <row r="33" spans="1:53" s="190" customFormat="1">
      <c r="A33" s="190">
        <v>2001</v>
      </c>
      <c r="B33" s="216">
        <v>36950</v>
      </c>
      <c r="C33" s="988" t="s">
        <v>1167</v>
      </c>
      <c r="D33" s="988"/>
      <c r="E33" s="190">
        <v>127</v>
      </c>
      <c r="F33" s="217">
        <v>0</v>
      </c>
      <c r="G33" s="123">
        <v>14</v>
      </c>
      <c r="J33" s="134">
        <v>19</v>
      </c>
      <c r="K33" s="92">
        <f t="shared" si="3"/>
        <v>73.68421052631578</v>
      </c>
      <c r="L33" s="92">
        <f t="shared" si="4"/>
        <v>0</v>
      </c>
      <c r="M33" s="92">
        <f t="shared" si="5"/>
        <v>0</v>
      </c>
      <c r="N33" s="125">
        <f t="shared" si="2"/>
        <v>73.68421052631578</v>
      </c>
      <c r="O33" s="91">
        <v>43.7</v>
      </c>
      <c r="P33" s="92"/>
      <c r="Q33" s="92"/>
      <c r="R33" s="93">
        <f t="shared" si="1"/>
        <v>43.7</v>
      </c>
      <c r="S33" s="190">
        <v>4</v>
      </c>
      <c r="T33" s="81"/>
      <c r="V33" s="82" t="s">
        <v>955</v>
      </c>
      <c r="W33" s="190" t="s">
        <v>335</v>
      </c>
      <c r="X33" s="190" t="s">
        <v>11</v>
      </c>
      <c r="Y33" s="83">
        <v>43.7</v>
      </c>
      <c r="AD33" s="82"/>
      <c r="AG33" s="83"/>
      <c r="AL33" s="82"/>
      <c r="AO33" s="83"/>
      <c r="AP33" s="82"/>
      <c r="AS33" s="83"/>
      <c r="AW33" s="83"/>
      <c r="BA33" s="84"/>
    </row>
    <row r="34" spans="1:53" s="190" customFormat="1">
      <c r="A34" s="190">
        <v>2001</v>
      </c>
      <c r="B34" s="216">
        <v>37077</v>
      </c>
      <c r="C34" s="988" t="s">
        <v>1167</v>
      </c>
      <c r="D34" s="988"/>
      <c r="E34" s="190">
        <v>106</v>
      </c>
      <c r="F34" s="217">
        <v>0</v>
      </c>
      <c r="G34" s="123">
        <v>15</v>
      </c>
      <c r="J34" s="134">
        <v>19</v>
      </c>
      <c r="K34" s="92">
        <f t="shared" si="3"/>
        <v>78.94736842105263</v>
      </c>
      <c r="L34" s="92">
        <f t="shared" si="4"/>
        <v>0</v>
      </c>
      <c r="M34" s="92">
        <f t="shared" si="5"/>
        <v>0</v>
      </c>
      <c r="N34" s="125">
        <f t="shared" si="2"/>
        <v>78.94736842105263</v>
      </c>
      <c r="O34" s="91">
        <v>43.7</v>
      </c>
      <c r="P34" s="92"/>
      <c r="Q34" s="92"/>
      <c r="R34" s="93">
        <f t="shared" si="1"/>
        <v>43.7</v>
      </c>
      <c r="S34" s="190">
        <v>4</v>
      </c>
      <c r="T34" s="81"/>
      <c r="V34" s="82" t="s">
        <v>955</v>
      </c>
      <c r="W34" s="190" t="s">
        <v>335</v>
      </c>
      <c r="X34" s="190" t="s">
        <v>11</v>
      </c>
      <c r="Y34" s="83">
        <v>43.7</v>
      </c>
      <c r="AD34" s="82"/>
      <c r="AG34" s="83"/>
      <c r="AL34" s="82"/>
      <c r="AO34" s="83"/>
      <c r="AP34" s="82"/>
      <c r="AS34" s="83"/>
      <c r="AW34" s="83"/>
      <c r="BA34" s="84"/>
    </row>
    <row r="35" spans="1:53" s="334" customFormat="1">
      <c r="A35" s="334">
        <v>2001</v>
      </c>
      <c r="B35" s="355">
        <v>37183</v>
      </c>
      <c r="C35" s="992" t="s">
        <v>957</v>
      </c>
      <c r="D35" s="992"/>
      <c r="E35" s="334">
        <f xml:space="preserve"> 365-E34-E33-E32</f>
        <v>74</v>
      </c>
      <c r="F35" s="334">
        <v>1</v>
      </c>
      <c r="G35" s="419"/>
      <c r="I35" s="334">
        <v>13</v>
      </c>
      <c r="J35" s="435">
        <v>15</v>
      </c>
      <c r="K35" s="384">
        <f t="shared" si="3"/>
        <v>0</v>
      </c>
      <c r="L35" s="384">
        <f t="shared" si="4"/>
        <v>0</v>
      </c>
      <c r="M35" s="384">
        <f t="shared" si="5"/>
        <v>86.666666666666671</v>
      </c>
      <c r="N35" s="421">
        <f t="shared" si="2"/>
        <v>86.666666666666671</v>
      </c>
      <c r="O35" s="383"/>
      <c r="P35" s="384"/>
      <c r="Q35" s="384">
        <v>56.1</v>
      </c>
      <c r="R35" s="385">
        <f t="shared" si="1"/>
        <v>56.1</v>
      </c>
      <c r="S35" s="334">
        <v>3</v>
      </c>
      <c r="T35" s="342">
        <v>37157</v>
      </c>
      <c r="U35" s="355">
        <v>37183</v>
      </c>
      <c r="V35" s="343" t="s">
        <v>951</v>
      </c>
      <c r="W35" s="334" t="s">
        <v>97</v>
      </c>
      <c r="X35" s="334" t="s">
        <v>12</v>
      </c>
      <c r="Y35" s="344">
        <v>43.5</v>
      </c>
      <c r="Z35" s="334" t="s">
        <v>958</v>
      </c>
      <c r="AA35" s="334" t="s">
        <v>314</v>
      </c>
      <c r="AB35" s="334" t="s">
        <v>12</v>
      </c>
      <c r="AC35" s="334">
        <v>3.5</v>
      </c>
      <c r="AD35" s="343" t="s">
        <v>950</v>
      </c>
      <c r="AE35" s="334" t="s">
        <v>880</v>
      </c>
      <c r="AF35" s="334" t="s">
        <v>12</v>
      </c>
      <c r="AG35" s="344">
        <v>9.1</v>
      </c>
      <c r="AL35" s="343"/>
      <c r="AO35" s="344"/>
      <c r="AP35" s="343"/>
      <c r="AS35" s="344"/>
      <c r="AW35" s="344"/>
      <c r="BA35" s="345"/>
    </row>
    <row r="36" spans="1:53" s="334" customFormat="1">
      <c r="A36" s="334">
        <v>2002</v>
      </c>
      <c r="C36" s="992" t="s">
        <v>957</v>
      </c>
      <c r="D36" s="992"/>
      <c r="E36" s="334">
        <v>0</v>
      </c>
      <c r="G36" s="419"/>
      <c r="I36" s="334">
        <v>13</v>
      </c>
      <c r="J36" s="435">
        <v>15</v>
      </c>
      <c r="K36" s="384">
        <f t="shared" si="3"/>
        <v>0</v>
      </c>
      <c r="L36" s="384">
        <f t="shared" si="4"/>
        <v>0</v>
      </c>
      <c r="M36" s="384">
        <f t="shared" si="5"/>
        <v>86.666666666666671</v>
      </c>
      <c r="N36" s="421">
        <f t="shared" si="2"/>
        <v>86.666666666666671</v>
      </c>
      <c r="O36" s="383"/>
      <c r="P36" s="384"/>
      <c r="Q36" s="384">
        <v>56.1</v>
      </c>
      <c r="R36" s="385">
        <f t="shared" si="1"/>
        <v>56.1</v>
      </c>
      <c r="S36" s="334">
        <v>3</v>
      </c>
      <c r="T36" s="357"/>
      <c r="V36" s="343" t="s">
        <v>951</v>
      </c>
      <c r="W36" s="334" t="s">
        <v>97</v>
      </c>
      <c r="X36" s="334" t="s">
        <v>12</v>
      </c>
      <c r="Y36" s="344">
        <v>43.5</v>
      </c>
      <c r="Z36" s="334" t="s">
        <v>958</v>
      </c>
      <c r="AA36" s="334" t="s">
        <v>314</v>
      </c>
      <c r="AB36" s="334" t="s">
        <v>12</v>
      </c>
      <c r="AC36" s="334">
        <v>3.5</v>
      </c>
      <c r="AD36" s="343" t="s">
        <v>950</v>
      </c>
      <c r="AE36" s="334" t="s">
        <v>880</v>
      </c>
      <c r="AF36" s="334" t="s">
        <v>12</v>
      </c>
      <c r="AG36" s="344">
        <v>9.1</v>
      </c>
      <c r="AL36" s="343"/>
      <c r="AO36" s="344"/>
      <c r="AP36" s="343"/>
      <c r="AS36" s="344"/>
      <c r="AW36" s="344"/>
      <c r="BA36" s="345"/>
    </row>
    <row r="37" spans="1:53" s="334" customFormat="1">
      <c r="A37" s="334">
        <v>2002</v>
      </c>
      <c r="C37" s="992" t="s">
        <v>957</v>
      </c>
      <c r="D37" s="992"/>
      <c r="E37" s="334">
        <v>365</v>
      </c>
      <c r="G37" s="419"/>
      <c r="I37" s="334">
        <v>13</v>
      </c>
      <c r="J37" s="435">
        <v>15</v>
      </c>
      <c r="K37" s="384">
        <f t="shared" si="3"/>
        <v>0</v>
      </c>
      <c r="L37" s="384">
        <f t="shared" si="4"/>
        <v>0</v>
      </c>
      <c r="M37" s="384">
        <f t="shared" si="5"/>
        <v>86.666666666666671</v>
      </c>
      <c r="N37" s="421">
        <f t="shared" si="2"/>
        <v>86.666666666666671</v>
      </c>
      <c r="O37" s="383"/>
      <c r="P37" s="384"/>
      <c r="Q37" s="384">
        <v>56.1</v>
      </c>
      <c r="R37" s="385">
        <f t="shared" si="1"/>
        <v>56.1</v>
      </c>
      <c r="S37" s="334">
        <v>3</v>
      </c>
      <c r="T37" s="357"/>
      <c r="V37" s="343" t="s">
        <v>951</v>
      </c>
      <c r="W37" s="334" t="s">
        <v>97</v>
      </c>
      <c r="X37" s="334" t="s">
        <v>12</v>
      </c>
      <c r="Y37" s="344">
        <v>43.5</v>
      </c>
      <c r="Z37" s="334" t="s">
        <v>958</v>
      </c>
      <c r="AA37" s="334" t="s">
        <v>314</v>
      </c>
      <c r="AB37" s="334" t="s">
        <v>12</v>
      </c>
      <c r="AC37" s="334">
        <v>3.5</v>
      </c>
      <c r="AD37" s="343" t="s">
        <v>950</v>
      </c>
      <c r="AE37" s="334" t="s">
        <v>880</v>
      </c>
      <c r="AF37" s="334" t="s">
        <v>12</v>
      </c>
      <c r="AG37" s="344">
        <v>9.1</v>
      </c>
      <c r="AL37" s="343"/>
      <c r="AO37" s="344"/>
      <c r="AP37" s="343"/>
      <c r="AS37" s="344"/>
      <c r="AW37" s="344"/>
      <c r="BA37" s="345"/>
    </row>
    <row r="38" spans="1:53" s="334" customFormat="1">
      <c r="A38" s="334">
        <v>2003</v>
      </c>
      <c r="C38" s="992" t="s">
        <v>957</v>
      </c>
      <c r="D38" s="992"/>
      <c r="E38" s="334">
        <v>6</v>
      </c>
      <c r="G38" s="419"/>
      <c r="I38" s="334">
        <v>13</v>
      </c>
      <c r="J38" s="435">
        <v>15</v>
      </c>
      <c r="K38" s="384">
        <f t="shared" si="3"/>
        <v>0</v>
      </c>
      <c r="L38" s="384">
        <f t="shared" si="4"/>
        <v>0</v>
      </c>
      <c r="M38" s="384">
        <f t="shared" si="5"/>
        <v>86.666666666666671</v>
      </c>
      <c r="N38" s="421">
        <f t="shared" si="2"/>
        <v>86.666666666666671</v>
      </c>
      <c r="O38" s="383"/>
      <c r="P38" s="384"/>
      <c r="Q38" s="384">
        <v>56.1</v>
      </c>
      <c r="R38" s="385">
        <f t="shared" si="1"/>
        <v>56.1</v>
      </c>
      <c r="S38" s="334">
        <v>3</v>
      </c>
      <c r="T38" s="357"/>
      <c r="V38" s="343" t="s">
        <v>951</v>
      </c>
      <c r="W38" s="334" t="s">
        <v>97</v>
      </c>
      <c r="X38" s="334" t="s">
        <v>12</v>
      </c>
      <c r="Y38" s="344">
        <v>43.5</v>
      </c>
      <c r="Z38" s="334" t="s">
        <v>958</v>
      </c>
      <c r="AA38" s="334" t="s">
        <v>314</v>
      </c>
      <c r="AB38" s="334" t="s">
        <v>12</v>
      </c>
      <c r="AC38" s="334">
        <v>3.5</v>
      </c>
      <c r="AD38" s="343" t="s">
        <v>950</v>
      </c>
      <c r="AE38" s="334" t="s">
        <v>880</v>
      </c>
      <c r="AF38" s="334" t="s">
        <v>12</v>
      </c>
      <c r="AG38" s="344">
        <v>9.1</v>
      </c>
      <c r="AL38" s="343"/>
      <c r="AO38" s="344"/>
      <c r="AP38" s="343"/>
      <c r="AS38" s="344"/>
      <c r="AW38" s="344"/>
      <c r="BA38" s="345"/>
    </row>
    <row r="39" spans="1:53" s="334" customFormat="1">
      <c r="A39" s="334">
        <v>2003</v>
      </c>
      <c r="B39" s="450">
        <v>37628</v>
      </c>
      <c r="C39" s="992" t="s">
        <v>957</v>
      </c>
      <c r="D39" s="992"/>
      <c r="E39" s="334">
        <v>55</v>
      </c>
      <c r="F39" s="451">
        <v>0</v>
      </c>
      <c r="G39" s="419"/>
      <c r="I39" s="334">
        <v>13</v>
      </c>
      <c r="J39" s="435">
        <v>16</v>
      </c>
      <c r="K39" s="384">
        <f t="shared" si="3"/>
        <v>0</v>
      </c>
      <c r="L39" s="384">
        <f t="shared" si="4"/>
        <v>0</v>
      </c>
      <c r="M39" s="384">
        <f t="shared" si="5"/>
        <v>81.25</v>
      </c>
      <c r="N39" s="421">
        <f t="shared" si="2"/>
        <v>81.25</v>
      </c>
      <c r="O39" s="383"/>
      <c r="P39" s="384"/>
      <c r="Q39" s="384">
        <v>56.1</v>
      </c>
      <c r="R39" s="385">
        <f t="shared" si="1"/>
        <v>56.1</v>
      </c>
      <c r="S39" s="334">
        <v>3</v>
      </c>
      <c r="T39" s="357"/>
      <c r="V39" s="343" t="s">
        <v>951</v>
      </c>
      <c r="W39" s="334" t="s">
        <v>97</v>
      </c>
      <c r="X39" s="334" t="s">
        <v>12</v>
      </c>
      <c r="Y39" s="344">
        <v>43.5</v>
      </c>
      <c r="Z39" s="334" t="s">
        <v>958</v>
      </c>
      <c r="AA39" s="334" t="s">
        <v>314</v>
      </c>
      <c r="AB39" s="334" t="s">
        <v>12</v>
      </c>
      <c r="AC39" s="334">
        <v>3.5</v>
      </c>
      <c r="AD39" s="343" t="s">
        <v>950</v>
      </c>
      <c r="AE39" s="334" t="s">
        <v>880</v>
      </c>
      <c r="AF39" s="334" t="s">
        <v>12</v>
      </c>
      <c r="AG39" s="344">
        <v>9.1</v>
      </c>
      <c r="AL39" s="343"/>
      <c r="AO39" s="344"/>
      <c r="AP39" s="343"/>
      <c r="AS39" s="344"/>
      <c r="AW39" s="344"/>
      <c r="BA39" s="345"/>
    </row>
    <row r="40" spans="1:53" s="190" customFormat="1">
      <c r="A40" s="190">
        <v>2003</v>
      </c>
      <c r="B40" s="188">
        <v>37683</v>
      </c>
      <c r="C40" s="988" t="s">
        <v>959</v>
      </c>
      <c r="D40" s="988"/>
      <c r="E40" s="190">
        <v>30</v>
      </c>
      <c r="F40" s="190">
        <v>4</v>
      </c>
      <c r="G40" s="123"/>
      <c r="I40" s="190">
        <v>12</v>
      </c>
      <c r="J40" s="134">
        <v>16</v>
      </c>
      <c r="K40" s="92">
        <f t="shared" si="3"/>
        <v>0</v>
      </c>
      <c r="L40" s="92">
        <f t="shared" si="4"/>
        <v>0</v>
      </c>
      <c r="M40" s="92">
        <f t="shared" si="5"/>
        <v>75</v>
      </c>
      <c r="N40" s="125">
        <f t="shared" si="2"/>
        <v>75</v>
      </c>
      <c r="O40" s="91"/>
      <c r="P40" s="92"/>
      <c r="Q40" s="92">
        <v>47</v>
      </c>
      <c r="R40" s="93">
        <f t="shared" si="1"/>
        <v>47</v>
      </c>
      <c r="S40" s="190">
        <v>5</v>
      </c>
      <c r="T40" s="81"/>
      <c r="U40" s="188">
        <v>37683</v>
      </c>
      <c r="V40" s="82" t="s">
        <v>951</v>
      </c>
      <c r="W40" s="190" t="s">
        <v>97</v>
      </c>
      <c r="X40" s="190" t="s">
        <v>12</v>
      </c>
      <c r="Y40" s="83">
        <v>43.5</v>
      </c>
      <c r="Z40" s="190" t="s">
        <v>958</v>
      </c>
      <c r="AA40" s="190" t="s">
        <v>314</v>
      </c>
      <c r="AB40" s="190" t="s">
        <v>12</v>
      </c>
      <c r="AC40" s="206">
        <v>3.5</v>
      </c>
      <c r="AD40" s="82"/>
      <c r="AG40" s="83"/>
      <c r="AL40" s="82"/>
      <c r="AO40" s="83"/>
      <c r="AP40" s="82"/>
      <c r="AS40" s="83"/>
      <c r="AW40" s="83"/>
      <c r="BA40" s="84"/>
    </row>
    <row r="41" spans="1:53" s="190" customFormat="1">
      <c r="A41" s="190">
        <v>2003</v>
      </c>
      <c r="B41" s="216">
        <v>37713</v>
      </c>
      <c r="C41" s="988" t="s">
        <v>959</v>
      </c>
      <c r="D41" s="988"/>
      <c r="E41" s="190">
        <v>75</v>
      </c>
      <c r="F41" s="217">
        <v>0</v>
      </c>
      <c r="G41" s="123"/>
      <c r="I41" s="190">
        <v>11</v>
      </c>
      <c r="J41" s="134">
        <v>16</v>
      </c>
      <c r="K41" s="92">
        <f t="shared" si="3"/>
        <v>0</v>
      </c>
      <c r="L41" s="92">
        <f t="shared" si="4"/>
        <v>0</v>
      </c>
      <c r="M41" s="92">
        <f t="shared" si="5"/>
        <v>68.75</v>
      </c>
      <c r="N41" s="125">
        <f t="shared" si="2"/>
        <v>68.75</v>
      </c>
      <c r="O41" s="91"/>
      <c r="P41" s="92"/>
      <c r="Q41" s="92">
        <v>47</v>
      </c>
      <c r="R41" s="93">
        <f t="shared" si="1"/>
        <v>47</v>
      </c>
      <c r="S41" s="190">
        <v>5</v>
      </c>
      <c r="T41" s="81"/>
      <c r="U41" s="188"/>
      <c r="V41" s="82" t="s">
        <v>951</v>
      </c>
      <c r="W41" s="190" t="s">
        <v>97</v>
      </c>
      <c r="X41" s="190" t="s">
        <v>12</v>
      </c>
      <c r="Y41" s="83">
        <v>43.5</v>
      </c>
      <c r="Z41" s="190" t="s">
        <v>958</v>
      </c>
      <c r="AA41" s="190" t="s">
        <v>314</v>
      </c>
      <c r="AB41" s="190" t="s">
        <v>12</v>
      </c>
      <c r="AC41" s="206">
        <v>3.5</v>
      </c>
      <c r="AD41" s="82"/>
      <c r="AG41" s="83"/>
      <c r="AL41" s="82"/>
      <c r="AO41" s="83"/>
      <c r="AP41" s="82"/>
      <c r="AS41" s="83"/>
      <c r="AW41" s="83"/>
      <c r="BA41" s="84"/>
    </row>
    <row r="42" spans="1:53" s="208" customFormat="1">
      <c r="A42" s="208">
        <v>2003</v>
      </c>
      <c r="B42" s="216">
        <v>37788</v>
      </c>
      <c r="C42" s="988" t="s">
        <v>959</v>
      </c>
      <c r="D42" s="988"/>
      <c r="E42" s="208">
        <v>16</v>
      </c>
      <c r="F42" s="217">
        <v>0</v>
      </c>
      <c r="G42" s="123"/>
      <c r="I42" s="208">
        <v>11</v>
      </c>
      <c r="J42" s="134">
        <v>17</v>
      </c>
      <c r="K42" s="92">
        <f>G42/J42*100</f>
        <v>0</v>
      </c>
      <c r="L42" s="92">
        <f>H42/J42*100</f>
        <v>0</v>
      </c>
      <c r="M42" s="92">
        <f>I42/J42*100</f>
        <v>64.705882352941174</v>
      </c>
      <c r="N42" s="125">
        <f>SUM(K42:M42)</f>
        <v>64.705882352941174</v>
      </c>
      <c r="O42" s="91"/>
      <c r="P42" s="92"/>
      <c r="Q42" s="92">
        <v>47</v>
      </c>
      <c r="R42" s="93">
        <f>SUM(O42:Q42)</f>
        <v>47</v>
      </c>
      <c r="S42" s="208">
        <v>5</v>
      </c>
      <c r="T42" s="81"/>
      <c r="U42" s="207"/>
      <c r="V42" s="82" t="s">
        <v>951</v>
      </c>
      <c r="W42" s="208" t="s">
        <v>97</v>
      </c>
      <c r="X42" s="208" t="s">
        <v>12</v>
      </c>
      <c r="Y42" s="83">
        <v>43.5</v>
      </c>
      <c r="Z42" s="208" t="s">
        <v>958</v>
      </c>
      <c r="AA42" s="208" t="s">
        <v>314</v>
      </c>
      <c r="AB42" s="208" t="s">
        <v>12</v>
      </c>
      <c r="AC42" s="208">
        <v>3.5</v>
      </c>
      <c r="AD42" s="82"/>
      <c r="AG42" s="83"/>
      <c r="AL42" s="82"/>
      <c r="AO42" s="83"/>
      <c r="AP42" s="82"/>
      <c r="AS42" s="83"/>
      <c r="AW42" s="83"/>
      <c r="BA42" s="84"/>
    </row>
    <row r="43" spans="1:53" s="190" customFormat="1">
      <c r="A43" s="190">
        <v>2003</v>
      </c>
      <c r="B43" s="216">
        <v>37804</v>
      </c>
      <c r="C43" s="988" t="s">
        <v>959</v>
      </c>
      <c r="D43" s="988"/>
      <c r="E43" s="190">
        <v>14</v>
      </c>
      <c r="F43" s="217">
        <v>0</v>
      </c>
      <c r="G43" s="123"/>
      <c r="I43" s="190">
        <v>12</v>
      </c>
      <c r="J43" s="134">
        <v>17</v>
      </c>
      <c r="K43" s="92">
        <f t="shared" si="3"/>
        <v>0</v>
      </c>
      <c r="L43" s="92">
        <f t="shared" si="4"/>
        <v>0</v>
      </c>
      <c r="M43" s="92">
        <f t="shared" si="5"/>
        <v>70.588235294117652</v>
      </c>
      <c r="N43" s="125">
        <f t="shared" si="2"/>
        <v>70.588235294117652</v>
      </c>
      <c r="O43" s="91"/>
      <c r="P43" s="92"/>
      <c r="Q43" s="92">
        <v>47</v>
      </c>
      <c r="R43" s="93">
        <f t="shared" si="1"/>
        <v>47</v>
      </c>
      <c r="S43" s="190">
        <v>5</v>
      </c>
      <c r="T43" s="81"/>
      <c r="U43" s="188"/>
      <c r="V43" s="82" t="s">
        <v>951</v>
      </c>
      <c r="W43" s="190" t="s">
        <v>97</v>
      </c>
      <c r="X43" s="190" t="s">
        <v>12</v>
      </c>
      <c r="Y43" s="83">
        <v>43.5</v>
      </c>
      <c r="Z43" s="190" t="s">
        <v>958</v>
      </c>
      <c r="AA43" s="190" t="s">
        <v>314</v>
      </c>
      <c r="AB43" s="190" t="s">
        <v>12</v>
      </c>
      <c r="AC43" s="206">
        <v>3.5</v>
      </c>
      <c r="AD43" s="82"/>
      <c r="AG43" s="83"/>
      <c r="AL43" s="82"/>
      <c r="AO43" s="83"/>
      <c r="AP43" s="82"/>
      <c r="AS43" s="83"/>
      <c r="AW43" s="83"/>
      <c r="BA43" s="84"/>
    </row>
    <row r="44" spans="1:53" s="190" customFormat="1">
      <c r="A44" s="190">
        <v>2003</v>
      </c>
      <c r="B44" s="216">
        <v>37818</v>
      </c>
      <c r="C44" s="988" t="s">
        <v>959</v>
      </c>
      <c r="D44" s="988"/>
      <c r="E44" s="190">
        <v>169</v>
      </c>
      <c r="F44" s="217">
        <v>0</v>
      </c>
      <c r="G44" s="123"/>
      <c r="I44" s="190">
        <v>11</v>
      </c>
      <c r="J44" s="134">
        <v>17</v>
      </c>
      <c r="K44" s="92">
        <f t="shared" si="3"/>
        <v>0</v>
      </c>
      <c r="L44" s="92">
        <f t="shared" si="4"/>
        <v>0</v>
      </c>
      <c r="M44" s="92">
        <f t="shared" si="5"/>
        <v>64.705882352941174</v>
      </c>
      <c r="N44" s="125">
        <f t="shared" si="2"/>
        <v>64.705882352941174</v>
      </c>
      <c r="O44" s="91"/>
      <c r="P44" s="92"/>
      <c r="Q44" s="92">
        <v>47</v>
      </c>
      <c r="R44" s="93">
        <f t="shared" si="1"/>
        <v>47</v>
      </c>
      <c r="S44" s="190">
        <v>5</v>
      </c>
      <c r="T44" s="81"/>
      <c r="U44" s="188"/>
      <c r="V44" s="82" t="s">
        <v>951</v>
      </c>
      <c r="W44" s="190" t="s">
        <v>97</v>
      </c>
      <c r="X44" s="190" t="s">
        <v>12</v>
      </c>
      <c r="Y44" s="83">
        <v>43.5</v>
      </c>
      <c r="Z44" s="190" t="s">
        <v>958</v>
      </c>
      <c r="AA44" s="190" t="s">
        <v>314</v>
      </c>
      <c r="AB44" s="190" t="s">
        <v>12</v>
      </c>
      <c r="AC44" s="206">
        <v>3.5</v>
      </c>
      <c r="AD44" s="82"/>
      <c r="AG44" s="83"/>
      <c r="AL44" s="82"/>
      <c r="AO44" s="83"/>
      <c r="AP44" s="82"/>
      <c r="AS44" s="83"/>
      <c r="AW44" s="83"/>
      <c r="BA44" s="84"/>
    </row>
    <row r="45" spans="1:53" s="190" customFormat="1">
      <c r="A45" s="190">
        <v>2004</v>
      </c>
      <c r="B45" s="217"/>
      <c r="C45" s="988" t="s">
        <v>959</v>
      </c>
      <c r="D45" s="988"/>
      <c r="E45" s="190">
        <v>27</v>
      </c>
      <c r="F45" s="217"/>
      <c r="G45" s="123"/>
      <c r="I45" s="190">
        <v>11</v>
      </c>
      <c r="J45" s="134">
        <v>17</v>
      </c>
      <c r="K45" s="92">
        <f t="shared" si="3"/>
        <v>0</v>
      </c>
      <c r="L45" s="92">
        <f t="shared" si="4"/>
        <v>0</v>
      </c>
      <c r="M45" s="92">
        <f t="shared" si="5"/>
        <v>64.705882352941174</v>
      </c>
      <c r="N45" s="125">
        <f t="shared" si="2"/>
        <v>64.705882352941174</v>
      </c>
      <c r="O45" s="91"/>
      <c r="P45" s="92"/>
      <c r="Q45" s="92">
        <v>47</v>
      </c>
      <c r="R45" s="93">
        <f t="shared" si="1"/>
        <v>47</v>
      </c>
      <c r="S45" s="190">
        <v>5</v>
      </c>
      <c r="T45" s="81"/>
      <c r="V45" s="82" t="s">
        <v>951</v>
      </c>
      <c r="W45" s="190" t="s">
        <v>97</v>
      </c>
      <c r="X45" s="190" t="s">
        <v>12</v>
      </c>
      <c r="Y45" s="83">
        <v>43.5</v>
      </c>
      <c r="Z45" s="190" t="s">
        <v>958</v>
      </c>
      <c r="AA45" s="190" t="s">
        <v>314</v>
      </c>
      <c r="AB45" s="190" t="s">
        <v>12</v>
      </c>
      <c r="AC45" s="206">
        <v>3.5</v>
      </c>
      <c r="AD45" s="82"/>
      <c r="AG45" s="83"/>
      <c r="AL45" s="82"/>
      <c r="AO45" s="83"/>
      <c r="AP45" s="82"/>
      <c r="AS45" s="83"/>
      <c r="AW45" s="83"/>
      <c r="BA45" s="84"/>
    </row>
    <row r="46" spans="1:53" s="190" customFormat="1">
      <c r="A46" s="190">
        <v>2004</v>
      </c>
      <c r="B46" s="216">
        <v>38014</v>
      </c>
      <c r="C46" s="988" t="s">
        <v>959</v>
      </c>
      <c r="D46" s="988"/>
      <c r="E46" s="190">
        <v>95</v>
      </c>
      <c r="F46" s="217">
        <v>0</v>
      </c>
      <c r="G46" s="123"/>
      <c r="I46" s="190">
        <v>10</v>
      </c>
      <c r="J46" s="134">
        <v>17</v>
      </c>
      <c r="K46" s="92">
        <f t="shared" si="3"/>
        <v>0</v>
      </c>
      <c r="L46" s="92">
        <f t="shared" si="4"/>
        <v>0</v>
      </c>
      <c r="M46" s="92">
        <f t="shared" si="5"/>
        <v>58.82352941176471</v>
      </c>
      <c r="N46" s="125">
        <f t="shared" si="2"/>
        <v>58.82352941176471</v>
      </c>
      <c r="O46" s="91"/>
      <c r="P46" s="92"/>
      <c r="Q46" s="92">
        <v>47</v>
      </c>
      <c r="R46" s="93">
        <f t="shared" si="1"/>
        <v>47</v>
      </c>
      <c r="S46" s="190">
        <v>5</v>
      </c>
      <c r="T46" s="81"/>
      <c r="V46" s="82" t="s">
        <v>951</v>
      </c>
      <c r="W46" s="190" t="s">
        <v>97</v>
      </c>
      <c r="X46" s="190" t="s">
        <v>12</v>
      </c>
      <c r="Y46" s="83">
        <v>43.5</v>
      </c>
      <c r="Z46" s="190" t="s">
        <v>958</v>
      </c>
      <c r="AA46" s="190" t="s">
        <v>314</v>
      </c>
      <c r="AB46" s="190" t="s">
        <v>12</v>
      </c>
      <c r="AC46" s="190">
        <v>3.5</v>
      </c>
      <c r="AD46" s="82"/>
      <c r="AG46" s="83"/>
      <c r="AL46" s="82"/>
      <c r="AO46" s="83"/>
      <c r="AP46" s="82"/>
      <c r="AS46" s="83"/>
      <c r="AW46" s="83"/>
      <c r="BA46" s="84"/>
    </row>
    <row r="47" spans="1:53" s="334" customFormat="1">
      <c r="A47" s="334">
        <v>2004</v>
      </c>
      <c r="B47" s="355">
        <v>38109</v>
      </c>
      <c r="C47" s="992" t="s">
        <v>960</v>
      </c>
      <c r="D47" s="992"/>
      <c r="E47" s="334">
        <v>40</v>
      </c>
      <c r="F47" s="334">
        <v>2</v>
      </c>
      <c r="G47" s="419"/>
      <c r="I47" s="334">
        <v>10</v>
      </c>
      <c r="J47" s="435">
        <v>18</v>
      </c>
      <c r="K47" s="384">
        <f t="shared" si="3"/>
        <v>0</v>
      </c>
      <c r="L47" s="384">
        <f t="shared" si="4"/>
        <v>0</v>
      </c>
      <c r="M47" s="384">
        <f t="shared" si="5"/>
        <v>55.555555555555557</v>
      </c>
      <c r="N47" s="421">
        <f t="shared" si="2"/>
        <v>55.555555555555557</v>
      </c>
      <c r="O47" s="383"/>
      <c r="P47" s="384"/>
      <c r="Q47" s="384">
        <v>56.1</v>
      </c>
      <c r="R47" s="385">
        <f t="shared" si="1"/>
        <v>56.1</v>
      </c>
      <c r="S47" s="334">
        <v>3</v>
      </c>
      <c r="T47" s="357"/>
      <c r="U47" s="355">
        <v>38109</v>
      </c>
      <c r="V47" s="343" t="s">
        <v>951</v>
      </c>
      <c r="W47" s="334" t="s">
        <v>97</v>
      </c>
      <c r="X47" s="334" t="s">
        <v>12</v>
      </c>
      <c r="Y47" s="344">
        <v>43.5</v>
      </c>
      <c r="Z47" s="334" t="s">
        <v>958</v>
      </c>
      <c r="AA47" s="334" t="s">
        <v>314</v>
      </c>
      <c r="AB47" s="334" t="s">
        <v>12</v>
      </c>
      <c r="AC47" s="334">
        <v>3.5</v>
      </c>
      <c r="AD47" s="343" t="s">
        <v>950</v>
      </c>
      <c r="AE47" s="334" t="s">
        <v>880</v>
      </c>
      <c r="AF47" s="334" t="s">
        <v>12</v>
      </c>
      <c r="AG47" s="344">
        <v>9.1</v>
      </c>
      <c r="AL47" s="343"/>
      <c r="AO47" s="344"/>
      <c r="AP47" s="343"/>
      <c r="AS47" s="344"/>
      <c r="AW47" s="344"/>
      <c r="BA47" s="345"/>
    </row>
    <row r="48" spans="1:53" s="208" customFormat="1">
      <c r="A48" s="208">
        <v>2004</v>
      </c>
      <c r="B48" s="207">
        <v>38149</v>
      </c>
      <c r="C48" s="988" t="s">
        <v>961</v>
      </c>
      <c r="D48" s="988"/>
      <c r="E48" s="208">
        <v>34</v>
      </c>
      <c r="F48" s="208">
        <v>4</v>
      </c>
      <c r="G48" s="123"/>
      <c r="I48" s="208">
        <v>9</v>
      </c>
      <c r="J48" s="134">
        <v>18</v>
      </c>
      <c r="K48" s="92">
        <f t="shared" si="3"/>
        <v>0</v>
      </c>
      <c r="L48" s="92">
        <f t="shared" si="4"/>
        <v>0</v>
      </c>
      <c r="M48" s="92">
        <f t="shared" si="5"/>
        <v>50</v>
      </c>
      <c r="N48" s="125">
        <f t="shared" si="2"/>
        <v>50</v>
      </c>
      <c r="O48" s="91"/>
      <c r="P48" s="92"/>
      <c r="Q48" s="92">
        <v>47</v>
      </c>
      <c r="R48" s="93">
        <f t="shared" si="1"/>
        <v>47</v>
      </c>
      <c r="S48" s="208">
        <v>5</v>
      </c>
      <c r="T48" s="81"/>
      <c r="U48" s="207"/>
      <c r="V48" s="82" t="s">
        <v>951</v>
      </c>
      <c r="W48" s="208" t="s">
        <v>97</v>
      </c>
      <c r="X48" s="208" t="s">
        <v>12</v>
      </c>
      <c r="Y48" s="83">
        <v>43.5</v>
      </c>
      <c r="Z48" s="208" t="s">
        <v>958</v>
      </c>
      <c r="AA48" s="208" t="s">
        <v>314</v>
      </c>
      <c r="AB48" s="208" t="s">
        <v>12</v>
      </c>
      <c r="AC48" s="208">
        <v>3.5</v>
      </c>
      <c r="AD48" s="82"/>
      <c r="AG48" s="83"/>
      <c r="AL48" s="82"/>
      <c r="AO48" s="83"/>
      <c r="AP48" s="82"/>
      <c r="AS48" s="83"/>
      <c r="AW48" s="83"/>
      <c r="BA48" s="84"/>
    </row>
    <row r="49" spans="1:53" s="208" customFormat="1">
      <c r="A49" s="208">
        <v>2004</v>
      </c>
      <c r="B49" s="216">
        <v>38183</v>
      </c>
      <c r="C49" s="988" t="s">
        <v>961</v>
      </c>
      <c r="D49" s="988"/>
      <c r="E49" s="208">
        <v>132</v>
      </c>
      <c r="F49" s="217">
        <v>0</v>
      </c>
      <c r="G49" s="123"/>
      <c r="I49" s="208">
        <v>10</v>
      </c>
      <c r="J49" s="134">
        <v>18</v>
      </c>
      <c r="K49" s="92">
        <f t="shared" si="3"/>
        <v>0</v>
      </c>
      <c r="L49" s="92">
        <f t="shared" si="4"/>
        <v>0</v>
      </c>
      <c r="M49" s="92">
        <f t="shared" si="5"/>
        <v>55.555555555555557</v>
      </c>
      <c r="N49" s="125">
        <f t="shared" si="2"/>
        <v>55.555555555555557</v>
      </c>
      <c r="O49" s="91"/>
      <c r="P49" s="92"/>
      <c r="Q49" s="92">
        <v>47</v>
      </c>
      <c r="R49" s="93">
        <f>SUM(O49:Q49)</f>
        <v>47</v>
      </c>
      <c r="S49" s="208">
        <v>5</v>
      </c>
      <c r="T49" s="81"/>
      <c r="U49" s="149">
        <v>38183</v>
      </c>
      <c r="V49" s="82" t="s">
        <v>951</v>
      </c>
      <c r="W49" s="208" t="s">
        <v>97</v>
      </c>
      <c r="X49" s="208" t="s">
        <v>12</v>
      </c>
      <c r="Y49" s="83">
        <v>43.5</v>
      </c>
      <c r="Z49" s="208" t="s">
        <v>958</v>
      </c>
      <c r="AA49" s="208" t="s">
        <v>314</v>
      </c>
      <c r="AB49" s="208" t="s">
        <v>12</v>
      </c>
      <c r="AC49" s="208">
        <v>3.5</v>
      </c>
      <c r="AD49" s="82" t="s">
        <v>962</v>
      </c>
      <c r="AE49" s="208" t="s">
        <v>1044</v>
      </c>
      <c r="AF49" s="208" t="s">
        <v>12</v>
      </c>
      <c r="AG49" s="83">
        <v>0</v>
      </c>
      <c r="AL49" s="82"/>
      <c r="AO49" s="83"/>
      <c r="AP49" s="82"/>
      <c r="AS49" s="83"/>
      <c r="AW49" s="83"/>
      <c r="BA49" s="84"/>
    </row>
    <row r="50" spans="1:53" s="208" customFormat="1">
      <c r="A50" s="208">
        <v>2004</v>
      </c>
      <c r="B50" s="216">
        <v>38315</v>
      </c>
      <c r="C50" s="988" t="s">
        <v>961</v>
      </c>
      <c r="D50" s="988"/>
      <c r="E50" s="208">
        <v>38</v>
      </c>
      <c r="F50" s="217">
        <v>0</v>
      </c>
      <c r="G50" s="123"/>
      <c r="I50" s="208">
        <v>9</v>
      </c>
      <c r="J50" s="134">
        <v>17</v>
      </c>
      <c r="K50" s="92">
        <f t="shared" si="3"/>
        <v>0</v>
      </c>
      <c r="L50" s="92">
        <f t="shared" si="4"/>
        <v>0</v>
      </c>
      <c r="M50" s="92">
        <f t="shared" si="5"/>
        <v>52.941176470588239</v>
      </c>
      <c r="N50" s="125">
        <f t="shared" si="2"/>
        <v>52.941176470588239</v>
      </c>
      <c r="O50" s="91"/>
      <c r="P50" s="92"/>
      <c r="Q50" s="92">
        <v>47</v>
      </c>
      <c r="R50" s="93">
        <f>SUM(O50:Q50)</f>
        <v>47</v>
      </c>
      <c r="S50" s="208">
        <v>5</v>
      </c>
      <c r="T50" s="81"/>
      <c r="U50" s="207"/>
      <c r="V50" s="82" t="s">
        <v>951</v>
      </c>
      <c r="W50" s="208" t="s">
        <v>97</v>
      </c>
      <c r="X50" s="208" t="s">
        <v>12</v>
      </c>
      <c r="Y50" s="83">
        <v>43.5</v>
      </c>
      <c r="Z50" s="208" t="s">
        <v>958</v>
      </c>
      <c r="AA50" s="208" t="s">
        <v>314</v>
      </c>
      <c r="AB50" s="208" t="s">
        <v>12</v>
      </c>
      <c r="AC50" s="208">
        <v>3.5</v>
      </c>
      <c r="AD50" s="82" t="s">
        <v>962</v>
      </c>
      <c r="AE50" s="208" t="s">
        <v>1044</v>
      </c>
      <c r="AF50" s="208" t="s">
        <v>12</v>
      </c>
      <c r="AG50" s="83">
        <v>0</v>
      </c>
      <c r="AL50" s="82"/>
      <c r="AO50" s="83"/>
      <c r="AP50" s="82"/>
      <c r="AS50" s="83"/>
      <c r="AW50" s="83"/>
      <c r="BA50" s="84"/>
    </row>
    <row r="51" spans="1:53" s="208" customFormat="1">
      <c r="A51" s="208">
        <v>2005</v>
      </c>
      <c r="B51" s="218"/>
      <c r="C51" s="988" t="s">
        <v>961</v>
      </c>
      <c r="D51" s="988"/>
      <c r="E51" s="208">
        <v>4</v>
      </c>
      <c r="F51" s="217"/>
      <c r="G51" s="123"/>
      <c r="I51" s="208">
        <v>9</v>
      </c>
      <c r="J51" s="134">
        <v>17</v>
      </c>
      <c r="K51" s="92">
        <f t="shared" si="3"/>
        <v>0</v>
      </c>
      <c r="L51" s="92">
        <f t="shared" si="4"/>
        <v>0</v>
      </c>
      <c r="M51" s="92">
        <f t="shared" si="5"/>
        <v>52.941176470588239</v>
      </c>
      <c r="N51" s="125">
        <f t="shared" si="2"/>
        <v>52.941176470588239</v>
      </c>
      <c r="O51" s="91"/>
      <c r="P51" s="92"/>
      <c r="Q51" s="92">
        <v>47</v>
      </c>
      <c r="R51" s="93">
        <f>SUM(O51:Q51)</f>
        <v>47</v>
      </c>
      <c r="S51" s="208">
        <v>5</v>
      </c>
      <c r="T51" s="81"/>
      <c r="V51" s="82" t="s">
        <v>951</v>
      </c>
      <c r="W51" s="208" t="s">
        <v>97</v>
      </c>
      <c r="X51" s="208" t="s">
        <v>12</v>
      </c>
      <c r="Y51" s="83">
        <v>43.5</v>
      </c>
      <c r="Z51" s="208" t="s">
        <v>958</v>
      </c>
      <c r="AA51" s="208" t="s">
        <v>314</v>
      </c>
      <c r="AB51" s="208" t="s">
        <v>12</v>
      </c>
      <c r="AC51" s="208">
        <v>3.5</v>
      </c>
      <c r="AD51" s="82" t="s">
        <v>962</v>
      </c>
      <c r="AE51" s="208" t="s">
        <v>1044</v>
      </c>
      <c r="AF51" s="208" t="s">
        <v>12</v>
      </c>
      <c r="AG51" s="83">
        <v>0</v>
      </c>
      <c r="AL51" s="82"/>
      <c r="AO51" s="83"/>
      <c r="AP51" s="82"/>
      <c r="AS51" s="83"/>
      <c r="AW51" s="83"/>
      <c r="BA51" s="84"/>
    </row>
    <row r="52" spans="1:53" s="208" customFormat="1">
      <c r="A52" s="208">
        <v>2005</v>
      </c>
      <c r="B52" s="216">
        <v>38357</v>
      </c>
      <c r="C52" s="988" t="s">
        <v>961</v>
      </c>
      <c r="D52" s="988"/>
      <c r="E52" s="208">
        <v>309</v>
      </c>
      <c r="F52" s="217">
        <v>0</v>
      </c>
      <c r="G52" s="123"/>
      <c r="I52" s="208">
        <v>8</v>
      </c>
      <c r="J52" s="134">
        <v>17</v>
      </c>
      <c r="K52" s="92">
        <f t="shared" si="3"/>
        <v>0</v>
      </c>
      <c r="L52" s="92">
        <f t="shared" si="4"/>
        <v>0</v>
      </c>
      <c r="M52" s="92">
        <f t="shared" si="5"/>
        <v>47.058823529411761</v>
      </c>
      <c r="N52" s="125">
        <f t="shared" si="2"/>
        <v>47.058823529411761</v>
      </c>
      <c r="O52" s="91"/>
      <c r="P52" s="92"/>
      <c r="Q52" s="92">
        <v>47</v>
      </c>
      <c r="R52" s="93">
        <f>SUM(O52:Q52)</f>
        <v>47</v>
      </c>
      <c r="S52" s="208">
        <v>5</v>
      </c>
      <c r="T52" s="81"/>
      <c r="V52" s="82" t="s">
        <v>951</v>
      </c>
      <c r="W52" s="208" t="s">
        <v>97</v>
      </c>
      <c r="X52" s="208" t="s">
        <v>12</v>
      </c>
      <c r="Y52" s="83">
        <v>43.5</v>
      </c>
      <c r="Z52" s="208" t="s">
        <v>958</v>
      </c>
      <c r="AA52" s="208" t="s">
        <v>314</v>
      </c>
      <c r="AB52" s="208" t="s">
        <v>12</v>
      </c>
      <c r="AC52" s="208">
        <v>3.5</v>
      </c>
      <c r="AD52" s="82" t="s">
        <v>962</v>
      </c>
      <c r="AE52" s="208" t="s">
        <v>1044</v>
      </c>
      <c r="AF52" s="208" t="s">
        <v>12</v>
      </c>
      <c r="AG52" s="83">
        <v>0</v>
      </c>
      <c r="AL52" s="82"/>
      <c r="AO52" s="83"/>
      <c r="AP52" s="82"/>
      <c r="AS52" s="83"/>
      <c r="AW52" s="83"/>
      <c r="BA52" s="84"/>
    </row>
    <row r="53" spans="1:53" s="334" customFormat="1">
      <c r="A53" s="334">
        <v>2005</v>
      </c>
      <c r="B53" s="335">
        <v>38666</v>
      </c>
      <c r="C53" s="992" t="s">
        <v>964</v>
      </c>
      <c r="D53" s="992"/>
      <c r="E53" s="334">
        <f xml:space="preserve"> 365-E52-E51</f>
        <v>52</v>
      </c>
      <c r="F53" s="334">
        <v>1</v>
      </c>
      <c r="G53" s="419">
        <v>11</v>
      </c>
      <c r="J53" s="435">
        <v>18</v>
      </c>
      <c r="K53" s="384">
        <f t="shared" si="3"/>
        <v>61.111111111111114</v>
      </c>
      <c r="L53" s="384">
        <f t="shared" si="4"/>
        <v>0</v>
      </c>
      <c r="M53" s="384">
        <f t="shared" si="5"/>
        <v>0</v>
      </c>
      <c r="N53" s="421">
        <f t="shared" si="2"/>
        <v>61.111111111111114</v>
      </c>
      <c r="O53" s="383">
        <v>33.700000000000003</v>
      </c>
      <c r="P53" s="384"/>
      <c r="Q53" s="384"/>
      <c r="R53" s="385">
        <f t="shared" si="1"/>
        <v>33.700000000000003</v>
      </c>
      <c r="S53" s="334">
        <v>4</v>
      </c>
      <c r="T53" s="342">
        <v>38620</v>
      </c>
      <c r="U53" s="335">
        <v>38666</v>
      </c>
      <c r="V53" s="343" t="s">
        <v>963</v>
      </c>
      <c r="W53" s="334" t="s">
        <v>77</v>
      </c>
      <c r="X53" s="334" t="s">
        <v>11</v>
      </c>
      <c r="Y53" s="344">
        <v>33.700000000000003</v>
      </c>
      <c r="AD53" s="343"/>
      <c r="AG53" s="344"/>
      <c r="AL53" s="343"/>
      <c r="AO53" s="344"/>
      <c r="AP53" s="343"/>
      <c r="AS53" s="344"/>
      <c r="AW53" s="344"/>
      <c r="BA53" s="345"/>
    </row>
    <row r="54" spans="1:53" s="334" customFormat="1">
      <c r="A54" s="334">
        <v>2006</v>
      </c>
      <c r="B54" s="358"/>
      <c r="C54" s="992" t="s">
        <v>964</v>
      </c>
      <c r="D54" s="992"/>
      <c r="E54" s="334">
        <v>45</v>
      </c>
      <c r="G54" s="419">
        <v>11</v>
      </c>
      <c r="J54" s="435">
        <v>18</v>
      </c>
      <c r="K54" s="384">
        <f t="shared" si="3"/>
        <v>61.111111111111114</v>
      </c>
      <c r="L54" s="384">
        <f t="shared" si="4"/>
        <v>0</v>
      </c>
      <c r="M54" s="384">
        <f t="shared" si="5"/>
        <v>0</v>
      </c>
      <c r="N54" s="421">
        <f t="shared" si="2"/>
        <v>61.111111111111114</v>
      </c>
      <c r="O54" s="383">
        <v>33.700000000000003</v>
      </c>
      <c r="P54" s="384"/>
      <c r="Q54" s="384"/>
      <c r="R54" s="385">
        <f t="shared" si="1"/>
        <v>33.700000000000003</v>
      </c>
      <c r="S54" s="334">
        <v>4</v>
      </c>
      <c r="T54" s="357"/>
      <c r="V54" s="343" t="s">
        <v>963</v>
      </c>
      <c r="W54" s="334" t="s">
        <v>77</v>
      </c>
      <c r="X54" s="334" t="s">
        <v>11</v>
      </c>
      <c r="Y54" s="344">
        <v>33.700000000000003</v>
      </c>
      <c r="AD54" s="343"/>
      <c r="AG54" s="344"/>
      <c r="AL54" s="343"/>
      <c r="AO54" s="344"/>
      <c r="AP54" s="343"/>
      <c r="AS54" s="344"/>
      <c r="AW54" s="344"/>
      <c r="BA54" s="345"/>
    </row>
    <row r="55" spans="1:53" s="334" customFormat="1">
      <c r="A55" s="334">
        <v>2006</v>
      </c>
      <c r="B55" s="465">
        <v>38763</v>
      </c>
      <c r="C55" s="992" t="s">
        <v>964</v>
      </c>
      <c r="D55" s="992"/>
      <c r="E55" s="334">
        <v>79</v>
      </c>
      <c r="F55" s="451">
        <v>0</v>
      </c>
      <c r="G55" s="419">
        <v>12</v>
      </c>
      <c r="J55" s="435">
        <v>18</v>
      </c>
      <c r="K55" s="384">
        <f t="shared" si="3"/>
        <v>66.666666666666657</v>
      </c>
      <c r="L55" s="384">
        <f t="shared" si="4"/>
        <v>0</v>
      </c>
      <c r="M55" s="384">
        <f t="shared" si="5"/>
        <v>0</v>
      </c>
      <c r="N55" s="421">
        <f t="shared" si="2"/>
        <v>66.666666666666657</v>
      </c>
      <c r="O55" s="383">
        <v>33.700000000000003</v>
      </c>
      <c r="P55" s="384"/>
      <c r="Q55" s="384"/>
      <c r="R55" s="385">
        <f t="shared" si="1"/>
        <v>33.700000000000003</v>
      </c>
      <c r="S55" s="334">
        <v>4</v>
      </c>
      <c r="T55" s="357"/>
      <c r="V55" s="343" t="s">
        <v>963</v>
      </c>
      <c r="W55" s="334" t="s">
        <v>77</v>
      </c>
      <c r="X55" s="334" t="s">
        <v>11</v>
      </c>
      <c r="Y55" s="344">
        <v>33.700000000000003</v>
      </c>
      <c r="AD55" s="343"/>
      <c r="AG55" s="344"/>
      <c r="AL55" s="343"/>
      <c r="AO55" s="344"/>
      <c r="AP55" s="343"/>
      <c r="AS55" s="344"/>
      <c r="AW55" s="344"/>
      <c r="BA55" s="345"/>
    </row>
    <row r="56" spans="1:53" s="208" customFormat="1">
      <c r="A56" s="208">
        <v>2006</v>
      </c>
      <c r="B56" s="133">
        <v>38842</v>
      </c>
      <c r="C56" s="988" t="s">
        <v>965</v>
      </c>
      <c r="D56" s="988"/>
      <c r="E56" s="208">
        <v>70</v>
      </c>
      <c r="F56" s="208">
        <v>7</v>
      </c>
      <c r="G56" s="123">
        <v>12</v>
      </c>
      <c r="I56" s="208">
        <v>3</v>
      </c>
      <c r="J56" s="134">
        <v>21</v>
      </c>
      <c r="K56" s="92">
        <f t="shared" si="3"/>
        <v>57.142857142857139</v>
      </c>
      <c r="L56" s="92">
        <f t="shared" si="4"/>
        <v>0</v>
      </c>
      <c r="M56" s="92">
        <f t="shared" si="5"/>
        <v>14.285714285714285</v>
      </c>
      <c r="N56" s="125">
        <f t="shared" si="2"/>
        <v>71.428571428571416</v>
      </c>
      <c r="O56" s="91">
        <v>41.1</v>
      </c>
      <c r="P56" s="92"/>
      <c r="Q56" s="92">
        <v>12.2</v>
      </c>
      <c r="R56" s="93">
        <f t="shared" si="1"/>
        <v>53.3</v>
      </c>
      <c r="S56" s="208">
        <v>2</v>
      </c>
      <c r="T56" s="81"/>
      <c r="U56" s="133">
        <v>38842</v>
      </c>
      <c r="V56" s="82" t="s">
        <v>963</v>
      </c>
      <c r="W56" s="208" t="s">
        <v>77</v>
      </c>
      <c r="X56" s="208" t="s">
        <v>11</v>
      </c>
      <c r="Y56" s="83">
        <v>33.700000000000003</v>
      </c>
      <c r="Z56" s="208" t="s">
        <v>966</v>
      </c>
      <c r="AA56" s="208" t="s">
        <v>967</v>
      </c>
      <c r="AB56" s="208" t="s">
        <v>12</v>
      </c>
      <c r="AC56" s="208">
        <v>12.2</v>
      </c>
      <c r="AD56" s="82" t="s">
        <v>968</v>
      </c>
      <c r="AE56" s="208" t="s">
        <v>336</v>
      </c>
      <c r="AF56" s="208" t="s">
        <v>11</v>
      </c>
      <c r="AG56" s="83">
        <v>7.4</v>
      </c>
      <c r="AL56" s="82"/>
      <c r="AO56" s="83"/>
      <c r="AP56" s="82"/>
      <c r="AS56" s="83"/>
      <c r="AW56" s="83"/>
      <c r="BA56" s="84"/>
    </row>
    <row r="57" spans="1:53" s="334" customFormat="1">
      <c r="A57" s="334">
        <v>2006</v>
      </c>
      <c r="B57" s="335">
        <v>38912</v>
      </c>
      <c r="C57" s="992" t="s">
        <v>1169</v>
      </c>
      <c r="D57" s="992"/>
      <c r="E57" s="334">
        <v>70</v>
      </c>
      <c r="F57" s="334">
        <v>2</v>
      </c>
      <c r="G57" s="419">
        <v>15</v>
      </c>
      <c r="I57" s="334">
        <v>3</v>
      </c>
      <c r="J57" s="435">
        <v>22</v>
      </c>
      <c r="K57" s="384">
        <f t="shared" si="3"/>
        <v>68.181818181818173</v>
      </c>
      <c r="L57" s="384">
        <f t="shared" si="4"/>
        <v>0</v>
      </c>
      <c r="M57" s="384">
        <f t="shared" si="5"/>
        <v>13.636363636363635</v>
      </c>
      <c r="N57" s="421">
        <f t="shared" si="2"/>
        <v>81.818181818181813</v>
      </c>
      <c r="O57" s="383">
        <v>41.1</v>
      </c>
      <c r="P57" s="384"/>
      <c r="Q57" s="384">
        <v>12.2</v>
      </c>
      <c r="R57" s="385">
        <f t="shared" si="1"/>
        <v>53.3</v>
      </c>
      <c r="S57" s="334">
        <v>2</v>
      </c>
      <c r="T57" s="357"/>
      <c r="U57" s="335">
        <v>38912</v>
      </c>
      <c r="V57" s="343" t="s">
        <v>963</v>
      </c>
      <c r="W57" s="334" t="s">
        <v>77</v>
      </c>
      <c r="X57" s="334" t="s">
        <v>11</v>
      </c>
      <c r="Y57" s="344">
        <v>33.700000000000003</v>
      </c>
      <c r="Z57" s="334" t="s">
        <v>966</v>
      </c>
      <c r="AA57" s="334" t="s">
        <v>967</v>
      </c>
      <c r="AB57" s="334" t="s">
        <v>12</v>
      </c>
      <c r="AC57" s="334">
        <v>12.2</v>
      </c>
      <c r="AD57" s="343" t="s">
        <v>968</v>
      </c>
      <c r="AE57" s="334" t="s">
        <v>336</v>
      </c>
      <c r="AF57" s="334" t="s">
        <v>11</v>
      </c>
      <c r="AG57" s="344">
        <v>7.4</v>
      </c>
      <c r="AL57" s="343"/>
      <c r="AO57" s="344"/>
      <c r="AP57" s="343"/>
      <c r="AS57" s="344"/>
      <c r="AW57" s="344"/>
      <c r="BA57" s="345"/>
    </row>
    <row r="58" spans="1:53" s="334" customFormat="1">
      <c r="A58" s="334">
        <v>2006</v>
      </c>
      <c r="B58" s="465">
        <v>38982</v>
      </c>
      <c r="C58" s="992" t="s">
        <v>1169</v>
      </c>
      <c r="D58" s="992"/>
      <c r="E58" s="334">
        <v>101</v>
      </c>
      <c r="F58" s="451">
        <v>0</v>
      </c>
      <c r="G58" s="419">
        <v>14</v>
      </c>
      <c r="I58" s="334">
        <v>3</v>
      </c>
      <c r="J58" s="435">
        <v>22</v>
      </c>
      <c r="K58" s="384">
        <f t="shared" si="3"/>
        <v>63.636363636363633</v>
      </c>
      <c r="L58" s="384">
        <f t="shared" si="4"/>
        <v>0</v>
      </c>
      <c r="M58" s="384">
        <f t="shared" si="5"/>
        <v>13.636363636363635</v>
      </c>
      <c r="N58" s="421">
        <f t="shared" si="2"/>
        <v>77.272727272727266</v>
      </c>
      <c r="O58" s="383">
        <v>41.1</v>
      </c>
      <c r="P58" s="384"/>
      <c r="Q58" s="384">
        <v>12.2</v>
      </c>
      <c r="R58" s="385">
        <f t="shared" si="1"/>
        <v>53.3</v>
      </c>
      <c r="S58" s="334">
        <v>2</v>
      </c>
      <c r="T58" s="357"/>
      <c r="V58" s="343" t="s">
        <v>963</v>
      </c>
      <c r="W58" s="334" t="s">
        <v>77</v>
      </c>
      <c r="X58" s="334" t="s">
        <v>11</v>
      </c>
      <c r="Y58" s="344">
        <v>33.700000000000003</v>
      </c>
      <c r="Z58" s="334" t="s">
        <v>966</v>
      </c>
      <c r="AA58" s="334" t="s">
        <v>967</v>
      </c>
      <c r="AB58" s="334" t="s">
        <v>12</v>
      </c>
      <c r="AC58" s="334">
        <v>12.2</v>
      </c>
      <c r="AD58" s="343" t="s">
        <v>968</v>
      </c>
      <c r="AE58" s="334" t="s">
        <v>336</v>
      </c>
      <c r="AF58" s="334" t="s">
        <v>11</v>
      </c>
      <c r="AG58" s="344">
        <v>7.4</v>
      </c>
      <c r="AL58" s="343"/>
      <c r="AO58" s="344"/>
      <c r="AP58" s="343"/>
      <c r="AS58" s="344"/>
      <c r="AW58" s="344"/>
      <c r="BA58" s="345"/>
    </row>
    <row r="59" spans="1:53" s="334" customFormat="1">
      <c r="A59" s="334">
        <v>2007</v>
      </c>
      <c r="B59" s="466"/>
      <c r="C59" s="992" t="s">
        <v>1169</v>
      </c>
      <c r="D59" s="992"/>
      <c r="E59" s="334">
        <v>38</v>
      </c>
      <c r="F59" s="451"/>
      <c r="G59" s="419">
        <v>14</v>
      </c>
      <c r="I59" s="334">
        <v>3</v>
      </c>
      <c r="J59" s="435">
        <v>22</v>
      </c>
      <c r="K59" s="384">
        <f t="shared" si="3"/>
        <v>63.636363636363633</v>
      </c>
      <c r="L59" s="384">
        <f t="shared" si="4"/>
        <v>0</v>
      </c>
      <c r="M59" s="384">
        <f t="shared" si="5"/>
        <v>13.636363636363635</v>
      </c>
      <c r="N59" s="421">
        <f t="shared" si="2"/>
        <v>77.272727272727266</v>
      </c>
      <c r="O59" s="383">
        <v>41.1</v>
      </c>
      <c r="P59" s="384"/>
      <c r="Q59" s="384">
        <v>12.2</v>
      </c>
      <c r="R59" s="385">
        <f t="shared" si="1"/>
        <v>53.3</v>
      </c>
      <c r="S59" s="334">
        <v>2</v>
      </c>
      <c r="T59" s="357"/>
      <c r="V59" s="343" t="s">
        <v>963</v>
      </c>
      <c r="W59" s="334" t="s">
        <v>77</v>
      </c>
      <c r="X59" s="334" t="s">
        <v>11</v>
      </c>
      <c r="Y59" s="344">
        <v>33.700000000000003</v>
      </c>
      <c r="Z59" s="334" t="s">
        <v>966</v>
      </c>
      <c r="AA59" s="334" t="s">
        <v>967</v>
      </c>
      <c r="AB59" s="334" t="s">
        <v>12</v>
      </c>
      <c r="AC59" s="334">
        <v>12.2</v>
      </c>
      <c r="AD59" s="343" t="s">
        <v>968</v>
      </c>
      <c r="AE59" s="334" t="s">
        <v>336</v>
      </c>
      <c r="AF59" s="334" t="s">
        <v>11</v>
      </c>
      <c r="AG59" s="344">
        <v>7.4</v>
      </c>
      <c r="AL59" s="343"/>
      <c r="AO59" s="344"/>
      <c r="AP59" s="343"/>
      <c r="AS59" s="344"/>
      <c r="AW59" s="344"/>
      <c r="BA59" s="345"/>
    </row>
    <row r="60" spans="1:53" s="334" customFormat="1">
      <c r="A60" s="334">
        <v>2007</v>
      </c>
      <c r="B60" s="465">
        <v>39121</v>
      </c>
      <c r="C60" s="992" t="s">
        <v>1169</v>
      </c>
      <c r="D60" s="992"/>
      <c r="E60" s="334">
        <v>47</v>
      </c>
      <c r="F60" s="451">
        <v>0</v>
      </c>
      <c r="G60" s="419">
        <v>14</v>
      </c>
      <c r="I60" s="334">
        <v>3</v>
      </c>
      <c r="J60" s="435">
        <v>23</v>
      </c>
      <c r="K60" s="384">
        <f>G60/J60*100</f>
        <v>60.869565217391312</v>
      </c>
      <c r="L60" s="384">
        <f>H60/J60*100</f>
        <v>0</v>
      </c>
      <c r="M60" s="384">
        <f>I60/J60*100</f>
        <v>13.043478260869565</v>
      </c>
      <c r="N60" s="421">
        <f>SUM(K60:M60)</f>
        <v>73.913043478260875</v>
      </c>
      <c r="O60" s="383">
        <v>41.1</v>
      </c>
      <c r="P60" s="384"/>
      <c r="Q60" s="384">
        <v>12.2</v>
      </c>
      <c r="R60" s="385">
        <f>SUM(O60:Q60)</f>
        <v>53.3</v>
      </c>
      <c r="S60" s="334">
        <v>2</v>
      </c>
      <c r="T60" s="357"/>
      <c r="V60" s="343" t="s">
        <v>963</v>
      </c>
      <c r="W60" s="334" t="s">
        <v>77</v>
      </c>
      <c r="X60" s="334" t="s">
        <v>11</v>
      </c>
      <c r="Y60" s="344">
        <v>33.700000000000003</v>
      </c>
      <c r="Z60" s="334" t="s">
        <v>966</v>
      </c>
      <c r="AA60" s="334" t="s">
        <v>967</v>
      </c>
      <c r="AB60" s="334" t="s">
        <v>12</v>
      </c>
      <c r="AC60" s="334">
        <v>12.2</v>
      </c>
      <c r="AD60" s="343" t="s">
        <v>968</v>
      </c>
      <c r="AE60" s="334" t="s">
        <v>336</v>
      </c>
      <c r="AF60" s="334" t="s">
        <v>11</v>
      </c>
      <c r="AG60" s="344">
        <v>7.4</v>
      </c>
      <c r="AL60" s="343"/>
      <c r="AO60" s="344"/>
      <c r="AP60" s="343"/>
      <c r="AS60" s="344"/>
      <c r="AW60" s="344"/>
      <c r="BA60" s="345"/>
    </row>
    <row r="61" spans="1:53" s="334" customFormat="1">
      <c r="A61" s="334">
        <v>2007</v>
      </c>
      <c r="B61" s="465">
        <v>39168</v>
      </c>
      <c r="C61" s="992" t="s">
        <v>1169</v>
      </c>
      <c r="D61" s="992"/>
      <c r="E61" s="334">
        <v>17</v>
      </c>
      <c r="F61" s="451">
        <v>0</v>
      </c>
      <c r="G61" s="419">
        <v>15</v>
      </c>
      <c r="I61" s="334">
        <v>3</v>
      </c>
      <c r="J61" s="435">
        <v>24</v>
      </c>
      <c r="K61" s="384">
        <f t="shared" si="3"/>
        <v>62.5</v>
      </c>
      <c r="L61" s="384">
        <f t="shared" si="4"/>
        <v>0</v>
      </c>
      <c r="M61" s="384">
        <f t="shared" si="5"/>
        <v>12.5</v>
      </c>
      <c r="N61" s="421">
        <f t="shared" si="2"/>
        <v>75</v>
      </c>
      <c r="O61" s="383">
        <v>41.1</v>
      </c>
      <c r="P61" s="384"/>
      <c r="Q61" s="384">
        <v>12.2</v>
      </c>
      <c r="R61" s="385">
        <f t="shared" si="1"/>
        <v>53.3</v>
      </c>
      <c r="S61" s="334">
        <v>2</v>
      </c>
      <c r="T61" s="357"/>
      <c r="V61" s="343" t="s">
        <v>963</v>
      </c>
      <c r="W61" s="334" t="s">
        <v>77</v>
      </c>
      <c r="X61" s="334" t="s">
        <v>11</v>
      </c>
      <c r="Y61" s="344">
        <v>33.700000000000003</v>
      </c>
      <c r="Z61" s="334" t="s">
        <v>966</v>
      </c>
      <c r="AA61" s="334" t="s">
        <v>967</v>
      </c>
      <c r="AB61" s="334" t="s">
        <v>12</v>
      </c>
      <c r="AC61" s="334">
        <v>12.2</v>
      </c>
      <c r="AD61" s="343" t="s">
        <v>968</v>
      </c>
      <c r="AE61" s="334" t="s">
        <v>336</v>
      </c>
      <c r="AF61" s="334" t="s">
        <v>11</v>
      </c>
      <c r="AG61" s="344">
        <v>7.4</v>
      </c>
      <c r="AL61" s="343"/>
      <c r="AO61" s="344"/>
      <c r="AP61" s="343"/>
      <c r="AS61" s="344"/>
      <c r="AW61" s="344"/>
      <c r="BA61" s="345"/>
    </row>
    <row r="62" spans="1:53" s="334" customFormat="1">
      <c r="A62" s="334">
        <v>2007</v>
      </c>
      <c r="B62" s="465">
        <v>39185</v>
      </c>
      <c r="C62" s="992" t="s">
        <v>1169</v>
      </c>
      <c r="D62" s="992"/>
      <c r="E62" s="334">
        <v>87</v>
      </c>
      <c r="F62" s="451">
        <v>0</v>
      </c>
      <c r="G62" s="419">
        <v>14</v>
      </c>
      <c r="I62" s="334">
        <v>3</v>
      </c>
      <c r="J62" s="435">
        <v>23</v>
      </c>
      <c r="K62" s="384">
        <f t="shared" si="3"/>
        <v>60.869565217391312</v>
      </c>
      <c r="L62" s="384">
        <f t="shared" si="4"/>
        <v>0</v>
      </c>
      <c r="M62" s="384">
        <f t="shared" si="5"/>
        <v>13.043478260869565</v>
      </c>
      <c r="N62" s="421">
        <f t="shared" si="2"/>
        <v>73.913043478260875</v>
      </c>
      <c r="O62" s="383">
        <v>41.1</v>
      </c>
      <c r="P62" s="384"/>
      <c r="Q62" s="384">
        <v>12.2</v>
      </c>
      <c r="R62" s="385">
        <f t="shared" si="1"/>
        <v>53.3</v>
      </c>
      <c r="S62" s="334">
        <v>2</v>
      </c>
      <c r="T62" s="357"/>
      <c r="V62" s="343" t="s">
        <v>963</v>
      </c>
      <c r="W62" s="334" t="s">
        <v>77</v>
      </c>
      <c r="X62" s="334" t="s">
        <v>11</v>
      </c>
      <c r="Y62" s="344">
        <v>33.700000000000003</v>
      </c>
      <c r="Z62" s="334" t="s">
        <v>966</v>
      </c>
      <c r="AA62" s="334" t="s">
        <v>967</v>
      </c>
      <c r="AB62" s="334" t="s">
        <v>12</v>
      </c>
      <c r="AC62" s="334">
        <v>12.2</v>
      </c>
      <c r="AD62" s="343" t="s">
        <v>968</v>
      </c>
      <c r="AE62" s="334" t="s">
        <v>336</v>
      </c>
      <c r="AF62" s="334" t="s">
        <v>11</v>
      </c>
      <c r="AG62" s="344">
        <v>7.4</v>
      </c>
      <c r="AL62" s="343"/>
      <c r="AO62" s="344"/>
      <c r="AP62" s="343"/>
      <c r="AS62" s="344"/>
      <c r="AW62" s="344"/>
      <c r="BA62" s="345"/>
    </row>
    <row r="63" spans="1:53" s="334" customFormat="1">
      <c r="A63" s="334">
        <v>2007</v>
      </c>
      <c r="B63" s="465">
        <v>39272</v>
      </c>
      <c r="C63" s="992" t="s">
        <v>1169</v>
      </c>
      <c r="D63" s="992"/>
      <c r="E63" s="334">
        <v>14</v>
      </c>
      <c r="F63" s="451">
        <v>0</v>
      </c>
      <c r="G63" s="419">
        <v>14</v>
      </c>
      <c r="I63" s="334">
        <v>2</v>
      </c>
      <c r="J63" s="435">
        <v>21</v>
      </c>
      <c r="K63" s="384">
        <f t="shared" si="3"/>
        <v>66.666666666666657</v>
      </c>
      <c r="L63" s="384">
        <f t="shared" si="4"/>
        <v>0</v>
      </c>
      <c r="M63" s="384">
        <f t="shared" si="5"/>
        <v>9.5238095238095237</v>
      </c>
      <c r="N63" s="421">
        <f t="shared" si="2"/>
        <v>76.190476190476176</v>
      </c>
      <c r="O63" s="383">
        <v>41.1</v>
      </c>
      <c r="P63" s="384"/>
      <c r="Q63" s="384">
        <v>12.2</v>
      </c>
      <c r="R63" s="385">
        <f t="shared" si="1"/>
        <v>53.3</v>
      </c>
      <c r="S63" s="334">
        <v>2</v>
      </c>
      <c r="T63" s="357"/>
      <c r="V63" s="343" t="s">
        <v>963</v>
      </c>
      <c r="W63" s="334" t="s">
        <v>77</v>
      </c>
      <c r="X63" s="334" t="s">
        <v>11</v>
      </c>
      <c r="Y63" s="344">
        <v>33.700000000000003</v>
      </c>
      <c r="Z63" s="334" t="s">
        <v>966</v>
      </c>
      <c r="AA63" s="334" t="s">
        <v>967</v>
      </c>
      <c r="AB63" s="334" t="s">
        <v>12</v>
      </c>
      <c r="AC63" s="334">
        <v>12.2</v>
      </c>
      <c r="AD63" s="343" t="s">
        <v>968</v>
      </c>
      <c r="AE63" s="334" t="s">
        <v>336</v>
      </c>
      <c r="AF63" s="334" t="s">
        <v>11</v>
      </c>
      <c r="AG63" s="344">
        <v>7.4</v>
      </c>
      <c r="AL63" s="343"/>
      <c r="AO63" s="344"/>
      <c r="AP63" s="343"/>
      <c r="AS63" s="344"/>
      <c r="AW63" s="344"/>
      <c r="BA63" s="345"/>
    </row>
    <row r="64" spans="1:53" s="334" customFormat="1">
      <c r="A64" s="334">
        <v>2007</v>
      </c>
      <c r="B64" s="465">
        <v>39286</v>
      </c>
      <c r="C64" s="992" t="s">
        <v>1169</v>
      </c>
      <c r="D64" s="992"/>
      <c r="E64" s="334">
        <v>8</v>
      </c>
      <c r="F64" s="451">
        <v>0</v>
      </c>
      <c r="G64" s="419">
        <v>15</v>
      </c>
      <c r="I64" s="334">
        <v>2</v>
      </c>
      <c r="J64" s="435">
        <v>22</v>
      </c>
      <c r="K64" s="384">
        <f t="shared" si="3"/>
        <v>68.181818181818173</v>
      </c>
      <c r="L64" s="384">
        <f t="shared" si="4"/>
        <v>0</v>
      </c>
      <c r="M64" s="384">
        <f t="shared" si="5"/>
        <v>9.0909090909090917</v>
      </c>
      <c r="N64" s="421">
        <f t="shared" si="2"/>
        <v>77.272727272727266</v>
      </c>
      <c r="O64" s="383">
        <v>41.1</v>
      </c>
      <c r="P64" s="384"/>
      <c r="Q64" s="384">
        <v>12.2</v>
      </c>
      <c r="R64" s="385">
        <f t="shared" si="1"/>
        <v>53.3</v>
      </c>
      <c r="S64" s="334">
        <v>2</v>
      </c>
      <c r="T64" s="357"/>
      <c r="V64" s="343" t="s">
        <v>963</v>
      </c>
      <c r="W64" s="334" t="s">
        <v>77</v>
      </c>
      <c r="X64" s="334" t="s">
        <v>11</v>
      </c>
      <c r="Y64" s="344">
        <v>33.700000000000003</v>
      </c>
      <c r="Z64" s="334" t="s">
        <v>966</v>
      </c>
      <c r="AA64" s="334" t="s">
        <v>967</v>
      </c>
      <c r="AB64" s="334" t="s">
        <v>12</v>
      </c>
      <c r="AC64" s="334">
        <v>12.2</v>
      </c>
      <c r="AD64" s="343" t="s">
        <v>968</v>
      </c>
      <c r="AE64" s="334" t="s">
        <v>336</v>
      </c>
      <c r="AF64" s="334" t="s">
        <v>11</v>
      </c>
      <c r="AG64" s="344">
        <v>7.4</v>
      </c>
      <c r="AL64" s="343"/>
      <c r="AO64" s="344"/>
      <c r="AP64" s="343"/>
      <c r="AS64" s="344"/>
      <c r="AW64" s="344"/>
      <c r="BA64" s="345"/>
    </row>
    <row r="65" spans="1:53" s="334" customFormat="1">
      <c r="A65" s="334">
        <v>2007</v>
      </c>
      <c r="B65" s="465">
        <v>39294</v>
      </c>
      <c r="C65" s="992" t="s">
        <v>1169</v>
      </c>
      <c r="D65" s="992"/>
      <c r="E65" s="334">
        <v>13</v>
      </c>
      <c r="F65" s="451">
        <v>0</v>
      </c>
      <c r="G65" s="419">
        <v>16</v>
      </c>
      <c r="I65" s="334">
        <v>2</v>
      </c>
      <c r="J65" s="435">
        <v>23</v>
      </c>
      <c r="K65" s="384">
        <f t="shared" si="3"/>
        <v>69.565217391304344</v>
      </c>
      <c r="L65" s="384">
        <f t="shared" si="4"/>
        <v>0</v>
      </c>
      <c r="M65" s="384">
        <f t="shared" si="5"/>
        <v>8.695652173913043</v>
      </c>
      <c r="N65" s="421">
        <f t="shared" si="2"/>
        <v>78.260869565217391</v>
      </c>
      <c r="O65" s="383">
        <v>41.1</v>
      </c>
      <c r="P65" s="384"/>
      <c r="Q65" s="384">
        <v>12.2</v>
      </c>
      <c r="R65" s="385">
        <f t="shared" si="1"/>
        <v>53.3</v>
      </c>
      <c r="S65" s="334">
        <v>2</v>
      </c>
      <c r="T65" s="357"/>
      <c r="V65" s="343" t="s">
        <v>963</v>
      </c>
      <c r="W65" s="334" t="s">
        <v>77</v>
      </c>
      <c r="X65" s="334" t="s">
        <v>11</v>
      </c>
      <c r="Y65" s="344">
        <v>33.700000000000003</v>
      </c>
      <c r="Z65" s="334" t="s">
        <v>966</v>
      </c>
      <c r="AA65" s="334" t="s">
        <v>967</v>
      </c>
      <c r="AB65" s="334" t="s">
        <v>12</v>
      </c>
      <c r="AC65" s="334">
        <v>12.2</v>
      </c>
      <c r="AD65" s="343" t="s">
        <v>968</v>
      </c>
      <c r="AE65" s="334" t="s">
        <v>336</v>
      </c>
      <c r="AF65" s="334" t="s">
        <v>11</v>
      </c>
      <c r="AG65" s="344">
        <v>7.4</v>
      </c>
      <c r="AL65" s="343"/>
      <c r="AO65" s="344"/>
      <c r="AP65" s="343"/>
      <c r="AS65" s="344"/>
      <c r="AW65" s="344"/>
      <c r="BA65" s="345"/>
    </row>
    <row r="66" spans="1:53" s="208" customFormat="1">
      <c r="A66" s="208">
        <v>2007</v>
      </c>
      <c r="B66" s="121">
        <v>39307</v>
      </c>
      <c r="C66" s="988" t="s">
        <v>1170</v>
      </c>
      <c r="D66" s="988"/>
      <c r="E66" s="208">
        <v>103</v>
      </c>
      <c r="F66" s="208">
        <v>4</v>
      </c>
      <c r="G66" s="123">
        <v>15</v>
      </c>
      <c r="J66" s="134">
        <v>23</v>
      </c>
      <c r="K66" s="92">
        <f t="shared" si="3"/>
        <v>65.217391304347828</v>
      </c>
      <c r="L66" s="92">
        <f t="shared" si="4"/>
        <v>0</v>
      </c>
      <c r="M66" s="92">
        <f t="shared" si="5"/>
        <v>0</v>
      </c>
      <c r="N66" s="125">
        <f t="shared" si="2"/>
        <v>65.217391304347828</v>
      </c>
      <c r="O66" s="91">
        <v>33.700000000000003</v>
      </c>
      <c r="P66" s="92"/>
      <c r="Q66" s="92"/>
      <c r="R66" s="93">
        <f t="shared" si="1"/>
        <v>33.700000000000003</v>
      </c>
      <c r="S66" s="208">
        <v>4</v>
      </c>
      <c r="T66" s="81"/>
      <c r="U66" s="121">
        <v>39307</v>
      </c>
      <c r="V66" s="82" t="s">
        <v>963</v>
      </c>
      <c r="W66" s="208" t="s">
        <v>77</v>
      </c>
      <c r="X66" s="208" t="s">
        <v>11</v>
      </c>
      <c r="Y66" s="83">
        <v>33.700000000000003</v>
      </c>
      <c r="Z66" s="82"/>
      <c r="AC66" s="83"/>
      <c r="AG66" s="83"/>
      <c r="AL66" s="82"/>
      <c r="AO66" s="83"/>
      <c r="AP66" s="82"/>
      <c r="AS66" s="83"/>
      <c r="AW66" s="83"/>
      <c r="BA66" s="84"/>
    </row>
    <row r="67" spans="1:53" s="334" customFormat="1">
      <c r="A67" s="334">
        <v>2007</v>
      </c>
      <c r="B67" s="335">
        <v>39410</v>
      </c>
      <c r="C67" s="992" t="s">
        <v>969</v>
      </c>
      <c r="D67" s="992"/>
      <c r="E67" s="334">
        <v>38</v>
      </c>
      <c r="F67" s="334">
        <v>1</v>
      </c>
      <c r="G67" s="419">
        <v>10</v>
      </c>
      <c r="I67" s="334">
        <v>3</v>
      </c>
      <c r="J67" s="435">
        <v>19</v>
      </c>
      <c r="K67" s="384">
        <f t="shared" si="3"/>
        <v>52.631578947368418</v>
      </c>
      <c r="L67" s="384">
        <f t="shared" si="4"/>
        <v>0</v>
      </c>
      <c r="M67" s="384">
        <f t="shared" si="5"/>
        <v>15.789473684210526</v>
      </c>
      <c r="N67" s="421">
        <f t="shared" si="2"/>
        <v>68.421052631578945</v>
      </c>
      <c r="O67" s="383">
        <v>45.4</v>
      </c>
      <c r="P67" s="384"/>
      <c r="Q67" s="384">
        <v>6.7</v>
      </c>
      <c r="R67" s="385">
        <f t="shared" si="1"/>
        <v>52.1</v>
      </c>
      <c r="S67" s="334">
        <v>2</v>
      </c>
      <c r="T67" s="342">
        <v>39376</v>
      </c>
      <c r="U67" s="335">
        <v>39410</v>
      </c>
      <c r="V67" s="343" t="s">
        <v>970</v>
      </c>
      <c r="W67" s="334" t="s">
        <v>316</v>
      </c>
      <c r="X67" s="334" t="s">
        <v>11</v>
      </c>
      <c r="Y67" s="344">
        <v>45.4</v>
      </c>
      <c r="Z67" s="343" t="s">
        <v>950</v>
      </c>
      <c r="AA67" s="334" t="s">
        <v>880</v>
      </c>
      <c r="AB67" s="334" t="s">
        <v>12</v>
      </c>
      <c r="AC67" s="334">
        <v>6.7</v>
      </c>
      <c r="AD67" s="343"/>
      <c r="AG67" s="344"/>
      <c r="AL67" s="343"/>
      <c r="AO67" s="344"/>
      <c r="AP67" s="343"/>
      <c r="AS67" s="344"/>
      <c r="AW67" s="344"/>
      <c r="BA67" s="345"/>
    </row>
    <row r="68" spans="1:53" s="334" customFormat="1">
      <c r="A68" s="334">
        <v>2008</v>
      </c>
      <c r="B68" s="358"/>
      <c r="C68" s="992" t="s">
        <v>969</v>
      </c>
      <c r="D68" s="992"/>
      <c r="E68" s="334">
        <v>0</v>
      </c>
      <c r="G68" s="419">
        <v>10</v>
      </c>
      <c r="I68" s="334">
        <v>3</v>
      </c>
      <c r="J68" s="435">
        <v>19</v>
      </c>
      <c r="K68" s="384">
        <f t="shared" si="3"/>
        <v>52.631578947368418</v>
      </c>
      <c r="L68" s="384">
        <f t="shared" si="4"/>
        <v>0</v>
      </c>
      <c r="M68" s="384">
        <f t="shared" si="5"/>
        <v>15.789473684210526</v>
      </c>
      <c r="N68" s="421">
        <f t="shared" si="2"/>
        <v>68.421052631578945</v>
      </c>
      <c r="O68" s="383">
        <v>45.4</v>
      </c>
      <c r="P68" s="384"/>
      <c r="Q68" s="384">
        <v>6.7</v>
      </c>
      <c r="R68" s="385">
        <f t="shared" si="1"/>
        <v>52.1</v>
      </c>
      <c r="S68" s="334">
        <v>2</v>
      </c>
      <c r="T68" s="357"/>
      <c r="V68" s="343" t="s">
        <v>970</v>
      </c>
      <c r="W68" s="334" t="s">
        <v>316</v>
      </c>
      <c r="X68" s="334" t="s">
        <v>11</v>
      </c>
      <c r="Y68" s="344">
        <v>45.4</v>
      </c>
      <c r="Z68" s="343" t="s">
        <v>950</v>
      </c>
      <c r="AA68" s="334" t="s">
        <v>880</v>
      </c>
      <c r="AB68" s="334" t="s">
        <v>12</v>
      </c>
      <c r="AC68" s="334">
        <v>6.7</v>
      </c>
      <c r="AD68" s="343"/>
      <c r="AG68" s="344"/>
      <c r="AL68" s="343"/>
      <c r="AO68" s="344"/>
      <c r="AP68" s="343"/>
      <c r="AS68" s="344"/>
      <c r="AW68" s="344"/>
      <c r="BA68" s="345"/>
    </row>
    <row r="69" spans="1:53" s="334" customFormat="1">
      <c r="A69" s="334">
        <v>2008</v>
      </c>
      <c r="B69" s="358"/>
      <c r="C69" s="992" t="s">
        <v>969</v>
      </c>
      <c r="D69" s="992"/>
      <c r="E69" s="334">
        <v>366</v>
      </c>
      <c r="G69" s="419">
        <v>10</v>
      </c>
      <c r="I69" s="334">
        <v>3</v>
      </c>
      <c r="J69" s="435">
        <v>19</v>
      </c>
      <c r="K69" s="384">
        <f t="shared" si="3"/>
        <v>52.631578947368418</v>
      </c>
      <c r="L69" s="384">
        <f t="shared" si="4"/>
        <v>0</v>
      </c>
      <c r="M69" s="384">
        <f t="shared" si="5"/>
        <v>15.789473684210526</v>
      </c>
      <c r="N69" s="421">
        <f t="shared" si="2"/>
        <v>68.421052631578945</v>
      </c>
      <c r="O69" s="383">
        <v>45.4</v>
      </c>
      <c r="P69" s="384"/>
      <c r="Q69" s="384">
        <v>6.7</v>
      </c>
      <c r="R69" s="385">
        <f t="shared" si="1"/>
        <v>52.1</v>
      </c>
      <c r="S69" s="334">
        <v>2</v>
      </c>
      <c r="T69" s="357"/>
      <c r="V69" s="343" t="s">
        <v>970</v>
      </c>
      <c r="W69" s="334" t="s">
        <v>316</v>
      </c>
      <c r="X69" s="334" t="s">
        <v>11</v>
      </c>
      <c r="Y69" s="344">
        <v>45.4</v>
      </c>
      <c r="Z69" s="343" t="s">
        <v>950</v>
      </c>
      <c r="AA69" s="334" t="s">
        <v>880</v>
      </c>
      <c r="AB69" s="334" t="s">
        <v>12</v>
      </c>
      <c r="AC69" s="334">
        <v>6.7</v>
      </c>
      <c r="AD69" s="343"/>
      <c r="AG69" s="344"/>
      <c r="AL69" s="343"/>
      <c r="AO69" s="344"/>
      <c r="AP69" s="343"/>
      <c r="AS69" s="344"/>
      <c r="AW69" s="344"/>
      <c r="BA69" s="345"/>
    </row>
    <row r="70" spans="1:53" s="334" customFormat="1">
      <c r="A70" s="334">
        <v>2009</v>
      </c>
      <c r="B70" s="358"/>
      <c r="C70" s="992" t="s">
        <v>969</v>
      </c>
      <c r="D70" s="992"/>
      <c r="E70" s="334">
        <v>14</v>
      </c>
      <c r="G70" s="419">
        <v>10</v>
      </c>
      <c r="I70" s="334">
        <v>3</v>
      </c>
      <c r="J70" s="435">
        <v>19</v>
      </c>
      <c r="K70" s="384">
        <f t="shared" si="3"/>
        <v>52.631578947368418</v>
      </c>
      <c r="L70" s="384">
        <f t="shared" si="4"/>
        <v>0</v>
      </c>
      <c r="M70" s="384">
        <f t="shared" si="5"/>
        <v>15.789473684210526</v>
      </c>
      <c r="N70" s="421">
        <f t="shared" si="2"/>
        <v>68.421052631578945</v>
      </c>
      <c r="O70" s="383">
        <v>45.4</v>
      </c>
      <c r="P70" s="384"/>
      <c r="Q70" s="384">
        <v>6.7</v>
      </c>
      <c r="R70" s="385">
        <f t="shared" si="1"/>
        <v>52.1</v>
      </c>
      <c r="S70" s="334">
        <v>2</v>
      </c>
      <c r="T70" s="357"/>
      <c r="V70" s="343" t="s">
        <v>970</v>
      </c>
      <c r="W70" s="334" t="s">
        <v>316</v>
      </c>
      <c r="X70" s="334" t="s">
        <v>11</v>
      </c>
      <c r="Y70" s="344">
        <v>45.4</v>
      </c>
      <c r="Z70" s="343" t="s">
        <v>950</v>
      </c>
      <c r="AA70" s="334" t="s">
        <v>880</v>
      </c>
      <c r="AB70" s="334" t="s">
        <v>12</v>
      </c>
      <c r="AC70" s="334">
        <v>6.7</v>
      </c>
      <c r="AD70" s="343"/>
      <c r="AG70" s="344"/>
      <c r="AL70" s="343"/>
      <c r="AO70" s="344"/>
      <c r="AP70" s="343"/>
      <c r="AS70" s="344"/>
      <c r="AW70" s="344"/>
      <c r="BA70" s="345"/>
    </row>
    <row r="71" spans="1:53" s="334" customFormat="1">
      <c r="A71" s="334">
        <v>2009</v>
      </c>
      <c r="B71" s="465">
        <v>39828</v>
      </c>
      <c r="C71" s="992" t="s">
        <v>969</v>
      </c>
      <c r="D71" s="992"/>
      <c r="E71" s="334">
        <v>8</v>
      </c>
      <c r="F71" s="451">
        <v>0</v>
      </c>
      <c r="G71" s="419">
        <v>11</v>
      </c>
      <c r="I71" s="334">
        <v>3</v>
      </c>
      <c r="J71" s="435">
        <v>19</v>
      </c>
      <c r="K71" s="384">
        <f t="shared" si="3"/>
        <v>57.894736842105267</v>
      </c>
      <c r="L71" s="384">
        <f t="shared" si="4"/>
        <v>0</v>
      </c>
      <c r="M71" s="384">
        <f t="shared" si="5"/>
        <v>15.789473684210526</v>
      </c>
      <c r="N71" s="421">
        <f t="shared" si="2"/>
        <v>73.684210526315795</v>
      </c>
      <c r="O71" s="383">
        <v>45.4</v>
      </c>
      <c r="P71" s="384"/>
      <c r="Q71" s="384">
        <v>6.7</v>
      </c>
      <c r="R71" s="385">
        <f t="shared" si="1"/>
        <v>52.1</v>
      </c>
      <c r="S71" s="334">
        <v>2</v>
      </c>
      <c r="T71" s="357"/>
      <c r="V71" s="343" t="s">
        <v>970</v>
      </c>
      <c r="W71" s="334" t="s">
        <v>316</v>
      </c>
      <c r="X71" s="334" t="s">
        <v>11</v>
      </c>
      <c r="Y71" s="344">
        <v>45.4</v>
      </c>
      <c r="Z71" s="343" t="s">
        <v>950</v>
      </c>
      <c r="AA71" s="334" t="s">
        <v>880</v>
      </c>
      <c r="AB71" s="334" t="s">
        <v>12</v>
      </c>
      <c r="AC71" s="334">
        <v>6.7</v>
      </c>
      <c r="AD71" s="343"/>
      <c r="AG71" s="344"/>
      <c r="AL71" s="343"/>
      <c r="AO71" s="344"/>
      <c r="AP71" s="343"/>
      <c r="AS71" s="344"/>
      <c r="AW71" s="344"/>
      <c r="BA71" s="345"/>
    </row>
    <row r="72" spans="1:53" s="334" customFormat="1">
      <c r="A72" s="334">
        <v>2009</v>
      </c>
      <c r="B72" s="465">
        <v>39836</v>
      </c>
      <c r="C72" s="992" t="s">
        <v>969</v>
      </c>
      <c r="D72" s="992"/>
      <c r="E72" s="334">
        <v>264</v>
      </c>
      <c r="F72" s="451">
        <v>0</v>
      </c>
      <c r="G72" s="419">
        <v>12</v>
      </c>
      <c r="I72" s="334">
        <v>3</v>
      </c>
      <c r="J72" s="435">
        <v>19</v>
      </c>
      <c r="K72" s="384">
        <f t="shared" si="3"/>
        <v>63.157894736842103</v>
      </c>
      <c r="L72" s="384">
        <f t="shared" si="4"/>
        <v>0</v>
      </c>
      <c r="M72" s="384">
        <f t="shared" si="5"/>
        <v>15.789473684210526</v>
      </c>
      <c r="N72" s="421">
        <f t="shared" si="2"/>
        <v>78.94736842105263</v>
      </c>
      <c r="O72" s="383">
        <v>45.4</v>
      </c>
      <c r="P72" s="384"/>
      <c r="Q72" s="384">
        <v>6.7</v>
      </c>
      <c r="R72" s="385">
        <f t="shared" si="1"/>
        <v>52.1</v>
      </c>
      <c r="S72" s="334">
        <v>2</v>
      </c>
      <c r="T72" s="357"/>
      <c r="V72" s="343" t="s">
        <v>970</v>
      </c>
      <c r="W72" s="334" t="s">
        <v>316</v>
      </c>
      <c r="X72" s="334" t="s">
        <v>11</v>
      </c>
      <c r="Y72" s="344">
        <v>45.4</v>
      </c>
      <c r="Z72" s="343" t="s">
        <v>950</v>
      </c>
      <c r="AA72" s="334" t="s">
        <v>880</v>
      </c>
      <c r="AB72" s="334" t="s">
        <v>12</v>
      </c>
      <c r="AC72" s="334">
        <v>6.7</v>
      </c>
      <c r="AD72" s="343"/>
      <c r="AG72" s="344"/>
      <c r="AL72" s="343"/>
      <c r="AO72" s="344"/>
      <c r="AP72" s="343"/>
      <c r="AS72" s="344"/>
      <c r="AW72" s="344"/>
      <c r="BA72" s="345"/>
    </row>
    <row r="73" spans="1:53" s="334" customFormat="1">
      <c r="A73" s="334">
        <v>2009</v>
      </c>
      <c r="B73" s="465">
        <v>40100</v>
      </c>
      <c r="C73" s="992" t="s">
        <v>969</v>
      </c>
      <c r="D73" s="992"/>
      <c r="E73" s="334">
        <v>79</v>
      </c>
      <c r="F73" s="451">
        <v>0</v>
      </c>
      <c r="G73" s="419">
        <v>10</v>
      </c>
      <c r="I73" s="334">
        <v>3</v>
      </c>
      <c r="J73" s="435">
        <v>19</v>
      </c>
      <c r="K73" s="384">
        <f t="shared" si="3"/>
        <v>52.631578947368418</v>
      </c>
      <c r="L73" s="384">
        <f t="shared" si="4"/>
        <v>0</v>
      </c>
      <c r="M73" s="384">
        <f t="shared" si="5"/>
        <v>15.789473684210526</v>
      </c>
      <c r="N73" s="421">
        <f t="shared" si="2"/>
        <v>68.421052631578945</v>
      </c>
      <c r="O73" s="383">
        <v>45.4</v>
      </c>
      <c r="P73" s="384"/>
      <c r="Q73" s="384">
        <v>6.7</v>
      </c>
      <c r="R73" s="385">
        <f t="shared" si="1"/>
        <v>52.1</v>
      </c>
      <c r="S73" s="334">
        <v>2</v>
      </c>
      <c r="T73" s="357"/>
      <c r="V73" s="343" t="s">
        <v>970</v>
      </c>
      <c r="W73" s="334" t="s">
        <v>316</v>
      </c>
      <c r="X73" s="334" t="s">
        <v>11</v>
      </c>
      <c r="Y73" s="344">
        <v>45.4</v>
      </c>
      <c r="Z73" s="343" t="s">
        <v>950</v>
      </c>
      <c r="AA73" s="334" t="s">
        <v>880</v>
      </c>
      <c r="AB73" s="334" t="s">
        <v>12</v>
      </c>
      <c r="AC73" s="334">
        <v>6.7</v>
      </c>
      <c r="AD73" s="343"/>
      <c r="AG73" s="344"/>
      <c r="AL73" s="343"/>
      <c r="AO73" s="344"/>
      <c r="AP73" s="343"/>
      <c r="AS73" s="344"/>
      <c r="AW73" s="344"/>
      <c r="BA73" s="345"/>
    </row>
    <row r="74" spans="1:53" s="334" customFormat="1">
      <c r="A74" s="334">
        <v>2010</v>
      </c>
      <c r="B74" s="358"/>
      <c r="C74" s="992" t="s">
        <v>969</v>
      </c>
      <c r="D74" s="992"/>
      <c r="E74" s="334">
        <v>0</v>
      </c>
      <c r="G74" s="419">
        <v>10</v>
      </c>
      <c r="I74" s="334">
        <v>3</v>
      </c>
      <c r="J74" s="435">
        <v>19</v>
      </c>
      <c r="K74" s="384">
        <f t="shared" si="3"/>
        <v>52.631578947368418</v>
      </c>
      <c r="L74" s="384">
        <f t="shared" si="4"/>
        <v>0</v>
      </c>
      <c r="M74" s="384">
        <f t="shared" si="5"/>
        <v>15.789473684210526</v>
      </c>
      <c r="N74" s="421">
        <f t="shared" si="2"/>
        <v>68.421052631578945</v>
      </c>
      <c r="O74" s="383">
        <v>45.4</v>
      </c>
      <c r="P74" s="384"/>
      <c r="Q74" s="384">
        <v>6.7</v>
      </c>
      <c r="R74" s="385">
        <f t="shared" si="1"/>
        <v>52.1</v>
      </c>
      <c r="S74" s="334">
        <v>2</v>
      </c>
      <c r="T74" s="357"/>
      <c r="V74" s="343" t="s">
        <v>970</v>
      </c>
      <c r="W74" s="334" t="s">
        <v>316</v>
      </c>
      <c r="X74" s="334" t="s">
        <v>11</v>
      </c>
      <c r="Y74" s="344">
        <v>45.4</v>
      </c>
      <c r="Z74" s="343" t="s">
        <v>950</v>
      </c>
      <c r="AA74" s="334" t="s">
        <v>880</v>
      </c>
      <c r="AB74" s="334" t="s">
        <v>12</v>
      </c>
      <c r="AC74" s="334">
        <v>6.7</v>
      </c>
      <c r="AD74" s="343"/>
      <c r="AG74" s="344"/>
      <c r="AL74" s="343"/>
      <c r="AO74" s="344"/>
      <c r="AP74" s="343"/>
      <c r="AS74" s="344"/>
      <c r="AW74" s="344"/>
      <c r="BA74" s="345"/>
    </row>
    <row r="75" spans="1:53" s="334" customFormat="1">
      <c r="A75" s="334">
        <v>2010</v>
      </c>
      <c r="B75" s="358"/>
      <c r="C75" s="992" t="s">
        <v>969</v>
      </c>
      <c r="D75" s="992"/>
      <c r="E75" s="334">
        <v>365</v>
      </c>
      <c r="G75" s="419">
        <v>10</v>
      </c>
      <c r="I75" s="334">
        <v>3</v>
      </c>
      <c r="J75" s="435">
        <v>19</v>
      </c>
      <c r="K75" s="384">
        <f t="shared" si="3"/>
        <v>52.631578947368418</v>
      </c>
      <c r="L75" s="384">
        <f t="shared" si="4"/>
        <v>0</v>
      </c>
      <c r="M75" s="384">
        <f t="shared" si="5"/>
        <v>15.789473684210526</v>
      </c>
      <c r="N75" s="421">
        <f t="shared" si="2"/>
        <v>68.421052631578945</v>
      </c>
      <c r="O75" s="383">
        <v>45.4</v>
      </c>
      <c r="P75" s="384"/>
      <c r="Q75" s="384">
        <v>6.7</v>
      </c>
      <c r="R75" s="385">
        <f t="shared" si="1"/>
        <v>52.1</v>
      </c>
      <c r="S75" s="334">
        <v>2</v>
      </c>
      <c r="T75" s="357"/>
      <c r="V75" s="343" t="s">
        <v>970</v>
      </c>
      <c r="W75" s="334" t="s">
        <v>316</v>
      </c>
      <c r="X75" s="334" t="s">
        <v>11</v>
      </c>
      <c r="Y75" s="344">
        <v>45.4</v>
      </c>
      <c r="Z75" s="343" t="s">
        <v>950</v>
      </c>
      <c r="AA75" s="334" t="s">
        <v>880</v>
      </c>
      <c r="AB75" s="334" t="s">
        <v>12</v>
      </c>
      <c r="AC75" s="334">
        <v>6.7</v>
      </c>
      <c r="AD75" s="343"/>
      <c r="AG75" s="344"/>
      <c r="AL75" s="343"/>
      <c r="AO75" s="344"/>
      <c r="AP75" s="343"/>
      <c r="AS75" s="344"/>
      <c r="AW75" s="344"/>
      <c r="BA75" s="345"/>
    </row>
    <row r="76" spans="1:53" s="334" customFormat="1">
      <c r="A76" s="334">
        <v>2011</v>
      </c>
      <c r="B76" s="358"/>
      <c r="C76" s="992" t="s">
        <v>969</v>
      </c>
      <c r="D76" s="992"/>
      <c r="E76" s="334">
        <v>310</v>
      </c>
      <c r="G76" s="419">
        <v>10</v>
      </c>
      <c r="I76" s="334">
        <v>3</v>
      </c>
      <c r="J76" s="435">
        <v>19</v>
      </c>
      <c r="K76" s="384">
        <f t="shared" ref="K76:K84" si="6">G76/J76*100</f>
        <v>52.631578947368418</v>
      </c>
      <c r="L76" s="384">
        <f t="shared" ref="L76:L84" si="7">H76/J76*100</f>
        <v>0</v>
      </c>
      <c r="M76" s="384">
        <f t="shared" ref="M76:M84" si="8">I76/J76*100</f>
        <v>15.789473684210526</v>
      </c>
      <c r="N76" s="421">
        <f t="shared" si="2"/>
        <v>68.421052631578945</v>
      </c>
      <c r="O76" s="383">
        <v>45.4</v>
      </c>
      <c r="P76" s="384"/>
      <c r="Q76" s="384">
        <v>6.7</v>
      </c>
      <c r="R76" s="385">
        <f t="shared" si="1"/>
        <v>52.1</v>
      </c>
      <c r="S76" s="334">
        <v>2</v>
      </c>
      <c r="T76" s="357"/>
      <c r="V76" s="343" t="s">
        <v>970</v>
      </c>
      <c r="W76" s="334" t="s">
        <v>316</v>
      </c>
      <c r="X76" s="334" t="s">
        <v>11</v>
      </c>
      <c r="Y76" s="344">
        <v>45.4</v>
      </c>
      <c r="Z76" s="343" t="s">
        <v>950</v>
      </c>
      <c r="AA76" s="334" t="s">
        <v>880</v>
      </c>
      <c r="AB76" s="334" t="s">
        <v>12</v>
      </c>
      <c r="AC76" s="334">
        <v>6.7</v>
      </c>
      <c r="AD76" s="343"/>
      <c r="AG76" s="344"/>
      <c r="AL76" s="343"/>
      <c r="AO76" s="344"/>
      <c r="AP76" s="343"/>
      <c r="AS76" s="344"/>
      <c r="AW76" s="344"/>
      <c r="BA76" s="345"/>
    </row>
    <row r="77" spans="1:53" s="334" customFormat="1">
      <c r="A77" s="334">
        <v>2011</v>
      </c>
      <c r="B77" s="465">
        <v>40854</v>
      </c>
      <c r="C77" s="992" t="s">
        <v>969</v>
      </c>
      <c r="D77" s="992"/>
      <c r="E77" s="334">
        <v>11</v>
      </c>
      <c r="F77" s="451">
        <v>0</v>
      </c>
      <c r="G77" s="419">
        <v>8</v>
      </c>
      <c r="I77" s="334">
        <v>3</v>
      </c>
      <c r="J77" s="435">
        <v>17</v>
      </c>
      <c r="K77" s="384">
        <f t="shared" si="6"/>
        <v>47.058823529411761</v>
      </c>
      <c r="L77" s="384">
        <f t="shared" si="7"/>
        <v>0</v>
      </c>
      <c r="M77" s="384">
        <f t="shared" si="8"/>
        <v>17.647058823529413</v>
      </c>
      <c r="N77" s="421">
        <f t="shared" si="2"/>
        <v>64.705882352941174</v>
      </c>
      <c r="O77" s="383">
        <v>45.4</v>
      </c>
      <c r="P77" s="384"/>
      <c r="Q77" s="384">
        <v>6.7</v>
      </c>
      <c r="R77" s="385">
        <f t="shared" si="1"/>
        <v>52.1</v>
      </c>
      <c r="S77" s="334">
        <v>2</v>
      </c>
      <c r="T77" s="357"/>
      <c r="V77" s="343" t="s">
        <v>970</v>
      </c>
      <c r="W77" s="334" t="s">
        <v>316</v>
      </c>
      <c r="X77" s="334" t="s">
        <v>11</v>
      </c>
      <c r="Y77" s="344">
        <v>45.4</v>
      </c>
      <c r="Z77" s="343" t="s">
        <v>950</v>
      </c>
      <c r="AA77" s="334" t="s">
        <v>880</v>
      </c>
      <c r="AB77" s="334" t="s">
        <v>12</v>
      </c>
      <c r="AC77" s="334">
        <v>6.7</v>
      </c>
      <c r="AD77" s="343"/>
      <c r="AG77" s="344"/>
      <c r="AL77" s="343"/>
      <c r="AO77" s="344"/>
      <c r="AP77" s="343"/>
      <c r="AS77" s="344"/>
      <c r="AW77" s="344"/>
      <c r="BA77" s="345"/>
    </row>
    <row r="78" spans="1:53" s="208" customFormat="1">
      <c r="A78" s="208">
        <v>2011</v>
      </c>
      <c r="B78" s="133">
        <v>40865</v>
      </c>
      <c r="C78" s="988" t="s">
        <v>971</v>
      </c>
      <c r="D78" s="988"/>
      <c r="E78" s="208">
        <f xml:space="preserve"> 365-E77-E76</f>
        <v>44</v>
      </c>
      <c r="F78" s="208">
        <v>1</v>
      </c>
      <c r="G78" s="123">
        <v>12</v>
      </c>
      <c r="I78" s="208">
        <v>3</v>
      </c>
      <c r="J78" s="134">
        <v>20</v>
      </c>
      <c r="K78" s="92">
        <f t="shared" si="6"/>
        <v>60</v>
      </c>
      <c r="L78" s="92">
        <f t="shared" si="7"/>
        <v>0</v>
      </c>
      <c r="M78" s="92">
        <f t="shared" si="8"/>
        <v>15</v>
      </c>
      <c r="N78" s="125">
        <f t="shared" si="2"/>
        <v>75</v>
      </c>
      <c r="O78" s="91">
        <v>45</v>
      </c>
      <c r="P78" s="92"/>
      <c r="Q78" s="92">
        <v>6.1</v>
      </c>
      <c r="R78" s="93">
        <f t="shared" si="1"/>
        <v>51.1</v>
      </c>
      <c r="S78" s="208">
        <v>2</v>
      </c>
      <c r="T78" s="95">
        <v>40825</v>
      </c>
      <c r="U78" s="133">
        <v>40865</v>
      </c>
      <c r="V78" s="82" t="s">
        <v>970</v>
      </c>
      <c r="W78" s="208" t="s">
        <v>316</v>
      </c>
      <c r="X78" s="208" t="s">
        <v>11</v>
      </c>
      <c r="Y78" s="83">
        <v>45</v>
      </c>
      <c r="Z78" s="82" t="s">
        <v>950</v>
      </c>
      <c r="AA78" s="208" t="s">
        <v>880</v>
      </c>
      <c r="AB78" s="208" t="s">
        <v>12</v>
      </c>
      <c r="AC78" s="208">
        <v>6.1</v>
      </c>
      <c r="AD78" s="82"/>
      <c r="AG78" s="83"/>
      <c r="AL78" s="82"/>
      <c r="AO78" s="83"/>
      <c r="AP78" s="82"/>
      <c r="AS78" s="83"/>
      <c r="AW78" s="83"/>
      <c r="BA78" s="84"/>
    </row>
    <row r="79" spans="1:53" s="208" customFormat="1">
      <c r="A79" s="208">
        <v>2012</v>
      </c>
      <c r="B79" s="215"/>
      <c r="C79" s="988" t="s">
        <v>971</v>
      </c>
      <c r="D79" s="988"/>
      <c r="E79" s="208">
        <v>0</v>
      </c>
      <c r="G79" s="123">
        <v>12</v>
      </c>
      <c r="I79" s="208">
        <v>3</v>
      </c>
      <c r="J79" s="134">
        <v>20</v>
      </c>
      <c r="K79" s="92">
        <f t="shared" si="6"/>
        <v>60</v>
      </c>
      <c r="L79" s="92">
        <f t="shared" si="7"/>
        <v>0</v>
      </c>
      <c r="M79" s="92">
        <f t="shared" si="8"/>
        <v>15</v>
      </c>
      <c r="N79" s="125">
        <f t="shared" si="2"/>
        <v>75</v>
      </c>
      <c r="O79" s="91">
        <v>45</v>
      </c>
      <c r="P79" s="92"/>
      <c r="Q79" s="92">
        <v>6.1</v>
      </c>
      <c r="R79" s="93">
        <f t="shared" si="1"/>
        <v>51.1</v>
      </c>
      <c r="S79" s="208">
        <v>2</v>
      </c>
      <c r="T79" s="81"/>
      <c r="V79" s="82" t="s">
        <v>970</v>
      </c>
      <c r="W79" s="208" t="s">
        <v>316</v>
      </c>
      <c r="X79" s="208" t="s">
        <v>11</v>
      </c>
      <c r="Y79" s="83">
        <v>45</v>
      </c>
      <c r="Z79" s="208" t="s">
        <v>950</v>
      </c>
      <c r="AA79" s="208" t="s">
        <v>880</v>
      </c>
      <c r="AB79" s="208" t="s">
        <v>12</v>
      </c>
      <c r="AC79" s="208">
        <v>6.1</v>
      </c>
      <c r="AD79" s="82"/>
      <c r="AG79" s="83"/>
      <c r="AL79" s="82"/>
      <c r="AO79" s="83"/>
      <c r="AP79" s="82"/>
      <c r="AS79" s="83"/>
      <c r="AW79" s="83"/>
      <c r="BA79" s="84"/>
    </row>
    <row r="80" spans="1:53" s="208" customFormat="1">
      <c r="A80" s="208">
        <v>2012</v>
      </c>
      <c r="B80" s="122"/>
      <c r="C80" s="988" t="s">
        <v>971</v>
      </c>
      <c r="D80" s="988"/>
      <c r="E80" s="208">
        <v>366</v>
      </c>
      <c r="G80" s="123">
        <v>12</v>
      </c>
      <c r="I80" s="208">
        <v>3</v>
      </c>
      <c r="J80" s="134">
        <v>20</v>
      </c>
      <c r="K80" s="92">
        <f t="shared" si="6"/>
        <v>60</v>
      </c>
      <c r="L80" s="92">
        <f t="shared" si="7"/>
        <v>0</v>
      </c>
      <c r="M80" s="92">
        <f t="shared" si="8"/>
        <v>15</v>
      </c>
      <c r="N80" s="125">
        <f t="shared" si="2"/>
        <v>75</v>
      </c>
      <c r="O80" s="91">
        <v>45</v>
      </c>
      <c r="P80" s="92"/>
      <c r="Q80" s="92">
        <v>6.1</v>
      </c>
      <c r="R80" s="93">
        <f t="shared" si="1"/>
        <v>51.1</v>
      </c>
      <c r="S80" s="208">
        <v>2</v>
      </c>
      <c r="T80" s="81"/>
      <c r="V80" s="82" t="s">
        <v>970</v>
      </c>
      <c r="W80" s="208" t="s">
        <v>316</v>
      </c>
      <c r="X80" s="208" t="s">
        <v>11</v>
      </c>
      <c r="Y80" s="83">
        <v>45</v>
      </c>
      <c r="Z80" s="208" t="s">
        <v>950</v>
      </c>
      <c r="AA80" s="208" t="s">
        <v>880</v>
      </c>
      <c r="AB80" s="208" t="s">
        <v>12</v>
      </c>
      <c r="AC80" s="208">
        <v>6.1</v>
      </c>
      <c r="AD80" s="82"/>
      <c r="AG80" s="83"/>
      <c r="AL80" s="82"/>
      <c r="AO80" s="83"/>
      <c r="AP80" s="82"/>
      <c r="AS80" s="83"/>
      <c r="AW80" s="83"/>
      <c r="BA80" s="84"/>
    </row>
    <row r="81" spans="1:53" s="317" customFormat="1">
      <c r="A81" s="317">
        <v>2013</v>
      </c>
      <c r="B81" s="122"/>
      <c r="C81" s="988" t="s">
        <v>971</v>
      </c>
      <c r="D81" s="988"/>
      <c r="E81" s="317">
        <v>55</v>
      </c>
      <c r="G81" s="123">
        <v>12</v>
      </c>
      <c r="I81" s="317">
        <v>3</v>
      </c>
      <c r="J81" s="134">
        <v>20</v>
      </c>
      <c r="K81" s="92">
        <f t="shared" si="6"/>
        <v>60</v>
      </c>
      <c r="L81" s="92">
        <f t="shared" si="7"/>
        <v>0</v>
      </c>
      <c r="M81" s="92">
        <f t="shared" si="8"/>
        <v>15</v>
      </c>
      <c r="N81" s="125">
        <f>SUM(K81:M81)</f>
        <v>75</v>
      </c>
      <c r="O81" s="91">
        <v>45</v>
      </c>
      <c r="P81" s="92"/>
      <c r="Q81" s="92">
        <v>6.1</v>
      </c>
      <c r="R81" s="93">
        <f t="shared" ref="R81:R87" si="9">SUM(O81:Q81)</f>
        <v>51.1</v>
      </c>
      <c r="S81" s="317">
        <v>2</v>
      </c>
      <c r="T81" s="81"/>
      <c r="V81" s="82" t="s">
        <v>970</v>
      </c>
      <c r="W81" s="317" t="s">
        <v>316</v>
      </c>
      <c r="X81" s="317" t="s">
        <v>11</v>
      </c>
      <c r="Y81" s="83">
        <v>45</v>
      </c>
      <c r="Z81" s="317" t="s">
        <v>950</v>
      </c>
      <c r="AA81" s="317" t="s">
        <v>880</v>
      </c>
      <c r="AB81" s="317" t="s">
        <v>12</v>
      </c>
      <c r="AC81" s="317">
        <v>6.1</v>
      </c>
      <c r="AD81" s="82"/>
      <c r="AG81" s="83"/>
      <c r="AL81" s="82"/>
      <c r="AO81" s="83"/>
      <c r="AP81" s="82"/>
      <c r="AS81" s="83"/>
      <c r="AW81" s="83"/>
      <c r="BA81" s="84"/>
    </row>
    <row r="82" spans="1:53" s="656" customFormat="1">
      <c r="A82" s="656">
        <v>2013</v>
      </c>
      <c r="B82" s="599">
        <v>41330</v>
      </c>
      <c r="C82" s="988" t="s">
        <v>971</v>
      </c>
      <c r="D82" s="988"/>
      <c r="E82" s="656">
        <v>58</v>
      </c>
      <c r="F82" s="600">
        <v>0</v>
      </c>
      <c r="G82" s="596">
        <v>11</v>
      </c>
      <c r="I82" s="656">
        <v>3</v>
      </c>
      <c r="J82" s="598">
        <v>20</v>
      </c>
      <c r="K82" s="593">
        <f t="shared" si="6"/>
        <v>55.000000000000007</v>
      </c>
      <c r="L82" s="593">
        <f t="shared" si="7"/>
        <v>0</v>
      </c>
      <c r="M82" s="593">
        <f t="shared" si="8"/>
        <v>15</v>
      </c>
      <c r="N82" s="597">
        <f>SUM(K82:M82)</f>
        <v>70</v>
      </c>
      <c r="O82" s="592">
        <v>45</v>
      </c>
      <c r="P82" s="593"/>
      <c r="Q82" s="593">
        <v>6.1</v>
      </c>
      <c r="R82" s="594">
        <f t="shared" si="9"/>
        <v>51.1</v>
      </c>
      <c r="S82" s="656">
        <v>2</v>
      </c>
      <c r="T82" s="575"/>
      <c r="V82" s="588" t="s">
        <v>970</v>
      </c>
      <c r="W82" s="656" t="s">
        <v>316</v>
      </c>
      <c r="X82" s="656" t="s">
        <v>11</v>
      </c>
      <c r="Y82" s="589">
        <v>45</v>
      </c>
      <c r="Z82" s="656" t="s">
        <v>950</v>
      </c>
      <c r="AA82" s="656" t="s">
        <v>880</v>
      </c>
      <c r="AB82" s="656" t="s">
        <v>12</v>
      </c>
      <c r="AC82" s="656">
        <v>6.1</v>
      </c>
      <c r="AD82" s="588"/>
      <c r="AG82" s="589"/>
      <c r="AL82" s="588"/>
      <c r="AO82" s="589"/>
      <c r="AP82" s="588"/>
      <c r="AS82" s="589"/>
      <c r="AW82" s="589"/>
      <c r="BA82" s="590"/>
    </row>
    <row r="83" spans="1:53" s="321" customFormat="1">
      <c r="A83" s="321">
        <v>2013</v>
      </c>
      <c r="B83" s="149">
        <v>41388</v>
      </c>
      <c r="C83" s="988" t="s">
        <v>971</v>
      </c>
      <c r="D83" s="988"/>
      <c r="E83" s="321">
        <v>217</v>
      </c>
      <c r="F83" s="150">
        <v>0</v>
      </c>
      <c r="G83" s="123">
        <v>12</v>
      </c>
      <c r="I83" s="321">
        <v>3</v>
      </c>
      <c r="J83" s="134">
        <v>20</v>
      </c>
      <c r="K83" s="92">
        <f t="shared" si="6"/>
        <v>60</v>
      </c>
      <c r="L83" s="92">
        <f t="shared" si="7"/>
        <v>0</v>
      </c>
      <c r="M83" s="92">
        <f t="shared" si="8"/>
        <v>15</v>
      </c>
      <c r="N83" s="125">
        <f>SUM(K83:M83)</f>
        <v>75</v>
      </c>
      <c r="O83" s="91">
        <v>45</v>
      </c>
      <c r="P83" s="92"/>
      <c r="Q83" s="92">
        <v>6.1</v>
      </c>
      <c r="R83" s="93">
        <f t="shared" si="9"/>
        <v>51.1</v>
      </c>
      <c r="S83" s="321">
        <v>2</v>
      </c>
      <c r="T83" s="81"/>
      <c r="V83" s="82" t="s">
        <v>970</v>
      </c>
      <c r="W83" s="321" t="s">
        <v>316</v>
      </c>
      <c r="X83" s="321" t="s">
        <v>11</v>
      </c>
      <c r="Y83" s="83">
        <v>45</v>
      </c>
      <c r="Z83" s="321" t="s">
        <v>950</v>
      </c>
      <c r="AA83" s="321" t="s">
        <v>880</v>
      </c>
      <c r="AB83" s="321" t="s">
        <v>12</v>
      </c>
      <c r="AC83" s="321">
        <v>6.1</v>
      </c>
      <c r="AD83" s="82"/>
      <c r="AG83" s="83"/>
      <c r="AL83" s="82"/>
      <c r="AO83" s="83"/>
      <c r="AP83" s="82"/>
      <c r="AS83" s="83"/>
      <c r="AW83" s="83"/>
      <c r="BA83" s="84"/>
    </row>
    <row r="84" spans="1:53" s="317" customFormat="1">
      <c r="A84" s="317">
        <v>2013</v>
      </c>
      <c r="B84" s="149">
        <v>41605</v>
      </c>
      <c r="C84" s="988" t="s">
        <v>971</v>
      </c>
      <c r="D84" s="988"/>
      <c r="E84" s="317">
        <f>365-E83-E82-E81</f>
        <v>35</v>
      </c>
      <c r="F84" s="150">
        <v>0</v>
      </c>
      <c r="G84" s="123">
        <v>11</v>
      </c>
      <c r="I84" s="317">
        <v>3</v>
      </c>
      <c r="J84" s="134">
        <v>19</v>
      </c>
      <c r="K84" s="92">
        <f t="shared" si="6"/>
        <v>57.894736842105267</v>
      </c>
      <c r="L84" s="92">
        <f t="shared" si="7"/>
        <v>0</v>
      </c>
      <c r="M84" s="92">
        <f t="shared" si="8"/>
        <v>15.789473684210526</v>
      </c>
      <c r="N84" s="125">
        <f t="shared" si="2"/>
        <v>73.684210526315795</v>
      </c>
      <c r="O84" s="91">
        <v>45</v>
      </c>
      <c r="P84" s="92"/>
      <c r="Q84" s="92">
        <v>6.1</v>
      </c>
      <c r="R84" s="93">
        <f t="shared" si="9"/>
        <v>51.1</v>
      </c>
      <c r="S84" s="321">
        <v>2</v>
      </c>
      <c r="T84" s="81"/>
      <c r="U84" s="321"/>
      <c r="V84" s="82" t="s">
        <v>970</v>
      </c>
      <c r="W84" s="317" t="s">
        <v>316</v>
      </c>
      <c r="X84" s="317" t="s">
        <v>11</v>
      </c>
      <c r="Y84" s="83">
        <v>45</v>
      </c>
      <c r="Z84" s="317" t="s">
        <v>950</v>
      </c>
      <c r="AA84" s="317" t="s">
        <v>880</v>
      </c>
      <c r="AB84" s="317" t="s">
        <v>12</v>
      </c>
      <c r="AC84" s="317">
        <v>6.1</v>
      </c>
      <c r="AD84" s="82"/>
      <c r="AG84" s="83"/>
      <c r="AL84" s="82"/>
      <c r="AO84" s="83"/>
      <c r="AP84" s="82"/>
      <c r="AS84" s="83"/>
      <c r="AW84" s="83"/>
      <c r="BA84" s="84"/>
    </row>
    <row r="85" spans="1:53" s="656" customFormat="1">
      <c r="A85" s="656">
        <v>2014</v>
      </c>
      <c r="B85" s="599"/>
      <c r="C85" s="988" t="s">
        <v>971</v>
      </c>
      <c r="D85" s="988"/>
      <c r="E85" s="656">
        <v>167</v>
      </c>
      <c r="F85" s="600"/>
      <c r="G85" s="596">
        <v>11</v>
      </c>
      <c r="I85" s="656">
        <v>3</v>
      </c>
      <c r="J85" s="598">
        <v>19</v>
      </c>
      <c r="K85" s="593">
        <f>G85/J85*100</f>
        <v>57.894736842105267</v>
      </c>
      <c r="L85" s="593">
        <f>H85/J85*100</f>
        <v>0</v>
      </c>
      <c r="M85" s="593">
        <f>I85/J85*100</f>
        <v>15.789473684210526</v>
      </c>
      <c r="N85" s="597">
        <f>SUM(K85:M85)</f>
        <v>73.684210526315795</v>
      </c>
      <c r="O85" s="592">
        <v>45</v>
      </c>
      <c r="P85" s="593"/>
      <c r="Q85" s="593">
        <v>6.1</v>
      </c>
      <c r="R85" s="594">
        <f t="shared" si="9"/>
        <v>51.1</v>
      </c>
      <c r="S85" s="656">
        <v>2</v>
      </c>
      <c r="T85" s="575"/>
      <c r="V85" s="588" t="s">
        <v>970</v>
      </c>
      <c r="W85" s="656" t="s">
        <v>316</v>
      </c>
      <c r="X85" s="656" t="s">
        <v>11</v>
      </c>
      <c r="Y85" s="589">
        <v>45</v>
      </c>
      <c r="Z85" s="656" t="s">
        <v>950</v>
      </c>
      <c r="AA85" s="656" t="s">
        <v>880</v>
      </c>
      <c r="AB85" s="656" t="s">
        <v>12</v>
      </c>
      <c r="AC85" s="656">
        <v>6.1</v>
      </c>
      <c r="AD85" s="588"/>
      <c r="AG85" s="589"/>
      <c r="AL85" s="588"/>
      <c r="AO85" s="589"/>
      <c r="AP85" s="588"/>
      <c r="AS85" s="589"/>
      <c r="AW85" s="589"/>
      <c r="BA85" s="590"/>
    </row>
    <row r="86" spans="1:53" s="656" customFormat="1">
      <c r="A86" s="656">
        <v>2014</v>
      </c>
      <c r="B86" s="599">
        <v>41807</v>
      </c>
      <c r="C86" s="988" t="s">
        <v>971</v>
      </c>
      <c r="D86" s="988"/>
      <c r="E86" s="656">
        <v>97</v>
      </c>
      <c r="F86" s="600">
        <v>0</v>
      </c>
      <c r="G86" s="596">
        <v>10</v>
      </c>
      <c r="I86" s="656">
        <v>3</v>
      </c>
      <c r="J86" s="598">
        <v>19</v>
      </c>
      <c r="K86" s="593">
        <f>G86/J86*100</f>
        <v>52.631578947368418</v>
      </c>
      <c r="L86" s="593">
        <f>H86/J86*100</f>
        <v>0</v>
      </c>
      <c r="M86" s="593">
        <f>I86/J86*100</f>
        <v>15.789473684210526</v>
      </c>
      <c r="N86" s="597">
        <f>SUM(K86:M86)</f>
        <v>68.421052631578945</v>
      </c>
      <c r="O86" s="592">
        <v>45</v>
      </c>
      <c r="P86" s="593"/>
      <c r="Q86" s="593">
        <v>6.1</v>
      </c>
      <c r="R86" s="594">
        <f t="shared" si="9"/>
        <v>51.1</v>
      </c>
      <c r="S86" s="656">
        <v>2</v>
      </c>
      <c r="T86" s="575"/>
      <c r="V86" s="588" t="s">
        <v>970</v>
      </c>
      <c r="W86" s="656" t="s">
        <v>316</v>
      </c>
      <c r="X86" s="656" t="s">
        <v>11</v>
      </c>
      <c r="Y86" s="589">
        <v>45</v>
      </c>
      <c r="Z86" s="656" t="s">
        <v>950</v>
      </c>
      <c r="AA86" s="656" t="s">
        <v>880</v>
      </c>
      <c r="AB86" s="656" t="s">
        <v>12</v>
      </c>
      <c r="AC86" s="656">
        <v>6.1</v>
      </c>
      <c r="AD86" s="588"/>
      <c r="AG86" s="589"/>
      <c r="AL86" s="588"/>
      <c r="AO86" s="589"/>
      <c r="AP86" s="588"/>
      <c r="AS86" s="589"/>
      <c r="AW86" s="589"/>
      <c r="BA86" s="590"/>
    </row>
    <row r="87" spans="1:53" s="657" customFormat="1">
      <c r="A87" s="657">
        <v>2014</v>
      </c>
      <c r="B87" s="335">
        <v>41904</v>
      </c>
      <c r="C87" s="992" t="s">
        <v>1314</v>
      </c>
      <c r="D87" s="992"/>
      <c r="E87" s="657">
        <v>101</v>
      </c>
      <c r="F87" s="657">
        <v>2</v>
      </c>
      <c r="G87" s="642">
        <v>11</v>
      </c>
      <c r="I87" s="657">
        <v>3</v>
      </c>
      <c r="J87" s="644">
        <v>19</v>
      </c>
      <c r="K87" s="640">
        <f>G87/J87*100</f>
        <v>57.894736842105267</v>
      </c>
      <c r="L87" s="640">
        <f>H87/J87*100</f>
        <v>0</v>
      </c>
      <c r="M87" s="640">
        <f>I87/J87*100</f>
        <v>15.789473684210526</v>
      </c>
      <c r="N87" s="643">
        <f>SUM(K87:M87)</f>
        <v>73.684210526315795</v>
      </c>
      <c r="O87" s="639">
        <v>44</v>
      </c>
      <c r="P87" s="640"/>
      <c r="Q87" s="640">
        <v>7</v>
      </c>
      <c r="R87" s="641">
        <f t="shared" si="9"/>
        <v>51</v>
      </c>
      <c r="S87" s="657">
        <v>2</v>
      </c>
      <c r="T87" s="487"/>
      <c r="U87" s="335">
        <v>41904</v>
      </c>
      <c r="V87" s="634" t="s">
        <v>970</v>
      </c>
      <c r="W87" s="657" t="s">
        <v>316</v>
      </c>
      <c r="X87" s="657" t="s">
        <v>11</v>
      </c>
      <c r="Y87" s="635">
        <v>44</v>
      </c>
      <c r="Z87" s="634" t="s">
        <v>950</v>
      </c>
      <c r="AA87" s="657" t="s">
        <v>880</v>
      </c>
      <c r="AB87" s="657" t="s">
        <v>12</v>
      </c>
      <c r="AC87" s="657">
        <v>7</v>
      </c>
      <c r="AD87" s="634"/>
      <c r="AG87" s="635"/>
      <c r="AL87" s="634"/>
      <c r="AO87" s="635"/>
      <c r="AP87" s="634"/>
      <c r="AS87" s="635"/>
      <c r="AW87" s="635"/>
      <c r="BA87" s="636"/>
    </row>
    <row r="88" spans="1:53" s="745" customFormat="1">
      <c r="A88" s="745">
        <v>2015</v>
      </c>
      <c r="B88" s="335"/>
      <c r="C88" s="992" t="s">
        <v>1314</v>
      </c>
      <c r="D88" s="992"/>
      <c r="E88" s="745">
        <v>166</v>
      </c>
      <c r="G88" s="642">
        <v>11</v>
      </c>
      <c r="I88" s="745">
        <v>3</v>
      </c>
      <c r="J88" s="644">
        <v>19</v>
      </c>
      <c r="K88" s="640">
        <f t="shared" ref="K88:K93" si="10">G88/J88*100</f>
        <v>57.894736842105267</v>
      </c>
      <c r="L88" s="640">
        <f t="shared" ref="L88:L93" si="11">H88/J88*100</f>
        <v>0</v>
      </c>
      <c r="M88" s="640">
        <f t="shared" ref="M88:M93" si="12">I88/J88*100</f>
        <v>15.789473684210526</v>
      </c>
      <c r="N88" s="643">
        <f t="shared" ref="N88:N93" si="13">SUM(K88:M88)</f>
        <v>73.684210526315795</v>
      </c>
      <c r="O88" s="639">
        <v>44</v>
      </c>
      <c r="P88" s="640"/>
      <c r="Q88" s="640">
        <v>7</v>
      </c>
      <c r="R88" s="641">
        <f t="shared" ref="R88:R89" si="14">SUM(O88:Q88)</f>
        <v>51</v>
      </c>
      <c r="S88" s="745">
        <v>2</v>
      </c>
      <c r="T88" s="487"/>
      <c r="U88" s="335"/>
      <c r="V88" s="634" t="s">
        <v>970</v>
      </c>
      <c r="W88" s="745" t="s">
        <v>316</v>
      </c>
      <c r="X88" s="745" t="s">
        <v>11</v>
      </c>
      <c r="Y88" s="635">
        <v>44</v>
      </c>
      <c r="Z88" s="634" t="s">
        <v>950</v>
      </c>
      <c r="AA88" s="745" t="s">
        <v>880</v>
      </c>
      <c r="AB88" s="745" t="s">
        <v>12</v>
      </c>
      <c r="AC88" s="745">
        <v>7</v>
      </c>
      <c r="AD88" s="634"/>
      <c r="AG88" s="635"/>
      <c r="AL88" s="634"/>
      <c r="AO88" s="635"/>
      <c r="AP88" s="634"/>
      <c r="AS88" s="635"/>
      <c r="AW88" s="635"/>
      <c r="BA88" s="636"/>
    </row>
    <row r="89" spans="1:53" s="745" customFormat="1">
      <c r="A89" s="745">
        <v>2015</v>
      </c>
      <c r="B89" s="440">
        <v>42171</v>
      </c>
      <c r="C89" s="992" t="s">
        <v>1314</v>
      </c>
      <c r="D89" s="992"/>
      <c r="E89" s="745">
        <v>153</v>
      </c>
      <c r="F89" s="501">
        <v>0</v>
      </c>
      <c r="G89" s="642">
        <v>9</v>
      </c>
      <c r="I89" s="745">
        <v>3</v>
      </c>
      <c r="J89" s="644">
        <v>19</v>
      </c>
      <c r="K89" s="640">
        <f t="shared" si="10"/>
        <v>47.368421052631575</v>
      </c>
      <c r="L89" s="640">
        <f t="shared" si="11"/>
        <v>0</v>
      </c>
      <c r="M89" s="640">
        <f t="shared" si="12"/>
        <v>15.789473684210526</v>
      </c>
      <c r="N89" s="643">
        <f t="shared" si="13"/>
        <v>63.157894736842103</v>
      </c>
      <c r="O89" s="639">
        <v>44</v>
      </c>
      <c r="P89" s="640"/>
      <c r="Q89" s="640">
        <v>7</v>
      </c>
      <c r="R89" s="641">
        <f t="shared" si="14"/>
        <v>51</v>
      </c>
      <c r="S89" s="745">
        <v>2</v>
      </c>
      <c r="T89" s="487"/>
      <c r="U89" s="335"/>
      <c r="V89" s="634" t="s">
        <v>970</v>
      </c>
      <c r="W89" s="745" t="s">
        <v>316</v>
      </c>
      <c r="X89" s="745" t="s">
        <v>11</v>
      </c>
      <c r="Y89" s="635">
        <v>44</v>
      </c>
      <c r="Z89" s="634" t="s">
        <v>950</v>
      </c>
      <c r="AA89" s="745" t="s">
        <v>880</v>
      </c>
      <c r="AB89" s="745" t="s">
        <v>12</v>
      </c>
      <c r="AC89" s="745">
        <v>7</v>
      </c>
      <c r="AD89" s="634"/>
      <c r="AG89" s="635"/>
      <c r="AL89" s="634"/>
      <c r="AO89" s="635"/>
      <c r="AP89" s="634"/>
      <c r="AS89" s="635"/>
      <c r="AW89" s="635"/>
      <c r="BA89" s="636"/>
    </row>
    <row r="90" spans="1:53" s="744" customFormat="1">
      <c r="A90" s="744">
        <v>2015</v>
      </c>
      <c r="B90" s="133">
        <v>42324</v>
      </c>
      <c r="C90" s="988" t="s">
        <v>1339</v>
      </c>
      <c r="D90" s="988"/>
      <c r="E90" s="744">
        <v>46</v>
      </c>
      <c r="F90" s="744">
        <v>1</v>
      </c>
      <c r="G90" s="596">
        <v>18</v>
      </c>
      <c r="J90" s="598">
        <v>24</v>
      </c>
      <c r="K90" s="593">
        <f t="shared" si="10"/>
        <v>75</v>
      </c>
      <c r="L90" s="593">
        <f t="shared" si="11"/>
        <v>0</v>
      </c>
      <c r="M90" s="593">
        <f t="shared" si="12"/>
        <v>0</v>
      </c>
      <c r="N90" s="597">
        <f t="shared" si="13"/>
        <v>75</v>
      </c>
      <c r="O90" s="592">
        <v>51.1</v>
      </c>
      <c r="P90" s="593"/>
      <c r="Q90" s="593"/>
      <c r="R90" s="594">
        <v>51.1</v>
      </c>
      <c r="S90" s="767">
        <v>1</v>
      </c>
      <c r="T90" s="595">
        <v>42302</v>
      </c>
      <c r="U90" s="133">
        <v>42324</v>
      </c>
      <c r="V90" s="588" t="s">
        <v>1340</v>
      </c>
      <c r="W90" s="744" t="s">
        <v>77</v>
      </c>
      <c r="X90" s="744" t="s">
        <v>11</v>
      </c>
      <c r="Y90" s="589">
        <v>51.1</v>
      </c>
      <c r="Z90" s="588"/>
      <c r="AD90" s="588"/>
      <c r="AG90" s="589"/>
      <c r="AL90" s="588"/>
      <c r="AO90" s="589"/>
      <c r="AP90" s="588"/>
      <c r="AS90" s="589"/>
      <c r="AW90" s="589"/>
      <c r="BA90" s="590"/>
    </row>
    <row r="91" spans="1:53" s="840" customFormat="1">
      <c r="A91" s="840">
        <v>2016</v>
      </c>
      <c r="B91" s="133"/>
      <c r="C91" s="988" t="s">
        <v>1339</v>
      </c>
      <c r="D91" s="988"/>
      <c r="E91" s="840">
        <v>258</v>
      </c>
      <c r="G91" s="596">
        <v>18</v>
      </c>
      <c r="J91" s="598">
        <v>24</v>
      </c>
      <c r="K91" s="593">
        <f t="shared" si="10"/>
        <v>75</v>
      </c>
      <c r="L91" s="593">
        <f t="shared" si="11"/>
        <v>0</v>
      </c>
      <c r="M91" s="593">
        <f t="shared" si="12"/>
        <v>0</v>
      </c>
      <c r="N91" s="597">
        <f t="shared" si="13"/>
        <v>75</v>
      </c>
      <c r="O91" s="592">
        <v>51.1</v>
      </c>
      <c r="P91" s="593"/>
      <c r="Q91" s="593"/>
      <c r="R91" s="594">
        <v>51.1</v>
      </c>
      <c r="S91" s="840">
        <v>1</v>
      </c>
      <c r="T91" s="595"/>
      <c r="U91" s="133"/>
      <c r="V91" s="588" t="s">
        <v>1340</v>
      </c>
      <c r="W91" s="840" t="s">
        <v>77</v>
      </c>
      <c r="X91" s="840" t="s">
        <v>11</v>
      </c>
      <c r="Y91" s="589">
        <v>51.1</v>
      </c>
      <c r="Z91" s="588"/>
      <c r="AD91" s="588"/>
      <c r="AG91" s="589"/>
      <c r="AL91" s="588"/>
      <c r="AO91" s="589"/>
      <c r="AP91" s="588"/>
      <c r="AS91" s="589"/>
      <c r="AW91" s="589"/>
      <c r="BA91" s="590"/>
    </row>
    <row r="92" spans="1:53" s="840" customFormat="1">
      <c r="A92" s="840">
        <v>2016</v>
      </c>
      <c r="B92" s="855">
        <v>42628</v>
      </c>
      <c r="C92" s="988" t="s">
        <v>1339</v>
      </c>
      <c r="D92" s="988"/>
      <c r="E92" s="840">
        <v>13</v>
      </c>
      <c r="F92" s="217">
        <v>0</v>
      </c>
      <c r="G92" s="596">
        <v>17</v>
      </c>
      <c r="J92" s="598">
        <v>23</v>
      </c>
      <c r="K92" s="593">
        <f t="shared" si="10"/>
        <v>73.91304347826086</v>
      </c>
      <c r="L92" s="593">
        <f t="shared" si="11"/>
        <v>0</v>
      </c>
      <c r="M92" s="593">
        <f t="shared" si="12"/>
        <v>0</v>
      </c>
      <c r="N92" s="597">
        <f t="shared" si="13"/>
        <v>73.91304347826086</v>
      </c>
      <c r="O92" s="592">
        <v>51.1</v>
      </c>
      <c r="P92" s="593"/>
      <c r="Q92" s="593"/>
      <c r="R92" s="594">
        <v>51.1</v>
      </c>
      <c r="S92" s="840">
        <v>1</v>
      </c>
      <c r="T92" s="595"/>
      <c r="U92" s="133"/>
      <c r="V92" s="588" t="s">
        <v>1340</v>
      </c>
      <c r="W92" s="840" t="s">
        <v>77</v>
      </c>
      <c r="X92" s="840" t="s">
        <v>11</v>
      </c>
      <c r="Y92" s="589">
        <v>51.1</v>
      </c>
      <c r="Z92" s="588"/>
      <c r="AD92" s="588"/>
      <c r="AG92" s="589"/>
      <c r="AL92" s="588"/>
      <c r="AO92" s="589"/>
      <c r="AP92" s="588"/>
      <c r="AS92" s="589"/>
      <c r="AW92" s="589"/>
      <c r="BA92" s="590"/>
    </row>
    <row r="93" spans="1:53" s="840" customFormat="1">
      <c r="A93" s="840">
        <v>2016</v>
      </c>
      <c r="B93" s="855">
        <v>42641</v>
      </c>
      <c r="C93" s="988" t="s">
        <v>1339</v>
      </c>
      <c r="D93" s="988"/>
      <c r="E93" s="840">
        <v>95</v>
      </c>
      <c r="F93" s="217">
        <v>0</v>
      </c>
      <c r="G93" s="596">
        <v>17</v>
      </c>
      <c r="J93" s="598">
        <v>22</v>
      </c>
      <c r="K93" s="593">
        <f t="shared" si="10"/>
        <v>77.272727272727266</v>
      </c>
      <c r="L93" s="593">
        <f t="shared" si="11"/>
        <v>0</v>
      </c>
      <c r="M93" s="593">
        <f t="shared" si="12"/>
        <v>0</v>
      </c>
      <c r="N93" s="597">
        <f t="shared" si="13"/>
        <v>77.272727272727266</v>
      </c>
      <c r="O93" s="592">
        <v>51.1</v>
      </c>
      <c r="P93" s="593"/>
      <c r="Q93" s="593"/>
      <c r="R93" s="594">
        <v>51.1</v>
      </c>
      <c r="S93" s="840">
        <v>1</v>
      </c>
      <c r="T93" s="595"/>
      <c r="U93" s="133"/>
      <c r="V93" s="588" t="s">
        <v>1340</v>
      </c>
      <c r="W93" s="840" t="s">
        <v>77</v>
      </c>
      <c r="X93" s="840" t="s">
        <v>11</v>
      </c>
      <c r="Y93" s="589">
        <v>51.1</v>
      </c>
      <c r="Z93" s="588"/>
      <c r="AD93" s="588"/>
      <c r="AG93" s="589"/>
      <c r="AL93" s="588"/>
      <c r="AO93" s="589"/>
      <c r="AP93" s="588"/>
      <c r="AS93" s="589"/>
      <c r="AW93" s="589"/>
      <c r="BA93" s="590"/>
    </row>
    <row r="94" spans="1:53" s="896" customFormat="1">
      <c r="A94" s="896">
        <v>2017</v>
      </c>
      <c r="B94" s="855"/>
      <c r="C94" s="988" t="s">
        <v>1339</v>
      </c>
      <c r="D94" s="988"/>
      <c r="E94" s="896">
        <v>344</v>
      </c>
      <c r="F94" s="217"/>
      <c r="G94" s="596">
        <v>17</v>
      </c>
      <c r="J94" s="598">
        <v>22</v>
      </c>
      <c r="K94" s="593">
        <f t="shared" ref="K94:K97" si="15">G94/J94*100</f>
        <v>77.272727272727266</v>
      </c>
      <c r="L94" s="593">
        <f t="shared" ref="L94:L97" si="16">H94/J94*100</f>
        <v>0</v>
      </c>
      <c r="M94" s="593">
        <f t="shared" ref="M94:M97" si="17">I94/J94*100</f>
        <v>0</v>
      </c>
      <c r="N94" s="597">
        <f t="shared" ref="N94:N97" si="18">SUM(K94:M94)</f>
        <v>77.272727272727266</v>
      </c>
      <c r="O94" s="592">
        <v>51.1</v>
      </c>
      <c r="P94" s="593"/>
      <c r="Q94" s="593"/>
      <c r="R94" s="594">
        <v>51.1</v>
      </c>
      <c r="S94" s="896">
        <v>1</v>
      </c>
      <c r="T94" s="595"/>
      <c r="U94" s="133"/>
      <c r="V94" s="588" t="s">
        <v>1340</v>
      </c>
      <c r="W94" s="896" t="s">
        <v>77</v>
      </c>
      <c r="X94" s="896" t="s">
        <v>11</v>
      </c>
      <c r="Y94" s="589">
        <v>51.1</v>
      </c>
      <c r="Z94" s="588"/>
      <c r="AD94" s="588"/>
      <c r="AG94" s="589"/>
      <c r="AL94" s="588"/>
      <c r="AO94" s="589"/>
      <c r="AP94" s="588"/>
      <c r="AS94" s="589"/>
      <c r="AW94" s="589"/>
      <c r="BA94" s="590"/>
    </row>
    <row r="95" spans="1:53" s="895" customFormat="1">
      <c r="A95" s="895">
        <v>2017</v>
      </c>
      <c r="B95" s="361">
        <v>43080</v>
      </c>
      <c r="C95" s="992" t="s">
        <v>1397</v>
      </c>
      <c r="D95" s="992"/>
      <c r="E95" s="895">
        <v>21</v>
      </c>
      <c r="F95" s="895">
        <v>2</v>
      </c>
      <c r="G95" s="642">
        <v>17</v>
      </c>
      <c r="J95" s="644">
        <v>22</v>
      </c>
      <c r="K95" s="640">
        <f t="shared" si="15"/>
        <v>77.272727272727266</v>
      </c>
      <c r="L95" s="640">
        <f t="shared" si="16"/>
        <v>0</v>
      </c>
      <c r="M95" s="640">
        <f t="shared" si="17"/>
        <v>0</v>
      </c>
      <c r="N95" s="643">
        <f t="shared" si="18"/>
        <v>77.272727272727266</v>
      </c>
      <c r="O95" s="639">
        <v>51.5</v>
      </c>
      <c r="P95" s="640"/>
      <c r="Q95" s="640"/>
      <c r="R95" s="641">
        <v>51.5</v>
      </c>
      <c r="S95" s="895">
        <v>1</v>
      </c>
      <c r="T95" s="487"/>
      <c r="U95" s="361">
        <v>43080</v>
      </c>
      <c r="V95" s="634" t="s">
        <v>1340</v>
      </c>
      <c r="W95" s="895" t="s">
        <v>77</v>
      </c>
      <c r="X95" s="895" t="s">
        <v>11</v>
      </c>
      <c r="Y95" s="635">
        <v>51.1</v>
      </c>
      <c r="Z95" s="634"/>
      <c r="AD95" s="634"/>
      <c r="AG95" s="635"/>
      <c r="AL95" s="634"/>
      <c r="AO95" s="635"/>
      <c r="AP95" s="634"/>
      <c r="AS95" s="635"/>
      <c r="AW95" s="635"/>
      <c r="BA95" s="636"/>
    </row>
    <row r="96" spans="1:53" s="945" customFormat="1">
      <c r="A96" s="945">
        <v>2018</v>
      </c>
      <c r="B96" s="361"/>
      <c r="C96" s="992" t="s">
        <v>1397</v>
      </c>
      <c r="D96" s="992"/>
      <c r="E96" s="945">
        <v>8</v>
      </c>
      <c r="G96" s="642">
        <v>17</v>
      </c>
      <c r="J96" s="644">
        <v>22</v>
      </c>
      <c r="K96" s="640">
        <f t="shared" si="15"/>
        <v>77.272727272727266</v>
      </c>
      <c r="L96" s="640">
        <f t="shared" si="16"/>
        <v>0</v>
      </c>
      <c r="M96" s="640">
        <f t="shared" si="17"/>
        <v>0</v>
      </c>
      <c r="N96" s="643">
        <f t="shared" si="18"/>
        <v>77.272727272727266</v>
      </c>
      <c r="O96" s="639">
        <v>51.5</v>
      </c>
      <c r="P96" s="640"/>
      <c r="Q96" s="640"/>
      <c r="R96" s="641">
        <v>51.5</v>
      </c>
      <c r="S96" s="945">
        <v>1</v>
      </c>
      <c r="T96" s="487"/>
      <c r="U96" s="361"/>
      <c r="V96" s="634" t="s">
        <v>1340</v>
      </c>
      <c r="W96" s="945" t="s">
        <v>77</v>
      </c>
      <c r="X96" s="945" t="s">
        <v>11</v>
      </c>
      <c r="Y96" s="635">
        <v>51.1</v>
      </c>
      <c r="Z96" s="634"/>
      <c r="AD96" s="634"/>
      <c r="AG96" s="635"/>
      <c r="AL96" s="634"/>
      <c r="AO96" s="635"/>
      <c r="AP96" s="634"/>
      <c r="AS96" s="635"/>
      <c r="AW96" s="635"/>
      <c r="BA96" s="636"/>
    </row>
    <row r="97" spans="1:53" s="945" customFormat="1">
      <c r="A97" s="945">
        <v>2018</v>
      </c>
      <c r="B97" s="465">
        <v>43109</v>
      </c>
      <c r="C97" s="992" t="s">
        <v>1397</v>
      </c>
      <c r="D97" s="992"/>
      <c r="E97" s="945">
        <v>357</v>
      </c>
      <c r="F97" s="451">
        <v>0</v>
      </c>
      <c r="G97" s="642">
        <v>16</v>
      </c>
      <c r="J97" s="644">
        <v>23</v>
      </c>
      <c r="K97" s="640">
        <f t="shared" si="15"/>
        <v>69.565217391304344</v>
      </c>
      <c r="L97" s="640">
        <f t="shared" si="16"/>
        <v>0</v>
      </c>
      <c r="M97" s="640">
        <f t="shared" si="17"/>
        <v>0</v>
      </c>
      <c r="N97" s="643">
        <f t="shared" si="18"/>
        <v>69.565217391304344</v>
      </c>
      <c r="O97" s="639">
        <v>51.5</v>
      </c>
      <c r="P97" s="640"/>
      <c r="Q97" s="640"/>
      <c r="R97" s="641">
        <v>51.5</v>
      </c>
      <c r="S97" s="945">
        <v>1</v>
      </c>
      <c r="T97" s="638"/>
      <c r="V97" s="634" t="s">
        <v>1340</v>
      </c>
      <c r="W97" s="945" t="s">
        <v>77</v>
      </c>
      <c r="X97" s="945" t="s">
        <v>11</v>
      </c>
      <c r="Y97" s="635">
        <v>51.1</v>
      </c>
      <c r="Z97" s="634"/>
      <c r="AD97" s="634"/>
      <c r="AG97" s="635"/>
      <c r="AL97" s="634"/>
      <c r="AO97" s="635"/>
      <c r="AP97" s="634"/>
      <c r="AS97" s="635"/>
      <c r="AW97" s="635"/>
      <c r="BA97" s="636"/>
    </row>
    <row r="98" spans="1:53" s="844" customFormat="1">
      <c r="L98" s="18"/>
      <c r="S98" s="840"/>
    </row>
    <row r="99" spans="1:53">
      <c r="B99" s="2"/>
      <c r="C99" s="2"/>
      <c r="D99" s="2"/>
      <c r="E99" s="2"/>
      <c r="F99" s="2"/>
      <c r="G99" s="2"/>
      <c r="H99" s="2"/>
      <c r="I99" s="2"/>
      <c r="J99" s="2"/>
      <c r="K99" s="2"/>
      <c r="L99" s="2"/>
      <c r="M99" s="2"/>
      <c r="N99" s="2"/>
    </row>
    <row r="100" spans="1:53" s="2" customFormat="1" ht="18" customHeight="1">
      <c r="B100" s="22" t="s">
        <v>1278</v>
      </c>
    </row>
    <row r="101" spans="1:53" s="2" customFormat="1" ht="9" customHeight="1"/>
    <row r="102" spans="1:53" s="364" customFormat="1" ht="9" customHeight="1">
      <c r="A102" s="362"/>
      <c r="B102" s="363" t="s">
        <v>1229</v>
      </c>
      <c r="C102" s="363"/>
      <c r="D102" s="363"/>
      <c r="E102" s="363"/>
      <c r="F102" s="363"/>
      <c r="G102" s="363" t="s">
        <v>1230</v>
      </c>
      <c r="H102" s="363"/>
      <c r="I102" s="363"/>
      <c r="J102" s="363"/>
      <c r="K102" s="363"/>
      <c r="L102" s="363"/>
      <c r="M102" s="363"/>
      <c r="N102" s="363"/>
      <c r="R102" s="982" t="s">
        <v>1231</v>
      </c>
      <c r="S102" s="982"/>
      <c r="T102" s="982"/>
      <c r="U102" s="982"/>
      <c r="V102" s="982"/>
      <c r="W102" s="982"/>
      <c r="X102" s="365"/>
      <c r="Y102" s="365"/>
      <c r="AA102" s="365"/>
      <c r="AB102" s="365"/>
      <c r="AC102" s="365"/>
      <c r="AD102" s="365"/>
    </row>
    <row r="103" spans="1:53" s="369" customFormat="1" ht="9" customHeight="1">
      <c r="A103" s="366"/>
      <c r="B103" s="367" t="s">
        <v>1233</v>
      </c>
      <c r="C103" s="368"/>
      <c r="D103" s="368"/>
      <c r="E103" s="368"/>
      <c r="F103" s="368"/>
      <c r="G103" s="367" t="s">
        <v>1232</v>
      </c>
      <c r="H103" s="368"/>
      <c r="I103" s="368"/>
      <c r="J103" s="368"/>
      <c r="K103" s="368"/>
      <c r="L103" s="368"/>
      <c r="M103" s="368"/>
      <c r="N103" s="368"/>
      <c r="R103" s="370" t="s">
        <v>1234</v>
      </c>
      <c r="S103" s="371"/>
      <c r="T103" s="372"/>
      <c r="U103" s="372"/>
      <c r="V103" s="372"/>
      <c r="W103" s="370" t="s">
        <v>1235</v>
      </c>
      <c r="X103" s="372"/>
      <c r="Y103" s="372"/>
      <c r="AA103" s="372"/>
      <c r="AB103" s="372"/>
      <c r="AC103" s="372"/>
      <c r="AD103" s="372"/>
    </row>
    <row r="104" spans="1:53" s="351" customFormat="1" ht="12" customHeight="1">
      <c r="A104" s="373" t="s">
        <v>3</v>
      </c>
      <c r="B104" s="374" t="s">
        <v>8</v>
      </c>
      <c r="C104" s="374" t="s">
        <v>9</v>
      </c>
      <c r="D104" s="374" t="s">
        <v>10</v>
      </c>
      <c r="E104" s="375" t="s">
        <v>1209</v>
      </c>
      <c r="F104" s="374"/>
      <c r="G104" s="351" t="s">
        <v>3</v>
      </c>
      <c r="H104" s="983" t="s">
        <v>0</v>
      </c>
      <c r="I104" s="983"/>
      <c r="J104" s="983" t="s">
        <v>1</v>
      </c>
      <c r="K104" s="983"/>
      <c r="L104" s="983" t="s">
        <v>2</v>
      </c>
      <c r="M104" s="983"/>
      <c r="N104" s="984" t="s">
        <v>1209</v>
      </c>
      <c r="O104" s="984"/>
      <c r="P104" s="376"/>
      <c r="Q104" s="376"/>
      <c r="R104" s="377" t="s">
        <v>3</v>
      </c>
      <c r="S104" s="378" t="s">
        <v>136</v>
      </c>
      <c r="T104" s="376" t="s">
        <v>134</v>
      </c>
      <c r="U104" s="374" t="s">
        <v>135</v>
      </c>
      <c r="V104" s="376"/>
      <c r="W104" s="379" t="s">
        <v>26</v>
      </c>
    </row>
    <row r="105" spans="1:53" s="16" customFormat="1" ht="9" customHeight="1">
      <c r="A105" s="44">
        <v>1990</v>
      </c>
      <c r="B105" s="196"/>
      <c r="C105" s="196"/>
      <c r="D105" s="196"/>
      <c r="E105" s="211"/>
      <c r="F105" s="196"/>
      <c r="G105" s="16">
        <v>1990</v>
      </c>
      <c r="H105" s="196"/>
      <c r="I105" s="196"/>
      <c r="J105" s="196"/>
      <c r="K105" s="196"/>
      <c r="L105" s="196"/>
      <c r="M105" s="196"/>
      <c r="N105" s="211"/>
      <c r="O105" s="211"/>
      <c r="P105" s="197"/>
      <c r="Q105" s="197"/>
      <c r="R105" s="203">
        <v>1990</v>
      </c>
      <c r="S105" s="197"/>
      <c r="T105" s="197"/>
      <c r="U105" s="196"/>
      <c r="V105" s="197"/>
      <c r="W105" s="198"/>
    </row>
    <row r="106" spans="1:53" ht="9" customHeight="1">
      <c r="A106" s="1">
        <v>1991</v>
      </c>
      <c r="B106" s="8">
        <f xml:space="preserve"> (K7*($E7/9))</f>
        <v>13.043478260869565</v>
      </c>
      <c r="C106" s="8">
        <f xml:space="preserve"> (L7*($E7/9))</f>
        <v>53.666666666666671</v>
      </c>
      <c r="D106" s="8">
        <f xml:space="preserve"> (M7*($E7/9))</f>
        <v>0</v>
      </c>
      <c r="E106" s="52">
        <f>B106+C106+D106</f>
        <v>66.710144927536234</v>
      </c>
      <c r="G106" s="1">
        <v>1991</v>
      </c>
      <c r="H106" s="1001">
        <f>(O7/$R7*100*($E7/9))</f>
        <v>36.363636363636367</v>
      </c>
      <c r="I106" s="1001"/>
      <c r="J106" s="1001">
        <f>(P7/$R7*100*($E7/9))</f>
        <v>63.636363636363647</v>
      </c>
      <c r="K106" s="1001"/>
      <c r="L106" s="1001">
        <f>(Q7/$R7*100*($E7/9))</f>
        <v>0</v>
      </c>
      <c r="M106" s="1001"/>
      <c r="N106" s="1011">
        <f t="shared" ref="N106:N127" si="19">H106+J106+L106</f>
        <v>100.00000000000001</v>
      </c>
      <c r="O106" s="1011"/>
      <c r="P106" s="12"/>
      <c r="Q106" s="12"/>
      <c r="R106" s="1">
        <v>1991</v>
      </c>
      <c r="S106" s="8">
        <f xml:space="preserve"> (O7*($E7/9))</f>
        <v>9.6</v>
      </c>
      <c r="T106" s="8">
        <f xml:space="preserve"> (P7*($E7/9))</f>
        <v>16.8</v>
      </c>
      <c r="U106" s="8">
        <f xml:space="preserve"> (Q7*($E7/9))</f>
        <v>0</v>
      </c>
      <c r="V106" s="12"/>
      <c r="W106" s="7">
        <f>S106+T106+U106</f>
        <v>26.4</v>
      </c>
      <c r="X106" s="68"/>
      <c r="Y106" s="71" t="s">
        <v>1168</v>
      </c>
      <c r="Z106" s="68"/>
      <c r="AA106" s="68"/>
    </row>
    <row r="107" spans="1:53" ht="9" customHeight="1">
      <c r="A107" s="1">
        <v>1992</v>
      </c>
      <c r="B107" s="8">
        <f xml:space="preserve"> (K8*($E8/366))+(K9*($E9/366))+(K10*($E10/366))</f>
        <v>23.110252466519107</v>
      </c>
      <c r="C107" s="8">
        <f xml:space="preserve"> (L8*($E8/366))+(L9*($E9/366))+(L10*($E10/366))</f>
        <v>34.634530314858182</v>
      </c>
      <c r="D107" s="8">
        <f xml:space="preserve"> (M8*($E8/366))+(M9*($E9/366))+(M10*($E10/366))</f>
        <v>0</v>
      </c>
      <c r="E107" s="52">
        <f t="shared" ref="E107:E127" si="20">B107+C107+D107</f>
        <v>57.744782781377289</v>
      </c>
      <c r="G107" s="1">
        <v>1992</v>
      </c>
      <c r="H107" s="1001">
        <f>(O8/$R8*100*($E8/366))+(O10/$R10*100*($E10/366))</f>
        <v>41.541023953439691</v>
      </c>
      <c r="I107" s="1001"/>
      <c r="J107" s="1001">
        <f>(P8/$R8*100*($E8/366))+(P10/$R10*100*($E10/366))</f>
        <v>48.896134516505654</v>
      </c>
      <c r="K107" s="1001"/>
      <c r="L107" s="1001">
        <f>(Q8/$R8*100*($E8/366))+(Q10/$R10*100*($E10/366))</f>
        <v>0</v>
      </c>
      <c r="M107" s="1001"/>
      <c r="N107" s="1011">
        <f t="shared" si="19"/>
        <v>90.437158469945345</v>
      </c>
      <c r="O107" s="1011"/>
      <c r="P107" s="12"/>
      <c r="Q107" s="12"/>
      <c r="R107" s="1">
        <v>1992</v>
      </c>
      <c r="S107" s="8">
        <f xml:space="preserve"> (O8*($E8/366))+(O9*($E9/366))+(O10*($E10/366))</f>
        <v>14.339344262295082</v>
      </c>
      <c r="T107" s="8">
        <f xml:space="preserve"> (P8*($E8/366))+(P9*($E9/366))+(P10*($E10/366))</f>
        <v>15.716393442622948</v>
      </c>
      <c r="U107" s="8">
        <f xml:space="preserve"> (Q8*($E8/366))+(Q9*($E9/366))+(Q10*($E10/366))</f>
        <v>0</v>
      </c>
      <c r="V107" s="12"/>
      <c r="W107" s="7">
        <f t="shared" ref="W107:W126" si="21">S107+T107+U107</f>
        <v>30.05573770491803</v>
      </c>
    </row>
    <row r="108" spans="1:53" ht="9" customHeight="1">
      <c r="A108" s="1">
        <v>1993</v>
      </c>
      <c r="B108" s="8">
        <f xml:space="preserve"> (K11*($E11/365))+(K12*($E12/365))</f>
        <v>30.079307858687812</v>
      </c>
      <c r="C108" s="8">
        <f xml:space="preserve"> (L11*($E11/365))+(L12*($E12/365))</f>
        <v>19.944422700587086</v>
      </c>
      <c r="D108" s="8">
        <f xml:space="preserve"> (M11*($E11/365))+(M12*($E12/365))</f>
        <v>11.931506849315069</v>
      </c>
      <c r="E108" s="52">
        <f t="shared" si="20"/>
        <v>61.955237408589966</v>
      </c>
      <c r="G108" s="1">
        <v>1993</v>
      </c>
      <c r="H108" s="1001">
        <f>(O11/$R11*100*($E11/365))+(O12/$R12*100*($E12/365))</f>
        <v>44.551839232320418</v>
      </c>
      <c r="I108" s="1001"/>
      <c r="J108" s="1001">
        <f>(P11/$R11*100*($E11/365))+(P12/$R12*100*($E12/365))</f>
        <v>37.091996384117934</v>
      </c>
      <c r="K108" s="1001"/>
      <c r="L108" s="1001">
        <f>(Q11/$R11*100*($E11/365))+(Q12/$R12*100*($E12/365))</f>
        <v>18.356164383561644</v>
      </c>
      <c r="M108" s="1001"/>
      <c r="N108" s="1011">
        <f t="shared" si="19"/>
        <v>100</v>
      </c>
      <c r="O108" s="1011"/>
      <c r="P108" s="12"/>
      <c r="Q108" s="12"/>
      <c r="R108" s="1">
        <v>1993</v>
      </c>
      <c r="S108" s="8">
        <f xml:space="preserve"> (O11*($E11/365))+(O12*($E12/365))</f>
        <v>17.553424657534247</v>
      </c>
      <c r="T108" s="8">
        <f xml:space="preserve"> (P11*($E11/365))+(P12*($E12/365))</f>
        <v>14.614246575342465</v>
      </c>
      <c r="U108" s="8">
        <f xml:space="preserve"> (Q11*($E11/365))+(Q12*($E12/365))</f>
        <v>12.096712328767124</v>
      </c>
      <c r="V108" s="12"/>
      <c r="W108" s="7">
        <f t="shared" si="21"/>
        <v>44.264383561643839</v>
      </c>
    </row>
    <row r="109" spans="1:53" ht="9" customHeight="1">
      <c r="A109" s="1">
        <v>1994</v>
      </c>
      <c r="B109" s="8">
        <f xml:space="preserve"> (K13*($E13/365))+(K14*($E14/365))</f>
        <v>0</v>
      </c>
      <c r="C109" s="8">
        <f xml:space="preserve"> (L13*($E13/365))+(L14*($E14/365))</f>
        <v>0</v>
      </c>
      <c r="D109" s="8">
        <f xml:space="preserve"> (M13*($E13/365))+(M14*($E14/365))</f>
        <v>65</v>
      </c>
      <c r="E109" s="52">
        <f t="shared" si="20"/>
        <v>65</v>
      </c>
      <c r="G109" s="1">
        <v>1994</v>
      </c>
      <c r="H109" s="1001">
        <f>(O13/$R13*100*($E13/365))+(O14/$R14*100*($E14/365))</f>
        <v>0</v>
      </c>
      <c r="I109" s="1001"/>
      <c r="J109" s="1001">
        <f>(P13/$R13*100*($E13/365))+(P14/$R14*100*($E14/365))</f>
        <v>0</v>
      </c>
      <c r="K109" s="1001"/>
      <c r="L109" s="1001">
        <f>(Q13/$R13*100*($E13/365))+(Q14/$R14*100*($E14/365))</f>
        <v>100</v>
      </c>
      <c r="M109" s="1001"/>
      <c r="N109" s="1011">
        <f t="shared" si="19"/>
        <v>100</v>
      </c>
      <c r="O109" s="1011"/>
      <c r="P109" s="12"/>
      <c r="Q109" s="12"/>
      <c r="R109" s="1">
        <v>1994</v>
      </c>
      <c r="S109" s="8">
        <f xml:space="preserve"> (O13*($E13/365))+(O14*($E14/365))</f>
        <v>0</v>
      </c>
      <c r="T109" s="8">
        <f xml:space="preserve"> (P13*($E13/365))+(P14*($E14/365))</f>
        <v>0</v>
      </c>
      <c r="U109" s="8">
        <f xml:space="preserve"> (Q13*($E13/365))+(Q14*($E14/365))</f>
        <v>65.900000000000006</v>
      </c>
      <c r="V109" s="12"/>
      <c r="W109" s="7">
        <f t="shared" si="21"/>
        <v>65.900000000000006</v>
      </c>
    </row>
    <row r="110" spans="1:53" ht="9" customHeight="1">
      <c r="A110" s="1">
        <v>1995</v>
      </c>
      <c r="B110" s="8">
        <f xml:space="preserve"> (K15*($E15/365))+(K16*($E16/365))</f>
        <v>0</v>
      </c>
      <c r="C110" s="8">
        <f xml:space="preserve"> (L15*($E15/365))+(L16*($E16/365))</f>
        <v>0</v>
      </c>
      <c r="D110" s="8">
        <f xml:space="preserve"> (M15*($E15/365))+(M16*($E16/365))</f>
        <v>82.082191780821915</v>
      </c>
      <c r="E110" s="52">
        <f t="shared" si="20"/>
        <v>82.082191780821915</v>
      </c>
      <c r="G110" s="1">
        <v>1995</v>
      </c>
      <c r="H110" s="1001">
        <f>(O15/$R15*100*($E15/365))+(O16/$R16*100*($E16/365))</f>
        <v>0</v>
      </c>
      <c r="I110" s="1001"/>
      <c r="J110" s="1001">
        <f>(P15/$R15*100*($E15/365))+(P16/$R16*100*($E16/365))</f>
        <v>0</v>
      </c>
      <c r="K110" s="1001"/>
      <c r="L110" s="1001">
        <f>(Q15/$R15*100*($E15/365))+(Q16/$R16*100*($E16/365))</f>
        <v>100</v>
      </c>
      <c r="M110" s="1001"/>
      <c r="N110" s="1011">
        <f t="shared" si="19"/>
        <v>100</v>
      </c>
      <c r="O110" s="1011"/>
      <c r="P110" s="12"/>
      <c r="Q110" s="12"/>
      <c r="R110" s="1">
        <v>1995</v>
      </c>
      <c r="S110" s="8">
        <f xml:space="preserve"> (O15*($E15/365))+(O16*($E16/365))</f>
        <v>0</v>
      </c>
      <c r="T110" s="8">
        <f xml:space="preserve"> (P15*($E15/365))+(P16*($E16/365))</f>
        <v>0</v>
      </c>
      <c r="U110" s="8">
        <f xml:space="preserve"> (Q15*($E15/365))+(Q16*($E16/365))</f>
        <v>65.900000000000006</v>
      </c>
      <c r="V110" s="12"/>
      <c r="W110" s="7">
        <f t="shared" si="21"/>
        <v>65.900000000000006</v>
      </c>
    </row>
    <row r="111" spans="1:53" ht="9" customHeight="1">
      <c r="A111" s="1">
        <v>1996</v>
      </c>
      <c r="B111" s="8">
        <f xml:space="preserve"> (K17*($E17/366))+(K18*($E18/366))+(K19*($E19/366))</f>
        <v>0</v>
      </c>
      <c r="C111" s="8">
        <f xml:space="preserve"> (L17*($E17/366))+(L18*($E18/366))+(L19*($E19/366))</f>
        <v>0</v>
      </c>
      <c r="D111" s="8">
        <f xml:space="preserve"> (M17*($E17/366))+(M18*($E18/366))+(M19*($E19/366))</f>
        <v>68.173302107728347</v>
      </c>
      <c r="E111" s="52">
        <f t="shared" si="20"/>
        <v>68.173302107728347</v>
      </c>
      <c r="G111" s="1">
        <v>1996</v>
      </c>
      <c r="H111" s="1001">
        <f>(O17/$R17*100*($E17/366))+(O18/$R18*100*($E18/366))+(O19/$R19*100*($E19/366))</f>
        <v>0</v>
      </c>
      <c r="I111" s="1001"/>
      <c r="J111" s="1001">
        <f>(P17/$R17*100*($E17/366))+(P18/$R18*100*($E18/366))+(P19/$R19*100*($E19/366))</f>
        <v>0</v>
      </c>
      <c r="K111" s="1001"/>
      <c r="L111" s="1001">
        <f>(Q17/$R17*100*($E17/366))+(Q18/$R18*100*($E18/366))+(Q19/$R19*100*($E19/366))</f>
        <v>100.00000000000001</v>
      </c>
      <c r="M111" s="1001"/>
      <c r="N111" s="1011">
        <f t="shared" si="19"/>
        <v>100.00000000000001</v>
      </c>
      <c r="O111" s="1011"/>
      <c r="P111" s="12"/>
      <c r="Q111" s="12"/>
      <c r="R111" s="1">
        <v>1996</v>
      </c>
      <c r="S111" s="8">
        <f xml:space="preserve"> (O17*($E17/366))+(O18*($E18/366))+(O19*($E19/366))</f>
        <v>0</v>
      </c>
      <c r="T111" s="8">
        <f xml:space="preserve"> (P17*($E17/366))+(P18*($E18/366))+(P19*($E19/366))</f>
        <v>0</v>
      </c>
      <c r="U111" s="8">
        <f xml:space="preserve"> (Q17*($E17/366))+(Q18*($E18/366))+(Q19*($E19/366))</f>
        <v>65.900000000000006</v>
      </c>
      <c r="V111" s="12"/>
      <c r="W111" s="7">
        <f t="shared" si="21"/>
        <v>65.900000000000006</v>
      </c>
    </row>
    <row r="112" spans="1:53" ht="9" customHeight="1">
      <c r="A112" s="1">
        <v>1997</v>
      </c>
      <c r="B112" s="8">
        <f xml:space="preserve"> (K20*($E20/365))+(K21*($E21/365))+(K22*($E22/365))</f>
        <v>16.247766527695056</v>
      </c>
      <c r="C112" s="8">
        <f xml:space="preserve"> (L20*($E20/365))+(L21*($E21/365))+(L22*($E22/365))</f>
        <v>0</v>
      </c>
      <c r="D112" s="8">
        <f xml:space="preserve"> (M20*($E20/365))+(M21*($E21/365))+(M22*($E22/365))</f>
        <v>55.794280221100685</v>
      </c>
      <c r="E112" s="52">
        <f t="shared" si="20"/>
        <v>72.042046748795741</v>
      </c>
      <c r="G112" s="1">
        <v>1997</v>
      </c>
      <c r="H112" s="1001">
        <f>(O20/$R20*100*($E20/365))+(O21/$R21*100*($E21/365))+(O22/$R22*100*($E22/365))</f>
        <v>16.986301369863014</v>
      </c>
      <c r="I112" s="1001"/>
      <c r="J112" s="1001">
        <f>(P20/$R20*100*($E20/365))+(P21/$R21*100*($E21/365))+(P22/$R22*100*($E22/365))</f>
        <v>0</v>
      </c>
      <c r="K112" s="1001"/>
      <c r="L112" s="1001">
        <f>(Q20/$R20*100*($E20/365))+(Q21/$R21*100*($E21/365))+(Q22/$R22*100*($E22/365))</f>
        <v>83.013698630136986</v>
      </c>
      <c r="M112" s="1001"/>
      <c r="N112" s="1011">
        <f t="shared" si="19"/>
        <v>100</v>
      </c>
      <c r="O112" s="1011"/>
      <c r="P112" s="12"/>
      <c r="Q112" s="12"/>
      <c r="R112" s="1">
        <v>1997</v>
      </c>
      <c r="S112" s="8">
        <f xml:space="preserve"> (O20*($E20/365))+(O21*($E21/365))+(O22*($E22/365))</f>
        <v>9.6312328767123283</v>
      </c>
      <c r="T112" s="8">
        <f xml:space="preserve"> (P20*($E20/365))+(P21*($E21/365))+(P22*($E22/365))</f>
        <v>0</v>
      </c>
      <c r="U112" s="8">
        <f xml:space="preserve"> (Q20*($E20/365))+(Q21*($E21/365))+(Q22*($E22/365))</f>
        <v>54.706027397260279</v>
      </c>
      <c r="V112" s="12"/>
      <c r="W112" s="7">
        <f t="shared" si="21"/>
        <v>64.337260273972603</v>
      </c>
    </row>
    <row r="113" spans="1:23" ht="9" customHeight="1">
      <c r="A113" s="1">
        <v>1998</v>
      </c>
      <c r="B113" s="8">
        <f xml:space="preserve"> (K23*($E23/365))+(K24*($E24/365))+(K25*($E25/365))</f>
        <v>96.014943960149452</v>
      </c>
      <c r="C113" s="8">
        <f xml:space="preserve"> (L23*($E23/365))+(L24*($E24/365))+(L25*($E25/365))</f>
        <v>0</v>
      </c>
      <c r="D113" s="8">
        <f xml:space="preserve"> (M23*($E23/365))+(M24*($E24/365))+(M25*($E25/365))</f>
        <v>0</v>
      </c>
      <c r="E113" s="52">
        <f t="shared" si="20"/>
        <v>96.014943960149452</v>
      </c>
      <c r="G113" s="1">
        <v>1998</v>
      </c>
      <c r="H113" s="1001">
        <f>(O23/$R23*100*($E23/365))+(O24/$R24*100*($E24/365))+(O25/$R25*100*($E25/365))</f>
        <v>100</v>
      </c>
      <c r="I113" s="1001"/>
      <c r="J113" s="1001">
        <f>(P23/$R23*100*($E23/365))+(P24/$R24*100*($E24/365))+(P25/$R25*100*($E25/365))</f>
        <v>0</v>
      </c>
      <c r="K113" s="1001"/>
      <c r="L113" s="1001">
        <f>(Q23/$R23*100*($E23/365))+(Q24/$R24*100*($E24/365))+(Q25/$R25*100*($E25/365))</f>
        <v>0</v>
      </c>
      <c r="M113" s="1001"/>
      <c r="N113" s="1011">
        <f t="shared" si="19"/>
        <v>100</v>
      </c>
      <c r="O113" s="1011"/>
      <c r="P113" s="12"/>
      <c r="Q113" s="12"/>
      <c r="R113" s="1">
        <v>1998</v>
      </c>
      <c r="S113" s="8">
        <f xml:space="preserve"> (O23*($E23/365))+(O24*($E24/365))+(O25*($E25/365))</f>
        <v>56.7</v>
      </c>
      <c r="T113" s="8">
        <f xml:space="preserve"> (P23*($E23/365))+(P24*($E24/365))+(P25*($E25/365))</f>
        <v>0</v>
      </c>
      <c r="U113" s="8">
        <f xml:space="preserve"> (Q23*($E23/365))+(Q24*($E24/365))+(Q25*($E25/365))</f>
        <v>0</v>
      </c>
      <c r="V113" s="12"/>
      <c r="W113" s="7">
        <f t="shared" si="21"/>
        <v>56.7</v>
      </c>
    </row>
    <row r="114" spans="1:23" ht="9" customHeight="1">
      <c r="A114" s="1">
        <v>1999</v>
      </c>
      <c r="B114" s="8">
        <f xml:space="preserve"> (K26*($E26/365))+(K27*($E27/365))</f>
        <v>100</v>
      </c>
      <c r="C114" s="8">
        <f xml:space="preserve"> (L26*($E26/365))+(L27*($E27/365))</f>
        <v>0</v>
      </c>
      <c r="D114" s="8">
        <f xml:space="preserve"> (M26*($E26/365))+(M27*($E27/365))</f>
        <v>0</v>
      </c>
      <c r="E114" s="52">
        <f t="shared" si="20"/>
        <v>100</v>
      </c>
      <c r="G114" s="1">
        <v>1999</v>
      </c>
      <c r="H114" s="1001">
        <f>(O26/$R26*100*($E26/365))+(O27/$R27*100*($E27/365))</f>
        <v>100</v>
      </c>
      <c r="I114" s="1001"/>
      <c r="J114" s="1001">
        <f>(P26/$R26*100*($E26/365))+(P27/$R27*100*($E27/365))</f>
        <v>0</v>
      </c>
      <c r="K114" s="1001"/>
      <c r="L114" s="1001">
        <f>(Q26/$R26*100*($E26/365))+(Q27/$R27*100*($E27/365))</f>
        <v>0</v>
      </c>
      <c r="M114" s="1001"/>
      <c r="N114" s="1011">
        <f t="shared" si="19"/>
        <v>100</v>
      </c>
      <c r="O114" s="1011"/>
      <c r="P114" s="12"/>
      <c r="Q114" s="12"/>
      <c r="R114" s="1">
        <v>1999</v>
      </c>
      <c r="S114" s="8">
        <f xml:space="preserve"> (O26*($E26/365))+(O27*($E27/365))</f>
        <v>56.7</v>
      </c>
      <c r="T114" s="8">
        <f xml:space="preserve"> (P26*($E26/365))+(P27*($E27/365))</f>
        <v>0</v>
      </c>
      <c r="U114" s="8">
        <f xml:space="preserve"> (Q26*($E26/365))+(Q27*($E27/365))</f>
        <v>0</v>
      </c>
      <c r="V114" s="12"/>
      <c r="W114" s="7">
        <f t="shared" si="21"/>
        <v>56.7</v>
      </c>
    </row>
    <row r="115" spans="1:23" ht="9" customHeight="1">
      <c r="A115" s="1">
        <v>2000</v>
      </c>
      <c r="B115" s="8">
        <f xml:space="preserve"> (K28*($E28/366))+(K29*($E29/366))+(K30*($E30/366))+(K31*($E31/366))</f>
        <v>89.502444636180613</v>
      </c>
      <c r="C115" s="8">
        <f xml:space="preserve"> (L28*($E28/366))+(L29*($E29/366))+(L30*($E30/366))+(L31*($E31/366))</f>
        <v>0</v>
      </c>
      <c r="D115" s="8">
        <f xml:space="preserve"> (M28*($E28/366))+(M29*($E29/366))+(M30*($E30/366))+(M31*($E31/366))</f>
        <v>0</v>
      </c>
      <c r="E115" s="52">
        <f t="shared" si="20"/>
        <v>89.502444636180613</v>
      </c>
      <c r="G115" s="1">
        <v>2000</v>
      </c>
      <c r="H115" s="1001">
        <f>(O28/$R28*100*($E28/366))+(O29/$R29*100*($E29/366))+(O30/$R30*100*($E30/366))+(O31/$R31*100*($E31/366))</f>
        <v>100</v>
      </c>
      <c r="I115" s="1001"/>
      <c r="J115" s="1001">
        <f>(P28/$R28*100*($E28/366))+(P29/$R29*100*($E29/366))+(P30/$R30*100*($E30/366))+(P31/$R31*100*($E31/366))</f>
        <v>0</v>
      </c>
      <c r="K115" s="1001"/>
      <c r="L115" s="1001">
        <f>(Q28/$R28*100*($E28/366))+(Q29/$R29*100*($E29/366))+(Q30/$R30*100*($E30/366))+(Q31/$R31*100*($E31/366))</f>
        <v>0</v>
      </c>
      <c r="M115" s="1001"/>
      <c r="N115" s="1011">
        <f t="shared" si="19"/>
        <v>100</v>
      </c>
      <c r="O115" s="1011"/>
      <c r="P115" s="12"/>
      <c r="Q115" s="12"/>
      <c r="R115" s="1">
        <v>2000</v>
      </c>
      <c r="S115" s="8">
        <f xml:space="preserve"> (O28*($E28/366))+(O29*($E29/366))+(O30*($E30/366))+(O31*($E31/366))</f>
        <v>50.093442622950825</v>
      </c>
      <c r="T115" s="8">
        <f xml:space="preserve"> (P28*($E28/366))+(P29*($E29/366))+(P30*($E30/366))+(P31*($E31/366))</f>
        <v>0</v>
      </c>
      <c r="U115" s="8">
        <f xml:space="preserve"> (Q28*($E28/366))+(Q29*($E29/366))+(Q30*($E30/366))+(Q31*($E31/366))</f>
        <v>0</v>
      </c>
      <c r="V115" s="12"/>
      <c r="W115" s="7">
        <f t="shared" si="21"/>
        <v>50.093442622950825</v>
      </c>
    </row>
    <row r="116" spans="1:23" ht="9" customHeight="1">
      <c r="A116" s="1">
        <v>2001</v>
      </c>
      <c r="B116" s="8">
        <f xml:space="preserve"> (K32*($E32/365))+(K33*($E33/365))+(K34*($E34/365))+(K35*($E35/365))</f>
        <v>61.110310021629417</v>
      </c>
      <c r="C116" s="8">
        <f xml:space="preserve"> (L32*($E32/365))+(L33*($E33/365))+(L34*($E34/365))+(L35*($E35/365))</f>
        <v>0</v>
      </c>
      <c r="D116" s="8">
        <f xml:space="preserve"> (M32*($E32/365))+(M33*($E33/365))+(M34*($E34/365))+(M35*($E35/365))</f>
        <v>17.570776255707763</v>
      </c>
      <c r="E116" s="52">
        <f t="shared" si="20"/>
        <v>78.681086277337187</v>
      </c>
      <c r="G116" s="1">
        <v>2001</v>
      </c>
      <c r="H116" s="1001">
        <f>(O32/$R32*100*($E32/365))+(O33/$R33*100*($E33/365))+(O34/$R34*100*($E34/365))+(O35/$R35*100*($E35/365))</f>
        <v>79.726027397260282</v>
      </c>
      <c r="I116" s="1001"/>
      <c r="J116" s="1001">
        <f>(P32/$R32*100*($E32/365))+(P33/$R33*100*($E33/365))+(P34/$R34*100*($E34/365))+(P35/$R35*100*($E35/365))</f>
        <v>0</v>
      </c>
      <c r="K116" s="1001"/>
      <c r="L116" s="1001">
        <f>(Q32/$R32*100*($E32/365))+(Q33/$R33*100*($E33/365))+(Q34/$R34*100*($E34/365))+(Q35/$R35*100*($E35/365))</f>
        <v>20.273972602739725</v>
      </c>
      <c r="M116" s="1001"/>
      <c r="N116" s="1011">
        <f t="shared" si="19"/>
        <v>100</v>
      </c>
      <c r="O116" s="1011"/>
      <c r="P116" s="12"/>
      <c r="Q116" s="12"/>
      <c r="R116" s="1">
        <v>2001</v>
      </c>
      <c r="S116" s="8">
        <f xml:space="preserve"> (O32*($E32/365))+(O33*($E33/365))+(O34*($E34/365))+(O35*($E35/365))</f>
        <v>34.840273972602745</v>
      </c>
      <c r="T116" s="8">
        <f xml:space="preserve"> (P32*($E32/365))+(P33*($E33/365))+(P34*($E34/365))+(P35*($E35/365))</f>
        <v>0</v>
      </c>
      <c r="U116" s="8">
        <f xml:space="preserve"> (Q32*($E32/365))+(Q33*($E33/365))+(Q34*($E34/365))+(Q35*($E35/365))</f>
        <v>11.373698630136987</v>
      </c>
      <c r="V116" s="12"/>
      <c r="W116" s="7">
        <f t="shared" si="21"/>
        <v>46.21397260273973</v>
      </c>
    </row>
    <row r="117" spans="1:23" ht="9" customHeight="1">
      <c r="A117" s="1">
        <v>2002</v>
      </c>
      <c r="B117" s="8">
        <f xml:space="preserve"> (K36*($E36/365))+(K37*($E37/365))</f>
        <v>0</v>
      </c>
      <c r="C117" s="8">
        <f xml:space="preserve"> (L36*($E36/365))+(L37*($E37/365))</f>
        <v>0</v>
      </c>
      <c r="D117" s="8">
        <f xml:space="preserve"> (M36*($E36/365))+(M37*($E37/365))</f>
        <v>86.666666666666671</v>
      </c>
      <c r="E117" s="52">
        <f t="shared" si="20"/>
        <v>86.666666666666671</v>
      </c>
      <c r="G117" s="1">
        <v>2002</v>
      </c>
      <c r="H117" s="1001">
        <f>(O36/$R36*100*($E36/365))+(O37/$R37*100*($E37/365))</f>
        <v>0</v>
      </c>
      <c r="I117" s="1001"/>
      <c r="J117" s="1001">
        <f>(P36/$R36*100*($E36/365))+(P37/$R37*100*($E37/365))</f>
        <v>0</v>
      </c>
      <c r="K117" s="1001"/>
      <c r="L117" s="1001">
        <f>(Q36/$R36*100*($E36/365))+(Q37/$R37*100*($E37/365))</f>
        <v>100</v>
      </c>
      <c r="M117" s="1001"/>
      <c r="N117" s="1011">
        <f t="shared" si="19"/>
        <v>100</v>
      </c>
      <c r="O117" s="1011"/>
      <c r="P117" s="12"/>
      <c r="Q117" s="12"/>
      <c r="R117" s="1">
        <v>2002</v>
      </c>
      <c r="S117" s="8">
        <f xml:space="preserve"> (O36*($E36/365))+(O37*($E37/365))</f>
        <v>0</v>
      </c>
      <c r="T117" s="8">
        <f xml:space="preserve"> (P36*($E36/365))+(P37*($E37/365))</f>
        <v>0</v>
      </c>
      <c r="U117" s="8">
        <f xml:space="preserve"> (Q36*($E36/365))+(Q37*($E37/365))</f>
        <v>56.1</v>
      </c>
      <c r="V117" s="12"/>
      <c r="W117" s="7">
        <f t="shared" si="21"/>
        <v>56.1</v>
      </c>
    </row>
    <row r="118" spans="1:23" ht="9" customHeight="1">
      <c r="A118" s="1">
        <v>2003</v>
      </c>
      <c r="B118" s="8">
        <f xml:space="preserve"> (K38*($E38/365))+(K39*($E39/365))+(K40*($E40/365))+(K41*($E41/365))+(K42*($E42/365))+(K43*($E43/365))+(K44*($E44/365))</f>
        <v>0</v>
      </c>
      <c r="C118" s="8">
        <f xml:space="preserve"> (L38*($E38/365))+(L39*($E39/365))+(L40*($E40/365))+(L41*($E41/365))+(L42*($E42/365))+(L43*($E43/365))+(L44*($E44/365))</f>
        <v>0</v>
      </c>
      <c r="D118" s="8">
        <f xml:space="preserve"> (M38*($E38/365))+(M39*($E39/365))+(M40*($E40/365))+(M41*($E41/365))+(M42*($E42/365))+(M43*($E43/365))+(M44*($E44/365))</f>
        <v>69.462530217566467</v>
      </c>
      <c r="E118" s="52">
        <f t="shared" si="20"/>
        <v>69.462530217566467</v>
      </c>
      <c r="G118" s="1">
        <v>2003</v>
      </c>
      <c r="H118" s="1001">
        <f>(O38/$R38*100*($E38/365))+(O39/$R39*100*($E39/365))+(O40/$R40*100*($E40/365))+(O41/$R41*100*($E41/365))+(O42/$R42*100*($E42/365))+(O43/$R43*100*($E43/365))+(O44/$R44*100*($E44/365))</f>
        <v>0</v>
      </c>
      <c r="I118" s="1001"/>
      <c r="J118" s="1001">
        <f>(P38/$R38*100*($E38/365))+(P39/$R39*100*($E39/365))+(P40/$R40*100*($E40/365))+(P41/$R41*100*($E41/365))+(P42/$R42*100*($E42/365))+(P43/$R43*100*($E43/365))+(P44/$R44*100*($E44/365))</f>
        <v>0</v>
      </c>
      <c r="K118" s="1001"/>
      <c r="L118" s="1001">
        <f>(Q38/$R38*100*($E38/365))+(Q39/$R39*100*($E39/365))+(Q40/$R40*100*($E40/365))+(Q41/$R41*100*($E41/365))+(Q42/$R42*100*($E42/365))+(Q43/$R43*100*($E43/365))+(Q44/$R44*100*($E44/365))</f>
        <v>100</v>
      </c>
      <c r="M118" s="1001"/>
      <c r="N118" s="1011">
        <f t="shared" si="19"/>
        <v>100</v>
      </c>
      <c r="O118" s="1011"/>
      <c r="P118" s="12"/>
      <c r="Q118" s="12"/>
      <c r="R118" s="1">
        <v>2003</v>
      </c>
      <c r="S118" s="8">
        <f xml:space="preserve"> (O38*($E38/365))+(O39*($E39/365))+(O40*($E40/365))+(O41*($E41/365))+(O42*($E42/365))+(O43*($E43/365))+(O44*($E44/365))</f>
        <v>0</v>
      </c>
      <c r="T118" s="8">
        <f xml:space="preserve"> (P38*($E38/365))+(P39*($E39/365))+(P40*($E40/365))+(P41*($E41/365))+(P42*($E42/365))+(P43*($E43/365))+(P44*($E44/365))</f>
        <v>0</v>
      </c>
      <c r="U118" s="8">
        <f xml:space="preserve"> (Q38*($E38/365))+(Q39*($E39/365))+(Q40*($E40/365))+(Q41*($E41/365))+(Q42*($E42/365))+(Q43*($E43/365))+(Q44*($E44/365))</f>
        <v>48.52082191780822</v>
      </c>
      <c r="V118" s="12"/>
      <c r="W118" s="7">
        <f t="shared" si="21"/>
        <v>48.52082191780822</v>
      </c>
    </row>
    <row r="119" spans="1:23" ht="9" customHeight="1">
      <c r="A119" s="1">
        <v>2004</v>
      </c>
      <c r="B119" s="8">
        <f xml:space="preserve"> (K45*($E45/366))+(K46*($E46/366))+(K47*($E47/366))+(K48*($E48/366))+(K49*($E49/366))+(K50*($E50/366))</f>
        <v>0</v>
      </c>
      <c r="C119" s="8">
        <f xml:space="preserve"> (L45*($E45/366))+(L46*($E46/366))+(L47*($E47/366))+(L48*($E48/366))+(L49*($E49/366))+(L50*($E50/366))</f>
        <v>0</v>
      </c>
      <c r="D119" s="8">
        <f xml:space="preserve"> (M45*($E45/366))+(M46*($E46/366))+(M47*($E47/366))+(M48*($E48/366))+(M49*($E49/366))+(M50*($E50/366))</f>
        <v>56.291296117718488</v>
      </c>
      <c r="E119" s="52">
        <f t="shared" si="20"/>
        <v>56.291296117718488</v>
      </c>
      <c r="G119" s="1">
        <v>2004</v>
      </c>
      <c r="H119" s="1001">
        <f>(O45/$R45*100*($E45/366))+(O46/$R46*100*($E46/366))+(O47/$R47*100*($E47/366))+(O48/$R48*100*($E48/366))+(O49/$R49*100*($E49/366))+(O50/$R50*100*($E50/366))</f>
        <v>0</v>
      </c>
      <c r="I119" s="1001"/>
      <c r="J119" s="1001">
        <f>(P45/$R45*100*($E45/366))+(P46/$R46*100*($E46/366))+(P47/$R47*100*($E47/366))+(P48/$R48*100*($E48/366))+(P49/$R49*100*($E49/366))+(P50/$R50*100*($E50/366))</f>
        <v>0</v>
      </c>
      <c r="K119" s="1001"/>
      <c r="L119" s="1001">
        <f>(Q45/$R45*100*($E45/366))+(Q46/$R46*100*($E46/366))+(Q47/$R47*100*($E47/366))+(Q48/$R48*100*($E48/366))+(Q49/$R49*100*($E49/366))+(Q50/$R50*100*($E50/366))</f>
        <v>100</v>
      </c>
      <c r="M119" s="1001"/>
      <c r="N119" s="1011">
        <f t="shared" si="19"/>
        <v>100</v>
      </c>
      <c r="O119" s="1011"/>
      <c r="P119" s="12"/>
      <c r="Q119" s="12"/>
      <c r="R119" s="1">
        <v>2004</v>
      </c>
      <c r="S119" s="8">
        <f xml:space="preserve"> (O45*($E45/366))+(O46*($E46/366))+(O47*($E47/366))+(O48*($E48/366))+(O49*($E49/366))+(O50*($E50/366))</f>
        <v>0</v>
      </c>
      <c r="T119" s="8">
        <f xml:space="preserve"> (P45*($E45/366))+(P46*($E46/366))+(P47*($E47/366))+(P48*($E48/366))+(P49*($E49/366))+(P50*($E50/366))</f>
        <v>0</v>
      </c>
      <c r="U119" s="8">
        <f xml:space="preserve"> (Q45*($E45/366))+(Q46*($E46/366))+(Q47*($E47/366))+(Q48*($E48/366))+(Q49*($E49/366))+(Q50*($E50/366))</f>
        <v>47.994535519125684</v>
      </c>
      <c r="V119" s="12"/>
      <c r="W119" s="7">
        <f t="shared" si="21"/>
        <v>47.994535519125684</v>
      </c>
    </row>
    <row r="120" spans="1:23" ht="9" customHeight="1">
      <c r="A120" s="1">
        <v>2005</v>
      </c>
      <c r="B120" s="8">
        <f xml:space="preserve"> (K51*($E51/365))+(K52*($E52/365))+(K53*($E53/365))</f>
        <v>8.7062404870624057</v>
      </c>
      <c r="C120" s="8">
        <f xml:space="preserve"> (L51*($E51/365))+(L52*($E52/365))+(L53*($E53/365))</f>
        <v>0</v>
      </c>
      <c r="D120" s="8">
        <f xml:space="preserve"> (M51*($E51/365))+(M52*($E52/365))+(M53*($E53/365))</f>
        <v>40.419016921837226</v>
      </c>
      <c r="E120" s="52">
        <f t="shared" si="20"/>
        <v>49.125257408899628</v>
      </c>
      <c r="G120" s="1">
        <v>2005</v>
      </c>
      <c r="H120" s="1001">
        <f>(O51/$R51*100*($E51/365))+(O52/$R52*100*($E52/365))+(O53/$R53*100*($E53/365))</f>
        <v>14.246575342465754</v>
      </c>
      <c r="I120" s="1001"/>
      <c r="J120" s="1001">
        <f>(P51/$R51*100*($E51/365))+(P52/$R52*100*($E52/365))+(P53/$R53*100*($E53/365))</f>
        <v>0</v>
      </c>
      <c r="K120" s="1001"/>
      <c r="L120" s="1001">
        <f>(Q51/$R51*100*($E51/365))+(Q52/$R52*100*($E52/365))+(Q53/$R53*100*($E53/365))</f>
        <v>85.753424657534239</v>
      </c>
      <c r="M120" s="1001"/>
      <c r="N120" s="1011">
        <f t="shared" si="19"/>
        <v>100</v>
      </c>
      <c r="O120" s="1011"/>
      <c r="P120" s="12"/>
      <c r="Q120" s="12"/>
      <c r="R120" s="1">
        <v>2005</v>
      </c>
      <c r="S120" s="8">
        <f xml:space="preserve"> (O51*($E51/365))+(O52*($E52/365))+(O53*($E53/365))</f>
        <v>4.8010958904109593</v>
      </c>
      <c r="T120" s="8">
        <f xml:space="preserve"> (P51*($E51/365))+(P52*($E52/365))+(P53*($E53/365))</f>
        <v>0</v>
      </c>
      <c r="U120" s="8">
        <f xml:space="preserve"> (Q51*($E51/365))+(Q52*($E52/365))+(Q53*($E53/365))</f>
        <v>40.304109589041097</v>
      </c>
      <c r="V120" s="12"/>
      <c r="W120" s="7">
        <f t="shared" si="21"/>
        <v>45.105205479452053</v>
      </c>
    </row>
    <row r="121" spans="1:23" ht="9" customHeight="1">
      <c r="A121" s="1">
        <v>2006</v>
      </c>
      <c r="B121" s="8">
        <f xml:space="preserve"> (K54*($E54/365))+(K55*($E55/365)) +(K56*($E56/365))+(K57*($E57/365))+(K58*($E58/365))</f>
        <v>63.607305936073054</v>
      </c>
      <c r="C121" s="8">
        <f xml:space="preserve"> (L54*($E54/365))+(L55*($E55/365)) +(L56*($E56/365))+(L57*($E57/365))+(L58*($E58/365))</f>
        <v>0</v>
      </c>
      <c r="D121" s="8">
        <f xml:space="preserve"> (M54*($E54/365))+(M55*($E55/365)) +(M56*($E56/365))+(M57*($E57/365))+(M58*($E58/365))</f>
        <v>9.1282689912826882</v>
      </c>
      <c r="E121" s="52">
        <f t="shared" si="20"/>
        <v>72.735574927355742</v>
      </c>
      <c r="G121" s="1">
        <v>2006</v>
      </c>
      <c r="H121" s="1001">
        <f>(O54/$R54*100*($E54/365))+(O55/$R55*100*($E55/365))+(O56/$R56*100*($E56/365))+(O57/$R57*100*($E57/365))+(O58/$R58*100*($E58/365))</f>
        <v>84.886787118661502</v>
      </c>
      <c r="I121" s="1001"/>
      <c r="J121" s="1001">
        <f>(P54/$R54*100*($E54/365))+(P55/$R55*100*($E55/365))+(P56/$R56*100*($E56/365))+(P57/$R57*100*($E57/365))+(P58/$R58*100*($E58/365))</f>
        <v>0</v>
      </c>
      <c r="K121" s="1001"/>
      <c r="L121" s="1001">
        <f>(Q54/$R54*100*($E54/365))+(Q55/$R55*100*($E55/365))+(Q56/$R56*100*($E56/365))+(Q57/$R57*100*($E57/365))+(Q58/$R58*100*($E58/365))</f>
        <v>15.113212881338505</v>
      </c>
      <c r="M121" s="1001"/>
      <c r="N121" s="1011">
        <f t="shared" si="19"/>
        <v>100</v>
      </c>
      <c r="O121" s="1011"/>
      <c r="P121" s="12"/>
      <c r="Q121" s="12"/>
      <c r="R121" s="1">
        <v>2006</v>
      </c>
      <c r="S121" s="8">
        <f xml:space="preserve"> (O54*($E54/365))+(O55*($E55/365)) +(O56*($E56/365))+(O57*($E57/365))+(O58*($E58/365))</f>
        <v>38.586027397260274</v>
      </c>
      <c r="T121" s="8">
        <f xml:space="preserve"> (P54*($E54/365))+(P55*($E55/365)) +(P56*($E56/365))+(P57*($E57/365))+(P58*($E58/365))</f>
        <v>0</v>
      </c>
      <c r="U121" s="8">
        <f xml:space="preserve"> (Q54*($E54/365))+(Q55*($E55/365)) +(Q56*($E56/365))+(Q57*($E57/365))+(Q58*($E58/365))</f>
        <v>8.0553424657534229</v>
      </c>
      <c r="V121" s="12"/>
      <c r="W121" s="7">
        <f t="shared" si="21"/>
        <v>46.641369863013693</v>
      </c>
    </row>
    <row r="122" spans="1:23" ht="9" customHeight="1">
      <c r="A122" s="1">
        <v>2007</v>
      </c>
      <c r="B122" s="8">
        <f xml:space="preserve"> (K59*($E59/365))+(K60*($E60/365))+(K61*($E61/365))+(K62*($E62/365)) +(K63*($E63/365))+(K64*($E64/365))+(K65*($E65/365))+(K66*($E66/365))+(K67*($E67/365))</f>
        <v>62.295152237081957</v>
      </c>
      <c r="C122" s="8">
        <f xml:space="preserve"> (L59*($E59/365))+(L60*($E60/365))+(L61*($E61/365))+(L62*($E62/365)) +(L63*($E63/365))+(L64*($E64/365))+(L65*($E65/365))+(L66*($E66/365))+(L67*($E67/365))</f>
        <v>0</v>
      </c>
      <c r="D122" s="8">
        <f xml:space="preserve"> (M59*($E59/365))+(M60*($E60/365))+(M61*($E61/365))+(M62*($E62/365)) +(M63*($E63/365))+(M64*($E64/365))+(M65*($E65/365))+(M66*($E66/365))+(M67*($E67/365))</f>
        <v>9.308525998520043</v>
      </c>
      <c r="E122" s="52">
        <f t="shared" si="20"/>
        <v>71.603678235602004</v>
      </c>
      <c r="G122" s="1">
        <v>2007</v>
      </c>
      <c r="H122" s="1001">
        <f>(O59/$R59*100*($E59/365))+(O60/$R60*100*($E60/365))+(O61/$R61*100*($E61/365))+(O62/$R62*100*($E62/365))+(O63/$R63*100*($E63/365))+(O64/$R64*100*($E64/365))+(O65/$R65*100*($E65/365))+(O66/$R66*100*($E66/365))+(O67/$R67*100*($E67/365))</f>
        <v>84.614027050370836</v>
      </c>
      <c r="I122" s="1001"/>
      <c r="J122" s="1001">
        <f>(P59/$R59*100*($E59/365))+(P60/$R60*100*($E60/365))+(P61/$R61*100*($E61/365))+(P62/$R62*100*($E62/365))+(P63/$R63*100*($E63/365))+(P64/$R64*100*($E64/365))+(P65/$R65*100*($E65/365))+(P66/$R66*100*($E66/365))+(P67/$R67*100*($E67/365))</f>
        <v>0</v>
      </c>
      <c r="K122" s="1001"/>
      <c r="L122" s="1001">
        <f>(Q59/$R59*100*($E59/365))+(Q60/$R60*100*($E60/365))+(Q61/$R61*100*($E61/365))+(Q62/$R62*100*($E62/365))+(Q63/$R63*100*($E63/365))+(Q64/$R64*100*($E64/365))+(Q65/$R65*100*($E65/365))+(Q66/$R66*100*($E66/365))+(Q67/$R67*100*($E67/365))</f>
        <v>15.385972949629156</v>
      </c>
      <c r="M122" s="1001"/>
      <c r="N122" s="1011">
        <f t="shared" si="19"/>
        <v>100</v>
      </c>
      <c r="O122" s="1011"/>
      <c r="P122" s="12"/>
      <c r="Q122" s="12"/>
      <c r="R122" s="1">
        <v>2007</v>
      </c>
      <c r="S122" s="8">
        <f xml:space="preserve"> (O59*($E59/365))+(O60*($E60/365))+(O61*($E61/365))+(O62*($E62/365)) +(O63*($E63/365))+(O64*($E64/365))+(O65*($E65/365))+(O66*($E66/365))+(O67*($E67/365))</f>
        <v>39.459452054794518</v>
      </c>
      <c r="T122" s="8">
        <f xml:space="preserve"> (P59*($E59/365))+(P60*($E60/365))+(P61*($E61/365))+(P62*($E62/365)) +(P63*($E63/365))+(P64*($E64/365))+(P65*($E65/365))+(P66*($E66/365))+(P67*($E67/365))</f>
        <v>0</v>
      </c>
      <c r="U122" s="8">
        <f xml:space="preserve"> (Q59*($E59/365))+(Q60*($E60/365))+(Q61*($E61/365))+(Q62*($E62/365)) +(Q63*($E63/365))+(Q64*($E64/365))+(Q65*($E65/365))+(Q66*($E66/365))+(Q67*($E67/365))</f>
        <v>8.1846575342465755</v>
      </c>
      <c r="V122" s="12"/>
      <c r="W122" s="7">
        <f t="shared" si="21"/>
        <v>47.644109589041093</v>
      </c>
    </row>
    <row r="123" spans="1:23" ht="9" customHeight="1">
      <c r="A123" s="1">
        <v>2008</v>
      </c>
      <c r="B123" s="8">
        <f xml:space="preserve"> (K68*($E68/366))+(K69*($E69/366))</f>
        <v>52.631578947368418</v>
      </c>
      <c r="C123" s="8">
        <f xml:space="preserve"> (L68*($E68/366))+(L69*($E69/366))</f>
        <v>0</v>
      </c>
      <c r="D123" s="8">
        <f xml:space="preserve"> (M68*($E68/366))+(M69*($E69/366))</f>
        <v>15.789473684210526</v>
      </c>
      <c r="E123" s="52">
        <f t="shared" si="20"/>
        <v>68.421052631578945</v>
      </c>
      <c r="G123" s="1">
        <v>2008</v>
      </c>
      <c r="H123" s="1001">
        <f>(O68/$R68*100*($E68/366))+(O69/$R69*100*($E69/366))</f>
        <v>87.140115163147797</v>
      </c>
      <c r="I123" s="1001"/>
      <c r="J123" s="1001">
        <f>(P68/$R68*100*($E68/366))+(P69/$R69*100*($E69/366))</f>
        <v>0</v>
      </c>
      <c r="K123" s="1001"/>
      <c r="L123" s="1001">
        <f>(Q68/$R68*100*($E68/366))+(Q69/$R69*100*($E69/366))</f>
        <v>12.859884836852206</v>
      </c>
      <c r="M123" s="1001"/>
      <c r="N123" s="1011">
        <f t="shared" si="19"/>
        <v>100</v>
      </c>
      <c r="O123" s="1011"/>
      <c r="P123" s="12"/>
      <c r="Q123" s="12"/>
      <c r="R123" s="1">
        <v>2008</v>
      </c>
      <c r="S123" s="8">
        <f xml:space="preserve"> (O68*($E68/366))+(O69*($E69/366))</f>
        <v>45.4</v>
      </c>
      <c r="T123" s="8">
        <f xml:space="preserve"> (P68*($E68/366))+(P69*($E69/366))</f>
        <v>0</v>
      </c>
      <c r="U123" s="8">
        <f xml:space="preserve"> (Q68*($E68/366))+(Q69*($E69/366))</f>
        <v>6.7</v>
      </c>
      <c r="V123" s="12"/>
      <c r="W123" s="7">
        <f t="shared" si="21"/>
        <v>52.1</v>
      </c>
    </row>
    <row r="124" spans="1:23" ht="9" customHeight="1">
      <c r="A124" s="1">
        <v>2009</v>
      </c>
      <c r="B124" s="8">
        <f xml:space="preserve"> (K70*($E70/365))+(K71*($E71/365))+(K72*($E72/365))+(K73*($E73/365))</f>
        <v>60.360490266762795</v>
      </c>
      <c r="C124" s="8">
        <f xml:space="preserve"> (L70*($E70/365))+(L71*($E71/365))+(L72*($E72/365))+(L73*($E73/365))</f>
        <v>0</v>
      </c>
      <c r="D124" s="8">
        <f xml:space="preserve"> (M70*($E70/365))+(M71*($E71/365))+(M72*($E72/365))+(M73*($E73/365))</f>
        <v>15.789473684210526</v>
      </c>
      <c r="E124" s="52">
        <f t="shared" si="20"/>
        <v>76.149963950973316</v>
      </c>
      <c r="G124" s="1">
        <v>2009</v>
      </c>
      <c r="H124" s="1001">
        <f>(O70/$R70*100*($E70/365))+(O71/$R71*100*($E71/365))+(O72/$R72*100*($E72/365))+(O73/$R73*100*($E73/365))</f>
        <v>87.140115163147797</v>
      </c>
      <c r="I124" s="1001"/>
      <c r="J124" s="1001">
        <f>(P70/$R70*100*($E70/365))+(P71/$R71*100*($E71/365))+(P72/$R72*100*($E72/365))+(P73/$R73*100*($E73/365))</f>
        <v>0</v>
      </c>
      <c r="K124" s="1001"/>
      <c r="L124" s="1001">
        <f>(Q70/$R70*100*($E70/365))+(Q71/$R71*100*($E71/365))+(Q72/$R72*100*($E72/365))+(Q73/$R73*100*($E73/365))</f>
        <v>12.859884836852208</v>
      </c>
      <c r="M124" s="1001"/>
      <c r="N124" s="1011">
        <f t="shared" si="19"/>
        <v>100</v>
      </c>
      <c r="O124" s="1011"/>
      <c r="P124" s="12"/>
      <c r="Q124" s="12"/>
      <c r="R124" s="1">
        <v>2009</v>
      </c>
      <c r="S124" s="8">
        <f xml:space="preserve"> (O70*($E70/365))+(O71*($E71/365))+(O72*($E72/365))+(O73*($E73/365))</f>
        <v>45.400000000000006</v>
      </c>
      <c r="T124" s="8">
        <f xml:space="preserve"> (P70*($E70/365))+(P71*($E71/365))+(P72*($E72/365))+(P73*($E73/365))</f>
        <v>0</v>
      </c>
      <c r="U124" s="8">
        <f xml:space="preserve"> (Q70*($E70/365))+(Q71*($E71/365))+(Q72*($E72/365))+(Q73*($E73/365))</f>
        <v>6.7</v>
      </c>
      <c r="V124" s="12"/>
      <c r="W124" s="7">
        <f t="shared" si="21"/>
        <v>52.100000000000009</v>
      </c>
    </row>
    <row r="125" spans="1:23" ht="9" customHeight="1">
      <c r="A125" s="1">
        <v>2010</v>
      </c>
      <c r="B125" s="8">
        <f xml:space="preserve"> (K74*($E74/365)) +(K75*($E75/365))</f>
        <v>52.631578947368418</v>
      </c>
      <c r="C125" s="8">
        <f xml:space="preserve"> (L74*($E74/365)) +(L75*($E75/365))</f>
        <v>0</v>
      </c>
      <c r="D125" s="8">
        <f xml:space="preserve"> (M74*($E74/365)) +(M75*($E75/365))</f>
        <v>15.789473684210526</v>
      </c>
      <c r="E125" s="52">
        <f t="shared" si="20"/>
        <v>68.421052631578945</v>
      </c>
      <c r="G125" s="1">
        <v>2010</v>
      </c>
      <c r="H125" s="1001">
        <f>(O74/$R74*100*($E74/365))+(O75/$R75*100*($E75/365))</f>
        <v>87.140115163147797</v>
      </c>
      <c r="I125" s="1001"/>
      <c r="J125" s="1001">
        <f>(P74/$R74*100*($E74/365))+(P75/$R75*100*($E75/365))</f>
        <v>0</v>
      </c>
      <c r="K125" s="1001"/>
      <c r="L125" s="1001">
        <f>(Q74/$R74*100*($E74/365))+(Q75/$R75*100*($E75/365))</f>
        <v>12.859884836852206</v>
      </c>
      <c r="M125" s="1001"/>
      <c r="N125" s="1011">
        <f t="shared" si="19"/>
        <v>100</v>
      </c>
      <c r="O125" s="1011"/>
      <c r="P125" s="12"/>
      <c r="Q125" s="12"/>
      <c r="R125" s="1">
        <v>2010</v>
      </c>
      <c r="S125" s="8">
        <f xml:space="preserve"> (O74*($E74/365)) +(O75*($E75/365))</f>
        <v>45.4</v>
      </c>
      <c r="T125" s="8">
        <f xml:space="preserve"> (P74*($E74/365)) +(P75*($E75/365))</f>
        <v>0</v>
      </c>
      <c r="U125" s="8">
        <f xml:space="preserve"> (Q74*($E74/365)) +(Q75*($E75/365))</f>
        <v>6.7</v>
      </c>
      <c r="V125" s="12"/>
      <c r="W125" s="7">
        <f t="shared" si="21"/>
        <v>52.1</v>
      </c>
    </row>
    <row r="126" spans="1:23" ht="9" customHeight="1">
      <c r="A126" s="1">
        <v>2011</v>
      </c>
      <c r="B126" s="8">
        <f xml:space="preserve"> (K76*($E76/365)) +(K77*($E77/365))+(K78*($E78/365))</f>
        <v>53.3518809109801</v>
      </c>
      <c r="C126" s="8">
        <f xml:space="preserve"> (L76*($E76/365)) +(L77*($E77/365))+(L78*($E78/365))</f>
        <v>0</v>
      </c>
      <c r="D126" s="8">
        <f xml:space="preserve"> (M76*($E76/365)) +(M77*($E77/365))+(M78*($E78/365))</f>
        <v>15.750286271682429</v>
      </c>
      <c r="E126" s="52">
        <f t="shared" si="20"/>
        <v>69.102167182662527</v>
      </c>
      <c r="G126" s="1">
        <v>2011</v>
      </c>
      <c r="H126" s="1001">
        <f>(O76/$R76*100*($E76/365))+(O77/$R77*100*($E77/365))+(O78/$R78*100*($E78/365))</f>
        <v>87.251321504041485</v>
      </c>
      <c r="I126" s="1001"/>
      <c r="J126" s="1001">
        <f>(P76/$R76*100*($E76/365))+(P77/$R77*100*($E77/365))+(P78/$R78*100*($E78/365))</f>
        <v>0</v>
      </c>
      <c r="K126" s="1001"/>
      <c r="L126" s="1001">
        <f>(Q76/$R76*100*($E76/365))+(Q77/$R77*100*($E77/365))+(Q78/$R78*100*($E78/365))</f>
        <v>12.748678495958526</v>
      </c>
      <c r="M126" s="1001"/>
      <c r="N126" s="1011">
        <f t="shared" si="19"/>
        <v>100.00000000000001</v>
      </c>
      <c r="O126" s="1011"/>
      <c r="P126" s="12"/>
      <c r="Q126" s="12"/>
      <c r="R126" s="1">
        <v>2011</v>
      </c>
      <c r="S126" s="8">
        <f xml:space="preserve"> (O76*($E76/365)) +(O77*($E77/365))+(O78*($E78/365))</f>
        <v>45.351780821917806</v>
      </c>
      <c r="T126" s="8">
        <f xml:space="preserve"> (P76*($E76/365)) +(P77*($E77/365))+(P78*($E78/365))</f>
        <v>0</v>
      </c>
      <c r="U126" s="8">
        <f xml:space="preserve"> (Q76*($E76/365)) +(Q77*($E77/365))+(Q78*($E78/365))</f>
        <v>6.627671232876712</v>
      </c>
      <c r="V126" s="12"/>
      <c r="W126" s="7">
        <f t="shared" si="21"/>
        <v>51.979452054794521</v>
      </c>
    </row>
    <row r="127" spans="1:23" ht="9" customHeight="1">
      <c r="A127" s="1">
        <v>2012</v>
      </c>
      <c r="B127" s="8">
        <f xml:space="preserve"> (K79*($E79/366)) +(K80*($E80/366))</f>
        <v>60</v>
      </c>
      <c r="C127" s="8">
        <f xml:space="preserve"> (L79*($E79/366)) +(L80*($E80/366))</f>
        <v>0</v>
      </c>
      <c r="D127" s="8">
        <f xml:space="preserve"> (M79*($E79/366)) +(M80*($E80/366))</f>
        <v>15</v>
      </c>
      <c r="E127" s="52">
        <f t="shared" si="20"/>
        <v>75</v>
      </c>
      <c r="G127" s="1">
        <v>2012</v>
      </c>
      <c r="H127" s="1001">
        <f>(O79/$R79*100*($E79/366))+(O80/$R80*100*($E80/366))</f>
        <v>88.06262230919765</v>
      </c>
      <c r="I127" s="1001"/>
      <c r="J127" s="1001">
        <f>(P79/$R79*100*($E79/366))+(P80/$R80*100*($E80/366))</f>
        <v>0</v>
      </c>
      <c r="K127" s="1001"/>
      <c r="L127" s="1001">
        <f>(Q79/$R79*100*($E79/366))+(Q80/$R80*100*($E80/366))</f>
        <v>11.937377690802348</v>
      </c>
      <c r="M127" s="1001"/>
      <c r="N127" s="1011">
        <f t="shared" si="19"/>
        <v>100</v>
      </c>
      <c r="O127" s="1011"/>
      <c r="P127" s="12"/>
      <c r="Q127" s="12"/>
      <c r="R127" s="1">
        <v>2012</v>
      </c>
      <c r="S127" s="8">
        <f xml:space="preserve"> (O79*($E79/366)) +(O80*($E80/366))</f>
        <v>45</v>
      </c>
      <c r="T127" s="8">
        <f xml:space="preserve"> (P79*($E79/366)) +(P80*($E80/366))</f>
        <v>0</v>
      </c>
      <c r="U127" s="8">
        <f xml:space="preserve"> (Q79*($E79/366)) +(Q80*($E80/366))</f>
        <v>6.1</v>
      </c>
      <c r="V127" s="12"/>
      <c r="W127" s="7">
        <f t="shared" ref="W127:W132" si="22">S127+T127+U127</f>
        <v>51.1</v>
      </c>
    </row>
    <row r="128" spans="1:23" ht="9" customHeight="1">
      <c r="A128" s="1">
        <v>2013</v>
      </c>
      <c r="B128" s="8">
        <f xml:space="preserve"> (K81*($E81/365))+(K82*($E82/365))+(K83*($E83/365)) +(K84*($E84/365))</f>
        <v>59.003604902667632</v>
      </c>
      <c r="C128" s="8">
        <f xml:space="preserve"> (L81*($E81/365)) +(L82*($E82/365))+(L83*($E83/365)) +(L84*($E84/365))</f>
        <v>0</v>
      </c>
      <c r="D128" s="8">
        <f xml:space="preserve"> (M81*($E81/365)) +(M82*($E82/365))+(M83*($E83/365)) +(M84*($E84/365))</f>
        <v>15.075702956020187</v>
      </c>
      <c r="E128" s="52">
        <f>B128+C128+D128</f>
        <v>74.079307858687827</v>
      </c>
      <c r="G128" s="1">
        <v>2013</v>
      </c>
      <c r="H128" s="1001">
        <f>(O81/$R81*100*($E81/365))+(O82/$R82*100*($E82/365))+(O83/$R83*100*($E83/365))+(O84/$R84*100*($E84/365))</f>
        <v>88.06262230919765</v>
      </c>
      <c r="I128" s="1001"/>
      <c r="J128" s="1001">
        <f>(P81/$R81*100*($E81/365))+(P82/$R82*100*($E82/365))+(P83/$R83*100*($E83/365))+(P84/$R84*100*($E84/365))</f>
        <v>0</v>
      </c>
      <c r="K128" s="1001"/>
      <c r="L128" s="1001">
        <f>(Q81/$R81*100*($E81/365))+(Q82/$R82*100*($E82/365))+(Q83/$R83*100*($E83/365))+(Q84/$R84*100*($E84/365))</f>
        <v>11.937377690802348</v>
      </c>
      <c r="M128" s="1001"/>
      <c r="N128" s="1011">
        <f>H128+J128+L128</f>
        <v>100</v>
      </c>
      <c r="O128" s="1011"/>
      <c r="R128" s="1">
        <v>2013</v>
      </c>
      <c r="S128" s="8">
        <f xml:space="preserve"> (O81*($E81/365))+(O82*($E82/365)) +(O83*($E83/365)) +(O84*($E84/365))</f>
        <v>45</v>
      </c>
      <c r="T128" s="8">
        <f xml:space="preserve"> (P81*($E81/365)) +(P82*($E82/365))+(P83*($E83/365)) +(P84*($E84/365))</f>
        <v>0</v>
      </c>
      <c r="U128" s="8">
        <f xml:space="preserve"> (Q81*($E81/365)) +(Q82*($E82/365))+(Q83*($E83/365)) +(Q84*($E84/365))</f>
        <v>6.1</v>
      </c>
      <c r="V128" s="12"/>
      <c r="W128" s="7">
        <f t="shared" si="22"/>
        <v>51.1</v>
      </c>
    </row>
    <row r="129" spans="1:23" ht="9" customHeight="1">
      <c r="A129" s="1">
        <v>2014</v>
      </c>
      <c r="B129" s="8">
        <f xml:space="preserve"> (K85*($E85/365))+(K86*($E86/365)) +(K87*($E87/365))</f>
        <v>56.49603460706561</v>
      </c>
      <c r="C129" s="8">
        <f xml:space="preserve"> (L85*($E85/365))+(L86*($E86/365)) +(L87*($E87/365))</f>
        <v>0</v>
      </c>
      <c r="D129" s="8">
        <f xml:space="preserve"> (M85*($E85/365))+(M86*($E86/365)) +(M87*($E87/365))</f>
        <v>15.789473684210527</v>
      </c>
      <c r="E129" s="52">
        <f>B129+C129+D129</f>
        <v>72.28550829127613</v>
      </c>
      <c r="G129" s="1">
        <v>2014</v>
      </c>
      <c r="H129" s="1001">
        <f>(O85/$R85*100*($E85/365))+(O86/$R86*100*($E86/365))+(O87/$R87*100*($E87/365))</f>
        <v>87.567829533765092</v>
      </c>
      <c r="I129" s="1001"/>
      <c r="J129" s="1001">
        <f>(P85/$R85*100*($E85/365))+(P86/$R86*100*($E86/365))+(P87/$R87*100*($E87/365))</f>
        <v>0</v>
      </c>
      <c r="K129" s="1001"/>
      <c r="L129" s="1001">
        <f>(Q85/$R85*100*($E85/365))+(Q86/$R86*100*($E86/365))+(Q87/$R87*100*($E87/365))</f>
        <v>12.432170466234908</v>
      </c>
      <c r="M129" s="1001"/>
      <c r="N129" s="1011">
        <f>H129+J129+L129</f>
        <v>100</v>
      </c>
      <c r="O129" s="1011"/>
      <c r="R129" s="1">
        <v>2014</v>
      </c>
      <c r="S129" s="8">
        <f>(O85*($E85/365)) +(O86*($E86/365))+(O87*($E87/365))</f>
        <v>44.723287671232875</v>
      </c>
      <c r="T129" s="8">
        <f>(P85*($E85/365)) +(P86*($E86/365))+ (P87*($E87/365))</f>
        <v>0</v>
      </c>
      <c r="U129" s="8">
        <f>(Q85*($E85/365)) +(Q86*($E86/365))+ (Q87*($E87/365))</f>
        <v>6.34904109589041</v>
      </c>
      <c r="V129" s="12"/>
      <c r="W129" s="7">
        <f t="shared" si="22"/>
        <v>51.072328767123281</v>
      </c>
    </row>
    <row r="130" spans="1:23" s="747" customFormat="1" ht="9" customHeight="1">
      <c r="A130" s="747">
        <v>2015</v>
      </c>
      <c r="B130" s="742">
        <f xml:space="preserve"> (K88*($E88/365))+(K89*($E89/365)) +(K90*($E90/365))</f>
        <v>55.638067772170153</v>
      </c>
      <c r="C130" s="742">
        <f xml:space="preserve"> (L88*($E88/365))+(L89*($E89/365)) +(L90*($E90/365))</f>
        <v>0</v>
      </c>
      <c r="D130" s="742">
        <f xml:space="preserve"> (M88*($E88/365))+(M89*($E89/365)) +(M90*($E90/365))</f>
        <v>13.799567411679885</v>
      </c>
      <c r="E130" s="52">
        <f>B130+C130+D130</f>
        <v>69.437635183850034</v>
      </c>
      <c r="G130" s="747">
        <v>2015</v>
      </c>
      <c r="H130" s="1001">
        <f>(O88/$R88*100*($E88/365))+(O89/$R89*100*($E89/365))+(O90/$R90*100*($E90/365))</f>
        <v>88.004297609454753</v>
      </c>
      <c r="I130" s="1001"/>
      <c r="J130" s="1001">
        <f>(P88/$R88*100*($E88/365))+(P89/$R89*100*($E89/365))+(P90/$R90*100*($E90/365))</f>
        <v>0</v>
      </c>
      <c r="K130" s="1001"/>
      <c r="L130" s="1001">
        <f>(Q88/$R88*100*($E88/365))+(Q89/$R89*100*($E89/365))+(Q90/$R90*100*($E90/365))</f>
        <v>11.995702390545262</v>
      </c>
      <c r="M130" s="1001"/>
      <c r="N130" s="1011">
        <f>H130+J130+L130</f>
        <v>100.00000000000001</v>
      </c>
      <c r="O130" s="1011"/>
      <c r="R130" s="747">
        <v>2015</v>
      </c>
      <c r="S130" s="742">
        <f>(O88*($E88/365)) +(O89*($E89/365))+(O90*($E90/365))</f>
        <v>44.894794520547947</v>
      </c>
      <c r="T130" s="742">
        <f>(P88*($E88/365)) +(P89*($E89/365))+ (P90*($E90/365))</f>
        <v>0</v>
      </c>
      <c r="U130" s="742">
        <f>(Q88*($E88/365)) +(Q89*($E89/365))+ (Q90*($E90/365))</f>
        <v>6.117808219178082</v>
      </c>
      <c r="V130" s="12"/>
      <c r="W130" s="746">
        <f t="shared" si="22"/>
        <v>51.012602739726027</v>
      </c>
    </row>
    <row r="131" spans="1:23" s="747" customFormat="1" ht="9" customHeight="1">
      <c r="A131" s="747">
        <v>2016</v>
      </c>
      <c r="B131" s="838">
        <f xml:space="preserve"> (K91*($E91/366))+(K92*($E92/366)) +(K93*($E93/366))</f>
        <v>75.551307803624269</v>
      </c>
      <c r="C131" s="838">
        <f xml:space="preserve"> (L91*($E91/366))+(L92*($E92/366)) +(L93*($E93/366))</f>
        <v>0</v>
      </c>
      <c r="D131" s="838">
        <f xml:space="preserve"> (M91*($E91/366))+(M92*($E92/366)) +(M93*($E93/366))</f>
        <v>0</v>
      </c>
      <c r="E131" s="52">
        <f>B131+C131+D131</f>
        <v>75.551307803624269</v>
      </c>
      <c r="G131" s="747">
        <v>2016</v>
      </c>
      <c r="H131" s="1001">
        <f>(O91/$R91*100*($E91/366))+(O92/$R92*100*($E92/366))+(O93/$R93*100*($E93/366))</f>
        <v>100</v>
      </c>
      <c r="I131" s="1001"/>
      <c r="J131" s="1001">
        <f>(P91/$R91*100*($E91/366))+(P92/$R92*100*($E92/366))+(P93/$R93*100*($E93/366))</f>
        <v>0</v>
      </c>
      <c r="K131" s="1001"/>
      <c r="L131" s="1001">
        <f>(Q91/$R91*100*($E91/366))+(Q92/$R92*100*($E92/366))+(Q93/$R93*100*($E93/366))</f>
        <v>0</v>
      </c>
      <c r="M131" s="1001"/>
      <c r="N131" s="1011">
        <f>H131+J131+L131</f>
        <v>100</v>
      </c>
      <c r="O131" s="1011"/>
      <c r="R131" s="747">
        <v>2016</v>
      </c>
      <c r="S131" s="838">
        <f>(O91*($E91/366)) +(O92*($E92/366))+(O93*($E93/366))</f>
        <v>51.1</v>
      </c>
      <c r="T131" s="838">
        <f>(P91*($E91/366)) +(P92*($E92/366))+ (P93*($E93/366))</f>
        <v>0</v>
      </c>
      <c r="U131" s="838">
        <f>(Q91*($E91/366)) +(Q92*($E92/366))+ (Q93*($E93/366))</f>
        <v>0</v>
      </c>
      <c r="V131" s="12"/>
      <c r="W131" s="842">
        <f t="shared" si="22"/>
        <v>51.1</v>
      </c>
    </row>
    <row r="132" spans="1:23" s="920" customFormat="1" ht="9" customHeight="1">
      <c r="A132" s="920">
        <v>2017</v>
      </c>
      <c r="B132" s="915">
        <f xml:space="preserve"> (K94*($E94/365)) +(K95*($E95/365))</f>
        <v>77.272727272727266</v>
      </c>
      <c r="C132" s="915">
        <f t="shared" ref="C132:D132" si="23" xml:space="preserve"> (L94*($E94/365)) +(L95*($E95/365))</f>
        <v>0</v>
      </c>
      <c r="D132" s="915">
        <f t="shared" si="23"/>
        <v>0</v>
      </c>
      <c r="E132" s="52">
        <f>B132+C132+D132</f>
        <v>77.272727272727266</v>
      </c>
      <c r="G132" s="920">
        <v>2017</v>
      </c>
      <c r="H132" s="1001">
        <f>(O94/$R94*100*($E94/365))+(O95/$R95*100*($E95/365))</f>
        <v>100</v>
      </c>
      <c r="I132" s="1001"/>
      <c r="J132" s="1001">
        <f>(P94/$R94*100*($E94/365))+(P95/$R95*100*($E95/365))</f>
        <v>0</v>
      </c>
      <c r="K132" s="1001"/>
      <c r="L132" s="1001">
        <f>(Q94/$R94*100*($E94/365))+(Q95/$R95*100*($E95/365))</f>
        <v>0</v>
      </c>
      <c r="M132" s="1001"/>
      <c r="N132" s="1011">
        <f>H132+J132+L132</f>
        <v>100</v>
      </c>
      <c r="O132" s="1011"/>
      <c r="R132" s="920">
        <v>2017</v>
      </c>
      <c r="S132" s="915">
        <f>(O94*($E94/365))+(O95*($E95/365))</f>
        <v>51.123013698630139</v>
      </c>
      <c r="T132" s="915">
        <f t="shared" ref="T132:U132" si="24">(P94*($E94/365))+(P95*($E95/365))</f>
        <v>0</v>
      </c>
      <c r="U132" s="915">
        <f t="shared" si="24"/>
        <v>0</v>
      </c>
      <c r="V132" s="12"/>
      <c r="W132" s="917">
        <f t="shared" si="22"/>
        <v>51.123013698630139</v>
      </c>
    </row>
    <row r="133" spans="1:23">
      <c r="A133" s="950">
        <v>2018</v>
      </c>
      <c r="B133" s="947">
        <f xml:space="preserve"> (K96*($E96/365)) +(K97*($E97/365))</f>
        <v>69.734149114732787</v>
      </c>
      <c r="C133" s="947">
        <f xml:space="preserve"> (L96*($E96/365)) +(L97*($E97/365))</f>
        <v>0</v>
      </c>
      <c r="D133" s="947">
        <f xml:space="preserve"> (M96*($E96/365)) +(M97*($E97/365))</f>
        <v>0</v>
      </c>
      <c r="E133" s="52">
        <f t="shared" ref="E133" si="25">B133+C133+D133</f>
        <v>69.734149114732787</v>
      </c>
      <c r="F133" s="950"/>
      <c r="G133" s="950">
        <v>2018</v>
      </c>
      <c r="H133" s="1001">
        <f>(O96/$R96*100*($E96/365))+(O97/$R97*100*($E97/365))</f>
        <v>99.999999999999986</v>
      </c>
      <c r="I133" s="1001"/>
      <c r="J133" s="1001">
        <f>(P96/$R96*100*($E96/365))+(P97/$R97*100*($E97/365))</f>
        <v>0</v>
      </c>
      <c r="K133" s="1001"/>
      <c r="L133" s="1001">
        <f>(Q96/$R96*100*($E96/365))+(Q97/$R97*100*($E97/365))</f>
        <v>0</v>
      </c>
      <c r="M133" s="1001"/>
      <c r="N133" s="1011">
        <f t="shared" ref="N133" si="26">H133+J133+L133</f>
        <v>99.999999999999986</v>
      </c>
      <c r="O133" s="1011"/>
      <c r="P133" s="950"/>
      <c r="Q133" s="950"/>
      <c r="R133" s="950">
        <v>2018</v>
      </c>
      <c r="S133" s="947">
        <f>(O96*($E96/365))+(O97*($E97/365))</f>
        <v>51.5</v>
      </c>
      <c r="T133" s="947">
        <f>(P96*($E96/365))+(P97*($E97/365))</f>
        <v>0</v>
      </c>
      <c r="U133" s="947">
        <f>(Q96*($E96/365))+(Q97*($E97/365))</f>
        <v>0</v>
      </c>
      <c r="V133" s="12"/>
      <c r="W133" s="949">
        <f t="shared" ref="W133" si="27">S133+T133+U133</f>
        <v>51.5</v>
      </c>
    </row>
  </sheetData>
  <mergeCells count="231">
    <mergeCell ref="C96:D96"/>
    <mergeCell ref="C97:D97"/>
    <mergeCell ref="H133:I133"/>
    <mergeCell ref="J133:K133"/>
    <mergeCell ref="L133:M133"/>
    <mergeCell ref="N133:O133"/>
    <mergeCell ref="H132:I132"/>
    <mergeCell ref="J132:K132"/>
    <mergeCell ref="L132:M132"/>
    <mergeCell ref="N132:O132"/>
    <mergeCell ref="H131:I131"/>
    <mergeCell ref="J131:K131"/>
    <mergeCell ref="L131:M131"/>
    <mergeCell ref="N131:O131"/>
    <mergeCell ref="H130:I130"/>
    <mergeCell ref="J130:K130"/>
    <mergeCell ref="L130:M130"/>
    <mergeCell ref="N130:O130"/>
    <mergeCell ref="H128:I128"/>
    <mergeCell ref="J128:K128"/>
    <mergeCell ref="L128:M128"/>
    <mergeCell ref="L126:M126"/>
    <mergeCell ref="J111:K111"/>
    <mergeCell ref="L112:M112"/>
    <mergeCell ref="C68:D68"/>
    <mergeCell ref="C69:D69"/>
    <mergeCell ref="C65:D65"/>
    <mergeCell ref="N128:O128"/>
    <mergeCell ref="C84:D84"/>
    <mergeCell ref="N106:O106"/>
    <mergeCell ref="L123:M123"/>
    <mergeCell ref="C67:D67"/>
    <mergeCell ref="C66:D66"/>
    <mergeCell ref="L111:M111"/>
    <mergeCell ref="C79:D79"/>
    <mergeCell ref="C75:D75"/>
    <mergeCell ref="C76:D76"/>
    <mergeCell ref="C77:D77"/>
    <mergeCell ref="C80:D80"/>
    <mergeCell ref="L109:M109"/>
    <mergeCell ref="J109:K109"/>
    <mergeCell ref="J127:K127"/>
    <mergeCell ref="N126:O126"/>
    <mergeCell ref="N123:O123"/>
    <mergeCell ref="N124:O124"/>
    <mergeCell ref="J124:K124"/>
    <mergeCell ref="L119:M119"/>
    <mergeCell ref="J122:K122"/>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A4:A5"/>
    <mergeCell ref="B4:B5"/>
    <mergeCell ref="C4:D5"/>
    <mergeCell ref="C6:D6"/>
    <mergeCell ref="E4:E5"/>
    <mergeCell ref="C14:D14"/>
    <mergeCell ref="C15:D15"/>
    <mergeCell ref="C16:D16"/>
    <mergeCell ref="C17:D17"/>
    <mergeCell ref="C7:D7"/>
    <mergeCell ref="C8:D8"/>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C53:D53"/>
    <mergeCell ref="C54:D54"/>
    <mergeCell ref="C60:D60"/>
    <mergeCell ref="C57:D57"/>
    <mergeCell ref="C58:D58"/>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55:D55"/>
    <mergeCell ref="C62:D62"/>
    <mergeCell ref="C56:D56"/>
    <mergeCell ref="C70:D70"/>
    <mergeCell ref="C71:D71"/>
    <mergeCell ref="C72:D72"/>
    <mergeCell ref="C73:D73"/>
    <mergeCell ref="C74:D74"/>
    <mergeCell ref="L107:M107"/>
    <mergeCell ref="L108:M108"/>
    <mergeCell ref="C81:D81"/>
    <mergeCell ref="C82:D82"/>
    <mergeCell ref="C87:D87"/>
    <mergeCell ref="C86:D86"/>
    <mergeCell ref="C85:D85"/>
    <mergeCell ref="C83:D83"/>
    <mergeCell ref="H106:I106"/>
    <mergeCell ref="H107:I107"/>
    <mergeCell ref="H108:I108"/>
    <mergeCell ref="C88:D88"/>
    <mergeCell ref="C89:D89"/>
    <mergeCell ref="C90:D90"/>
    <mergeCell ref="C91:D91"/>
    <mergeCell ref="C92:D92"/>
    <mergeCell ref="C93:D93"/>
    <mergeCell ref="R102:W102"/>
    <mergeCell ref="H104:I104"/>
    <mergeCell ref="J104:K104"/>
    <mergeCell ref="L104:M104"/>
    <mergeCell ref="N104:O104"/>
    <mergeCell ref="L106:M106"/>
    <mergeCell ref="L117:M117"/>
    <mergeCell ref="N107:O107"/>
    <mergeCell ref="N108:O108"/>
    <mergeCell ref="N112:O112"/>
    <mergeCell ref="N109:O109"/>
    <mergeCell ref="N116:O116"/>
    <mergeCell ref="N113:O113"/>
    <mergeCell ref="N114:O114"/>
    <mergeCell ref="N110:O110"/>
    <mergeCell ref="N111:O111"/>
    <mergeCell ref="L110:M110"/>
    <mergeCell ref="J106:K106"/>
    <mergeCell ref="J107:K107"/>
    <mergeCell ref="L113:M113"/>
    <mergeCell ref="L114:M114"/>
    <mergeCell ref="L115:M115"/>
    <mergeCell ref="J108:K108"/>
    <mergeCell ref="J110:K110"/>
    <mergeCell ref="L116:M116"/>
    <mergeCell ref="J125:K125"/>
    <mergeCell ref="J126:K126"/>
    <mergeCell ref="L118:M118"/>
    <mergeCell ref="L125:M125"/>
    <mergeCell ref="J118:K118"/>
    <mergeCell ref="L121:M121"/>
    <mergeCell ref="J116:K116"/>
    <mergeCell ref="J112:K112"/>
    <mergeCell ref="J113:K113"/>
    <mergeCell ref="J114:K114"/>
    <mergeCell ref="H126:I126"/>
    <mergeCell ref="N119:O119"/>
    <mergeCell ref="N120:O120"/>
    <mergeCell ref="H115:I115"/>
    <mergeCell ref="H116:I116"/>
    <mergeCell ref="H117:I117"/>
    <mergeCell ref="H118:I118"/>
    <mergeCell ref="H119:I119"/>
    <mergeCell ref="N115:O115"/>
    <mergeCell ref="N125:O125"/>
    <mergeCell ref="N121:O121"/>
    <mergeCell ref="N122:O122"/>
    <mergeCell ref="H122:I122"/>
    <mergeCell ref="H123:I123"/>
    <mergeCell ref="J123:K123"/>
    <mergeCell ref="L122:M122"/>
    <mergeCell ref="L124:M124"/>
    <mergeCell ref="J121:K121"/>
    <mergeCell ref="J117:K117"/>
    <mergeCell ref="J115:K115"/>
    <mergeCell ref="N118:O118"/>
    <mergeCell ref="L120:M120"/>
    <mergeCell ref="H120:I120"/>
    <mergeCell ref="H121:I121"/>
    <mergeCell ref="C94:D94"/>
    <mergeCell ref="C95:D95"/>
    <mergeCell ref="N129:O129"/>
    <mergeCell ref="V9:AC9"/>
    <mergeCell ref="C20:D20"/>
    <mergeCell ref="L127:M127"/>
    <mergeCell ref="C19:D19"/>
    <mergeCell ref="C27:D27"/>
    <mergeCell ref="N127:O127"/>
    <mergeCell ref="H109:I109"/>
    <mergeCell ref="H110:I110"/>
    <mergeCell ref="H124:I124"/>
    <mergeCell ref="H129:I129"/>
    <mergeCell ref="J129:K129"/>
    <mergeCell ref="L129:M129"/>
    <mergeCell ref="H111:I111"/>
    <mergeCell ref="H112:I112"/>
    <mergeCell ref="H113:I113"/>
    <mergeCell ref="H114:I114"/>
    <mergeCell ref="H127:I127"/>
    <mergeCell ref="J119:K119"/>
    <mergeCell ref="J120:K120"/>
    <mergeCell ref="N117:O117"/>
    <mergeCell ref="H125:I125"/>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A162"/>
  <sheetViews>
    <sheetView zoomScale="120" zoomScaleNormal="120" workbookViewId="0">
      <pane xSplit="1" ySplit="5" topLeftCell="B73" activePane="bottomRight" state="frozen"/>
      <selection pane="topRight" activeCell="B1" sqref="B1"/>
      <selection pane="bottomLeft" activeCell="A6" sqref="A6"/>
      <selection pane="bottomRight" activeCell="B162" sqref="B162:D16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66</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c r="A6" s="102">
        <v>1976</v>
      </c>
      <c r="B6" s="207"/>
      <c r="C6" s="1005" t="s">
        <v>1277</v>
      </c>
      <c r="D6" s="1005"/>
      <c r="E6" s="208">
        <v>204</v>
      </c>
      <c r="G6" s="123"/>
      <c r="J6" s="134"/>
      <c r="K6" s="92"/>
      <c r="L6" s="92"/>
      <c r="M6" s="92"/>
      <c r="N6" s="125"/>
      <c r="O6" s="91"/>
      <c r="P6" s="92"/>
      <c r="Q6" s="92"/>
      <c r="R6" s="93"/>
      <c r="T6" s="81"/>
      <c r="V6" s="82"/>
      <c r="Y6" s="83"/>
      <c r="AD6" s="82"/>
      <c r="AG6" s="83"/>
      <c r="AL6" s="82"/>
      <c r="AO6" s="83"/>
      <c r="AP6" s="82"/>
      <c r="AS6" s="83"/>
      <c r="AW6" s="83"/>
      <c r="BA6" s="84"/>
    </row>
    <row r="7" spans="1:53" s="334" customFormat="1">
      <c r="A7" s="386">
        <v>1976</v>
      </c>
      <c r="B7" s="355">
        <v>27964</v>
      </c>
      <c r="C7" s="992" t="s">
        <v>617</v>
      </c>
      <c r="D7" s="992"/>
      <c r="E7" s="334">
        <f>366-E6</f>
        <v>162</v>
      </c>
      <c r="F7" s="334" t="s">
        <v>345</v>
      </c>
      <c r="G7" s="419"/>
      <c r="I7" s="334">
        <v>12</v>
      </c>
      <c r="J7" s="435">
        <v>17</v>
      </c>
      <c r="K7" s="384">
        <f>G7/$J7*100</f>
        <v>0</v>
      </c>
      <c r="L7" s="384">
        <f t="shared" ref="L7:M22" si="0">H7/$J7*100</f>
        <v>0</v>
      </c>
      <c r="M7" s="384">
        <f t="shared" si="0"/>
        <v>70.588235294117652</v>
      </c>
      <c r="N7" s="421">
        <f>K7+L7+M7</f>
        <v>70.588235294117652</v>
      </c>
      <c r="O7" s="383"/>
      <c r="P7" s="384"/>
      <c r="Q7" s="384">
        <v>40.700000000000003</v>
      </c>
      <c r="R7" s="385">
        <f>O7+P7+Q7</f>
        <v>40.700000000000003</v>
      </c>
      <c r="S7" s="334">
        <v>4</v>
      </c>
      <c r="T7" s="342">
        <v>27875</v>
      </c>
      <c r="U7" s="355">
        <v>27964</v>
      </c>
      <c r="V7" s="343" t="s">
        <v>96</v>
      </c>
      <c r="W7" s="334" t="s">
        <v>20</v>
      </c>
      <c r="X7" s="334" t="s">
        <v>12</v>
      </c>
      <c r="Y7" s="344">
        <v>40.700000000000003</v>
      </c>
      <c r="AD7" s="343"/>
      <c r="AG7" s="344"/>
      <c r="AL7" s="343"/>
      <c r="AO7" s="344"/>
      <c r="AP7" s="343"/>
      <c r="AS7" s="344"/>
      <c r="AW7" s="344"/>
      <c r="BA7" s="345"/>
    </row>
    <row r="8" spans="1:53" s="334" customFormat="1">
      <c r="A8" s="386">
        <v>1977</v>
      </c>
      <c r="B8" s="355"/>
      <c r="C8" s="992" t="s">
        <v>617</v>
      </c>
      <c r="D8" s="992"/>
      <c r="E8" s="334">
        <v>0</v>
      </c>
      <c r="G8" s="419"/>
      <c r="I8" s="334">
        <v>12</v>
      </c>
      <c r="J8" s="435">
        <v>17</v>
      </c>
      <c r="K8" s="384">
        <f t="shared" ref="K8:M71" si="1">G8/$J8*100</f>
        <v>0</v>
      </c>
      <c r="L8" s="384">
        <f t="shared" si="0"/>
        <v>0</v>
      </c>
      <c r="M8" s="384">
        <f t="shared" si="0"/>
        <v>70.588235294117652</v>
      </c>
      <c r="N8" s="421">
        <f t="shared" ref="N8:N71" si="2">K8+L8+M8</f>
        <v>70.588235294117652</v>
      </c>
      <c r="O8" s="383"/>
      <c r="P8" s="384"/>
      <c r="Q8" s="384">
        <v>40.700000000000003</v>
      </c>
      <c r="R8" s="385">
        <f t="shared" ref="R8:R71" si="3">O8+P8+Q8</f>
        <v>40.700000000000003</v>
      </c>
      <c r="S8" s="334">
        <v>4</v>
      </c>
      <c r="T8" s="357"/>
      <c r="V8" s="343" t="s">
        <v>96</v>
      </c>
      <c r="W8" s="334" t="s">
        <v>20</v>
      </c>
      <c r="X8" s="334" t="s">
        <v>12</v>
      </c>
      <c r="Y8" s="344">
        <v>40.700000000000003</v>
      </c>
      <c r="AD8" s="343"/>
      <c r="AG8" s="344"/>
      <c r="AL8" s="343"/>
      <c r="AO8" s="344"/>
      <c r="AP8" s="343"/>
      <c r="AS8" s="344"/>
      <c r="AW8" s="344"/>
      <c r="BA8" s="345"/>
    </row>
    <row r="9" spans="1:53" s="334" customFormat="1">
      <c r="A9" s="386">
        <v>1977</v>
      </c>
      <c r="B9" s="355"/>
      <c r="C9" s="992" t="s">
        <v>617</v>
      </c>
      <c r="D9" s="992"/>
      <c r="E9" s="334">
        <v>365</v>
      </c>
      <c r="G9" s="419"/>
      <c r="I9" s="334">
        <v>12</v>
      </c>
      <c r="J9" s="435">
        <v>17</v>
      </c>
      <c r="K9" s="384">
        <f t="shared" si="1"/>
        <v>0</v>
      </c>
      <c r="L9" s="384">
        <f t="shared" si="0"/>
        <v>0</v>
      </c>
      <c r="M9" s="384">
        <f t="shared" si="0"/>
        <v>70.588235294117652</v>
      </c>
      <c r="N9" s="421">
        <f t="shared" si="2"/>
        <v>70.588235294117652</v>
      </c>
      <c r="O9" s="383"/>
      <c r="P9" s="384"/>
      <c r="Q9" s="384">
        <v>40.700000000000003</v>
      </c>
      <c r="R9" s="385">
        <f t="shared" si="3"/>
        <v>40.700000000000003</v>
      </c>
      <c r="S9" s="334">
        <v>4</v>
      </c>
      <c r="T9" s="357"/>
      <c r="V9" s="343" t="s">
        <v>96</v>
      </c>
      <c r="W9" s="334" t="s">
        <v>20</v>
      </c>
      <c r="X9" s="334" t="s">
        <v>12</v>
      </c>
      <c r="Y9" s="344">
        <v>40.700000000000003</v>
      </c>
      <c r="AD9" s="343"/>
      <c r="AG9" s="344"/>
      <c r="AL9" s="343"/>
      <c r="AO9" s="344"/>
      <c r="AP9" s="343"/>
      <c r="AS9" s="344"/>
      <c r="AW9" s="344"/>
      <c r="BA9" s="345"/>
    </row>
    <row r="10" spans="1:53" s="334" customFormat="1">
      <c r="A10" s="386">
        <v>1978</v>
      </c>
      <c r="B10" s="355"/>
      <c r="C10" s="992" t="s">
        <v>617</v>
      </c>
      <c r="D10" s="992"/>
      <c r="E10" s="334">
        <v>29</v>
      </c>
      <c r="G10" s="419"/>
      <c r="I10" s="334">
        <v>12</v>
      </c>
      <c r="J10" s="435">
        <v>17</v>
      </c>
      <c r="K10" s="384">
        <f t="shared" si="1"/>
        <v>0</v>
      </c>
      <c r="L10" s="384">
        <f t="shared" si="0"/>
        <v>0</v>
      </c>
      <c r="M10" s="384">
        <f t="shared" si="0"/>
        <v>70.588235294117652</v>
      </c>
      <c r="N10" s="421">
        <f t="shared" si="2"/>
        <v>70.588235294117652</v>
      </c>
      <c r="O10" s="383"/>
      <c r="P10" s="384"/>
      <c r="Q10" s="384">
        <v>40.700000000000003</v>
      </c>
      <c r="R10" s="385">
        <f t="shared" si="3"/>
        <v>40.700000000000003</v>
      </c>
      <c r="S10" s="334">
        <v>4</v>
      </c>
      <c r="T10" s="357"/>
      <c r="V10" s="343" t="s">
        <v>96</v>
      </c>
      <c r="W10" s="334" t="s">
        <v>20</v>
      </c>
      <c r="X10" s="334" t="s">
        <v>12</v>
      </c>
      <c r="Y10" s="344">
        <v>40.700000000000003</v>
      </c>
      <c r="AD10" s="343"/>
      <c r="AG10" s="344"/>
      <c r="AL10" s="343"/>
      <c r="AO10" s="344"/>
      <c r="AP10" s="343"/>
      <c r="AS10" s="344"/>
      <c r="AW10" s="344"/>
      <c r="BA10" s="345"/>
    </row>
    <row r="11" spans="1:53" s="208" customFormat="1">
      <c r="A11" s="102">
        <v>1978</v>
      </c>
      <c r="B11" s="207">
        <v>28520</v>
      </c>
      <c r="C11" s="988" t="s">
        <v>618</v>
      </c>
      <c r="D11" s="988"/>
      <c r="E11" s="208">
        <v>211</v>
      </c>
      <c r="F11" s="208">
        <v>5</v>
      </c>
      <c r="G11" s="123">
        <v>3</v>
      </c>
      <c r="I11" s="208">
        <v>8</v>
      </c>
      <c r="J11" s="134">
        <v>16</v>
      </c>
      <c r="K11" s="92">
        <f t="shared" si="1"/>
        <v>18.75</v>
      </c>
      <c r="L11" s="92">
        <f t="shared" si="0"/>
        <v>0</v>
      </c>
      <c r="M11" s="92">
        <f t="shared" si="0"/>
        <v>50</v>
      </c>
      <c r="N11" s="125">
        <f t="shared" si="2"/>
        <v>68.75</v>
      </c>
      <c r="O11" s="91">
        <v>16</v>
      </c>
      <c r="P11" s="92"/>
      <c r="Q11" s="92">
        <v>40.700000000000003</v>
      </c>
      <c r="R11" s="93">
        <f t="shared" si="3"/>
        <v>56.7</v>
      </c>
      <c r="S11" s="208">
        <v>2</v>
      </c>
      <c r="T11" s="81"/>
      <c r="U11" s="207">
        <v>28520</v>
      </c>
      <c r="V11" s="82" t="s">
        <v>96</v>
      </c>
      <c r="W11" s="208" t="s">
        <v>20</v>
      </c>
      <c r="X11" s="208" t="s">
        <v>12</v>
      </c>
      <c r="Y11" s="83">
        <v>40.700000000000003</v>
      </c>
      <c r="Z11" s="208" t="s">
        <v>489</v>
      </c>
      <c r="AA11" s="208" t="s">
        <v>17</v>
      </c>
      <c r="AB11" s="208" t="s">
        <v>11</v>
      </c>
      <c r="AC11" s="208">
        <v>16</v>
      </c>
      <c r="AD11" s="82"/>
      <c r="AG11" s="83"/>
      <c r="AL11" s="82"/>
      <c r="AO11" s="83"/>
      <c r="AP11" s="82"/>
      <c r="AS11" s="83"/>
      <c r="AW11" s="83"/>
      <c r="BA11" s="84"/>
    </row>
    <row r="12" spans="1:53" s="334" customFormat="1">
      <c r="A12" s="386">
        <v>1978</v>
      </c>
      <c r="B12" s="355">
        <v>28731</v>
      </c>
      <c r="C12" s="992" t="s">
        <v>847</v>
      </c>
      <c r="D12" s="992"/>
      <c r="E12" s="334">
        <v>85</v>
      </c>
      <c r="F12" s="334">
        <v>4</v>
      </c>
      <c r="G12" s="419">
        <v>0</v>
      </c>
      <c r="H12" s="334">
        <v>0</v>
      </c>
      <c r="I12" s="334">
        <v>0</v>
      </c>
      <c r="J12" s="435">
        <v>15</v>
      </c>
      <c r="K12" s="384">
        <f t="shared" si="1"/>
        <v>0</v>
      </c>
      <c r="L12" s="384">
        <f t="shared" si="0"/>
        <v>0</v>
      </c>
      <c r="M12" s="384">
        <f t="shared" si="0"/>
        <v>0</v>
      </c>
      <c r="N12" s="421">
        <f t="shared" si="2"/>
        <v>0</v>
      </c>
      <c r="O12" s="383">
        <v>0</v>
      </c>
      <c r="P12" s="384">
        <v>0</v>
      </c>
      <c r="Q12" s="384">
        <v>0</v>
      </c>
      <c r="R12" s="385">
        <f t="shared" si="3"/>
        <v>0</v>
      </c>
      <c r="S12" s="334">
        <v>6</v>
      </c>
      <c r="T12" s="357"/>
      <c r="U12" s="355">
        <v>28731</v>
      </c>
      <c r="V12" s="438" t="s">
        <v>810</v>
      </c>
      <c r="Y12" s="344"/>
      <c r="AD12" s="343"/>
      <c r="AG12" s="344"/>
      <c r="AL12" s="343"/>
      <c r="AO12" s="344"/>
      <c r="AP12" s="343"/>
      <c r="AS12" s="344"/>
      <c r="AW12" s="344"/>
      <c r="BA12" s="345"/>
    </row>
    <row r="13" spans="1:53" s="208" customFormat="1">
      <c r="A13" s="102">
        <v>1978</v>
      </c>
      <c r="B13" s="207">
        <v>28816</v>
      </c>
      <c r="C13" s="988" t="s">
        <v>833</v>
      </c>
      <c r="D13" s="988"/>
      <c r="E13" s="208">
        <f>365-E10-E11-E12</f>
        <v>40</v>
      </c>
      <c r="F13" s="208">
        <v>5</v>
      </c>
      <c r="G13" s="123">
        <v>0</v>
      </c>
      <c r="H13" s="208">
        <v>0</v>
      </c>
      <c r="I13" s="208">
        <v>0</v>
      </c>
      <c r="J13" s="134">
        <v>16</v>
      </c>
      <c r="K13" s="92">
        <f t="shared" si="1"/>
        <v>0</v>
      </c>
      <c r="L13" s="92">
        <f t="shared" si="0"/>
        <v>0</v>
      </c>
      <c r="M13" s="92">
        <f t="shared" si="0"/>
        <v>0</v>
      </c>
      <c r="N13" s="125">
        <f t="shared" si="2"/>
        <v>0</v>
      </c>
      <c r="O13" s="91">
        <v>0</v>
      </c>
      <c r="P13" s="92">
        <v>0</v>
      </c>
      <c r="Q13" s="92">
        <v>0</v>
      </c>
      <c r="R13" s="93">
        <f t="shared" si="3"/>
        <v>0</v>
      </c>
      <c r="S13" s="208">
        <v>6</v>
      </c>
      <c r="T13" s="81"/>
      <c r="U13" s="207">
        <v>28816</v>
      </c>
      <c r="V13" s="214" t="s">
        <v>810</v>
      </c>
      <c r="Y13" s="83"/>
      <c r="AD13" s="82"/>
      <c r="AG13" s="83"/>
      <c r="AL13" s="82"/>
      <c r="AO13" s="83"/>
      <c r="AP13" s="82"/>
      <c r="AS13" s="83"/>
      <c r="AW13" s="83"/>
      <c r="BA13" s="84"/>
    </row>
    <row r="14" spans="1:53" s="208" customFormat="1">
      <c r="A14" s="102">
        <v>1979</v>
      </c>
      <c r="B14" s="207"/>
      <c r="C14" s="988" t="s">
        <v>833</v>
      </c>
      <c r="D14" s="988"/>
      <c r="E14" s="208">
        <v>212</v>
      </c>
      <c r="G14" s="123">
        <v>0</v>
      </c>
      <c r="H14" s="208">
        <v>0</v>
      </c>
      <c r="I14" s="208">
        <v>0</v>
      </c>
      <c r="J14" s="134">
        <v>16</v>
      </c>
      <c r="K14" s="92">
        <f t="shared" si="1"/>
        <v>0</v>
      </c>
      <c r="L14" s="92">
        <f t="shared" si="0"/>
        <v>0</v>
      </c>
      <c r="M14" s="92">
        <f t="shared" si="0"/>
        <v>0</v>
      </c>
      <c r="N14" s="125">
        <f t="shared" si="2"/>
        <v>0</v>
      </c>
      <c r="O14" s="91">
        <v>0</v>
      </c>
      <c r="P14" s="92">
        <v>0</v>
      </c>
      <c r="Q14" s="92">
        <v>0</v>
      </c>
      <c r="R14" s="93">
        <f t="shared" si="3"/>
        <v>0</v>
      </c>
      <c r="S14" s="208">
        <v>6</v>
      </c>
      <c r="T14" s="81"/>
      <c r="V14" s="214" t="s">
        <v>810</v>
      </c>
      <c r="Y14" s="83"/>
      <c r="AD14" s="82"/>
      <c r="AG14" s="83"/>
      <c r="AL14" s="82"/>
      <c r="AO14" s="83"/>
      <c r="AP14" s="82"/>
      <c r="AS14" s="83"/>
      <c r="AW14" s="83"/>
      <c r="BA14" s="84"/>
    </row>
    <row r="15" spans="1:53" s="334" customFormat="1">
      <c r="A15" s="386">
        <v>1979</v>
      </c>
      <c r="B15" s="355">
        <v>29068</v>
      </c>
      <c r="C15" s="992" t="s">
        <v>834</v>
      </c>
      <c r="D15" s="992"/>
      <c r="E15" s="334">
        <f>365-E14</f>
        <v>153</v>
      </c>
      <c r="F15" s="334">
        <v>5</v>
      </c>
      <c r="G15" s="419">
        <v>0</v>
      </c>
      <c r="H15" s="334">
        <v>0</v>
      </c>
      <c r="I15" s="334">
        <v>0</v>
      </c>
      <c r="J15" s="435">
        <v>17</v>
      </c>
      <c r="K15" s="384">
        <f t="shared" si="1"/>
        <v>0</v>
      </c>
      <c r="L15" s="384">
        <f t="shared" si="0"/>
        <v>0</v>
      </c>
      <c r="M15" s="384">
        <f t="shared" si="0"/>
        <v>0</v>
      </c>
      <c r="N15" s="421">
        <f t="shared" si="2"/>
        <v>0</v>
      </c>
      <c r="O15" s="383">
        <v>0</v>
      </c>
      <c r="P15" s="384">
        <v>0</v>
      </c>
      <c r="Q15" s="384">
        <v>0</v>
      </c>
      <c r="R15" s="385">
        <f t="shared" si="3"/>
        <v>0</v>
      </c>
      <c r="S15" s="334">
        <v>6</v>
      </c>
      <c r="T15" s="342">
        <v>29133</v>
      </c>
      <c r="U15" s="355">
        <v>29068</v>
      </c>
      <c r="V15" s="438" t="s">
        <v>810</v>
      </c>
      <c r="Y15" s="344"/>
      <c r="AD15" s="343"/>
      <c r="AG15" s="344"/>
      <c r="AL15" s="343"/>
      <c r="AO15" s="344"/>
      <c r="AP15" s="343"/>
      <c r="AS15" s="344"/>
      <c r="AW15" s="344"/>
      <c r="BA15" s="345"/>
    </row>
    <row r="16" spans="1:53" s="334" customFormat="1">
      <c r="A16" s="386">
        <v>1980</v>
      </c>
      <c r="B16" s="355"/>
      <c r="C16" s="992" t="s">
        <v>834</v>
      </c>
      <c r="D16" s="992"/>
      <c r="E16" s="334">
        <v>2</v>
      </c>
      <c r="G16" s="419">
        <v>0</v>
      </c>
      <c r="H16" s="334">
        <v>0</v>
      </c>
      <c r="I16" s="334">
        <v>0</v>
      </c>
      <c r="J16" s="435">
        <v>17</v>
      </c>
      <c r="K16" s="384">
        <f t="shared" si="1"/>
        <v>0</v>
      </c>
      <c r="L16" s="384">
        <f t="shared" si="0"/>
        <v>0</v>
      </c>
      <c r="M16" s="384">
        <f t="shared" si="0"/>
        <v>0</v>
      </c>
      <c r="N16" s="421">
        <f t="shared" si="2"/>
        <v>0</v>
      </c>
      <c r="O16" s="383">
        <v>0</v>
      </c>
      <c r="P16" s="384">
        <v>0</v>
      </c>
      <c r="Q16" s="384">
        <v>0</v>
      </c>
      <c r="R16" s="385">
        <f t="shared" si="3"/>
        <v>0</v>
      </c>
      <c r="S16" s="334">
        <v>6</v>
      </c>
      <c r="T16" s="357"/>
      <c r="V16" s="438" t="s">
        <v>810</v>
      </c>
      <c r="Y16" s="344"/>
      <c r="AD16" s="343"/>
      <c r="AG16" s="344"/>
      <c r="AL16" s="343"/>
      <c r="AO16" s="344"/>
      <c r="AP16" s="343"/>
      <c r="AS16" s="344"/>
      <c r="AW16" s="344"/>
      <c r="BA16" s="345"/>
    </row>
    <row r="17" spans="1:53" s="208" customFormat="1">
      <c r="A17" s="102">
        <v>1980</v>
      </c>
      <c r="B17" s="207">
        <v>29223</v>
      </c>
      <c r="C17" s="988" t="s">
        <v>835</v>
      </c>
      <c r="D17" s="988"/>
      <c r="E17" s="208">
        <f>366-E16</f>
        <v>364</v>
      </c>
      <c r="F17" s="208">
        <v>1</v>
      </c>
      <c r="G17" s="123">
        <v>13</v>
      </c>
      <c r="J17" s="134">
        <v>15</v>
      </c>
      <c r="K17" s="92">
        <f t="shared" si="1"/>
        <v>86.666666666666671</v>
      </c>
      <c r="L17" s="92">
        <f t="shared" si="0"/>
        <v>0</v>
      </c>
      <c r="M17" s="92">
        <f t="shared" si="0"/>
        <v>0</v>
      </c>
      <c r="N17" s="125">
        <f t="shared" si="2"/>
        <v>86.666666666666671</v>
      </c>
      <c r="O17" s="91">
        <v>52.6</v>
      </c>
      <c r="P17" s="92"/>
      <c r="Q17" s="92"/>
      <c r="R17" s="93">
        <f t="shared" si="3"/>
        <v>52.6</v>
      </c>
      <c r="S17" s="208">
        <v>1</v>
      </c>
      <c r="T17" s="95">
        <v>29499</v>
      </c>
      <c r="U17" s="207">
        <v>29223</v>
      </c>
      <c r="V17" s="82" t="s">
        <v>487</v>
      </c>
      <c r="W17" s="208" t="s">
        <v>22</v>
      </c>
      <c r="X17" s="208" t="s">
        <v>11</v>
      </c>
      <c r="Y17" s="83">
        <v>52.6</v>
      </c>
      <c r="Z17" s="208" t="s">
        <v>489</v>
      </c>
      <c r="AA17" s="208" t="s">
        <v>17</v>
      </c>
      <c r="AB17" s="208" t="s">
        <v>11</v>
      </c>
      <c r="AC17" s="150">
        <v>52.6</v>
      </c>
      <c r="AD17" s="82" t="s">
        <v>488</v>
      </c>
      <c r="AE17" s="208" t="s">
        <v>337</v>
      </c>
      <c r="AF17" s="208" t="s">
        <v>11</v>
      </c>
      <c r="AG17" s="223">
        <v>52.6</v>
      </c>
      <c r="AL17" s="82"/>
      <c r="AO17" s="83"/>
      <c r="AP17" s="82"/>
      <c r="AS17" s="83"/>
      <c r="AW17" s="83"/>
      <c r="BA17" s="84"/>
    </row>
    <row r="18" spans="1:53" s="208" customFormat="1">
      <c r="A18" s="102">
        <v>1981</v>
      </c>
      <c r="B18" s="207"/>
      <c r="C18" s="988" t="s">
        <v>835</v>
      </c>
      <c r="D18" s="988"/>
      <c r="E18" s="208">
        <v>8</v>
      </c>
      <c r="G18" s="123">
        <v>13</v>
      </c>
      <c r="J18" s="134">
        <v>15</v>
      </c>
      <c r="K18" s="92">
        <f t="shared" si="1"/>
        <v>86.666666666666671</v>
      </c>
      <c r="L18" s="92">
        <f t="shared" si="0"/>
        <v>0</v>
      </c>
      <c r="M18" s="92">
        <f t="shared" si="0"/>
        <v>0</v>
      </c>
      <c r="N18" s="125">
        <f t="shared" si="2"/>
        <v>86.666666666666671</v>
      </c>
      <c r="O18" s="91">
        <v>52.6</v>
      </c>
      <c r="P18" s="92"/>
      <c r="Q18" s="92"/>
      <c r="R18" s="93">
        <f t="shared" si="3"/>
        <v>52.6</v>
      </c>
      <c r="S18" s="208">
        <v>1</v>
      </c>
      <c r="T18" s="81"/>
      <c r="V18" s="82" t="s">
        <v>487</v>
      </c>
      <c r="W18" s="208" t="s">
        <v>22</v>
      </c>
      <c r="X18" s="208" t="s">
        <v>11</v>
      </c>
      <c r="Y18" s="83">
        <v>52.6</v>
      </c>
      <c r="Z18" s="208" t="s">
        <v>489</v>
      </c>
      <c r="AA18" s="208" t="s">
        <v>17</v>
      </c>
      <c r="AB18" s="208" t="s">
        <v>11</v>
      </c>
      <c r="AC18" s="150">
        <v>52.6</v>
      </c>
      <c r="AD18" s="82" t="s">
        <v>488</v>
      </c>
      <c r="AE18" s="208" t="s">
        <v>337</v>
      </c>
      <c r="AF18" s="208" t="s">
        <v>11</v>
      </c>
      <c r="AG18" s="223">
        <v>52.6</v>
      </c>
      <c r="AL18" s="82"/>
      <c r="AO18" s="83"/>
      <c r="AP18" s="82"/>
      <c r="AS18" s="83"/>
      <c r="AW18" s="83"/>
      <c r="BA18" s="84"/>
    </row>
    <row r="19" spans="1:53" s="334" customFormat="1">
      <c r="A19" s="386">
        <v>1981</v>
      </c>
      <c r="B19" s="355">
        <v>29595</v>
      </c>
      <c r="C19" s="992" t="s">
        <v>836</v>
      </c>
      <c r="D19" s="992"/>
      <c r="E19" s="334">
        <v>238</v>
      </c>
      <c r="F19" s="334" t="s">
        <v>345</v>
      </c>
      <c r="G19" s="419">
        <v>15</v>
      </c>
      <c r="J19" s="435">
        <v>18</v>
      </c>
      <c r="K19" s="384">
        <f t="shared" si="1"/>
        <v>83.333333333333343</v>
      </c>
      <c r="L19" s="384">
        <f t="shared" si="0"/>
        <v>0</v>
      </c>
      <c r="M19" s="384">
        <f t="shared" si="0"/>
        <v>0</v>
      </c>
      <c r="N19" s="421">
        <f t="shared" si="2"/>
        <v>83.333333333333343</v>
      </c>
      <c r="O19" s="383">
        <v>52.6</v>
      </c>
      <c r="P19" s="384"/>
      <c r="Q19" s="384"/>
      <c r="R19" s="385">
        <f t="shared" si="3"/>
        <v>52.6</v>
      </c>
      <c r="S19" s="334">
        <v>1</v>
      </c>
      <c r="T19" s="357"/>
      <c r="U19" s="355">
        <v>29595</v>
      </c>
      <c r="V19" s="343" t="s">
        <v>487</v>
      </c>
      <c r="W19" s="334" t="s">
        <v>22</v>
      </c>
      <c r="X19" s="334" t="s">
        <v>11</v>
      </c>
      <c r="Y19" s="344">
        <v>52.6</v>
      </c>
      <c r="Z19" s="334" t="s">
        <v>489</v>
      </c>
      <c r="AA19" s="334" t="s">
        <v>17</v>
      </c>
      <c r="AB19" s="334" t="s">
        <v>11</v>
      </c>
      <c r="AC19" s="441">
        <v>52.6</v>
      </c>
      <c r="AD19" s="343" t="s">
        <v>488</v>
      </c>
      <c r="AE19" s="334" t="s">
        <v>337</v>
      </c>
      <c r="AF19" s="334" t="s">
        <v>11</v>
      </c>
      <c r="AG19" s="455">
        <v>52.6</v>
      </c>
      <c r="AL19" s="343"/>
      <c r="AO19" s="344"/>
      <c r="AP19" s="343"/>
      <c r="AS19" s="344"/>
      <c r="AW19" s="344"/>
      <c r="BA19" s="345"/>
    </row>
    <row r="20" spans="1:53" s="208" customFormat="1">
      <c r="A20" s="102">
        <v>1981</v>
      </c>
      <c r="B20" s="207">
        <v>29833</v>
      </c>
      <c r="C20" s="988" t="s">
        <v>837</v>
      </c>
      <c r="D20" s="988"/>
      <c r="E20" s="208">
        <f>365-E19-E18</f>
        <v>119</v>
      </c>
      <c r="F20" s="208">
        <v>2</v>
      </c>
      <c r="G20" s="123">
        <v>14</v>
      </c>
      <c r="J20" s="134">
        <v>15</v>
      </c>
      <c r="K20" s="92">
        <f t="shared" si="1"/>
        <v>93.333333333333329</v>
      </c>
      <c r="L20" s="92">
        <f t="shared" si="0"/>
        <v>0</v>
      </c>
      <c r="M20" s="92">
        <f t="shared" si="0"/>
        <v>0</v>
      </c>
      <c r="N20" s="125">
        <f t="shared" si="2"/>
        <v>93.333333333333329</v>
      </c>
      <c r="O20" s="91">
        <v>52.6</v>
      </c>
      <c r="P20" s="92"/>
      <c r="Q20" s="92"/>
      <c r="R20" s="93">
        <f t="shared" si="3"/>
        <v>52.6</v>
      </c>
      <c r="S20" s="208">
        <v>1</v>
      </c>
      <c r="T20" s="81"/>
      <c r="U20" s="207">
        <v>29833</v>
      </c>
      <c r="V20" s="82" t="s">
        <v>487</v>
      </c>
      <c r="W20" s="208" t="s">
        <v>22</v>
      </c>
      <c r="X20" s="208" t="s">
        <v>11</v>
      </c>
      <c r="Y20" s="83">
        <v>52.6</v>
      </c>
      <c r="Z20" s="208" t="s">
        <v>489</v>
      </c>
      <c r="AA20" s="208" t="s">
        <v>17</v>
      </c>
      <c r="AB20" s="208" t="s">
        <v>11</v>
      </c>
      <c r="AC20" s="150">
        <v>52.6</v>
      </c>
      <c r="AD20" s="82" t="s">
        <v>488</v>
      </c>
      <c r="AE20" s="208" t="s">
        <v>337</v>
      </c>
      <c r="AF20" s="208" t="s">
        <v>11</v>
      </c>
      <c r="AG20" s="223">
        <v>52.6</v>
      </c>
      <c r="AL20" s="82"/>
      <c r="AO20" s="83"/>
      <c r="AP20" s="82"/>
      <c r="AS20" s="83"/>
      <c r="AW20" s="83"/>
      <c r="BA20" s="84"/>
    </row>
    <row r="21" spans="1:53" s="208" customFormat="1">
      <c r="A21" s="102">
        <v>1982</v>
      </c>
      <c r="B21" s="207"/>
      <c r="C21" s="988" t="s">
        <v>837</v>
      </c>
      <c r="D21" s="988"/>
      <c r="E21" s="208">
        <v>0</v>
      </c>
      <c r="G21" s="123">
        <v>14</v>
      </c>
      <c r="J21" s="134">
        <v>15</v>
      </c>
      <c r="K21" s="92">
        <f t="shared" si="1"/>
        <v>93.333333333333329</v>
      </c>
      <c r="L21" s="92">
        <f t="shared" si="0"/>
        <v>0</v>
      </c>
      <c r="M21" s="92">
        <f t="shared" si="0"/>
        <v>0</v>
      </c>
      <c r="N21" s="125">
        <f t="shared" si="2"/>
        <v>93.333333333333329</v>
      </c>
      <c r="O21" s="91">
        <v>52.6</v>
      </c>
      <c r="P21" s="92"/>
      <c r="Q21" s="92"/>
      <c r="R21" s="93">
        <f t="shared" si="3"/>
        <v>52.6</v>
      </c>
      <c r="S21" s="208">
        <v>1</v>
      </c>
      <c r="T21" s="81"/>
      <c r="V21" s="82" t="s">
        <v>487</v>
      </c>
      <c r="W21" s="208" t="s">
        <v>22</v>
      </c>
      <c r="X21" s="208" t="s">
        <v>11</v>
      </c>
      <c r="Y21" s="83">
        <v>52.6</v>
      </c>
      <c r="Z21" s="208" t="s">
        <v>489</v>
      </c>
      <c r="AA21" s="208" t="s">
        <v>17</v>
      </c>
      <c r="AB21" s="208" t="s">
        <v>11</v>
      </c>
      <c r="AC21" s="150">
        <v>52.6</v>
      </c>
      <c r="AD21" s="82" t="s">
        <v>488</v>
      </c>
      <c r="AE21" s="208" t="s">
        <v>337</v>
      </c>
      <c r="AF21" s="208" t="s">
        <v>11</v>
      </c>
      <c r="AG21" s="223">
        <v>52.6</v>
      </c>
      <c r="AL21" s="82"/>
      <c r="AO21" s="83"/>
      <c r="AP21" s="82"/>
      <c r="AS21" s="83"/>
      <c r="AW21" s="83"/>
      <c r="BA21" s="84"/>
    </row>
    <row r="22" spans="1:53" s="208" customFormat="1">
      <c r="A22" s="102">
        <v>1982</v>
      </c>
      <c r="B22" s="207"/>
      <c r="C22" s="988" t="s">
        <v>837</v>
      </c>
      <c r="D22" s="988"/>
      <c r="E22" s="208">
        <v>365</v>
      </c>
      <c r="G22" s="123">
        <v>14</v>
      </c>
      <c r="J22" s="134">
        <v>15</v>
      </c>
      <c r="K22" s="92">
        <f t="shared" si="1"/>
        <v>93.333333333333329</v>
      </c>
      <c r="L22" s="92">
        <f t="shared" si="0"/>
        <v>0</v>
      </c>
      <c r="M22" s="92">
        <f t="shared" si="0"/>
        <v>0</v>
      </c>
      <c r="N22" s="125">
        <f t="shared" si="2"/>
        <v>93.333333333333329</v>
      </c>
      <c r="O22" s="91">
        <v>52.6</v>
      </c>
      <c r="P22" s="92"/>
      <c r="Q22" s="92"/>
      <c r="R22" s="93">
        <f t="shared" si="3"/>
        <v>52.6</v>
      </c>
      <c r="S22" s="208">
        <v>1</v>
      </c>
      <c r="T22" s="81"/>
      <c r="V22" s="82" t="s">
        <v>487</v>
      </c>
      <c r="W22" s="208" t="s">
        <v>22</v>
      </c>
      <c r="X22" s="208" t="s">
        <v>11</v>
      </c>
      <c r="Y22" s="83">
        <v>52.6</v>
      </c>
      <c r="Z22" s="208" t="s">
        <v>489</v>
      </c>
      <c r="AA22" s="208" t="s">
        <v>17</v>
      </c>
      <c r="AB22" s="208" t="s">
        <v>11</v>
      </c>
      <c r="AC22" s="150">
        <v>52.6</v>
      </c>
      <c r="AD22" s="82" t="s">
        <v>488</v>
      </c>
      <c r="AE22" s="208" t="s">
        <v>337</v>
      </c>
      <c r="AF22" s="208" t="s">
        <v>11</v>
      </c>
      <c r="AG22" s="223">
        <v>52.6</v>
      </c>
      <c r="AL22" s="82"/>
      <c r="AO22" s="83"/>
      <c r="AP22" s="82"/>
      <c r="AS22" s="83"/>
      <c r="AW22" s="83"/>
      <c r="BA22" s="84"/>
    </row>
    <row r="23" spans="1:53" s="208" customFormat="1">
      <c r="A23" s="102">
        <v>1983</v>
      </c>
      <c r="B23" s="207"/>
      <c r="C23" s="988" t="s">
        <v>837</v>
      </c>
      <c r="D23" s="988"/>
      <c r="E23" s="208">
        <v>159</v>
      </c>
      <c r="G23" s="123">
        <v>14</v>
      </c>
      <c r="J23" s="134">
        <v>15</v>
      </c>
      <c r="K23" s="92">
        <f t="shared" si="1"/>
        <v>93.333333333333329</v>
      </c>
      <c r="L23" s="92">
        <f t="shared" si="1"/>
        <v>0</v>
      </c>
      <c r="M23" s="92">
        <f t="shared" si="1"/>
        <v>0</v>
      </c>
      <c r="N23" s="125">
        <f t="shared" si="2"/>
        <v>93.333333333333329</v>
      </c>
      <c r="O23" s="91">
        <v>52.6</v>
      </c>
      <c r="P23" s="92"/>
      <c r="Q23" s="92"/>
      <c r="R23" s="93">
        <f t="shared" si="3"/>
        <v>52.6</v>
      </c>
      <c r="S23" s="208">
        <v>1</v>
      </c>
      <c r="T23" s="81"/>
      <c r="V23" s="82" t="s">
        <v>487</v>
      </c>
      <c r="W23" s="208" t="s">
        <v>22</v>
      </c>
      <c r="X23" s="208" t="s">
        <v>11</v>
      </c>
      <c r="Y23" s="83">
        <v>52.6</v>
      </c>
      <c r="Z23" s="208" t="s">
        <v>489</v>
      </c>
      <c r="AA23" s="208" t="s">
        <v>17</v>
      </c>
      <c r="AB23" s="208" t="s">
        <v>11</v>
      </c>
      <c r="AC23" s="150">
        <v>52.6</v>
      </c>
      <c r="AD23" s="82" t="s">
        <v>488</v>
      </c>
      <c r="AE23" s="208" t="s">
        <v>337</v>
      </c>
      <c r="AF23" s="208" t="s">
        <v>11</v>
      </c>
      <c r="AG23" s="223">
        <v>52.6</v>
      </c>
      <c r="AL23" s="82"/>
      <c r="AO23" s="83"/>
      <c r="AP23" s="82"/>
      <c r="AS23" s="83"/>
      <c r="AW23" s="83"/>
      <c r="BA23" s="84"/>
    </row>
    <row r="24" spans="1:53" s="334" customFormat="1">
      <c r="A24" s="386">
        <v>1983</v>
      </c>
      <c r="B24" s="355">
        <v>30476</v>
      </c>
      <c r="C24" s="992" t="s">
        <v>619</v>
      </c>
      <c r="D24" s="992"/>
      <c r="E24" s="334">
        <f>365-E23</f>
        <v>206</v>
      </c>
      <c r="F24" s="334">
        <v>2</v>
      </c>
      <c r="G24" s="419">
        <v>6</v>
      </c>
      <c r="I24" s="334">
        <v>9</v>
      </c>
      <c r="J24" s="435">
        <v>17</v>
      </c>
      <c r="K24" s="384">
        <f t="shared" si="1"/>
        <v>35.294117647058826</v>
      </c>
      <c r="L24" s="384">
        <f t="shared" si="1"/>
        <v>0</v>
      </c>
      <c r="M24" s="384">
        <f t="shared" si="1"/>
        <v>52.941176470588239</v>
      </c>
      <c r="N24" s="421">
        <f t="shared" si="2"/>
        <v>88.235294117647072</v>
      </c>
      <c r="O24" s="383">
        <v>30</v>
      </c>
      <c r="P24" s="384"/>
      <c r="Q24" s="384">
        <v>40.4</v>
      </c>
      <c r="R24" s="385">
        <f t="shared" si="3"/>
        <v>70.400000000000006</v>
      </c>
      <c r="S24" s="334">
        <v>2</v>
      </c>
      <c r="T24" s="342">
        <v>30431</v>
      </c>
      <c r="U24" s="355">
        <v>30568</v>
      </c>
      <c r="V24" s="343" t="s">
        <v>96</v>
      </c>
      <c r="W24" s="334" t="s">
        <v>20</v>
      </c>
      <c r="X24" s="334" t="s">
        <v>12</v>
      </c>
      <c r="Y24" s="344">
        <v>40.4</v>
      </c>
      <c r="Z24" s="334" t="s">
        <v>487</v>
      </c>
      <c r="AA24" s="334" t="s">
        <v>22</v>
      </c>
      <c r="AB24" s="334" t="s">
        <v>11</v>
      </c>
      <c r="AC24" s="334">
        <v>30</v>
      </c>
      <c r="AD24" s="343"/>
      <c r="AG24" s="344"/>
      <c r="AL24" s="343"/>
      <c r="AO24" s="344"/>
      <c r="AP24" s="343"/>
      <c r="AS24" s="344"/>
      <c r="AW24" s="344"/>
      <c r="BA24" s="345"/>
    </row>
    <row r="25" spans="1:53" s="334" customFormat="1">
      <c r="A25" s="386">
        <v>1984</v>
      </c>
      <c r="B25" s="355"/>
      <c r="C25" s="992" t="s">
        <v>619</v>
      </c>
      <c r="D25" s="992"/>
      <c r="E25" s="334">
        <v>0</v>
      </c>
      <c r="G25" s="419">
        <v>6</v>
      </c>
      <c r="I25" s="334">
        <v>9</v>
      </c>
      <c r="J25" s="435">
        <v>17</v>
      </c>
      <c r="K25" s="384">
        <f t="shared" si="1"/>
        <v>35.294117647058826</v>
      </c>
      <c r="L25" s="384">
        <f t="shared" si="1"/>
        <v>0</v>
      </c>
      <c r="M25" s="384">
        <f t="shared" si="1"/>
        <v>52.941176470588239</v>
      </c>
      <c r="N25" s="421">
        <f t="shared" si="2"/>
        <v>88.235294117647072</v>
      </c>
      <c r="O25" s="383">
        <v>30</v>
      </c>
      <c r="P25" s="384"/>
      <c r="Q25" s="384">
        <v>40.4</v>
      </c>
      <c r="R25" s="385">
        <f t="shared" si="3"/>
        <v>70.400000000000006</v>
      </c>
      <c r="S25" s="334">
        <v>2</v>
      </c>
      <c r="T25" s="357"/>
      <c r="V25" s="343" t="s">
        <v>96</v>
      </c>
      <c r="W25" s="334" t="s">
        <v>20</v>
      </c>
      <c r="X25" s="334" t="s">
        <v>12</v>
      </c>
      <c r="Y25" s="344">
        <v>40.4</v>
      </c>
      <c r="Z25" s="334" t="s">
        <v>487</v>
      </c>
      <c r="AA25" s="334" t="s">
        <v>22</v>
      </c>
      <c r="AB25" s="334" t="s">
        <v>11</v>
      </c>
      <c r="AC25" s="334">
        <v>30</v>
      </c>
      <c r="AD25" s="343"/>
      <c r="AG25" s="344"/>
      <c r="AL25" s="343"/>
      <c r="AO25" s="344"/>
      <c r="AP25" s="343"/>
      <c r="AS25" s="344"/>
      <c r="AW25" s="344"/>
      <c r="BA25" s="345"/>
    </row>
    <row r="26" spans="1:53" s="334" customFormat="1">
      <c r="A26" s="386">
        <v>1984</v>
      </c>
      <c r="B26" s="355"/>
      <c r="C26" s="992" t="s">
        <v>619</v>
      </c>
      <c r="D26" s="992"/>
      <c r="E26" s="334">
        <v>366</v>
      </c>
      <c r="G26" s="419">
        <v>6</v>
      </c>
      <c r="I26" s="334">
        <v>9</v>
      </c>
      <c r="J26" s="435">
        <v>17</v>
      </c>
      <c r="K26" s="384">
        <f t="shared" si="1"/>
        <v>35.294117647058826</v>
      </c>
      <c r="L26" s="384">
        <f t="shared" si="1"/>
        <v>0</v>
      </c>
      <c r="M26" s="384">
        <f t="shared" si="1"/>
        <v>52.941176470588239</v>
      </c>
      <c r="N26" s="421">
        <f t="shared" si="2"/>
        <v>88.235294117647072</v>
      </c>
      <c r="O26" s="383">
        <v>30</v>
      </c>
      <c r="P26" s="384"/>
      <c r="Q26" s="384">
        <v>40.4</v>
      </c>
      <c r="R26" s="385">
        <f t="shared" si="3"/>
        <v>70.400000000000006</v>
      </c>
      <c r="S26" s="334">
        <v>2</v>
      </c>
      <c r="T26" s="357"/>
      <c r="V26" s="343" t="s">
        <v>96</v>
      </c>
      <c r="W26" s="334" t="s">
        <v>20</v>
      </c>
      <c r="X26" s="334" t="s">
        <v>12</v>
      </c>
      <c r="Y26" s="344">
        <v>40.4</v>
      </c>
      <c r="Z26" s="334" t="s">
        <v>487</v>
      </c>
      <c r="AA26" s="334" t="s">
        <v>22</v>
      </c>
      <c r="AB26" s="334" t="s">
        <v>11</v>
      </c>
      <c r="AC26" s="334">
        <v>30</v>
      </c>
      <c r="AD26" s="343"/>
      <c r="AG26" s="344"/>
      <c r="AL26" s="343"/>
      <c r="AO26" s="344"/>
      <c r="AP26" s="343"/>
      <c r="AS26" s="344"/>
      <c r="AW26" s="344"/>
      <c r="BA26" s="345"/>
    </row>
    <row r="27" spans="1:53" s="334" customFormat="1">
      <c r="A27" s="386">
        <v>1985</v>
      </c>
      <c r="B27" s="355"/>
      <c r="C27" s="992" t="s">
        <v>619</v>
      </c>
      <c r="D27" s="992"/>
      <c r="E27" s="334">
        <v>309</v>
      </c>
      <c r="G27" s="419">
        <v>6</v>
      </c>
      <c r="I27" s="334">
        <v>9</v>
      </c>
      <c r="J27" s="435">
        <v>17</v>
      </c>
      <c r="K27" s="384">
        <f t="shared" si="1"/>
        <v>35.294117647058826</v>
      </c>
      <c r="L27" s="384">
        <f t="shared" si="1"/>
        <v>0</v>
      </c>
      <c r="M27" s="384">
        <f t="shared" si="1"/>
        <v>52.941176470588239</v>
      </c>
      <c r="N27" s="421">
        <f t="shared" si="2"/>
        <v>88.235294117647072</v>
      </c>
      <c r="O27" s="383">
        <v>30</v>
      </c>
      <c r="P27" s="384"/>
      <c r="Q27" s="384">
        <v>40.4</v>
      </c>
      <c r="R27" s="385">
        <f t="shared" si="3"/>
        <v>70.400000000000006</v>
      </c>
      <c r="S27" s="334">
        <v>2</v>
      </c>
      <c r="T27" s="357"/>
      <c r="V27" s="343" t="s">
        <v>96</v>
      </c>
      <c r="W27" s="334" t="s">
        <v>20</v>
      </c>
      <c r="X27" s="334" t="s">
        <v>12</v>
      </c>
      <c r="Y27" s="344">
        <v>40.4</v>
      </c>
      <c r="Z27" s="334" t="s">
        <v>487</v>
      </c>
      <c r="AA27" s="334" t="s">
        <v>22</v>
      </c>
      <c r="AB27" s="334" t="s">
        <v>11</v>
      </c>
      <c r="AC27" s="334">
        <v>30</v>
      </c>
      <c r="AD27" s="343"/>
      <c r="AG27" s="344"/>
      <c r="AL27" s="343"/>
      <c r="AO27" s="344"/>
      <c r="AP27" s="343"/>
      <c r="AS27" s="344"/>
      <c r="AW27" s="344"/>
      <c r="BA27" s="345"/>
    </row>
    <row r="28" spans="1:53" s="208" customFormat="1">
      <c r="A28" s="102">
        <v>1985</v>
      </c>
      <c r="B28" s="207">
        <v>31357</v>
      </c>
      <c r="C28" s="988" t="s">
        <v>838</v>
      </c>
      <c r="D28" s="988"/>
      <c r="E28" s="208">
        <f>365-E27</f>
        <v>56</v>
      </c>
      <c r="F28" s="208">
        <v>4</v>
      </c>
      <c r="G28" s="123">
        <v>12</v>
      </c>
      <c r="J28" s="134">
        <v>14</v>
      </c>
      <c r="K28" s="92">
        <f t="shared" si="1"/>
        <v>85.714285714285708</v>
      </c>
      <c r="L28" s="92">
        <f t="shared" si="1"/>
        <v>0</v>
      </c>
      <c r="M28" s="92">
        <f t="shared" si="1"/>
        <v>0</v>
      </c>
      <c r="N28" s="125">
        <f t="shared" si="2"/>
        <v>85.714285714285708</v>
      </c>
      <c r="O28" s="91">
        <v>35.200000000000003</v>
      </c>
      <c r="P28" s="92"/>
      <c r="Q28" s="92"/>
      <c r="R28" s="93">
        <f t="shared" si="3"/>
        <v>35.200000000000003</v>
      </c>
      <c r="S28" s="208">
        <v>4</v>
      </c>
      <c r="T28" s="95">
        <v>31326</v>
      </c>
      <c r="U28" s="207">
        <v>31357</v>
      </c>
      <c r="V28" s="82" t="s">
        <v>487</v>
      </c>
      <c r="W28" s="208" t="s">
        <v>22</v>
      </c>
      <c r="X28" s="208" t="s">
        <v>11</v>
      </c>
      <c r="Y28" s="83">
        <v>35.200000000000003</v>
      </c>
      <c r="AD28" s="82"/>
      <c r="AG28" s="83"/>
      <c r="AL28" s="82"/>
      <c r="AO28" s="83"/>
      <c r="AP28" s="82"/>
      <c r="AS28" s="83"/>
      <c r="AW28" s="83"/>
      <c r="BA28" s="84"/>
    </row>
    <row r="29" spans="1:53" s="208" customFormat="1">
      <c r="A29" s="102">
        <v>1986</v>
      </c>
      <c r="B29" s="207"/>
      <c r="C29" s="988" t="s">
        <v>838</v>
      </c>
      <c r="D29" s="988"/>
      <c r="E29" s="208">
        <v>0</v>
      </c>
      <c r="G29" s="123">
        <v>12</v>
      </c>
      <c r="J29" s="134">
        <v>14</v>
      </c>
      <c r="K29" s="92">
        <f t="shared" si="1"/>
        <v>85.714285714285708</v>
      </c>
      <c r="L29" s="92">
        <f t="shared" si="1"/>
        <v>0</v>
      </c>
      <c r="M29" s="92">
        <f t="shared" si="1"/>
        <v>0</v>
      </c>
      <c r="N29" s="125">
        <f t="shared" si="2"/>
        <v>85.714285714285708</v>
      </c>
      <c r="O29" s="91">
        <v>35.200000000000003</v>
      </c>
      <c r="P29" s="92"/>
      <c r="Q29" s="92"/>
      <c r="R29" s="93">
        <f t="shared" si="3"/>
        <v>35.200000000000003</v>
      </c>
      <c r="S29" s="208">
        <v>4</v>
      </c>
      <c r="T29" s="81"/>
      <c r="V29" s="82" t="s">
        <v>487</v>
      </c>
      <c r="W29" s="208" t="s">
        <v>22</v>
      </c>
      <c r="X29" s="208" t="s">
        <v>11</v>
      </c>
      <c r="Y29" s="83">
        <v>35.200000000000003</v>
      </c>
      <c r="AD29" s="82"/>
      <c r="AG29" s="83"/>
      <c r="AL29" s="82"/>
      <c r="AO29" s="83"/>
      <c r="AP29" s="82"/>
      <c r="AS29" s="83"/>
      <c r="AW29" s="83"/>
      <c r="BA29" s="84"/>
    </row>
    <row r="30" spans="1:53" s="208" customFormat="1">
      <c r="A30" s="102">
        <v>1986</v>
      </c>
      <c r="B30" s="207"/>
      <c r="C30" s="988" t="s">
        <v>838</v>
      </c>
      <c r="D30" s="988"/>
      <c r="E30" s="208">
        <v>365</v>
      </c>
      <c r="G30" s="123">
        <v>12</v>
      </c>
      <c r="J30" s="134">
        <v>14</v>
      </c>
      <c r="K30" s="92">
        <f t="shared" si="1"/>
        <v>85.714285714285708</v>
      </c>
      <c r="L30" s="92">
        <f t="shared" si="1"/>
        <v>0</v>
      </c>
      <c r="M30" s="92">
        <f t="shared" si="1"/>
        <v>0</v>
      </c>
      <c r="N30" s="125">
        <f t="shared" si="2"/>
        <v>85.714285714285708</v>
      </c>
      <c r="O30" s="91">
        <v>35.200000000000003</v>
      </c>
      <c r="P30" s="92"/>
      <c r="Q30" s="92"/>
      <c r="R30" s="93">
        <f t="shared" si="3"/>
        <v>35.200000000000003</v>
      </c>
      <c r="S30" s="208">
        <v>4</v>
      </c>
      <c r="T30" s="81"/>
      <c r="V30" s="82" t="s">
        <v>487</v>
      </c>
      <c r="W30" s="208" t="s">
        <v>22</v>
      </c>
      <c r="X30" s="208" t="s">
        <v>11</v>
      </c>
      <c r="Y30" s="83">
        <v>35.200000000000003</v>
      </c>
      <c r="AD30" s="82"/>
      <c r="AG30" s="83"/>
      <c r="AL30" s="82"/>
      <c r="AO30" s="83"/>
      <c r="AP30" s="82"/>
      <c r="AS30" s="83"/>
      <c r="AW30" s="83"/>
      <c r="BA30" s="84"/>
    </row>
    <row r="31" spans="1:53" s="208" customFormat="1">
      <c r="A31" s="102">
        <v>1987</v>
      </c>
      <c r="B31" s="207"/>
      <c r="C31" s="988" t="s">
        <v>838</v>
      </c>
      <c r="D31" s="988"/>
      <c r="E31" s="208">
        <v>228</v>
      </c>
      <c r="G31" s="123">
        <v>12</v>
      </c>
      <c r="J31" s="134">
        <v>14</v>
      </c>
      <c r="K31" s="92">
        <f t="shared" si="1"/>
        <v>85.714285714285708</v>
      </c>
      <c r="L31" s="92">
        <f t="shared" si="1"/>
        <v>0</v>
      </c>
      <c r="M31" s="92">
        <f t="shared" si="1"/>
        <v>0</v>
      </c>
      <c r="N31" s="125">
        <f t="shared" si="2"/>
        <v>85.714285714285708</v>
      </c>
      <c r="O31" s="91">
        <v>35.200000000000003</v>
      </c>
      <c r="P31" s="92"/>
      <c r="Q31" s="92"/>
      <c r="R31" s="93">
        <f t="shared" si="3"/>
        <v>35.200000000000003</v>
      </c>
      <c r="S31" s="208">
        <v>4</v>
      </c>
      <c r="T31" s="81"/>
      <c r="V31" s="82" t="s">
        <v>487</v>
      </c>
      <c r="W31" s="208" t="s">
        <v>22</v>
      </c>
      <c r="X31" s="208" t="s">
        <v>11</v>
      </c>
      <c r="Y31" s="83">
        <v>35.200000000000003</v>
      </c>
      <c r="AD31" s="82"/>
      <c r="AG31" s="83"/>
      <c r="AL31" s="82"/>
      <c r="AO31" s="83"/>
      <c r="AP31" s="82"/>
      <c r="AS31" s="83"/>
      <c r="AW31" s="83"/>
      <c r="BA31" s="84"/>
    </row>
    <row r="32" spans="1:53" s="334" customFormat="1">
      <c r="A32" s="386">
        <v>1987</v>
      </c>
      <c r="B32" s="355">
        <v>32006</v>
      </c>
      <c r="C32" s="992" t="s">
        <v>839</v>
      </c>
      <c r="D32" s="992"/>
      <c r="E32" s="334">
        <f>365-E31</f>
        <v>137</v>
      </c>
      <c r="F32" s="334">
        <v>5</v>
      </c>
      <c r="G32" s="419">
        <v>16</v>
      </c>
      <c r="J32" s="435">
        <v>18</v>
      </c>
      <c r="K32" s="384">
        <f t="shared" si="1"/>
        <v>88.888888888888886</v>
      </c>
      <c r="L32" s="384">
        <f t="shared" si="1"/>
        <v>0</v>
      </c>
      <c r="M32" s="384">
        <f t="shared" si="1"/>
        <v>0</v>
      </c>
      <c r="N32" s="421">
        <f t="shared" si="2"/>
        <v>88.888888888888886</v>
      </c>
      <c r="O32" s="383">
        <v>59.2</v>
      </c>
      <c r="P32" s="384"/>
      <c r="Q32" s="384"/>
      <c r="R32" s="385">
        <f t="shared" si="3"/>
        <v>59.2</v>
      </c>
      <c r="S32" s="334">
        <v>1</v>
      </c>
      <c r="T32" s="342">
        <v>31977</v>
      </c>
      <c r="U32" s="355">
        <v>32006</v>
      </c>
      <c r="V32" s="343" t="s">
        <v>487</v>
      </c>
      <c r="W32" s="334" t="s">
        <v>22</v>
      </c>
      <c r="X32" s="334" t="s">
        <v>11</v>
      </c>
      <c r="Y32" s="344">
        <v>59.2</v>
      </c>
      <c r="AD32" s="343"/>
      <c r="AG32" s="344"/>
      <c r="AL32" s="343"/>
      <c r="AO32" s="344"/>
      <c r="AP32" s="343"/>
      <c r="AS32" s="344"/>
      <c r="AW32" s="344"/>
      <c r="BA32" s="345"/>
    </row>
    <row r="33" spans="1:53" s="334" customFormat="1">
      <c r="A33" s="386">
        <v>1988</v>
      </c>
      <c r="C33" s="992" t="s">
        <v>839</v>
      </c>
      <c r="D33" s="992"/>
      <c r="E33" s="334">
        <v>0</v>
      </c>
      <c r="G33" s="419">
        <v>16</v>
      </c>
      <c r="J33" s="435">
        <v>18</v>
      </c>
      <c r="K33" s="384">
        <f t="shared" si="1"/>
        <v>88.888888888888886</v>
      </c>
      <c r="L33" s="384">
        <f t="shared" si="1"/>
        <v>0</v>
      </c>
      <c r="M33" s="384">
        <f t="shared" si="1"/>
        <v>0</v>
      </c>
      <c r="N33" s="421">
        <f t="shared" si="2"/>
        <v>88.888888888888886</v>
      </c>
      <c r="O33" s="383">
        <v>59.2</v>
      </c>
      <c r="P33" s="384"/>
      <c r="Q33" s="384"/>
      <c r="R33" s="385">
        <f t="shared" si="3"/>
        <v>59.2</v>
      </c>
      <c r="S33" s="334">
        <v>1</v>
      </c>
      <c r="T33" s="357"/>
      <c r="V33" s="343" t="s">
        <v>487</v>
      </c>
      <c r="W33" s="334" t="s">
        <v>22</v>
      </c>
      <c r="X33" s="334" t="s">
        <v>11</v>
      </c>
      <c r="Y33" s="344">
        <v>59.2</v>
      </c>
      <c r="AD33" s="343"/>
      <c r="AG33" s="344"/>
      <c r="AL33" s="343"/>
      <c r="AO33" s="344"/>
      <c r="AP33" s="343"/>
      <c r="AS33" s="344"/>
      <c r="AW33" s="344"/>
      <c r="BA33" s="345"/>
    </row>
    <row r="34" spans="1:53" s="334" customFormat="1">
      <c r="A34" s="386">
        <v>1988</v>
      </c>
      <c r="C34" s="992" t="s">
        <v>839</v>
      </c>
      <c r="D34" s="992"/>
      <c r="E34" s="334">
        <v>366</v>
      </c>
      <c r="G34" s="419">
        <v>16</v>
      </c>
      <c r="J34" s="435">
        <v>18</v>
      </c>
      <c r="K34" s="384">
        <f t="shared" si="1"/>
        <v>88.888888888888886</v>
      </c>
      <c r="L34" s="384">
        <f t="shared" si="1"/>
        <v>0</v>
      </c>
      <c r="M34" s="384">
        <f t="shared" si="1"/>
        <v>0</v>
      </c>
      <c r="N34" s="421">
        <f t="shared" si="2"/>
        <v>88.888888888888886</v>
      </c>
      <c r="O34" s="383">
        <v>59.2</v>
      </c>
      <c r="P34" s="384"/>
      <c r="Q34" s="384"/>
      <c r="R34" s="385">
        <f t="shared" si="3"/>
        <v>59.2</v>
      </c>
      <c r="S34" s="334">
        <v>1</v>
      </c>
      <c r="T34" s="357"/>
      <c r="V34" s="343" t="s">
        <v>487</v>
      </c>
      <c r="W34" s="334" t="s">
        <v>22</v>
      </c>
      <c r="X34" s="334" t="s">
        <v>11</v>
      </c>
      <c r="Y34" s="344">
        <v>59.2</v>
      </c>
      <c r="AD34" s="343"/>
      <c r="AG34" s="344"/>
      <c r="AL34" s="343"/>
      <c r="AO34" s="344"/>
      <c r="AP34" s="343"/>
      <c r="AS34" s="344"/>
      <c r="AW34" s="344"/>
      <c r="BA34" s="345"/>
    </row>
    <row r="35" spans="1:53" s="334" customFormat="1">
      <c r="A35" s="386">
        <v>1989</v>
      </c>
      <c r="C35" s="992" t="s">
        <v>839</v>
      </c>
      <c r="D35" s="992"/>
      <c r="E35" s="334">
        <v>0</v>
      </c>
      <c r="G35" s="419">
        <v>16</v>
      </c>
      <c r="J35" s="435">
        <v>18</v>
      </c>
      <c r="K35" s="384">
        <f t="shared" si="1"/>
        <v>88.888888888888886</v>
      </c>
      <c r="L35" s="384">
        <f t="shared" si="1"/>
        <v>0</v>
      </c>
      <c r="M35" s="384">
        <f t="shared" si="1"/>
        <v>0</v>
      </c>
      <c r="N35" s="421">
        <f t="shared" si="2"/>
        <v>88.888888888888886</v>
      </c>
      <c r="O35" s="383">
        <v>59.2</v>
      </c>
      <c r="P35" s="384"/>
      <c r="Q35" s="384"/>
      <c r="R35" s="385">
        <f t="shared" si="3"/>
        <v>59.2</v>
      </c>
      <c r="S35" s="334">
        <v>1</v>
      </c>
      <c r="T35" s="357"/>
      <c r="V35" s="343" t="s">
        <v>487</v>
      </c>
      <c r="W35" s="334" t="s">
        <v>22</v>
      </c>
      <c r="X35" s="334" t="s">
        <v>11</v>
      </c>
      <c r="Y35" s="344">
        <v>59.2</v>
      </c>
      <c r="AD35" s="343"/>
      <c r="AG35" s="344"/>
      <c r="AL35" s="343"/>
      <c r="AO35" s="344"/>
      <c r="AP35" s="343"/>
      <c r="AS35" s="344"/>
      <c r="AW35" s="344"/>
      <c r="BA35" s="345"/>
    </row>
    <row r="36" spans="1:53" s="104" customFormat="1">
      <c r="A36" s="201">
        <v>1989</v>
      </c>
      <c r="C36" s="998" t="s">
        <v>839</v>
      </c>
      <c r="D36" s="998"/>
      <c r="E36" s="104">
        <f>365-E35</f>
        <v>365</v>
      </c>
      <c r="G36" s="447">
        <v>16</v>
      </c>
      <c r="J36" s="448">
        <v>18</v>
      </c>
      <c r="K36" s="404">
        <f t="shared" si="1"/>
        <v>88.888888888888886</v>
      </c>
      <c r="L36" s="404">
        <f t="shared" si="1"/>
        <v>0</v>
      </c>
      <c r="M36" s="404">
        <f t="shared" si="1"/>
        <v>0</v>
      </c>
      <c r="N36" s="426">
        <f t="shared" si="2"/>
        <v>88.888888888888886</v>
      </c>
      <c r="O36" s="403">
        <v>59.2</v>
      </c>
      <c r="P36" s="404"/>
      <c r="Q36" s="404"/>
      <c r="R36" s="405">
        <f t="shared" si="3"/>
        <v>59.2</v>
      </c>
      <c r="S36" s="104">
        <v>1</v>
      </c>
      <c r="T36" s="458"/>
      <c r="V36" s="105" t="s">
        <v>487</v>
      </c>
      <c r="W36" s="104" t="s">
        <v>22</v>
      </c>
      <c r="X36" s="104" t="s">
        <v>11</v>
      </c>
      <c r="Y36" s="106">
        <v>59.2</v>
      </c>
      <c r="AD36" s="105"/>
      <c r="AG36" s="106"/>
      <c r="AL36" s="105"/>
      <c r="AO36" s="106"/>
      <c r="AP36" s="105"/>
      <c r="AS36" s="106"/>
      <c r="AW36" s="106"/>
      <c r="BA36" s="107"/>
    </row>
    <row r="37" spans="1:53" s="334" customFormat="1">
      <c r="A37" s="334">
        <v>1990</v>
      </c>
      <c r="C37" s="992" t="s">
        <v>839</v>
      </c>
      <c r="D37" s="992"/>
      <c r="E37" s="334">
        <v>0</v>
      </c>
      <c r="G37" s="419">
        <v>16</v>
      </c>
      <c r="J37" s="435">
        <v>18</v>
      </c>
      <c r="K37" s="383">
        <f t="shared" si="1"/>
        <v>88.888888888888886</v>
      </c>
      <c r="L37" s="384">
        <f t="shared" si="1"/>
        <v>0</v>
      </c>
      <c r="M37" s="384">
        <f t="shared" si="1"/>
        <v>0</v>
      </c>
      <c r="N37" s="385">
        <f t="shared" si="2"/>
        <v>88.888888888888886</v>
      </c>
      <c r="O37" s="383">
        <v>59.2</v>
      </c>
      <c r="P37" s="384"/>
      <c r="Q37" s="384"/>
      <c r="R37" s="385">
        <f t="shared" si="3"/>
        <v>59.2</v>
      </c>
      <c r="S37" s="334">
        <v>1</v>
      </c>
      <c r="T37" s="357"/>
      <c r="V37" s="343" t="s">
        <v>487</v>
      </c>
      <c r="W37" s="334" t="s">
        <v>22</v>
      </c>
      <c r="X37" s="334" t="s">
        <v>11</v>
      </c>
      <c r="Y37" s="344">
        <v>59.2</v>
      </c>
      <c r="AD37" s="343"/>
      <c r="AG37" s="344"/>
      <c r="AL37" s="343"/>
      <c r="AO37" s="344"/>
      <c r="AP37" s="343"/>
      <c r="AS37" s="344"/>
      <c r="AW37" s="344"/>
      <c r="BA37" s="345"/>
    </row>
    <row r="38" spans="1:53" s="334" customFormat="1">
      <c r="A38" s="334">
        <v>1990</v>
      </c>
      <c r="C38" s="992" t="s">
        <v>839</v>
      </c>
      <c r="D38" s="992"/>
      <c r="E38" s="334">
        <f>365-E37</f>
        <v>365</v>
      </c>
      <c r="G38" s="419">
        <v>16</v>
      </c>
      <c r="J38" s="435">
        <v>18</v>
      </c>
      <c r="K38" s="384">
        <f t="shared" si="1"/>
        <v>88.888888888888886</v>
      </c>
      <c r="L38" s="384">
        <f t="shared" si="1"/>
        <v>0</v>
      </c>
      <c r="M38" s="384">
        <f t="shared" si="1"/>
        <v>0</v>
      </c>
      <c r="N38" s="421">
        <f t="shared" si="2"/>
        <v>88.888888888888886</v>
      </c>
      <c r="O38" s="383">
        <v>59.2</v>
      </c>
      <c r="P38" s="384"/>
      <c r="Q38" s="384"/>
      <c r="R38" s="385">
        <f t="shared" si="3"/>
        <v>59.2</v>
      </c>
      <c r="S38" s="334">
        <v>1</v>
      </c>
      <c r="T38" s="357"/>
      <c r="V38" s="343" t="s">
        <v>487</v>
      </c>
      <c r="W38" s="334" t="s">
        <v>22</v>
      </c>
      <c r="X38" s="334" t="s">
        <v>11</v>
      </c>
      <c r="Y38" s="344">
        <v>59.2</v>
      </c>
      <c r="AD38" s="343"/>
      <c r="AG38" s="344"/>
      <c r="AL38" s="343"/>
      <c r="AO38" s="344"/>
      <c r="AP38" s="343"/>
      <c r="AS38" s="344"/>
      <c r="AW38" s="344"/>
      <c r="BA38" s="345"/>
    </row>
    <row r="39" spans="1:53" s="334" customFormat="1">
      <c r="A39" s="334">
        <v>1991</v>
      </c>
      <c r="C39" s="992" t="s">
        <v>839</v>
      </c>
      <c r="D39" s="992"/>
      <c r="E39" s="334">
        <v>303</v>
      </c>
      <c r="G39" s="419">
        <v>16</v>
      </c>
      <c r="J39" s="435">
        <v>18</v>
      </c>
      <c r="K39" s="384">
        <f t="shared" si="1"/>
        <v>88.888888888888886</v>
      </c>
      <c r="L39" s="384">
        <f t="shared" si="1"/>
        <v>0</v>
      </c>
      <c r="M39" s="384">
        <f t="shared" si="1"/>
        <v>0</v>
      </c>
      <c r="N39" s="421">
        <f t="shared" si="2"/>
        <v>88.888888888888886</v>
      </c>
      <c r="O39" s="383">
        <v>59.2</v>
      </c>
      <c r="P39" s="384"/>
      <c r="Q39" s="384"/>
      <c r="R39" s="385">
        <f t="shared" si="3"/>
        <v>59.2</v>
      </c>
      <c r="S39" s="334">
        <v>1</v>
      </c>
      <c r="T39" s="357"/>
      <c r="V39" s="343" t="s">
        <v>487</v>
      </c>
      <c r="W39" s="334" t="s">
        <v>22</v>
      </c>
      <c r="X39" s="334" t="s">
        <v>11</v>
      </c>
      <c r="Y39" s="344">
        <v>59.2</v>
      </c>
      <c r="AD39" s="343"/>
      <c r="AG39" s="344"/>
      <c r="AL39" s="343"/>
      <c r="AO39" s="344"/>
      <c r="AP39" s="343"/>
      <c r="AS39" s="344"/>
      <c r="AW39" s="344"/>
      <c r="BA39" s="345"/>
    </row>
    <row r="40" spans="1:53" s="208" customFormat="1">
      <c r="A40" s="208">
        <v>1991</v>
      </c>
      <c r="B40" s="207">
        <v>33542</v>
      </c>
      <c r="C40" s="988" t="s">
        <v>840</v>
      </c>
      <c r="D40" s="988"/>
      <c r="E40" s="208">
        <f>365-E39</f>
        <v>62</v>
      </c>
      <c r="F40" s="208">
        <v>1</v>
      </c>
      <c r="G40" s="123">
        <v>17</v>
      </c>
      <c r="J40" s="134">
        <v>19</v>
      </c>
      <c r="K40" s="92">
        <f t="shared" si="1"/>
        <v>89.473684210526315</v>
      </c>
      <c r="L40" s="92">
        <f t="shared" si="1"/>
        <v>0</v>
      </c>
      <c r="M40" s="92">
        <f t="shared" si="1"/>
        <v>0</v>
      </c>
      <c r="N40" s="125">
        <f t="shared" si="2"/>
        <v>89.473684210526315</v>
      </c>
      <c r="O40" s="91">
        <v>58.4</v>
      </c>
      <c r="P40" s="92"/>
      <c r="Q40" s="92"/>
      <c r="R40" s="93">
        <f t="shared" si="3"/>
        <v>58.4</v>
      </c>
      <c r="S40" s="208">
        <v>1</v>
      </c>
      <c r="T40" s="95">
        <v>33517</v>
      </c>
      <c r="U40" s="207">
        <v>33542</v>
      </c>
      <c r="V40" s="82" t="s">
        <v>487</v>
      </c>
      <c r="W40" s="208" t="s">
        <v>22</v>
      </c>
      <c r="X40" s="208" t="s">
        <v>11</v>
      </c>
      <c r="Y40" s="83">
        <v>58.4</v>
      </c>
      <c r="AD40" s="82"/>
      <c r="AG40" s="83"/>
      <c r="AL40" s="82"/>
      <c r="AO40" s="83"/>
      <c r="AP40" s="82"/>
      <c r="AS40" s="83"/>
      <c r="AW40" s="83"/>
      <c r="BA40" s="84"/>
    </row>
    <row r="41" spans="1:53" s="208" customFormat="1">
      <c r="A41" s="208">
        <v>1992</v>
      </c>
      <c r="C41" s="988" t="s">
        <v>840</v>
      </c>
      <c r="D41" s="988"/>
      <c r="E41" s="208">
        <v>0</v>
      </c>
      <c r="G41" s="123">
        <v>17</v>
      </c>
      <c r="J41" s="134">
        <v>19</v>
      </c>
      <c r="K41" s="92">
        <f t="shared" si="1"/>
        <v>89.473684210526315</v>
      </c>
      <c r="L41" s="92">
        <f t="shared" si="1"/>
        <v>0</v>
      </c>
      <c r="M41" s="92">
        <f t="shared" si="1"/>
        <v>0</v>
      </c>
      <c r="N41" s="125">
        <f t="shared" si="2"/>
        <v>89.473684210526315</v>
      </c>
      <c r="O41" s="91">
        <v>58.4</v>
      </c>
      <c r="P41" s="92"/>
      <c r="Q41" s="92"/>
      <c r="R41" s="93">
        <f t="shared" si="3"/>
        <v>58.4</v>
      </c>
      <c r="S41" s="208">
        <v>1</v>
      </c>
      <c r="T41" s="81"/>
      <c r="V41" s="82" t="s">
        <v>487</v>
      </c>
      <c r="W41" s="208" t="s">
        <v>22</v>
      </c>
      <c r="X41" s="208" t="s">
        <v>11</v>
      </c>
      <c r="Y41" s="83">
        <v>58.4</v>
      </c>
      <c r="AD41" s="82"/>
      <c r="AG41" s="83"/>
      <c r="AL41" s="82"/>
      <c r="AO41" s="83"/>
      <c r="AP41" s="82"/>
      <c r="AS41" s="83"/>
      <c r="AW41" s="83"/>
      <c r="BA41" s="84"/>
    </row>
    <row r="42" spans="1:53" s="208" customFormat="1">
      <c r="A42" s="208">
        <v>1992</v>
      </c>
      <c r="C42" s="988" t="s">
        <v>840</v>
      </c>
      <c r="D42" s="988"/>
      <c r="E42" s="208">
        <v>366</v>
      </c>
      <c r="G42" s="123">
        <v>17</v>
      </c>
      <c r="J42" s="134">
        <v>19</v>
      </c>
      <c r="K42" s="92">
        <f t="shared" si="1"/>
        <v>89.473684210526315</v>
      </c>
      <c r="L42" s="92">
        <f t="shared" si="1"/>
        <v>0</v>
      </c>
      <c r="M42" s="92">
        <f t="shared" si="1"/>
        <v>0</v>
      </c>
      <c r="N42" s="125">
        <f t="shared" si="2"/>
        <v>89.473684210526315</v>
      </c>
      <c r="O42" s="91">
        <v>58.4</v>
      </c>
      <c r="P42" s="92"/>
      <c r="Q42" s="92"/>
      <c r="R42" s="93">
        <f t="shared" si="3"/>
        <v>58.4</v>
      </c>
      <c r="S42" s="208">
        <v>1</v>
      </c>
      <c r="T42" s="81"/>
      <c r="V42" s="82" t="s">
        <v>487</v>
      </c>
      <c r="W42" s="208" t="s">
        <v>22</v>
      </c>
      <c r="X42" s="208" t="s">
        <v>11</v>
      </c>
      <c r="Y42" s="83">
        <v>58.4</v>
      </c>
      <c r="AD42" s="82"/>
      <c r="AG42" s="83"/>
      <c r="AL42" s="82"/>
      <c r="AO42" s="83"/>
      <c r="AP42" s="82"/>
      <c r="AS42" s="83"/>
      <c r="AW42" s="83"/>
      <c r="BA42" s="84"/>
    </row>
    <row r="43" spans="1:53" s="208" customFormat="1">
      <c r="A43" s="208">
        <v>1993</v>
      </c>
      <c r="C43" s="988" t="s">
        <v>840</v>
      </c>
      <c r="D43" s="988"/>
      <c r="E43" s="208">
        <v>0</v>
      </c>
      <c r="G43" s="123">
        <v>17</v>
      </c>
      <c r="J43" s="134">
        <v>19</v>
      </c>
      <c r="K43" s="92">
        <f t="shared" si="1"/>
        <v>89.473684210526315</v>
      </c>
      <c r="L43" s="92">
        <f t="shared" si="1"/>
        <v>0</v>
      </c>
      <c r="M43" s="92">
        <f t="shared" si="1"/>
        <v>0</v>
      </c>
      <c r="N43" s="125">
        <f t="shared" si="2"/>
        <v>89.473684210526315</v>
      </c>
      <c r="O43" s="91">
        <v>58.4</v>
      </c>
      <c r="P43" s="92"/>
      <c r="Q43" s="92"/>
      <c r="R43" s="93">
        <f t="shared" si="3"/>
        <v>58.4</v>
      </c>
      <c r="S43" s="208">
        <v>1</v>
      </c>
      <c r="T43" s="81"/>
      <c r="V43" s="82" t="s">
        <v>487</v>
      </c>
      <c r="W43" s="208" t="s">
        <v>22</v>
      </c>
      <c r="X43" s="208" t="s">
        <v>11</v>
      </c>
      <c r="Y43" s="83">
        <v>58.4</v>
      </c>
      <c r="AD43" s="82"/>
      <c r="AG43" s="83"/>
      <c r="AL43" s="82"/>
      <c r="AO43" s="83"/>
      <c r="AP43" s="82"/>
      <c r="AS43" s="83"/>
      <c r="AW43" s="83"/>
      <c r="BA43" s="84"/>
    </row>
    <row r="44" spans="1:53" s="208" customFormat="1">
      <c r="A44" s="208">
        <v>1993</v>
      </c>
      <c r="C44" s="988" t="s">
        <v>840</v>
      </c>
      <c r="D44" s="988"/>
      <c r="E44" s="208">
        <f>365-E43</f>
        <v>365</v>
      </c>
      <c r="G44" s="123">
        <v>17</v>
      </c>
      <c r="J44" s="134">
        <v>19</v>
      </c>
      <c r="K44" s="92">
        <f t="shared" si="1"/>
        <v>89.473684210526315</v>
      </c>
      <c r="L44" s="92">
        <f t="shared" si="1"/>
        <v>0</v>
      </c>
      <c r="M44" s="92">
        <f t="shared" si="1"/>
        <v>0</v>
      </c>
      <c r="N44" s="125">
        <f t="shared" si="2"/>
        <v>89.473684210526315</v>
      </c>
      <c r="O44" s="91">
        <v>58.4</v>
      </c>
      <c r="P44" s="92"/>
      <c r="Q44" s="92"/>
      <c r="R44" s="93">
        <f t="shared" si="3"/>
        <v>58.4</v>
      </c>
      <c r="S44" s="208">
        <v>1</v>
      </c>
      <c r="T44" s="81"/>
      <c r="V44" s="82" t="s">
        <v>487</v>
      </c>
      <c r="W44" s="208" t="s">
        <v>22</v>
      </c>
      <c r="X44" s="208" t="s">
        <v>11</v>
      </c>
      <c r="Y44" s="83">
        <v>58.4</v>
      </c>
      <c r="AD44" s="82"/>
      <c r="AG44" s="83"/>
      <c r="AL44" s="82"/>
      <c r="AO44" s="83"/>
      <c r="AP44" s="82"/>
      <c r="AS44" s="83"/>
      <c r="AW44" s="83"/>
      <c r="BA44" s="84"/>
    </row>
    <row r="45" spans="1:53" s="208" customFormat="1">
      <c r="A45" s="208">
        <v>1994</v>
      </c>
      <c r="C45" s="988" t="s">
        <v>840</v>
      </c>
      <c r="D45" s="988"/>
      <c r="E45" s="208">
        <v>0</v>
      </c>
      <c r="G45" s="123">
        <v>17</v>
      </c>
      <c r="J45" s="134">
        <v>19</v>
      </c>
      <c r="K45" s="92">
        <f t="shared" si="1"/>
        <v>89.473684210526315</v>
      </c>
      <c r="L45" s="92">
        <f t="shared" si="1"/>
        <v>0</v>
      </c>
      <c r="M45" s="92">
        <f t="shared" si="1"/>
        <v>0</v>
      </c>
      <c r="N45" s="125">
        <f t="shared" si="2"/>
        <v>89.473684210526315</v>
      </c>
      <c r="O45" s="91">
        <v>58.4</v>
      </c>
      <c r="P45" s="92"/>
      <c r="Q45" s="92"/>
      <c r="R45" s="93">
        <f t="shared" si="3"/>
        <v>58.4</v>
      </c>
      <c r="S45" s="208">
        <v>1</v>
      </c>
      <c r="T45" s="81"/>
      <c r="V45" s="82" t="s">
        <v>487</v>
      </c>
      <c r="W45" s="208" t="s">
        <v>22</v>
      </c>
      <c r="X45" s="208" t="s">
        <v>11</v>
      </c>
      <c r="Y45" s="83">
        <v>58.4</v>
      </c>
      <c r="AD45" s="82"/>
      <c r="AG45" s="83"/>
      <c r="AL45" s="82"/>
      <c r="AO45" s="83"/>
      <c r="AP45" s="82"/>
      <c r="AS45" s="83"/>
      <c r="AW45" s="83"/>
      <c r="BA45" s="84"/>
    </row>
    <row r="46" spans="1:53" s="208" customFormat="1">
      <c r="A46" s="208">
        <v>1994</v>
      </c>
      <c r="C46" s="988" t="s">
        <v>840</v>
      </c>
      <c r="D46" s="988"/>
      <c r="E46" s="208">
        <f>365-E45</f>
        <v>365</v>
      </c>
      <c r="G46" s="123">
        <v>17</v>
      </c>
      <c r="J46" s="134">
        <v>19</v>
      </c>
      <c r="K46" s="92">
        <f t="shared" si="1"/>
        <v>89.473684210526315</v>
      </c>
      <c r="L46" s="92">
        <f t="shared" si="1"/>
        <v>0</v>
      </c>
      <c r="M46" s="92">
        <f t="shared" si="1"/>
        <v>0</v>
      </c>
      <c r="N46" s="125">
        <f t="shared" si="2"/>
        <v>89.473684210526315</v>
      </c>
      <c r="O46" s="91">
        <v>58.4</v>
      </c>
      <c r="P46" s="92"/>
      <c r="Q46" s="92"/>
      <c r="R46" s="93">
        <f t="shared" si="3"/>
        <v>58.4</v>
      </c>
      <c r="S46" s="208">
        <v>1</v>
      </c>
      <c r="T46" s="81"/>
      <c r="V46" s="82" t="s">
        <v>487</v>
      </c>
      <c r="W46" s="208" t="s">
        <v>22</v>
      </c>
      <c r="X46" s="208" t="s">
        <v>11</v>
      </c>
      <c r="Y46" s="83">
        <v>58.4</v>
      </c>
      <c r="AD46" s="82"/>
      <c r="AG46" s="83"/>
      <c r="AL46" s="82"/>
      <c r="AO46" s="83"/>
      <c r="AP46" s="82"/>
      <c r="AS46" s="83"/>
      <c r="AW46" s="83"/>
      <c r="BA46" s="84"/>
    </row>
    <row r="47" spans="1:53" s="208" customFormat="1">
      <c r="A47" s="208">
        <v>1995</v>
      </c>
      <c r="C47" s="988" t="s">
        <v>840</v>
      </c>
      <c r="D47" s="988"/>
      <c r="E47" s="208">
        <v>300</v>
      </c>
      <c r="G47" s="123">
        <v>16</v>
      </c>
      <c r="J47" s="134">
        <v>18</v>
      </c>
      <c r="K47" s="92">
        <f t="shared" si="1"/>
        <v>88.888888888888886</v>
      </c>
      <c r="L47" s="92">
        <f t="shared" si="1"/>
        <v>0</v>
      </c>
      <c r="M47" s="92">
        <f t="shared" si="1"/>
        <v>0</v>
      </c>
      <c r="N47" s="125">
        <f t="shared" si="2"/>
        <v>88.888888888888886</v>
      </c>
      <c r="O47" s="91">
        <v>58.4</v>
      </c>
      <c r="P47" s="92"/>
      <c r="Q47" s="92"/>
      <c r="R47" s="93">
        <f t="shared" si="3"/>
        <v>58.4</v>
      </c>
      <c r="S47" s="208">
        <v>1</v>
      </c>
      <c r="T47" s="81"/>
      <c r="V47" s="82" t="s">
        <v>487</v>
      </c>
      <c r="W47" s="208" t="s">
        <v>22</v>
      </c>
      <c r="X47" s="208" t="s">
        <v>11</v>
      </c>
      <c r="Y47" s="83">
        <v>58.4</v>
      </c>
      <c r="AD47" s="82"/>
      <c r="AG47" s="83"/>
      <c r="AL47" s="82"/>
      <c r="AO47" s="83"/>
      <c r="AP47" s="82"/>
      <c r="AS47" s="83"/>
      <c r="AW47" s="83"/>
      <c r="BA47" s="84"/>
    </row>
    <row r="48" spans="1:53" s="334" customFormat="1">
      <c r="A48" s="334">
        <v>1995</v>
      </c>
      <c r="B48" s="355">
        <v>35000</v>
      </c>
      <c r="C48" s="992" t="s">
        <v>841</v>
      </c>
      <c r="D48" s="992"/>
      <c r="E48" s="334">
        <f>365-E47</f>
        <v>65</v>
      </c>
      <c r="F48" s="334">
        <v>1</v>
      </c>
      <c r="G48" s="419"/>
      <c r="I48" s="334">
        <v>14</v>
      </c>
      <c r="J48" s="435">
        <v>18</v>
      </c>
      <c r="K48" s="384">
        <f t="shared" si="1"/>
        <v>0</v>
      </c>
      <c r="L48" s="384">
        <f t="shared" si="1"/>
        <v>0</v>
      </c>
      <c r="M48" s="384">
        <f t="shared" si="1"/>
        <v>77.777777777777786</v>
      </c>
      <c r="N48" s="421">
        <f t="shared" si="2"/>
        <v>77.777777777777786</v>
      </c>
      <c r="O48" s="383"/>
      <c r="P48" s="384"/>
      <c r="Q48" s="384">
        <v>48.7</v>
      </c>
      <c r="R48" s="385">
        <f t="shared" si="3"/>
        <v>48.7</v>
      </c>
      <c r="S48" s="334">
        <v>4</v>
      </c>
      <c r="T48" s="342">
        <v>34973</v>
      </c>
      <c r="U48" s="355">
        <v>35000</v>
      </c>
      <c r="V48" s="343" t="s">
        <v>96</v>
      </c>
      <c r="W48" s="334" t="s">
        <v>20</v>
      </c>
      <c r="X48" s="334" t="s">
        <v>12</v>
      </c>
      <c r="Y48" s="344">
        <v>48.7</v>
      </c>
      <c r="AD48" s="343"/>
      <c r="AG48" s="344"/>
      <c r="AL48" s="343"/>
      <c r="AO48" s="344"/>
      <c r="AP48" s="343"/>
      <c r="AS48" s="344"/>
      <c r="AW48" s="344"/>
      <c r="BA48" s="345"/>
    </row>
    <row r="49" spans="1:53" s="334" customFormat="1">
      <c r="A49" s="334">
        <v>1996</v>
      </c>
      <c r="C49" s="992" t="s">
        <v>841</v>
      </c>
      <c r="D49" s="992"/>
      <c r="E49" s="334">
        <v>0</v>
      </c>
      <c r="G49" s="419"/>
      <c r="I49" s="334">
        <v>14</v>
      </c>
      <c r="J49" s="435">
        <v>18</v>
      </c>
      <c r="K49" s="384">
        <f t="shared" si="1"/>
        <v>0</v>
      </c>
      <c r="L49" s="384">
        <f t="shared" si="1"/>
        <v>0</v>
      </c>
      <c r="M49" s="384">
        <f t="shared" si="1"/>
        <v>77.777777777777786</v>
      </c>
      <c r="N49" s="421">
        <f t="shared" si="2"/>
        <v>77.777777777777786</v>
      </c>
      <c r="O49" s="383"/>
      <c r="P49" s="384"/>
      <c r="Q49" s="384">
        <v>48.7</v>
      </c>
      <c r="R49" s="385">
        <f t="shared" si="3"/>
        <v>48.7</v>
      </c>
      <c r="S49" s="334">
        <v>4</v>
      </c>
      <c r="T49" s="357"/>
      <c r="V49" s="343" t="s">
        <v>96</v>
      </c>
      <c r="W49" s="334" t="s">
        <v>20</v>
      </c>
      <c r="X49" s="334" t="s">
        <v>12</v>
      </c>
      <c r="Y49" s="344">
        <v>48.7</v>
      </c>
      <c r="AD49" s="343"/>
      <c r="AG49" s="344"/>
      <c r="AL49" s="343"/>
      <c r="AO49" s="344"/>
      <c r="AP49" s="343"/>
      <c r="AS49" s="344"/>
      <c r="AW49" s="344"/>
      <c r="BA49" s="345"/>
    </row>
    <row r="50" spans="1:53" s="334" customFormat="1">
      <c r="A50" s="334">
        <v>1996</v>
      </c>
      <c r="C50" s="992" t="s">
        <v>841</v>
      </c>
      <c r="D50" s="992"/>
      <c r="E50" s="334">
        <v>366</v>
      </c>
      <c r="G50" s="419"/>
      <c r="I50" s="334">
        <v>14</v>
      </c>
      <c r="J50" s="435">
        <v>18</v>
      </c>
      <c r="K50" s="384">
        <f t="shared" si="1"/>
        <v>0</v>
      </c>
      <c r="L50" s="384">
        <f t="shared" si="1"/>
        <v>0</v>
      </c>
      <c r="M50" s="384">
        <f t="shared" si="1"/>
        <v>77.777777777777786</v>
      </c>
      <c r="N50" s="421">
        <f t="shared" si="2"/>
        <v>77.777777777777786</v>
      </c>
      <c r="O50" s="383"/>
      <c r="P50" s="384"/>
      <c r="Q50" s="384">
        <v>48.7</v>
      </c>
      <c r="R50" s="385">
        <f t="shared" si="3"/>
        <v>48.7</v>
      </c>
      <c r="S50" s="334">
        <v>4</v>
      </c>
      <c r="T50" s="357"/>
      <c r="V50" s="343" t="s">
        <v>96</v>
      </c>
      <c r="W50" s="334" t="s">
        <v>20</v>
      </c>
      <c r="X50" s="334" t="s">
        <v>12</v>
      </c>
      <c r="Y50" s="344">
        <v>48.7</v>
      </c>
      <c r="AD50" s="343"/>
      <c r="AG50" s="344"/>
      <c r="AL50" s="343"/>
      <c r="AO50" s="344"/>
      <c r="AP50" s="343"/>
      <c r="AS50" s="344"/>
      <c r="AW50" s="344"/>
      <c r="BA50" s="345"/>
    </row>
    <row r="51" spans="1:53" s="334" customFormat="1">
      <c r="A51" s="334">
        <v>1997</v>
      </c>
      <c r="C51" s="992" t="s">
        <v>841</v>
      </c>
      <c r="D51" s="992"/>
      <c r="E51" s="334">
        <v>328</v>
      </c>
      <c r="G51" s="419"/>
      <c r="I51" s="334">
        <v>13</v>
      </c>
      <c r="J51" s="435">
        <v>17</v>
      </c>
      <c r="K51" s="384">
        <f t="shared" si="1"/>
        <v>0</v>
      </c>
      <c r="L51" s="384">
        <f t="shared" si="1"/>
        <v>0</v>
      </c>
      <c r="M51" s="384">
        <f t="shared" si="1"/>
        <v>76.470588235294116</v>
      </c>
      <c r="N51" s="421">
        <f t="shared" si="2"/>
        <v>76.470588235294116</v>
      </c>
      <c r="O51" s="383"/>
      <c r="P51" s="384"/>
      <c r="Q51" s="384">
        <v>48.7</v>
      </c>
      <c r="R51" s="385">
        <f t="shared" si="3"/>
        <v>48.7</v>
      </c>
      <c r="S51" s="334">
        <v>4</v>
      </c>
      <c r="T51" s="357"/>
      <c r="V51" s="343" t="s">
        <v>96</v>
      </c>
      <c r="W51" s="334" t="s">
        <v>20</v>
      </c>
      <c r="X51" s="334" t="s">
        <v>12</v>
      </c>
      <c r="Y51" s="344">
        <v>48.7</v>
      </c>
      <c r="AD51" s="343"/>
      <c r="AG51" s="344"/>
      <c r="AL51" s="343"/>
      <c r="AO51" s="344"/>
      <c r="AP51" s="343"/>
      <c r="AS51" s="344"/>
      <c r="AW51" s="344"/>
      <c r="BA51" s="345"/>
    </row>
    <row r="52" spans="1:53" s="334" customFormat="1">
      <c r="A52" s="334">
        <v>1997</v>
      </c>
      <c r="B52" s="445">
        <v>35759</v>
      </c>
      <c r="C52" s="992" t="s">
        <v>841</v>
      </c>
      <c r="D52" s="992"/>
      <c r="E52" s="334">
        <f>365-E51</f>
        <v>37</v>
      </c>
      <c r="F52" s="441">
        <v>0</v>
      </c>
      <c r="G52" s="419"/>
      <c r="I52" s="334">
        <v>14</v>
      </c>
      <c r="J52" s="435">
        <v>17</v>
      </c>
      <c r="K52" s="384">
        <f t="shared" si="1"/>
        <v>0</v>
      </c>
      <c r="L52" s="384">
        <f t="shared" si="1"/>
        <v>0</v>
      </c>
      <c r="M52" s="384">
        <f t="shared" si="1"/>
        <v>82.35294117647058</v>
      </c>
      <c r="N52" s="421">
        <f t="shared" si="2"/>
        <v>82.35294117647058</v>
      </c>
      <c r="O52" s="383"/>
      <c r="P52" s="384"/>
      <c r="Q52" s="384">
        <v>48.7</v>
      </c>
      <c r="R52" s="385">
        <f t="shared" si="3"/>
        <v>48.7</v>
      </c>
      <c r="S52" s="334">
        <v>4</v>
      </c>
      <c r="T52" s="357"/>
      <c r="U52" s="355"/>
      <c r="V52" s="343" t="s">
        <v>96</v>
      </c>
      <c r="W52" s="334" t="s">
        <v>20</v>
      </c>
      <c r="X52" s="334" t="s">
        <v>12</v>
      </c>
      <c r="Y52" s="344">
        <v>48.7</v>
      </c>
      <c r="AD52" s="343"/>
      <c r="AG52" s="344"/>
      <c r="AL52" s="343"/>
      <c r="AO52" s="344"/>
      <c r="AP52" s="343"/>
      <c r="AS52" s="344"/>
      <c r="AW52" s="344"/>
      <c r="BA52" s="345"/>
    </row>
    <row r="53" spans="1:53" s="334" customFormat="1">
      <c r="A53" s="334">
        <v>1998</v>
      </c>
      <c r="C53" s="992" t="s">
        <v>841</v>
      </c>
      <c r="D53" s="992"/>
      <c r="E53" s="334">
        <v>0</v>
      </c>
      <c r="G53" s="419"/>
      <c r="I53" s="334">
        <v>14</v>
      </c>
      <c r="J53" s="435">
        <v>17</v>
      </c>
      <c r="K53" s="384">
        <f t="shared" si="1"/>
        <v>0</v>
      </c>
      <c r="L53" s="384">
        <f t="shared" si="1"/>
        <v>0</v>
      </c>
      <c r="M53" s="384">
        <f t="shared" si="1"/>
        <v>82.35294117647058</v>
      </c>
      <c r="N53" s="421">
        <f t="shared" si="2"/>
        <v>82.35294117647058</v>
      </c>
      <c r="O53" s="383"/>
      <c r="P53" s="384"/>
      <c r="Q53" s="384">
        <v>48.7</v>
      </c>
      <c r="R53" s="385">
        <f t="shared" si="3"/>
        <v>48.7</v>
      </c>
      <c r="S53" s="334">
        <v>4</v>
      </c>
      <c r="T53" s="357"/>
      <c r="V53" s="343" t="s">
        <v>96</v>
      </c>
      <c r="W53" s="334" t="s">
        <v>20</v>
      </c>
      <c r="X53" s="334" t="s">
        <v>12</v>
      </c>
      <c r="Y53" s="344">
        <v>48.7</v>
      </c>
      <c r="AD53" s="343"/>
      <c r="AG53" s="344"/>
      <c r="AL53" s="343"/>
      <c r="AO53" s="344"/>
      <c r="AP53" s="343"/>
      <c r="AS53" s="344"/>
      <c r="AW53" s="344"/>
      <c r="BA53" s="345"/>
    </row>
    <row r="54" spans="1:53" s="334" customFormat="1">
      <c r="A54" s="334">
        <v>1998</v>
      </c>
      <c r="C54" s="992" t="s">
        <v>841</v>
      </c>
      <c r="D54" s="992"/>
      <c r="E54" s="334">
        <f>365-E53</f>
        <v>365</v>
      </c>
      <c r="G54" s="419"/>
      <c r="I54" s="334">
        <v>14</v>
      </c>
      <c r="J54" s="435">
        <v>17</v>
      </c>
      <c r="K54" s="384">
        <f t="shared" si="1"/>
        <v>0</v>
      </c>
      <c r="L54" s="384">
        <f t="shared" si="1"/>
        <v>0</v>
      </c>
      <c r="M54" s="384">
        <f t="shared" si="1"/>
        <v>82.35294117647058</v>
      </c>
      <c r="N54" s="421">
        <f t="shared" si="2"/>
        <v>82.35294117647058</v>
      </c>
      <c r="O54" s="383"/>
      <c r="P54" s="384"/>
      <c r="Q54" s="384">
        <v>48.7</v>
      </c>
      <c r="R54" s="385">
        <f t="shared" si="3"/>
        <v>48.7</v>
      </c>
      <c r="S54" s="334">
        <v>4</v>
      </c>
      <c r="T54" s="357"/>
      <c r="V54" s="343" t="s">
        <v>96</v>
      </c>
      <c r="W54" s="334" t="s">
        <v>20</v>
      </c>
      <c r="X54" s="334" t="s">
        <v>12</v>
      </c>
      <c r="Y54" s="344">
        <v>48.7</v>
      </c>
      <c r="AD54" s="343"/>
      <c r="AG54" s="344"/>
      <c r="AL54" s="343"/>
      <c r="AO54" s="344"/>
      <c r="AP54" s="343"/>
      <c r="AS54" s="344"/>
      <c r="AW54" s="344"/>
      <c r="BA54" s="345"/>
    </row>
    <row r="55" spans="1:53" s="334" customFormat="1">
      <c r="A55" s="334">
        <v>1999</v>
      </c>
      <c r="C55" s="992" t="s">
        <v>841</v>
      </c>
      <c r="D55" s="992"/>
      <c r="E55" s="334">
        <v>293</v>
      </c>
      <c r="G55" s="419"/>
      <c r="I55" s="334">
        <v>14</v>
      </c>
      <c r="J55" s="435">
        <v>17</v>
      </c>
      <c r="K55" s="384">
        <f t="shared" si="1"/>
        <v>0</v>
      </c>
      <c r="L55" s="384">
        <f t="shared" si="1"/>
        <v>0</v>
      </c>
      <c r="M55" s="384">
        <f t="shared" si="1"/>
        <v>82.35294117647058</v>
      </c>
      <c r="N55" s="421">
        <f t="shared" si="2"/>
        <v>82.35294117647058</v>
      </c>
      <c r="O55" s="383"/>
      <c r="P55" s="384"/>
      <c r="Q55" s="384">
        <v>48.7</v>
      </c>
      <c r="R55" s="385">
        <f t="shared" si="3"/>
        <v>48.7</v>
      </c>
      <c r="S55" s="334">
        <v>4</v>
      </c>
      <c r="T55" s="357"/>
      <c r="V55" s="343" t="s">
        <v>96</v>
      </c>
      <c r="W55" s="334" t="s">
        <v>20</v>
      </c>
      <c r="X55" s="334" t="s">
        <v>12</v>
      </c>
      <c r="Y55" s="344">
        <v>48.7</v>
      </c>
      <c r="AD55" s="343"/>
      <c r="AG55" s="344"/>
      <c r="AL55" s="343"/>
      <c r="AO55" s="344"/>
      <c r="AP55" s="343"/>
      <c r="AS55" s="344"/>
      <c r="AW55" s="344"/>
      <c r="BA55" s="345"/>
    </row>
    <row r="56" spans="1:53" s="208" customFormat="1">
      <c r="A56" s="208">
        <v>1999</v>
      </c>
      <c r="B56" s="207">
        <v>36454</v>
      </c>
      <c r="C56" s="988" t="s">
        <v>842</v>
      </c>
      <c r="D56" s="988"/>
      <c r="E56" s="208">
        <f>365-E55</f>
        <v>72</v>
      </c>
      <c r="F56" s="208">
        <v>1</v>
      </c>
      <c r="G56" s="123"/>
      <c r="I56" s="208">
        <v>18</v>
      </c>
      <c r="J56" s="134">
        <v>19</v>
      </c>
      <c r="K56" s="92">
        <f t="shared" si="1"/>
        <v>0</v>
      </c>
      <c r="L56" s="92">
        <f t="shared" si="1"/>
        <v>0</v>
      </c>
      <c r="M56" s="92">
        <f t="shared" si="1"/>
        <v>94.73684210526315</v>
      </c>
      <c r="N56" s="125">
        <f t="shared" si="2"/>
        <v>94.73684210526315</v>
      </c>
      <c r="O56" s="91"/>
      <c r="P56" s="92"/>
      <c r="Q56" s="92">
        <v>50</v>
      </c>
      <c r="R56" s="93">
        <f t="shared" si="3"/>
        <v>50</v>
      </c>
      <c r="S56" s="208">
        <v>4</v>
      </c>
      <c r="T56" s="95">
        <v>36443</v>
      </c>
      <c r="U56" s="207">
        <v>36454</v>
      </c>
      <c r="V56" s="82" t="s">
        <v>96</v>
      </c>
      <c r="W56" s="208" t="s">
        <v>20</v>
      </c>
      <c r="X56" s="208" t="s">
        <v>12</v>
      </c>
      <c r="Y56" s="83">
        <v>50</v>
      </c>
      <c r="AD56" s="82"/>
      <c r="AG56" s="83"/>
      <c r="AL56" s="82"/>
      <c r="AO56" s="83"/>
      <c r="AP56" s="82"/>
      <c r="AS56" s="83"/>
      <c r="AW56" s="83"/>
      <c r="BA56" s="84"/>
    </row>
    <row r="57" spans="1:53" s="208" customFormat="1">
      <c r="A57" s="208">
        <v>2000</v>
      </c>
      <c r="C57" s="988" t="s">
        <v>842</v>
      </c>
      <c r="D57" s="988"/>
      <c r="E57" s="208">
        <v>273</v>
      </c>
      <c r="G57" s="123"/>
      <c r="I57" s="208">
        <v>14</v>
      </c>
      <c r="J57" s="134">
        <v>19</v>
      </c>
      <c r="K57" s="92">
        <f t="shared" si="1"/>
        <v>0</v>
      </c>
      <c r="L57" s="92">
        <f t="shared" si="1"/>
        <v>0</v>
      </c>
      <c r="M57" s="92">
        <f t="shared" si="1"/>
        <v>73.68421052631578</v>
      </c>
      <c r="N57" s="125">
        <f t="shared" si="2"/>
        <v>73.68421052631578</v>
      </c>
      <c r="O57" s="91"/>
      <c r="P57" s="92"/>
      <c r="Q57" s="92">
        <v>50</v>
      </c>
      <c r="R57" s="93">
        <f t="shared" si="3"/>
        <v>50</v>
      </c>
      <c r="S57" s="208">
        <v>4</v>
      </c>
      <c r="T57" s="81"/>
      <c r="V57" s="82" t="s">
        <v>96</v>
      </c>
      <c r="W57" s="208" t="s">
        <v>20</v>
      </c>
      <c r="X57" s="208" t="s">
        <v>12</v>
      </c>
      <c r="Y57" s="83">
        <v>50</v>
      </c>
      <c r="AD57" s="82"/>
      <c r="AG57" s="83"/>
      <c r="AL57" s="82"/>
      <c r="AO57" s="83"/>
      <c r="AP57" s="82"/>
      <c r="AS57" s="83"/>
      <c r="AW57" s="83"/>
      <c r="BA57" s="84"/>
    </row>
    <row r="58" spans="1:53" s="208" customFormat="1">
      <c r="A58" s="208">
        <v>2000</v>
      </c>
      <c r="B58" s="149">
        <v>36799</v>
      </c>
      <c r="C58" s="988" t="s">
        <v>842</v>
      </c>
      <c r="D58" s="988"/>
      <c r="E58" s="208">
        <f>366-E57</f>
        <v>93</v>
      </c>
      <c r="F58" s="150">
        <v>0</v>
      </c>
      <c r="G58" s="123"/>
      <c r="I58" s="208">
        <v>11</v>
      </c>
      <c r="J58" s="134">
        <v>19</v>
      </c>
      <c r="K58" s="92">
        <f t="shared" si="1"/>
        <v>0</v>
      </c>
      <c r="L58" s="92">
        <f t="shared" si="1"/>
        <v>0</v>
      </c>
      <c r="M58" s="92">
        <f t="shared" si="1"/>
        <v>57.894736842105267</v>
      </c>
      <c r="N58" s="125">
        <f t="shared" si="2"/>
        <v>57.894736842105267</v>
      </c>
      <c r="O58" s="91"/>
      <c r="P58" s="92"/>
      <c r="Q58" s="92">
        <v>50</v>
      </c>
      <c r="R58" s="93">
        <f t="shared" si="3"/>
        <v>50</v>
      </c>
      <c r="S58" s="208">
        <v>4</v>
      </c>
      <c r="T58" s="81"/>
      <c r="V58" s="82" t="s">
        <v>96</v>
      </c>
      <c r="W58" s="208" t="s">
        <v>20</v>
      </c>
      <c r="X58" s="208" t="s">
        <v>12</v>
      </c>
      <c r="Y58" s="83">
        <v>50</v>
      </c>
      <c r="AD58" s="82"/>
      <c r="AG58" s="83"/>
      <c r="AL58" s="82"/>
      <c r="AO58" s="83"/>
      <c r="AP58" s="82"/>
      <c r="AS58" s="83"/>
      <c r="AW58" s="83"/>
      <c r="BA58" s="84"/>
    </row>
    <row r="59" spans="1:53" s="208" customFormat="1">
      <c r="A59" s="208">
        <v>2001</v>
      </c>
      <c r="C59" s="988" t="s">
        <v>842</v>
      </c>
      <c r="D59" s="988"/>
      <c r="E59" s="208">
        <v>0</v>
      </c>
      <c r="G59" s="123"/>
      <c r="I59" s="208">
        <v>11</v>
      </c>
      <c r="J59" s="134">
        <v>19</v>
      </c>
      <c r="K59" s="92">
        <f t="shared" si="1"/>
        <v>0</v>
      </c>
      <c r="L59" s="92">
        <f t="shared" si="1"/>
        <v>0</v>
      </c>
      <c r="M59" s="92">
        <f t="shared" si="1"/>
        <v>57.894736842105267</v>
      </c>
      <c r="N59" s="125">
        <f t="shared" si="2"/>
        <v>57.894736842105267</v>
      </c>
      <c r="O59" s="91"/>
      <c r="P59" s="92"/>
      <c r="Q59" s="92">
        <v>50</v>
      </c>
      <c r="R59" s="93">
        <f t="shared" si="3"/>
        <v>50</v>
      </c>
      <c r="S59" s="208">
        <v>4</v>
      </c>
      <c r="T59" s="81"/>
      <c r="V59" s="82" t="s">
        <v>96</v>
      </c>
      <c r="W59" s="208" t="s">
        <v>20</v>
      </c>
      <c r="X59" s="208" t="s">
        <v>12</v>
      </c>
      <c r="Y59" s="83">
        <v>50</v>
      </c>
      <c r="AD59" s="82"/>
      <c r="AG59" s="83"/>
      <c r="AL59" s="82"/>
      <c r="AO59" s="83"/>
      <c r="AP59" s="82"/>
      <c r="AS59" s="83"/>
      <c r="AW59" s="83"/>
      <c r="BA59" s="84"/>
    </row>
    <row r="60" spans="1:53" s="208" customFormat="1">
      <c r="A60" s="208">
        <v>2001</v>
      </c>
      <c r="C60" s="988" t="s">
        <v>842</v>
      </c>
      <c r="D60" s="988"/>
      <c r="E60" s="208">
        <f>365-E59</f>
        <v>365</v>
      </c>
      <c r="G60" s="123"/>
      <c r="I60" s="208">
        <v>11</v>
      </c>
      <c r="J60" s="134">
        <v>19</v>
      </c>
      <c r="K60" s="92">
        <f t="shared" si="1"/>
        <v>0</v>
      </c>
      <c r="L60" s="92">
        <f t="shared" si="1"/>
        <v>0</v>
      </c>
      <c r="M60" s="92">
        <f t="shared" si="1"/>
        <v>57.894736842105267</v>
      </c>
      <c r="N60" s="125">
        <f t="shared" si="2"/>
        <v>57.894736842105267</v>
      </c>
      <c r="O60" s="91"/>
      <c r="P60" s="92"/>
      <c r="Q60" s="92">
        <v>50</v>
      </c>
      <c r="R60" s="93">
        <f t="shared" si="3"/>
        <v>50</v>
      </c>
      <c r="S60" s="208">
        <v>4</v>
      </c>
      <c r="T60" s="81"/>
      <c r="V60" s="82" t="s">
        <v>96</v>
      </c>
      <c r="W60" s="208" t="s">
        <v>20</v>
      </c>
      <c r="X60" s="208" t="s">
        <v>12</v>
      </c>
      <c r="Y60" s="83">
        <v>50</v>
      </c>
      <c r="AD60" s="82"/>
      <c r="AG60" s="83"/>
      <c r="AL60" s="82"/>
      <c r="AO60" s="83"/>
      <c r="AP60" s="82"/>
      <c r="AS60" s="83"/>
      <c r="AW60" s="83"/>
      <c r="BA60" s="84"/>
    </row>
    <row r="61" spans="1:53" s="208" customFormat="1">
      <c r="A61" s="208">
        <v>2002</v>
      </c>
      <c r="C61" s="988" t="s">
        <v>842</v>
      </c>
      <c r="D61" s="988"/>
      <c r="E61" s="208">
        <v>97</v>
      </c>
      <c r="G61" s="123"/>
      <c r="I61" s="208">
        <v>11</v>
      </c>
      <c r="J61" s="134">
        <v>19</v>
      </c>
      <c r="K61" s="92">
        <f t="shared" si="1"/>
        <v>0</v>
      </c>
      <c r="L61" s="92">
        <f t="shared" si="1"/>
        <v>0</v>
      </c>
      <c r="M61" s="92">
        <f t="shared" si="1"/>
        <v>57.894736842105267</v>
      </c>
      <c r="N61" s="125">
        <f t="shared" si="2"/>
        <v>57.894736842105267</v>
      </c>
      <c r="O61" s="91"/>
      <c r="P61" s="92"/>
      <c r="Q61" s="92">
        <v>50</v>
      </c>
      <c r="R61" s="93">
        <f t="shared" si="3"/>
        <v>50</v>
      </c>
      <c r="S61" s="208">
        <v>4</v>
      </c>
      <c r="T61" s="81"/>
      <c r="V61" s="82" t="s">
        <v>96</v>
      </c>
      <c r="W61" s="208" t="s">
        <v>20</v>
      </c>
      <c r="X61" s="208" t="s">
        <v>12</v>
      </c>
      <c r="Y61" s="83">
        <v>50</v>
      </c>
      <c r="AD61" s="82"/>
      <c r="AG61" s="83"/>
      <c r="AL61" s="82"/>
      <c r="AO61" s="83"/>
      <c r="AP61" s="82"/>
      <c r="AS61" s="83"/>
      <c r="AW61" s="83"/>
      <c r="BA61" s="84"/>
    </row>
    <row r="62" spans="1:53" s="334" customFormat="1">
      <c r="A62" s="334">
        <v>2002</v>
      </c>
      <c r="B62" s="355">
        <v>37354</v>
      </c>
      <c r="C62" s="992" t="s">
        <v>843</v>
      </c>
      <c r="D62" s="992"/>
      <c r="E62" s="334">
        <f>365-E61</f>
        <v>268</v>
      </c>
      <c r="F62" s="334">
        <v>1</v>
      </c>
      <c r="G62" s="419">
        <v>17</v>
      </c>
      <c r="J62" s="435">
        <v>18</v>
      </c>
      <c r="K62" s="384">
        <f t="shared" si="1"/>
        <v>94.444444444444443</v>
      </c>
      <c r="L62" s="384">
        <f t="shared" si="1"/>
        <v>0</v>
      </c>
      <c r="M62" s="384">
        <f t="shared" si="1"/>
        <v>0</v>
      </c>
      <c r="N62" s="421">
        <f t="shared" si="2"/>
        <v>94.444444444444443</v>
      </c>
      <c r="O62" s="383">
        <v>51.8</v>
      </c>
      <c r="P62" s="384"/>
      <c r="Q62" s="384"/>
      <c r="R62" s="385">
        <f t="shared" si="3"/>
        <v>51.8</v>
      </c>
      <c r="S62" s="334">
        <v>2</v>
      </c>
      <c r="T62" s="342">
        <v>37332</v>
      </c>
      <c r="U62" s="355">
        <v>37354</v>
      </c>
      <c r="V62" s="343" t="s">
        <v>487</v>
      </c>
      <c r="W62" s="334" t="s">
        <v>22</v>
      </c>
      <c r="X62" s="334" t="s">
        <v>11</v>
      </c>
      <c r="Y62" s="344">
        <v>45.7</v>
      </c>
      <c r="Z62" s="334" t="s">
        <v>489</v>
      </c>
      <c r="AA62" s="334" t="s">
        <v>17</v>
      </c>
      <c r="AB62" s="334" t="s">
        <v>11</v>
      </c>
      <c r="AC62" s="334">
        <v>6.1</v>
      </c>
      <c r="AD62" s="343"/>
      <c r="AG62" s="344"/>
      <c r="AL62" s="343"/>
      <c r="AO62" s="344"/>
      <c r="AP62" s="343"/>
      <c r="AS62" s="344"/>
      <c r="AW62" s="344"/>
      <c r="BA62" s="345"/>
    </row>
    <row r="63" spans="1:53" s="334" customFormat="1">
      <c r="A63" s="334">
        <v>2003</v>
      </c>
      <c r="C63" s="992" t="s">
        <v>843</v>
      </c>
      <c r="D63" s="992"/>
      <c r="E63" s="334">
        <v>0</v>
      </c>
      <c r="G63" s="419">
        <v>17</v>
      </c>
      <c r="J63" s="435">
        <v>18</v>
      </c>
      <c r="K63" s="384">
        <f t="shared" si="1"/>
        <v>94.444444444444443</v>
      </c>
      <c r="L63" s="384">
        <f t="shared" si="1"/>
        <v>0</v>
      </c>
      <c r="M63" s="384">
        <f t="shared" si="1"/>
        <v>0</v>
      </c>
      <c r="N63" s="421">
        <f t="shared" si="2"/>
        <v>94.444444444444443</v>
      </c>
      <c r="O63" s="383">
        <v>51.8</v>
      </c>
      <c r="P63" s="384"/>
      <c r="Q63" s="384"/>
      <c r="R63" s="385">
        <f t="shared" si="3"/>
        <v>51.8</v>
      </c>
      <c r="S63" s="334">
        <v>2</v>
      </c>
      <c r="T63" s="357"/>
      <c r="V63" s="343" t="s">
        <v>487</v>
      </c>
      <c r="W63" s="334" t="s">
        <v>22</v>
      </c>
      <c r="X63" s="334" t="s">
        <v>11</v>
      </c>
      <c r="Y63" s="344">
        <v>45.7</v>
      </c>
      <c r="Z63" s="334" t="s">
        <v>489</v>
      </c>
      <c r="AA63" s="334" t="s">
        <v>17</v>
      </c>
      <c r="AB63" s="334" t="s">
        <v>11</v>
      </c>
      <c r="AC63" s="334">
        <v>6.1</v>
      </c>
      <c r="AD63" s="343"/>
      <c r="AG63" s="344"/>
      <c r="AL63" s="343"/>
      <c r="AO63" s="344"/>
      <c r="AP63" s="343"/>
      <c r="AS63" s="344"/>
      <c r="AW63" s="344"/>
      <c r="BA63" s="345"/>
    </row>
    <row r="64" spans="1:53" s="334" customFormat="1">
      <c r="A64" s="334">
        <v>2003</v>
      </c>
      <c r="C64" s="992" t="s">
        <v>843</v>
      </c>
      <c r="D64" s="992"/>
      <c r="E64" s="334">
        <f>365-E63</f>
        <v>365</v>
      </c>
      <c r="G64" s="419">
        <v>17</v>
      </c>
      <c r="J64" s="435">
        <v>18</v>
      </c>
      <c r="K64" s="384">
        <f t="shared" si="1"/>
        <v>94.444444444444443</v>
      </c>
      <c r="L64" s="384">
        <f t="shared" si="1"/>
        <v>0</v>
      </c>
      <c r="M64" s="384">
        <f t="shared" si="1"/>
        <v>0</v>
      </c>
      <c r="N64" s="421">
        <f t="shared" si="2"/>
        <v>94.444444444444443</v>
      </c>
      <c r="O64" s="383">
        <v>51.8</v>
      </c>
      <c r="P64" s="384"/>
      <c r="Q64" s="384"/>
      <c r="R64" s="385">
        <f t="shared" si="3"/>
        <v>51.8</v>
      </c>
      <c r="S64" s="334">
        <v>2</v>
      </c>
      <c r="T64" s="357"/>
      <c r="V64" s="343" t="s">
        <v>487</v>
      </c>
      <c r="W64" s="334" t="s">
        <v>22</v>
      </c>
      <c r="X64" s="334" t="s">
        <v>11</v>
      </c>
      <c r="Y64" s="344">
        <v>45.7</v>
      </c>
      <c r="Z64" s="334" t="s">
        <v>489</v>
      </c>
      <c r="AA64" s="334" t="s">
        <v>17</v>
      </c>
      <c r="AB64" s="334" t="s">
        <v>11</v>
      </c>
      <c r="AC64" s="334">
        <v>6.1</v>
      </c>
      <c r="AD64" s="343"/>
      <c r="AG64" s="344"/>
      <c r="AL64" s="343"/>
      <c r="AO64" s="344"/>
      <c r="AP64" s="343"/>
      <c r="AS64" s="344"/>
      <c r="AW64" s="344"/>
      <c r="BA64" s="345"/>
    </row>
    <row r="65" spans="1:53" s="334" customFormat="1">
      <c r="A65" s="334">
        <v>2004</v>
      </c>
      <c r="C65" s="992" t="s">
        <v>843</v>
      </c>
      <c r="D65" s="992"/>
      <c r="E65" s="334">
        <v>204</v>
      </c>
      <c r="G65" s="419">
        <v>17</v>
      </c>
      <c r="J65" s="435">
        <v>18</v>
      </c>
      <c r="K65" s="384">
        <f t="shared" si="1"/>
        <v>94.444444444444443</v>
      </c>
      <c r="L65" s="384">
        <f t="shared" si="1"/>
        <v>0</v>
      </c>
      <c r="M65" s="384">
        <f t="shared" si="1"/>
        <v>0</v>
      </c>
      <c r="N65" s="421">
        <f t="shared" si="2"/>
        <v>94.444444444444443</v>
      </c>
      <c r="O65" s="383">
        <v>51.8</v>
      </c>
      <c r="P65" s="384"/>
      <c r="Q65" s="384"/>
      <c r="R65" s="385">
        <f t="shared" si="3"/>
        <v>51.8</v>
      </c>
      <c r="S65" s="334">
        <v>2</v>
      </c>
      <c r="T65" s="357"/>
      <c r="V65" s="343" t="s">
        <v>487</v>
      </c>
      <c r="W65" s="334" t="s">
        <v>22</v>
      </c>
      <c r="X65" s="334" t="s">
        <v>11</v>
      </c>
      <c r="Y65" s="344">
        <v>45.7</v>
      </c>
      <c r="Z65" s="334" t="s">
        <v>489</v>
      </c>
      <c r="AA65" s="334" t="s">
        <v>17</v>
      </c>
      <c r="AB65" s="334" t="s">
        <v>11</v>
      </c>
      <c r="AC65" s="334">
        <v>6.1</v>
      </c>
      <c r="AD65" s="343"/>
      <c r="AG65" s="344"/>
      <c r="AL65" s="343"/>
      <c r="AO65" s="344"/>
      <c r="AP65" s="343"/>
      <c r="AS65" s="344"/>
      <c r="AW65" s="344"/>
      <c r="BA65" s="345"/>
    </row>
    <row r="66" spans="1:53" s="208" customFormat="1">
      <c r="A66" s="208">
        <v>2004</v>
      </c>
      <c r="B66" s="207">
        <v>38191</v>
      </c>
      <c r="C66" s="988" t="s">
        <v>844</v>
      </c>
      <c r="D66" s="988"/>
      <c r="E66" s="208">
        <f>366-E65</f>
        <v>162</v>
      </c>
      <c r="F66" s="208">
        <v>2</v>
      </c>
      <c r="G66" s="123">
        <v>19</v>
      </c>
      <c r="J66" s="134">
        <v>20</v>
      </c>
      <c r="K66" s="92">
        <f t="shared" si="1"/>
        <v>95</v>
      </c>
      <c r="L66" s="92">
        <f t="shared" si="1"/>
        <v>0</v>
      </c>
      <c r="M66" s="92">
        <f t="shared" si="1"/>
        <v>0</v>
      </c>
      <c r="N66" s="125">
        <f t="shared" si="2"/>
        <v>95</v>
      </c>
      <c r="O66" s="91">
        <v>51.8</v>
      </c>
      <c r="P66" s="92"/>
      <c r="Q66" s="92"/>
      <c r="R66" s="93">
        <f t="shared" si="3"/>
        <v>51.8</v>
      </c>
      <c r="S66" s="208">
        <v>2</v>
      </c>
      <c r="T66" s="81"/>
      <c r="U66" s="207">
        <v>38191</v>
      </c>
      <c r="V66" s="82" t="s">
        <v>487</v>
      </c>
      <c r="W66" s="208" t="s">
        <v>22</v>
      </c>
      <c r="X66" s="208" t="s">
        <v>11</v>
      </c>
      <c r="Y66" s="83">
        <v>45.7</v>
      </c>
      <c r="Z66" s="208" t="s">
        <v>489</v>
      </c>
      <c r="AA66" s="208" t="s">
        <v>17</v>
      </c>
      <c r="AB66" s="208" t="s">
        <v>11</v>
      </c>
      <c r="AC66" s="208">
        <v>6.1</v>
      </c>
      <c r="AD66" s="82"/>
      <c r="AG66" s="83"/>
      <c r="AL66" s="82"/>
      <c r="AO66" s="83"/>
      <c r="AP66" s="82"/>
      <c r="AS66" s="83"/>
      <c r="AW66" s="83"/>
      <c r="BA66" s="84"/>
    </row>
    <row r="67" spans="1:53" s="208" customFormat="1">
      <c r="A67" s="208">
        <v>2005</v>
      </c>
      <c r="C67" s="988" t="s">
        <v>844</v>
      </c>
      <c r="D67" s="988"/>
      <c r="E67" s="208">
        <v>70</v>
      </c>
      <c r="G67" s="123">
        <v>19</v>
      </c>
      <c r="J67" s="134">
        <v>20</v>
      </c>
      <c r="K67" s="92">
        <f t="shared" si="1"/>
        <v>95</v>
      </c>
      <c r="L67" s="92">
        <f t="shared" si="1"/>
        <v>0</v>
      </c>
      <c r="M67" s="92">
        <f t="shared" si="1"/>
        <v>0</v>
      </c>
      <c r="N67" s="125">
        <f t="shared" si="2"/>
        <v>95</v>
      </c>
      <c r="O67" s="91">
        <v>51.8</v>
      </c>
      <c r="P67" s="92"/>
      <c r="Q67" s="92"/>
      <c r="R67" s="93">
        <f t="shared" si="3"/>
        <v>51.8</v>
      </c>
      <c r="S67" s="208">
        <v>2</v>
      </c>
      <c r="T67" s="81"/>
      <c r="V67" s="82" t="s">
        <v>487</v>
      </c>
      <c r="W67" s="208" t="s">
        <v>22</v>
      </c>
      <c r="X67" s="208" t="s">
        <v>11</v>
      </c>
      <c r="Y67" s="83">
        <v>45.7</v>
      </c>
      <c r="Z67" s="208" t="s">
        <v>489</v>
      </c>
      <c r="AA67" s="208" t="s">
        <v>17</v>
      </c>
      <c r="AB67" s="208" t="s">
        <v>11</v>
      </c>
      <c r="AC67" s="208">
        <v>6.1</v>
      </c>
      <c r="AD67" s="82"/>
      <c r="AG67" s="83"/>
      <c r="AL67" s="82"/>
      <c r="AO67" s="83"/>
      <c r="AP67" s="82"/>
      <c r="AS67" s="83"/>
      <c r="AW67" s="83"/>
      <c r="BA67" s="84"/>
    </row>
    <row r="68" spans="1:53" s="334" customFormat="1">
      <c r="A68" s="334">
        <v>2005</v>
      </c>
      <c r="B68" s="355">
        <v>38423</v>
      </c>
      <c r="C68" s="992" t="s">
        <v>845</v>
      </c>
      <c r="D68" s="992"/>
      <c r="E68" s="334">
        <f>365-E67</f>
        <v>295</v>
      </c>
      <c r="F68" s="334">
        <v>6</v>
      </c>
      <c r="G68" s="419"/>
      <c r="I68" s="334">
        <v>9</v>
      </c>
      <c r="J68" s="435">
        <v>17</v>
      </c>
      <c r="K68" s="384">
        <f t="shared" si="1"/>
        <v>0</v>
      </c>
      <c r="L68" s="384">
        <f t="shared" si="1"/>
        <v>0</v>
      </c>
      <c r="M68" s="384">
        <f t="shared" si="1"/>
        <v>52.941176470588239</v>
      </c>
      <c r="N68" s="421">
        <f t="shared" si="2"/>
        <v>52.941176470588239</v>
      </c>
      <c r="O68" s="383"/>
      <c r="P68" s="384"/>
      <c r="Q68" s="384">
        <v>52.6</v>
      </c>
      <c r="R68" s="385">
        <f t="shared" si="3"/>
        <v>52.6</v>
      </c>
      <c r="S68" s="334">
        <v>1</v>
      </c>
      <c r="T68" s="342">
        <v>38403</v>
      </c>
      <c r="U68" s="355">
        <v>38423</v>
      </c>
      <c r="V68" s="343" t="s">
        <v>96</v>
      </c>
      <c r="W68" s="334" t="s">
        <v>20</v>
      </c>
      <c r="X68" s="334" t="s">
        <v>12</v>
      </c>
      <c r="Y68" s="344">
        <v>52.6</v>
      </c>
      <c r="AD68" s="343"/>
      <c r="AG68" s="344"/>
      <c r="AL68" s="343"/>
      <c r="AO68" s="344"/>
      <c r="AP68" s="343"/>
      <c r="AS68" s="344"/>
      <c r="AW68" s="344"/>
      <c r="BA68" s="345"/>
    </row>
    <row r="69" spans="1:53" s="334" customFormat="1">
      <c r="A69" s="334">
        <v>2006</v>
      </c>
      <c r="C69" s="992" t="s">
        <v>845</v>
      </c>
      <c r="D69" s="992"/>
      <c r="E69" s="334">
        <v>183</v>
      </c>
      <c r="G69" s="419"/>
      <c r="I69" s="334">
        <v>9</v>
      </c>
      <c r="J69" s="435">
        <v>17</v>
      </c>
      <c r="K69" s="384">
        <f t="shared" si="1"/>
        <v>0</v>
      </c>
      <c r="L69" s="384">
        <f t="shared" si="1"/>
        <v>0</v>
      </c>
      <c r="M69" s="384">
        <f t="shared" si="1"/>
        <v>52.941176470588239</v>
      </c>
      <c r="N69" s="421">
        <f t="shared" si="2"/>
        <v>52.941176470588239</v>
      </c>
      <c r="O69" s="383"/>
      <c r="P69" s="384"/>
      <c r="Q69" s="384">
        <v>52.6</v>
      </c>
      <c r="R69" s="385">
        <f t="shared" si="3"/>
        <v>52.6</v>
      </c>
      <c r="S69" s="334">
        <v>1</v>
      </c>
      <c r="T69" s="357"/>
      <c r="V69" s="343" t="s">
        <v>96</v>
      </c>
      <c r="W69" s="334" t="s">
        <v>20</v>
      </c>
      <c r="X69" s="334" t="s">
        <v>12</v>
      </c>
      <c r="Y69" s="344">
        <v>52.6</v>
      </c>
      <c r="AD69" s="343"/>
      <c r="AG69" s="344"/>
      <c r="AL69" s="343"/>
      <c r="AO69" s="344"/>
      <c r="AP69" s="343"/>
      <c r="AS69" s="344"/>
      <c r="AW69" s="344"/>
      <c r="BA69" s="345"/>
    </row>
    <row r="70" spans="1:53" s="334" customFormat="1">
      <c r="A70" s="334">
        <v>2006</v>
      </c>
      <c r="B70" s="445">
        <v>38901</v>
      </c>
      <c r="C70" s="992" t="s">
        <v>845</v>
      </c>
      <c r="D70" s="992"/>
      <c r="E70" s="334">
        <f>365-E69</f>
        <v>182</v>
      </c>
      <c r="F70" s="441">
        <v>0</v>
      </c>
      <c r="G70" s="419"/>
      <c r="I70" s="334">
        <v>10</v>
      </c>
      <c r="J70" s="435">
        <v>17</v>
      </c>
      <c r="K70" s="384">
        <f t="shared" si="1"/>
        <v>0</v>
      </c>
      <c r="L70" s="384">
        <f t="shared" si="1"/>
        <v>0</v>
      </c>
      <c r="M70" s="384">
        <f t="shared" si="1"/>
        <v>58.82352941176471</v>
      </c>
      <c r="N70" s="421">
        <f t="shared" si="2"/>
        <v>58.82352941176471</v>
      </c>
      <c r="O70" s="383"/>
      <c r="P70" s="384"/>
      <c r="Q70" s="384">
        <v>52.6</v>
      </c>
      <c r="R70" s="385">
        <f t="shared" si="3"/>
        <v>52.6</v>
      </c>
      <c r="S70" s="334">
        <v>1</v>
      </c>
      <c r="T70" s="357"/>
      <c r="V70" s="343" t="s">
        <v>96</v>
      </c>
      <c r="W70" s="334" t="s">
        <v>20</v>
      </c>
      <c r="X70" s="334" t="s">
        <v>12</v>
      </c>
      <c r="Y70" s="344">
        <v>52.6</v>
      </c>
      <c r="AD70" s="343"/>
      <c r="AG70" s="344"/>
      <c r="AL70" s="343"/>
      <c r="AO70" s="344"/>
      <c r="AP70" s="343"/>
      <c r="AS70" s="344"/>
      <c r="AW70" s="344"/>
      <c r="BA70" s="345"/>
    </row>
    <row r="71" spans="1:53" s="334" customFormat="1">
      <c r="A71" s="334">
        <v>2007</v>
      </c>
      <c r="B71" s="441"/>
      <c r="C71" s="992" t="s">
        <v>845</v>
      </c>
      <c r="D71" s="992"/>
      <c r="E71" s="334">
        <v>136</v>
      </c>
      <c r="F71" s="441"/>
      <c r="G71" s="419"/>
      <c r="I71" s="334">
        <v>10</v>
      </c>
      <c r="J71" s="435">
        <v>17</v>
      </c>
      <c r="K71" s="384">
        <f t="shared" si="1"/>
        <v>0</v>
      </c>
      <c r="L71" s="384">
        <f t="shared" si="1"/>
        <v>0</v>
      </c>
      <c r="M71" s="384">
        <f t="shared" si="1"/>
        <v>58.82352941176471</v>
      </c>
      <c r="N71" s="421">
        <f t="shared" si="2"/>
        <v>58.82352941176471</v>
      </c>
      <c r="O71" s="383"/>
      <c r="P71" s="384"/>
      <c r="Q71" s="384">
        <v>52.6</v>
      </c>
      <c r="R71" s="385">
        <f t="shared" si="3"/>
        <v>52.6</v>
      </c>
      <c r="S71" s="334">
        <v>1</v>
      </c>
      <c r="T71" s="357"/>
      <c r="V71" s="343" t="s">
        <v>96</v>
      </c>
      <c r="W71" s="334" t="s">
        <v>20</v>
      </c>
      <c r="X71" s="334" t="s">
        <v>12</v>
      </c>
      <c r="Y71" s="344">
        <v>52.6</v>
      </c>
      <c r="AD71" s="343"/>
      <c r="AG71" s="344"/>
      <c r="AL71" s="343"/>
      <c r="AO71" s="344"/>
      <c r="AP71" s="343"/>
      <c r="AS71" s="344"/>
      <c r="AW71" s="344"/>
      <c r="BA71" s="345"/>
    </row>
    <row r="72" spans="1:53" s="334" customFormat="1">
      <c r="A72" s="334">
        <v>2007</v>
      </c>
      <c r="B72" s="445">
        <v>39219</v>
      </c>
      <c r="C72" s="992" t="s">
        <v>845</v>
      </c>
      <c r="D72" s="992"/>
      <c r="E72" s="334">
        <f>365-E71</f>
        <v>229</v>
      </c>
      <c r="F72" s="441">
        <v>0</v>
      </c>
      <c r="G72" s="419"/>
      <c r="I72" s="334">
        <v>9</v>
      </c>
      <c r="J72" s="435">
        <v>17</v>
      </c>
      <c r="K72" s="384">
        <f t="shared" ref="K72:M83" si="4">G72/$J72*100</f>
        <v>0</v>
      </c>
      <c r="L72" s="384">
        <f t="shared" si="4"/>
        <v>0</v>
      </c>
      <c r="M72" s="384">
        <f t="shared" si="4"/>
        <v>52.941176470588239</v>
      </c>
      <c r="N72" s="421">
        <f t="shared" ref="N72:N83" si="5">K72+L72+M72</f>
        <v>52.941176470588239</v>
      </c>
      <c r="O72" s="383"/>
      <c r="P72" s="384"/>
      <c r="Q72" s="384">
        <v>52.6</v>
      </c>
      <c r="R72" s="385">
        <f t="shared" ref="R72:R85" si="6">O72+P72+Q72</f>
        <v>52.6</v>
      </c>
      <c r="S72" s="334">
        <v>1</v>
      </c>
      <c r="T72" s="357"/>
      <c r="V72" s="343" t="s">
        <v>96</v>
      </c>
      <c r="W72" s="334" t="s">
        <v>20</v>
      </c>
      <c r="X72" s="334" t="s">
        <v>12</v>
      </c>
      <c r="Y72" s="344">
        <v>52.6</v>
      </c>
      <c r="AD72" s="343"/>
      <c r="AG72" s="344"/>
      <c r="AL72" s="343"/>
      <c r="AO72" s="344"/>
      <c r="AP72" s="343"/>
      <c r="AS72" s="344"/>
      <c r="AW72" s="344"/>
      <c r="BA72" s="345"/>
    </row>
    <row r="73" spans="1:53" s="334" customFormat="1">
      <c r="A73" s="334">
        <v>2008</v>
      </c>
      <c r="C73" s="992" t="s">
        <v>845</v>
      </c>
      <c r="D73" s="992"/>
      <c r="E73" s="334">
        <v>29</v>
      </c>
      <c r="G73" s="419"/>
      <c r="I73" s="334">
        <v>9</v>
      </c>
      <c r="J73" s="435">
        <v>17</v>
      </c>
      <c r="K73" s="384">
        <f t="shared" si="4"/>
        <v>0</v>
      </c>
      <c r="L73" s="384">
        <f t="shared" si="4"/>
        <v>0</v>
      </c>
      <c r="M73" s="384">
        <f t="shared" si="4"/>
        <v>52.941176470588239</v>
      </c>
      <c r="N73" s="421">
        <f t="shared" si="5"/>
        <v>52.941176470588239</v>
      </c>
      <c r="O73" s="383"/>
      <c r="P73" s="384"/>
      <c r="Q73" s="384">
        <v>52.6</v>
      </c>
      <c r="R73" s="385">
        <f t="shared" si="6"/>
        <v>52.6</v>
      </c>
      <c r="S73" s="334">
        <v>1</v>
      </c>
      <c r="T73" s="357"/>
      <c r="V73" s="343" t="s">
        <v>96</v>
      </c>
      <c r="W73" s="334" t="s">
        <v>20</v>
      </c>
      <c r="X73" s="334" t="s">
        <v>12</v>
      </c>
      <c r="Y73" s="344">
        <v>52.6</v>
      </c>
      <c r="AD73" s="343"/>
      <c r="AG73" s="344"/>
      <c r="AL73" s="343"/>
      <c r="AO73" s="344"/>
      <c r="AP73" s="343"/>
      <c r="AS73" s="344"/>
      <c r="AW73" s="344"/>
      <c r="BA73" s="345"/>
    </row>
    <row r="74" spans="1:53" s="334" customFormat="1">
      <c r="A74" s="334">
        <v>2008</v>
      </c>
      <c r="B74" s="445">
        <v>39477</v>
      </c>
      <c r="C74" s="992" t="s">
        <v>845</v>
      </c>
      <c r="D74" s="992"/>
      <c r="E74" s="334">
        <f>366-E73</f>
        <v>337</v>
      </c>
      <c r="F74" s="441">
        <v>0</v>
      </c>
      <c r="G74" s="419"/>
      <c r="I74" s="334">
        <v>10</v>
      </c>
      <c r="J74" s="435">
        <v>17</v>
      </c>
      <c r="K74" s="384">
        <f t="shared" si="4"/>
        <v>0</v>
      </c>
      <c r="L74" s="384">
        <f t="shared" si="4"/>
        <v>0</v>
      </c>
      <c r="M74" s="384">
        <f t="shared" si="4"/>
        <v>58.82352941176471</v>
      </c>
      <c r="N74" s="421">
        <f t="shared" si="5"/>
        <v>58.82352941176471</v>
      </c>
      <c r="O74" s="383"/>
      <c r="P74" s="384"/>
      <c r="Q74" s="384">
        <v>52.6</v>
      </c>
      <c r="R74" s="385">
        <f t="shared" si="6"/>
        <v>52.6</v>
      </c>
      <c r="S74" s="334">
        <v>1</v>
      </c>
      <c r="T74" s="357"/>
      <c r="V74" s="343" t="s">
        <v>96</v>
      </c>
      <c r="W74" s="334" t="s">
        <v>20</v>
      </c>
      <c r="X74" s="334" t="s">
        <v>12</v>
      </c>
      <c r="Y74" s="344">
        <v>52.6</v>
      </c>
      <c r="AD74" s="343"/>
      <c r="AG74" s="344"/>
      <c r="AL74" s="343"/>
      <c r="AO74" s="344"/>
      <c r="AP74" s="343"/>
      <c r="AS74" s="344"/>
      <c r="AW74" s="344"/>
      <c r="BA74" s="345"/>
    </row>
    <row r="75" spans="1:53" s="334" customFormat="1">
      <c r="A75" s="334">
        <v>2009</v>
      </c>
      <c r="C75" s="992" t="s">
        <v>845</v>
      </c>
      <c r="D75" s="992"/>
      <c r="E75" s="334">
        <v>298</v>
      </c>
      <c r="G75" s="419"/>
      <c r="I75" s="334">
        <v>10</v>
      </c>
      <c r="J75" s="435">
        <v>17</v>
      </c>
      <c r="K75" s="384">
        <f t="shared" si="4"/>
        <v>0</v>
      </c>
      <c r="L75" s="384">
        <f t="shared" si="4"/>
        <v>0</v>
      </c>
      <c r="M75" s="384">
        <f t="shared" si="4"/>
        <v>58.82352941176471</v>
      </c>
      <c r="N75" s="421">
        <f t="shared" si="5"/>
        <v>58.82352941176471</v>
      </c>
      <c r="O75" s="383"/>
      <c r="P75" s="384"/>
      <c r="Q75" s="384">
        <v>52.6</v>
      </c>
      <c r="R75" s="385">
        <f t="shared" si="6"/>
        <v>52.6</v>
      </c>
      <c r="S75" s="334">
        <v>1</v>
      </c>
      <c r="T75" s="357"/>
      <c r="V75" s="343" t="s">
        <v>96</v>
      </c>
      <c r="W75" s="334" t="s">
        <v>20</v>
      </c>
      <c r="X75" s="334" t="s">
        <v>12</v>
      </c>
      <c r="Y75" s="344">
        <v>52.6</v>
      </c>
      <c r="AD75" s="343"/>
      <c r="AG75" s="344"/>
      <c r="AL75" s="343"/>
      <c r="AO75" s="344"/>
      <c r="AP75" s="343"/>
      <c r="AS75" s="344"/>
      <c r="AW75" s="344"/>
      <c r="BA75" s="345"/>
    </row>
    <row r="76" spans="1:53" s="208" customFormat="1">
      <c r="A76" s="208">
        <v>2009</v>
      </c>
      <c r="B76" s="207">
        <v>40112</v>
      </c>
      <c r="C76" s="988" t="s">
        <v>846</v>
      </c>
      <c r="D76" s="988"/>
      <c r="E76" s="208">
        <v>67</v>
      </c>
      <c r="F76" s="208">
        <v>1</v>
      </c>
      <c r="G76" s="123"/>
      <c r="I76" s="208">
        <v>10</v>
      </c>
      <c r="J76" s="134">
        <v>17</v>
      </c>
      <c r="K76" s="92">
        <f t="shared" si="4"/>
        <v>0</v>
      </c>
      <c r="L76" s="92">
        <f t="shared" si="4"/>
        <v>0</v>
      </c>
      <c r="M76" s="92">
        <f t="shared" si="4"/>
        <v>58.82352941176471</v>
      </c>
      <c r="N76" s="125">
        <f t="shared" si="5"/>
        <v>58.82352941176471</v>
      </c>
      <c r="O76" s="91"/>
      <c r="P76" s="92"/>
      <c r="Q76" s="92">
        <v>42.2</v>
      </c>
      <c r="R76" s="93">
        <f t="shared" si="6"/>
        <v>42.2</v>
      </c>
      <c r="S76" s="208">
        <v>4</v>
      </c>
      <c r="T76" s="95">
        <v>40083</v>
      </c>
      <c r="U76" s="207">
        <v>40112</v>
      </c>
      <c r="V76" s="82" t="s">
        <v>96</v>
      </c>
      <c r="W76" s="208" t="s">
        <v>20</v>
      </c>
      <c r="X76" s="208" t="s">
        <v>12</v>
      </c>
      <c r="Y76" s="83">
        <v>42.2</v>
      </c>
      <c r="AD76" s="82"/>
      <c r="AG76" s="83"/>
      <c r="AL76" s="82"/>
      <c r="AO76" s="83"/>
      <c r="AP76" s="82"/>
      <c r="AS76" s="83"/>
      <c r="AW76" s="83"/>
      <c r="BA76" s="84"/>
    </row>
    <row r="77" spans="1:53" s="208" customFormat="1">
      <c r="A77" s="208">
        <v>2010</v>
      </c>
      <c r="C77" s="988" t="s">
        <v>846</v>
      </c>
      <c r="D77" s="988"/>
      <c r="E77" s="208">
        <v>0</v>
      </c>
      <c r="G77" s="123"/>
      <c r="I77" s="208">
        <v>10</v>
      </c>
      <c r="J77" s="134">
        <v>17</v>
      </c>
      <c r="K77" s="92">
        <f t="shared" si="4"/>
        <v>0</v>
      </c>
      <c r="L77" s="92">
        <f t="shared" si="4"/>
        <v>0</v>
      </c>
      <c r="M77" s="92">
        <f t="shared" si="4"/>
        <v>58.82352941176471</v>
      </c>
      <c r="N77" s="125">
        <f t="shared" si="5"/>
        <v>58.82352941176471</v>
      </c>
      <c r="O77" s="91"/>
      <c r="P77" s="92"/>
      <c r="Q77" s="92">
        <v>42.2</v>
      </c>
      <c r="R77" s="93">
        <f t="shared" si="6"/>
        <v>42.2</v>
      </c>
      <c r="S77" s="208">
        <v>4</v>
      </c>
      <c r="T77" s="81"/>
      <c r="V77" s="82" t="s">
        <v>96</v>
      </c>
      <c r="W77" s="208" t="s">
        <v>20</v>
      </c>
      <c r="X77" s="208" t="s">
        <v>12</v>
      </c>
      <c r="Y77" s="83">
        <v>42.2</v>
      </c>
      <c r="AD77" s="82"/>
      <c r="AG77" s="83"/>
      <c r="AL77" s="82"/>
      <c r="AO77" s="83"/>
      <c r="AP77" s="82"/>
      <c r="AS77" s="83"/>
      <c r="AW77" s="83"/>
      <c r="BA77" s="84"/>
    </row>
    <row r="78" spans="1:53" s="208" customFormat="1">
      <c r="A78" s="208">
        <v>2010</v>
      </c>
      <c r="C78" s="988" t="s">
        <v>846</v>
      </c>
      <c r="D78" s="988"/>
      <c r="E78" s="208">
        <v>365</v>
      </c>
      <c r="G78" s="123"/>
      <c r="I78" s="208">
        <v>10</v>
      </c>
      <c r="J78" s="134">
        <v>17</v>
      </c>
      <c r="K78" s="92">
        <f t="shared" si="4"/>
        <v>0</v>
      </c>
      <c r="L78" s="92">
        <f t="shared" si="4"/>
        <v>0</v>
      </c>
      <c r="M78" s="92">
        <f t="shared" si="4"/>
        <v>58.82352941176471</v>
      </c>
      <c r="N78" s="125">
        <f t="shared" si="5"/>
        <v>58.82352941176471</v>
      </c>
      <c r="O78" s="91"/>
      <c r="P78" s="92"/>
      <c r="Q78" s="92">
        <v>42.2</v>
      </c>
      <c r="R78" s="93">
        <f t="shared" si="6"/>
        <v>42.2</v>
      </c>
      <c r="S78" s="208">
        <v>4</v>
      </c>
      <c r="T78" s="81"/>
      <c r="V78" s="82" t="s">
        <v>96</v>
      </c>
      <c r="W78" s="208" t="s">
        <v>20</v>
      </c>
      <c r="X78" s="208" t="s">
        <v>12</v>
      </c>
      <c r="Y78" s="83">
        <v>42.2</v>
      </c>
      <c r="AD78" s="82"/>
      <c r="AG78" s="83"/>
      <c r="AL78" s="82"/>
      <c r="AO78" s="83"/>
      <c r="AP78" s="82"/>
      <c r="AS78" s="83"/>
      <c r="AW78" s="83"/>
      <c r="BA78" s="84"/>
    </row>
    <row r="79" spans="1:53" s="208" customFormat="1">
      <c r="A79" s="208">
        <v>2011</v>
      </c>
      <c r="B79" s="207"/>
      <c r="C79" s="988" t="s">
        <v>846</v>
      </c>
      <c r="D79" s="988"/>
      <c r="E79" s="208">
        <v>171</v>
      </c>
      <c r="G79" s="123"/>
      <c r="I79" s="208">
        <v>10</v>
      </c>
      <c r="J79" s="134">
        <v>17</v>
      </c>
      <c r="K79" s="92">
        <f t="shared" si="4"/>
        <v>0</v>
      </c>
      <c r="L79" s="92">
        <f t="shared" si="4"/>
        <v>0</v>
      </c>
      <c r="M79" s="92">
        <f t="shared" si="4"/>
        <v>58.82352941176471</v>
      </c>
      <c r="N79" s="125">
        <f t="shared" si="5"/>
        <v>58.82352941176471</v>
      </c>
      <c r="O79" s="91"/>
      <c r="P79" s="92"/>
      <c r="Q79" s="92">
        <v>42.2</v>
      </c>
      <c r="R79" s="93">
        <f t="shared" si="6"/>
        <v>42.2</v>
      </c>
      <c r="S79" s="208">
        <v>4</v>
      </c>
      <c r="T79" s="81"/>
      <c r="V79" s="82" t="s">
        <v>96</v>
      </c>
      <c r="W79" s="208" t="s">
        <v>20</v>
      </c>
      <c r="X79" s="208" t="s">
        <v>12</v>
      </c>
      <c r="Y79" s="83">
        <v>42.2</v>
      </c>
      <c r="AD79" s="82"/>
      <c r="AG79" s="83"/>
      <c r="AL79" s="82"/>
      <c r="AO79" s="83"/>
      <c r="AP79" s="82"/>
      <c r="AS79" s="83"/>
      <c r="AW79" s="83"/>
      <c r="BA79" s="84"/>
    </row>
    <row r="80" spans="1:53" s="334" customFormat="1">
      <c r="A80" s="334">
        <v>2011</v>
      </c>
      <c r="B80" s="355">
        <v>40715</v>
      </c>
      <c r="C80" s="1025" t="s">
        <v>1283</v>
      </c>
      <c r="D80" s="1025"/>
      <c r="E80" s="334">
        <v>194</v>
      </c>
      <c r="F80" s="334">
        <v>1</v>
      </c>
      <c r="G80" s="419">
        <v>8</v>
      </c>
      <c r="J80" s="435">
        <v>12</v>
      </c>
      <c r="K80" s="384">
        <f t="shared" si="4"/>
        <v>66.666666666666657</v>
      </c>
      <c r="L80" s="384">
        <f t="shared" si="4"/>
        <v>0</v>
      </c>
      <c r="M80" s="384">
        <f t="shared" si="4"/>
        <v>0</v>
      </c>
      <c r="N80" s="421">
        <f t="shared" si="5"/>
        <v>66.666666666666657</v>
      </c>
      <c r="O80" s="383">
        <v>57.39</v>
      </c>
      <c r="P80" s="384"/>
      <c r="Q80" s="384"/>
      <c r="R80" s="385">
        <f t="shared" si="6"/>
        <v>57.39</v>
      </c>
      <c r="S80" s="334">
        <v>2</v>
      </c>
      <c r="T80" s="342">
        <v>40699</v>
      </c>
      <c r="U80" s="355">
        <v>40715</v>
      </c>
      <c r="V80" s="343" t="s">
        <v>932</v>
      </c>
      <c r="W80" s="334" t="s">
        <v>22</v>
      </c>
      <c r="X80" s="334" t="s">
        <v>11</v>
      </c>
      <c r="Y80" s="344">
        <v>47</v>
      </c>
      <c r="Z80" s="334" t="s">
        <v>489</v>
      </c>
      <c r="AA80" s="334" t="s">
        <v>17</v>
      </c>
      <c r="AB80" s="334" t="s">
        <v>11</v>
      </c>
      <c r="AC80" s="334">
        <v>10.4</v>
      </c>
      <c r="AD80" s="343"/>
      <c r="AG80" s="344"/>
      <c r="AL80" s="343"/>
      <c r="AO80" s="344"/>
      <c r="AP80" s="343"/>
      <c r="AS80" s="344"/>
      <c r="AW80" s="344"/>
      <c r="BA80" s="345"/>
    </row>
    <row r="81" spans="1:53" s="334" customFormat="1">
      <c r="A81" s="334">
        <v>2012</v>
      </c>
      <c r="B81" s="467"/>
      <c r="C81" s="1025" t="s">
        <v>1283</v>
      </c>
      <c r="D81" s="1025"/>
      <c r="E81" s="334">
        <v>0</v>
      </c>
      <c r="G81" s="419">
        <v>8</v>
      </c>
      <c r="J81" s="435">
        <v>12</v>
      </c>
      <c r="K81" s="384">
        <f t="shared" si="4"/>
        <v>66.666666666666657</v>
      </c>
      <c r="L81" s="384">
        <f t="shared" si="4"/>
        <v>0</v>
      </c>
      <c r="M81" s="384">
        <f t="shared" si="4"/>
        <v>0</v>
      </c>
      <c r="N81" s="421">
        <f t="shared" si="5"/>
        <v>66.666666666666657</v>
      </c>
      <c r="O81" s="383">
        <v>57.39</v>
      </c>
      <c r="P81" s="384"/>
      <c r="Q81" s="384"/>
      <c r="R81" s="385">
        <f t="shared" si="6"/>
        <v>57.39</v>
      </c>
      <c r="S81" s="334">
        <v>2</v>
      </c>
      <c r="T81" s="357"/>
      <c r="V81" s="343" t="s">
        <v>932</v>
      </c>
      <c r="W81" s="334" t="s">
        <v>22</v>
      </c>
      <c r="X81" s="334" t="s">
        <v>11</v>
      </c>
      <c r="Y81" s="344">
        <v>47</v>
      </c>
      <c r="Z81" s="334" t="s">
        <v>489</v>
      </c>
      <c r="AA81" s="334" t="s">
        <v>17</v>
      </c>
      <c r="AB81" s="334" t="s">
        <v>11</v>
      </c>
      <c r="AC81" s="334">
        <v>10.4</v>
      </c>
      <c r="AD81" s="343"/>
      <c r="AG81" s="344"/>
      <c r="AL81" s="343"/>
      <c r="AO81" s="344"/>
      <c r="AP81" s="343"/>
      <c r="AS81" s="344"/>
      <c r="AW81" s="344"/>
      <c r="BA81" s="345"/>
    </row>
    <row r="82" spans="1:53" s="334" customFormat="1">
      <c r="A82" s="334">
        <v>2012</v>
      </c>
      <c r="C82" s="1025" t="s">
        <v>1283</v>
      </c>
      <c r="D82" s="1025"/>
      <c r="E82" s="334">
        <v>366</v>
      </c>
      <c r="G82" s="419">
        <v>8</v>
      </c>
      <c r="J82" s="435">
        <v>12</v>
      </c>
      <c r="K82" s="384">
        <f t="shared" si="4"/>
        <v>66.666666666666657</v>
      </c>
      <c r="L82" s="384">
        <f t="shared" si="4"/>
        <v>0</v>
      </c>
      <c r="M82" s="384">
        <f t="shared" si="4"/>
        <v>0</v>
      </c>
      <c r="N82" s="421">
        <f t="shared" si="5"/>
        <v>66.666666666666657</v>
      </c>
      <c r="O82" s="383">
        <v>57.39</v>
      </c>
      <c r="P82" s="384"/>
      <c r="Q82" s="384"/>
      <c r="R82" s="385">
        <f t="shared" si="6"/>
        <v>57.39</v>
      </c>
      <c r="S82" s="334">
        <v>2</v>
      </c>
      <c r="T82" s="357"/>
      <c r="V82" s="343" t="s">
        <v>932</v>
      </c>
      <c r="W82" s="334" t="s">
        <v>22</v>
      </c>
      <c r="X82" s="334" t="s">
        <v>11</v>
      </c>
      <c r="Y82" s="344">
        <v>47</v>
      </c>
      <c r="Z82" s="334" t="s">
        <v>489</v>
      </c>
      <c r="AA82" s="334" t="s">
        <v>17</v>
      </c>
      <c r="AB82" s="334" t="s">
        <v>11</v>
      </c>
      <c r="AC82" s="334">
        <v>10.4</v>
      </c>
      <c r="AD82" s="343"/>
      <c r="AG82" s="344"/>
      <c r="AL82" s="343"/>
      <c r="AO82" s="344"/>
      <c r="AP82" s="343"/>
      <c r="AS82" s="344"/>
      <c r="AW82" s="344"/>
      <c r="BA82" s="345"/>
    </row>
    <row r="83" spans="1:53" s="334" customFormat="1">
      <c r="A83" s="334">
        <v>2013</v>
      </c>
      <c r="C83" s="1025" t="s">
        <v>1283</v>
      </c>
      <c r="D83" s="1025"/>
      <c r="E83" s="334">
        <v>102</v>
      </c>
      <c r="G83" s="419">
        <v>8</v>
      </c>
      <c r="J83" s="435">
        <v>12</v>
      </c>
      <c r="K83" s="384">
        <f t="shared" si="4"/>
        <v>66.666666666666657</v>
      </c>
      <c r="L83" s="384">
        <f t="shared" si="4"/>
        <v>0</v>
      </c>
      <c r="M83" s="384">
        <f t="shared" si="4"/>
        <v>0</v>
      </c>
      <c r="N83" s="421">
        <f t="shared" si="5"/>
        <v>66.666666666666657</v>
      </c>
      <c r="O83" s="383">
        <v>57.39</v>
      </c>
      <c r="P83" s="384"/>
      <c r="Q83" s="384"/>
      <c r="R83" s="385">
        <f t="shared" si="6"/>
        <v>57.39</v>
      </c>
      <c r="S83" s="334">
        <v>2</v>
      </c>
      <c r="T83" s="357"/>
      <c r="V83" s="343" t="s">
        <v>932</v>
      </c>
      <c r="W83" s="334" t="s">
        <v>22</v>
      </c>
      <c r="X83" s="334" t="s">
        <v>11</v>
      </c>
      <c r="Y83" s="344">
        <v>47</v>
      </c>
      <c r="Z83" s="334" t="s">
        <v>489</v>
      </c>
      <c r="AA83" s="334" t="s">
        <v>17</v>
      </c>
      <c r="AB83" s="334" t="s">
        <v>11</v>
      </c>
      <c r="AC83" s="334">
        <v>10.4</v>
      </c>
      <c r="AD83" s="343"/>
      <c r="AG83" s="344"/>
      <c r="AL83" s="343"/>
      <c r="AO83" s="344"/>
      <c r="AP83" s="343"/>
      <c r="AS83" s="344"/>
      <c r="AW83" s="344"/>
      <c r="BA83" s="345"/>
    </row>
    <row r="84" spans="1:53" s="334" customFormat="1">
      <c r="A84" s="334">
        <v>2013</v>
      </c>
      <c r="B84" s="445">
        <v>41377</v>
      </c>
      <c r="C84" s="1025" t="s">
        <v>1283</v>
      </c>
      <c r="D84" s="1025"/>
      <c r="E84" s="334">
        <v>102</v>
      </c>
      <c r="F84" s="441">
        <v>0</v>
      </c>
      <c r="G84" s="419">
        <v>9</v>
      </c>
      <c r="J84" s="435">
        <v>13</v>
      </c>
      <c r="K84" s="384">
        <f t="shared" ref="K84:M85" si="7">G84/$J84*100</f>
        <v>69.230769230769226</v>
      </c>
      <c r="L84" s="384">
        <f t="shared" si="7"/>
        <v>0</v>
      </c>
      <c r="M84" s="384">
        <f t="shared" si="7"/>
        <v>0</v>
      </c>
      <c r="N84" s="421">
        <f t="shared" ref="N84:N90" si="8">K84+L84+M84</f>
        <v>69.230769230769226</v>
      </c>
      <c r="O84" s="383">
        <v>57.39</v>
      </c>
      <c r="P84" s="384"/>
      <c r="Q84" s="384"/>
      <c r="R84" s="385">
        <f t="shared" si="6"/>
        <v>57.39</v>
      </c>
      <c r="S84" s="334">
        <v>2</v>
      </c>
      <c r="T84" s="357"/>
      <c r="V84" s="343" t="s">
        <v>932</v>
      </c>
      <c r="W84" s="334" t="s">
        <v>22</v>
      </c>
      <c r="X84" s="334" t="s">
        <v>11</v>
      </c>
      <c r="Y84" s="344">
        <v>47</v>
      </c>
      <c r="Z84" s="334" t="s">
        <v>489</v>
      </c>
      <c r="AA84" s="334" t="s">
        <v>17</v>
      </c>
      <c r="AB84" s="334" t="s">
        <v>11</v>
      </c>
      <c r="AC84" s="334">
        <v>10.4</v>
      </c>
      <c r="AD84" s="343"/>
      <c r="AG84" s="344"/>
      <c r="AL84" s="343"/>
      <c r="AO84" s="344"/>
      <c r="AP84" s="343"/>
      <c r="AS84" s="344"/>
      <c r="AW84" s="344"/>
      <c r="BA84" s="345"/>
    </row>
    <row r="85" spans="1:53" s="334" customFormat="1">
      <c r="A85" s="334">
        <v>2013</v>
      </c>
      <c r="B85" s="445" t="s">
        <v>1261</v>
      </c>
      <c r="C85" s="1025" t="s">
        <v>1283</v>
      </c>
      <c r="D85" s="1025"/>
      <c r="E85" s="334">
        <f>365-E84-E83</f>
        <v>161</v>
      </c>
      <c r="F85" s="441">
        <v>0</v>
      </c>
      <c r="G85" s="419">
        <v>12</v>
      </c>
      <c r="J85" s="435">
        <v>15</v>
      </c>
      <c r="K85" s="384">
        <f t="shared" si="7"/>
        <v>80</v>
      </c>
      <c r="L85" s="384">
        <f t="shared" si="7"/>
        <v>0</v>
      </c>
      <c r="M85" s="384">
        <f t="shared" si="7"/>
        <v>0</v>
      </c>
      <c r="N85" s="421">
        <f t="shared" si="8"/>
        <v>80</v>
      </c>
      <c r="O85" s="383">
        <v>57.39</v>
      </c>
      <c r="P85" s="384"/>
      <c r="Q85" s="384"/>
      <c r="R85" s="385">
        <f t="shared" si="6"/>
        <v>57.39</v>
      </c>
      <c r="S85" s="334">
        <v>2</v>
      </c>
      <c r="T85" s="357"/>
      <c r="V85" s="343" t="s">
        <v>932</v>
      </c>
      <c r="W85" s="334" t="s">
        <v>22</v>
      </c>
      <c r="X85" s="334" t="s">
        <v>11</v>
      </c>
      <c r="Y85" s="344">
        <v>47</v>
      </c>
      <c r="Z85" s="334" t="s">
        <v>489</v>
      </c>
      <c r="AA85" s="334" t="s">
        <v>17</v>
      </c>
      <c r="AB85" s="334" t="s">
        <v>11</v>
      </c>
      <c r="AC85" s="334">
        <v>10.4</v>
      </c>
      <c r="AD85" s="343"/>
      <c r="AG85" s="344"/>
      <c r="AL85" s="343"/>
      <c r="AO85" s="344"/>
      <c r="AP85" s="343"/>
      <c r="AS85" s="344"/>
      <c r="AW85" s="344"/>
      <c r="BA85" s="345"/>
    </row>
    <row r="86" spans="1:53" s="657" customFormat="1">
      <c r="A86" s="657">
        <v>2014</v>
      </c>
      <c r="B86" s="502"/>
      <c r="C86" s="1025" t="s">
        <v>1283</v>
      </c>
      <c r="D86" s="1025"/>
      <c r="E86" s="657">
        <v>322</v>
      </c>
      <c r="F86" s="501"/>
      <c r="G86" s="642">
        <v>12</v>
      </c>
      <c r="J86" s="644">
        <v>15</v>
      </c>
      <c r="K86" s="640">
        <f t="shared" ref="K86:M89" si="9">G86/$J86*100</f>
        <v>80</v>
      </c>
      <c r="L86" s="640">
        <f t="shared" si="9"/>
        <v>0</v>
      </c>
      <c r="M86" s="640">
        <f t="shared" si="9"/>
        <v>0</v>
      </c>
      <c r="N86" s="643">
        <f t="shared" si="8"/>
        <v>80</v>
      </c>
      <c r="O86" s="639">
        <v>57.39</v>
      </c>
      <c r="P86" s="640"/>
      <c r="Q86" s="640"/>
      <c r="R86" s="641">
        <f t="shared" ref="R86:R94" si="10">O86+P86+Q86</f>
        <v>57.39</v>
      </c>
      <c r="S86" s="657">
        <v>2</v>
      </c>
      <c r="T86" s="638"/>
      <c r="V86" s="634" t="s">
        <v>932</v>
      </c>
      <c r="W86" s="657" t="s">
        <v>22</v>
      </c>
      <c r="X86" s="657" t="s">
        <v>11</v>
      </c>
      <c r="Y86" s="635">
        <v>47</v>
      </c>
      <c r="Z86" s="657" t="s">
        <v>489</v>
      </c>
      <c r="AA86" s="657" t="s">
        <v>17</v>
      </c>
      <c r="AB86" s="657" t="s">
        <v>11</v>
      </c>
      <c r="AC86" s="657">
        <v>10.4</v>
      </c>
      <c r="AD86" s="634"/>
      <c r="AG86" s="635"/>
      <c r="AL86" s="634"/>
      <c r="AO86" s="635"/>
      <c r="AP86" s="634"/>
      <c r="AS86" s="635"/>
      <c r="AW86" s="635"/>
      <c r="BA86" s="636"/>
    </row>
    <row r="87" spans="1:53" s="657" customFormat="1">
      <c r="A87" s="657">
        <v>2014</v>
      </c>
      <c r="B87" s="502">
        <v>41962</v>
      </c>
      <c r="C87" s="1025" t="s">
        <v>1283</v>
      </c>
      <c r="D87" s="1025"/>
      <c r="E87" s="657">
        <v>43</v>
      </c>
      <c r="F87" s="501">
        <v>0</v>
      </c>
      <c r="G87" s="642">
        <v>11</v>
      </c>
      <c r="J87" s="644">
        <v>15</v>
      </c>
      <c r="K87" s="640">
        <f t="shared" si="9"/>
        <v>73.333333333333329</v>
      </c>
      <c r="L87" s="640">
        <f t="shared" si="9"/>
        <v>0</v>
      </c>
      <c r="M87" s="640">
        <f t="shared" si="9"/>
        <v>0</v>
      </c>
      <c r="N87" s="643">
        <f t="shared" si="8"/>
        <v>73.333333333333329</v>
      </c>
      <c r="O87" s="639">
        <v>57.39</v>
      </c>
      <c r="P87" s="640"/>
      <c r="Q87" s="640"/>
      <c r="R87" s="641">
        <f t="shared" si="10"/>
        <v>57.39</v>
      </c>
      <c r="S87" s="657">
        <v>2</v>
      </c>
      <c r="T87" s="638"/>
      <c r="V87" s="634" t="s">
        <v>932</v>
      </c>
      <c r="W87" s="657" t="s">
        <v>22</v>
      </c>
      <c r="X87" s="657" t="s">
        <v>11</v>
      </c>
      <c r="Y87" s="635">
        <v>47</v>
      </c>
      <c r="Z87" s="657" t="s">
        <v>489</v>
      </c>
      <c r="AA87" s="657" t="s">
        <v>17</v>
      </c>
      <c r="AB87" s="657" t="s">
        <v>11</v>
      </c>
      <c r="AC87" s="657">
        <v>10.4</v>
      </c>
      <c r="AD87" s="634"/>
      <c r="AG87" s="635"/>
      <c r="AL87" s="634"/>
      <c r="AO87" s="635"/>
      <c r="AP87" s="634"/>
      <c r="AS87" s="635"/>
      <c r="AW87" s="635"/>
      <c r="BA87" s="636"/>
    </row>
    <row r="88" spans="1:53" s="745" customFormat="1">
      <c r="A88" s="745">
        <v>2015</v>
      </c>
      <c r="B88" s="502"/>
      <c r="C88" s="1025" t="s">
        <v>1283</v>
      </c>
      <c r="D88" s="1025"/>
      <c r="E88" s="745">
        <v>302</v>
      </c>
      <c r="F88" s="501"/>
      <c r="G88" s="642">
        <v>11</v>
      </c>
      <c r="J88" s="644">
        <v>15</v>
      </c>
      <c r="K88" s="640">
        <f t="shared" si="9"/>
        <v>73.333333333333329</v>
      </c>
      <c r="L88" s="640">
        <f t="shared" si="9"/>
        <v>0</v>
      </c>
      <c r="M88" s="640">
        <f t="shared" si="9"/>
        <v>0</v>
      </c>
      <c r="N88" s="643">
        <f t="shared" si="8"/>
        <v>73.333333333333329</v>
      </c>
      <c r="O88" s="639">
        <v>57.39</v>
      </c>
      <c r="P88" s="640"/>
      <c r="Q88" s="640"/>
      <c r="R88" s="641">
        <f t="shared" si="10"/>
        <v>57.39</v>
      </c>
      <c r="S88" s="745">
        <v>2</v>
      </c>
      <c r="T88" s="638"/>
      <c r="V88" s="634" t="s">
        <v>932</v>
      </c>
      <c r="W88" s="745" t="s">
        <v>22</v>
      </c>
      <c r="X88" s="745" t="s">
        <v>11</v>
      </c>
      <c r="Y88" s="635">
        <v>47</v>
      </c>
      <c r="Z88" s="745" t="s">
        <v>489</v>
      </c>
      <c r="AA88" s="745" t="s">
        <v>17</v>
      </c>
      <c r="AB88" s="745" t="s">
        <v>11</v>
      </c>
      <c r="AC88" s="745">
        <v>10.4</v>
      </c>
      <c r="AD88" s="634"/>
      <c r="AG88" s="635"/>
      <c r="AL88" s="634"/>
      <c r="AO88" s="635"/>
      <c r="AP88" s="634"/>
      <c r="AS88" s="635"/>
      <c r="AW88" s="635"/>
      <c r="BA88" s="636"/>
    </row>
    <row r="89" spans="1:53" s="744" customFormat="1">
      <c r="A89" s="744">
        <v>2015</v>
      </c>
      <c r="B89" s="740">
        <v>42307</v>
      </c>
      <c r="C89" s="988" t="s">
        <v>1341</v>
      </c>
      <c r="D89" s="988"/>
      <c r="E89" s="744">
        <v>27</v>
      </c>
      <c r="F89" s="744">
        <v>1</v>
      </c>
      <c r="G89" s="596">
        <v>14</v>
      </c>
      <c r="J89" s="598">
        <v>17</v>
      </c>
      <c r="K89" s="593">
        <f t="shared" si="9"/>
        <v>82.35294117647058</v>
      </c>
      <c r="L89" s="593">
        <f t="shared" si="9"/>
        <v>0</v>
      </c>
      <c r="M89" s="593">
        <f t="shared" si="9"/>
        <v>0</v>
      </c>
      <c r="N89" s="597">
        <f t="shared" si="8"/>
        <v>82.35294117647058</v>
      </c>
      <c r="O89" s="592">
        <v>46.5</v>
      </c>
      <c r="P89" s="593"/>
      <c r="Q89" s="593"/>
      <c r="R89" s="594">
        <f t="shared" si="10"/>
        <v>46.5</v>
      </c>
      <c r="S89" s="744">
        <v>5</v>
      </c>
      <c r="T89" s="595">
        <v>42281</v>
      </c>
      <c r="U89" s="740">
        <v>42307</v>
      </c>
      <c r="V89" s="588" t="s">
        <v>932</v>
      </c>
      <c r="W89" s="744" t="s">
        <v>22</v>
      </c>
      <c r="X89" s="744" t="s">
        <v>11</v>
      </c>
      <c r="Y89" s="589">
        <v>38.700000000000003</v>
      </c>
      <c r="Z89" s="744" t="s">
        <v>489</v>
      </c>
      <c r="AA89" s="744" t="s">
        <v>17</v>
      </c>
      <c r="AB89" s="744" t="s">
        <v>11</v>
      </c>
      <c r="AC89" s="744">
        <v>7.8</v>
      </c>
      <c r="AD89" s="588"/>
      <c r="AG89" s="589"/>
      <c r="AL89" s="588"/>
      <c r="AO89" s="589"/>
      <c r="AP89" s="588"/>
      <c r="AS89" s="589"/>
      <c r="AW89" s="589"/>
      <c r="BA89" s="590"/>
    </row>
    <row r="90" spans="1:53" s="745" customFormat="1">
      <c r="A90" s="745">
        <v>2015</v>
      </c>
      <c r="B90" s="741">
        <v>42334</v>
      </c>
      <c r="C90" s="1025" t="s">
        <v>1342</v>
      </c>
      <c r="D90" s="1025"/>
      <c r="E90" s="745">
        <v>36</v>
      </c>
      <c r="F90" s="745">
        <v>5</v>
      </c>
      <c r="G90" s="642"/>
      <c r="I90" s="745">
        <v>11</v>
      </c>
      <c r="J90" s="644">
        <v>18</v>
      </c>
      <c r="K90" s="640">
        <f t="shared" ref="K90" si="11">G90/$J90*100</f>
        <v>0</v>
      </c>
      <c r="L90" s="640">
        <f t="shared" ref="L90" si="12">H90/$J90*100</f>
        <v>0</v>
      </c>
      <c r="M90" s="640">
        <f>I90/$J90*100</f>
        <v>61.111111111111114</v>
      </c>
      <c r="N90" s="643">
        <f t="shared" si="8"/>
        <v>61.111111111111114</v>
      </c>
      <c r="O90" s="639"/>
      <c r="P90" s="640"/>
      <c r="Q90" s="640">
        <v>37.299999999999997</v>
      </c>
      <c r="R90" s="641">
        <f t="shared" si="10"/>
        <v>37.299999999999997</v>
      </c>
      <c r="S90" s="745">
        <v>4</v>
      </c>
      <c r="T90" s="487"/>
      <c r="U90" s="741">
        <v>42334</v>
      </c>
      <c r="V90" s="634" t="s">
        <v>96</v>
      </c>
      <c r="W90" s="745" t="s">
        <v>20</v>
      </c>
      <c r="X90" s="745" t="s">
        <v>12</v>
      </c>
      <c r="Y90" s="635">
        <v>37.4</v>
      </c>
      <c r="AD90" s="634"/>
      <c r="AG90" s="635"/>
      <c r="AL90" s="634"/>
      <c r="AO90" s="635"/>
      <c r="AP90" s="634"/>
      <c r="AS90" s="635"/>
      <c r="AW90" s="635"/>
      <c r="BA90" s="636"/>
    </row>
    <row r="91" spans="1:53" s="841" customFormat="1">
      <c r="A91" s="841">
        <v>2016</v>
      </c>
      <c r="B91" s="836"/>
      <c r="C91" s="1025" t="s">
        <v>1342</v>
      </c>
      <c r="D91" s="1025"/>
      <c r="E91" s="841">
        <v>104</v>
      </c>
      <c r="G91" s="642"/>
      <c r="I91" s="841">
        <v>11</v>
      </c>
      <c r="J91" s="644">
        <v>18</v>
      </c>
      <c r="K91" s="640">
        <f t="shared" ref="K91:K92" si="13">G91/$J91*100</f>
        <v>0</v>
      </c>
      <c r="L91" s="640">
        <f t="shared" ref="L91:L92" si="14">H91/$J91*100</f>
        <v>0</v>
      </c>
      <c r="M91" s="640">
        <f t="shared" ref="M91:M92" si="15">I91/$J91*100</f>
        <v>61.111111111111114</v>
      </c>
      <c r="N91" s="643">
        <f t="shared" ref="N91:N92" si="16">K91+L91+M91</f>
        <v>61.111111111111114</v>
      </c>
      <c r="O91" s="639"/>
      <c r="P91" s="640"/>
      <c r="Q91" s="640">
        <v>37.299999999999997</v>
      </c>
      <c r="R91" s="641">
        <f t="shared" si="10"/>
        <v>37.299999999999997</v>
      </c>
      <c r="S91" s="841">
        <v>4</v>
      </c>
      <c r="T91" s="487"/>
      <c r="U91" s="836"/>
      <c r="V91" s="634" t="s">
        <v>96</v>
      </c>
      <c r="W91" s="841" t="s">
        <v>20</v>
      </c>
      <c r="X91" s="841" t="s">
        <v>12</v>
      </c>
      <c r="Y91" s="635">
        <v>37.4</v>
      </c>
      <c r="AD91" s="634"/>
      <c r="AG91" s="635"/>
      <c r="AL91" s="634"/>
      <c r="AO91" s="635"/>
      <c r="AP91" s="634"/>
      <c r="AS91" s="635"/>
      <c r="AW91" s="635"/>
      <c r="BA91" s="636"/>
    </row>
    <row r="92" spans="1:53" s="841" customFormat="1">
      <c r="A92" s="841">
        <v>2016</v>
      </c>
      <c r="B92" s="502">
        <v>42474</v>
      </c>
      <c r="C92" s="1025" t="s">
        <v>1342</v>
      </c>
      <c r="D92" s="1025"/>
      <c r="E92" s="841">
        <v>262</v>
      </c>
      <c r="F92" s="501">
        <v>0</v>
      </c>
      <c r="G92" s="642"/>
      <c r="I92" s="841">
        <v>10</v>
      </c>
      <c r="J92" s="644">
        <v>18</v>
      </c>
      <c r="K92" s="640">
        <f t="shared" si="13"/>
        <v>0</v>
      </c>
      <c r="L92" s="640">
        <f t="shared" si="14"/>
        <v>0</v>
      </c>
      <c r="M92" s="640">
        <f t="shared" si="15"/>
        <v>55.555555555555557</v>
      </c>
      <c r="N92" s="643">
        <f t="shared" si="16"/>
        <v>55.555555555555557</v>
      </c>
      <c r="O92" s="639"/>
      <c r="P92" s="640"/>
      <c r="Q92" s="640">
        <v>37.299999999999997</v>
      </c>
      <c r="R92" s="641">
        <f t="shared" si="10"/>
        <v>37.299999999999997</v>
      </c>
      <c r="S92" s="841">
        <v>4</v>
      </c>
      <c r="T92" s="487"/>
      <c r="U92" s="836"/>
      <c r="V92" s="634" t="s">
        <v>96</v>
      </c>
      <c r="W92" s="841" t="s">
        <v>20</v>
      </c>
      <c r="X92" s="841" t="s">
        <v>12</v>
      </c>
      <c r="Y92" s="635">
        <v>37.4</v>
      </c>
      <c r="AD92" s="634"/>
      <c r="AG92" s="635"/>
      <c r="AL92" s="634"/>
      <c r="AO92" s="635"/>
      <c r="AP92" s="634"/>
      <c r="AS92" s="635"/>
      <c r="AW92" s="635"/>
      <c r="BA92" s="636"/>
    </row>
    <row r="93" spans="1:53" s="895" customFormat="1">
      <c r="A93" s="895">
        <v>2017</v>
      </c>
      <c r="B93" s="502"/>
      <c r="C93" s="1025" t="s">
        <v>1342</v>
      </c>
      <c r="D93" s="1025"/>
      <c r="E93" s="895">
        <v>0</v>
      </c>
      <c r="F93" s="501"/>
      <c r="G93" s="642"/>
      <c r="I93" s="895">
        <v>10</v>
      </c>
      <c r="J93" s="644">
        <v>18</v>
      </c>
      <c r="K93" s="640">
        <f t="shared" ref="K93:K94" si="17">G93/$J93*100</f>
        <v>0</v>
      </c>
      <c r="L93" s="640">
        <f t="shared" ref="L93:L94" si="18">H93/$J93*100</f>
        <v>0</v>
      </c>
      <c r="M93" s="640">
        <f t="shared" ref="M93:M94" si="19">I93/$J93*100</f>
        <v>55.555555555555557</v>
      </c>
      <c r="N93" s="643">
        <f t="shared" ref="N93:N94" si="20">K93+L93+M93</f>
        <v>55.555555555555557</v>
      </c>
      <c r="O93" s="639"/>
      <c r="P93" s="640"/>
      <c r="Q93" s="640">
        <v>37.299999999999997</v>
      </c>
      <c r="R93" s="641">
        <f t="shared" si="10"/>
        <v>37.299999999999997</v>
      </c>
      <c r="S93" s="895">
        <v>4</v>
      </c>
      <c r="T93" s="487"/>
      <c r="U93" s="893"/>
      <c r="V93" s="634" t="s">
        <v>96</v>
      </c>
      <c r="W93" s="895" t="s">
        <v>20</v>
      </c>
      <c r="X93" s="895" t="s">
        <v>12</v>
      </c>
      <c r="Y93" s="635">
        <v>37.4</v>
      </c>
      <c r="AD93" s="634"/>
      <c r="AG93" s="635"/>
      <c r="AL93" s="634"/>
      <c r="AO93" s="635"/>
      <c r="AP93" s="634"/>
      <c r="AS93" s="635"/>
      <c r="AW93" s="635"/>
      <c r="BA93" s="636"/>
    </row>
    <row r="94" spans="1:53" s="895" customFormat="1">
      <c r="A94" s="895">
        <v>2017</v>
      </c>
      <c r="B94" s="502"/>
      <c r="C94" s="1025" t="s">
        <v>1342</v>
      </c>
      <c r="D94" s="1025"/>
      <c r="E94" s="895">
        <v>365</v>
      </c>
      <c r="F94" s="501"/>
      <c r="G94" s="642"/>
      <c r="I94" s="895">
        <v>10</v>
      </c>
      <c r="J94" s="644">
        <v>18</v>
      </c>
      <c r="K94" s="640">
        <f t="shared" si="17"/>
        <v>0</v>
      </c>
      <c r="L94" s="640">
        <f t="shared" si="18"/>
        <v>0</v>
      </c>
      <c r="M94" s="640">
        <f t="shared" si="19"/>
        <v>55.555555555555557</v>
      </c>
      <c r="N94" s="643">
        <f t="shared" si="20"/>
        <v>55.555555555555557</v>
      </c>
      <c r="O94" s="639"/>
      <c r="P94" s="640"/>
      <c r="Q94" s="640">
        <v>37.299999999999997</v>
      </c>
      <c r="R94" s="641">
        <f t="shared" si="10"/>
        <v>37.299999999999997</v>
      </c>
      <c r="S94" s="895">
        <v>4</v>
      </c>
      <c r="T94" s="487"/>
      <c r="U94" s="893"/>
      <c r="V94" s="634" t="s">
        <v>96</v>
      </c>
      <c r="W94" s="895" t="s">
        <v>20</v>
      </c>
      <c r="X94" s="895" t="s">
        <v>12</v>
      </c>
      <c r="Y94" s="635">
        <v>37.4</v>
      </c>
      <c r="AD94" s="634"/>
      <c r="AG94" s="635"/>
      <c r="AL94" s="634"/>
      <c r="AO94" s="635"/>
      <c r="AP94" s="634"/>
      <c r="AS94" s="635"/>
      <c r="AW94" s="635"/>
      <c r="BA94" s="636"/>
    </row>
    <row r="95" spans="1:53" s="945" customFormat="1">
      <c r="A95" s="945">
        <v>2018</v>
      </c>
      <c r="B95" s="502"/>
      <c r="C95" s="1025" t="s">
        <v>1342</v>
      </c>
      <c r="D95" s="1025"/>
      <c r="E95" s="945">
        <v>287</v>
      </c>
      <c r="F95" s="501"/>
      <c r="G95" s="642"/>
      <c r="I95" s="945">
        <v>10</v>
      </c>
      <c r="J95" s="644">
        <v>18</v>
      </c>
      <c r="K95" s="640">
        <f t="shared" ref="K95:K96" si="21">G95/$J95*100</f>
        <v>0</v>
      </c>
      <c r="L95" s="640">
        <f t="shared" ref="L95:L96" si="22">H95/$J95*100</f>
        <v>0</v>
      </c>
      <c r="M95" s="640">
        <f t="shared" ref="M95:M96" si="23">I95/$J95*100</f>
        <v>55.555555555555557</v>
      </c>
      <c r="N95" s="643">
        <f t="shared" ref="N95:N96" si="24">K95+L95+M95</f>
        <v>55.555555555555557</v>
      </c>
      <c r="O95" s="639"/>
      <c r="P95" s="640"/>
      <c r="Q95" s="640">
        <v>37.299999999999997</v>
      </c>
      <c r="R95" s="641">
        <f t="shared" ref="R95:R96" si="25">O95+P95+Q95</f>
        <v>37.299999999999997</v>
      </c>
      <c r="S95" s="945">
        <v>4</v>
      </c>
      <c r="T95" s="487"/>
      <c r="U95" s="944"/>
      <c r="V95" s="634" t="s">
        <v>96</v>
      </c>
      <c r="W95" s="945" t="s">
        <v>20</v>
      </c>
      <c r="X95" s="945" t="s">
        <v>12</v>
      </c>
      <c r="Y95" s="635">
        <v>37.4</v>
      </c>
      <c r="AD95" s="634"/>
      <c r="AG95" s="635"/>
      <c r="AL95" s="634"/>
      <c r="AO95" s="635"/>
      <c r="AP95" s="634"/>
      <c r="AS95" s="635"/>
      <c r="AW95" s="635"/>
      <c r="BA95" s="636"/>
    </row>
    <row r="96" spans="1:53" s="945" customFormat="1">
      <c r="A96" s="945">
        <v>2018</v>
      </c>
      <c r="B96" s="502">
        <v>43388</v>
      </c>
      <c r="C96" s="1025" t="s">
        <v>1342</v>
      </c>
      <c r="D96" s="1025"/>
      <c r="E96" s="945">
        <v>78</v>
      </c>
      <c r="F96" s="501">
        <v>0</v>
      </c>
      <c r="G96" s="642"/>
      <c r="I96" s="945">
        <v>12</v>
      </c>
      <c r="J96" s="644">
        <v>18</v>
      </c>
      <c r="K96" s="640">
        <f t="shared" si="21"/>
        <v>0</v>
      </c>
      <c r="L96" s="640">
        <f t="shared" si="22"/>
        <v>0</v>
      </c>
      <c r="M96" s="640">
        <f t="shared" si="23"/>
        <v>66.666666666666657</v>
      </c>
      <c r="N96" s="643">
        <f t="shared" si="24"/>
        <v>66.666666666666657</v>
      </c>
      <c r="O96" s="639"/>
      <c r="P96" s="640"/>
      <c r="Q96" s="640">
        <v>37.299999999999997</v>
      </c>
      <c r="R96" s="641">
        <f t="shared" si="25"/>
        <v>37.299999999999997</v>
      </c>
      <c r="S96" s="945">
        <v>4</v>
      </c>
      <c r="T96" s="487"/>
      <c r="U96" s="944"/>
      <c r="V96" s="634" t="s">
        <v>96</v>
      </c>
      <c r="W96" s="945" t="s">
        <v>20</v>
      </c>
      <c r="X96" s="945" t="s">
        <v>12</v>
      </c>
      <c r="Y96" s="635">
        <v>37.4</v>
      </c>
      <c r="AD96" s="634"/>
      <c r="AG96" s="635"/>
      <c r="AL96" s="634"/>
      <c r="AO96" s="635"/>
      <c r="AP96" s="634"/>
      <c r="AS96" s="635"/>
      <c r="AW96" s="635"/>
      <c r="BA96" s="636"/>
    </row>
    <row r="97" spans="1:30">
      <c r="K97" s="18"/>
    </row>
    <row r="98" spans="1:30">
      <c r="K98" s="18"/>
    </row>
    <row r="99" spans="1:30" s="2" customFormat="1" ht="18" customHeight="1">
      <c r="B99" s="22" t="s">
        <v>1278</v>
      </c>
      <c r="H99" s="6"/>
    </row>
    <row r="100" spans="1:30" s="2" customFormat="1" ht="9" customHeight="1">
      <c r="H100" s="6"/>
    </row>
    <row r="101" spans="1:30" s="364" customFormat="1" ht="9" customHeight="1">
      <c r="A101" s="362"/>
      <c r="B101" s="363" t="s">
        <v>1229</v>
      </c>
      <c r="C101" s="363"/>
      <c r="D101" s="363"/>
      <c r="E101" s="363"/>
      <c r="F101" s="363"/>
      <c r="G101" s="363" t="s">
        <v>1230</v>
      </c>
      <c r="H101" s="363"/>
      <c r="I101" s="363"/>
      <c r="J101" s="363"/>
      <c r="K101" s="363"/>
      <c r="L101" s="363"/>
      <c r="M101" s="363"/>
      <c r="N101" s="363"/>
      <c r="R101" s="982" t="s">
        <v>1231</v>
      </c>
      <c r="S101" s="982"/>
      <c r="T101" s="982"/>
      <c r="U101" s="982"/>
      <c r="V101" s="982"/>
      <c r="W101" s="982"/>
      <c r="X101" s="365"/>
      <c r="Y101" s="365"/>
      <c r="AA101" s="365"/>
      <c r="AB101" s="365"/>
      <c r="AC101" s="365"/>
      <c r="AD101" s="365"/>
    </row>
    <row r="102" spans="1:30" s="369" customFormat="1" ht="9" customHeight="1">
      <c r="A102" s="366"/>
      <c r="B102" s="367" t="s">
        <v>1233</v>
      </c>
      <c r="C102" s="368"/>
      <c r="D102" s="368"/>
      <c r="E102" s="368"/>
      <c r="F102" s="368"/>
      <c r="G102" s="367" t="s">
        <v>1232</v>
      </c>
      <c r="H102" s="368"/>
      <c r="I102" s="368"/>
      <c r="J102" s="368"/>
      <c r="K102" s="368"/>
      <c r="L102" s="368"/>
      <c r="M102" s="368"/>
      <c r="N102" s="368"/>
      <c r="R102" s="370" t="s">
        <v>1234</v>
      </c>
      <c r="S102" s="371"/>
      <c r="T102" s="372"/>
      <c r="U102" s="372"/>
      <c r="V102" s="372"/>
      <c r="W102" s="370" t="s">
        <v>1235</v>
      </c>
      <c r="X102" s="372"/>
      <c r="Y102" s="372"/>
      <c r="AA102" s="372"/>
      <c r="AB102" s="372"/>
      <c r="AC102" s="372"/>
      <c r="AD102" s="372"/>
    </row>
    <row r="103" spans="1:30" s="351" customFormat="1" ht="12" customHeight="1">
      <c r="A103" s="373" t="s">
        <v>3</v>
      </c>
      <c r="B103" s="374" t="s">
        <v>8</v>
      </c>
      <c r="C103" s="374" t="s">
        <v>9</v>
      </c>
      <c r="D103" s="374" t="s">
        <v>10</v>
      </c>
      <c r="E103" s="375" t="s">
        <v>1209</v>
      </c>
      <c r="F103" s="374"/>
      <c r="G103" s="351" t="s">
        <v>3</v>
      </c>
      <c r="H103" s="983" t="s">
        <v>0</v>
      </c>
      <c r="I103" s="983"/>
      <c r="J103" s="983" t="s">
        <v>1</v>
      </c>
      <c r="K103" s="983"/>
      <c r="L103" s="983" t="s">
        <v>2</v>
      </c>
      <c r="M103" s="983"/>
      <c r="N103" s="984" t="s">
        <v>1209</v>
      </c>
      <c r="O103" s="984"/>
      <c r="P103" s="376"/>
      <c r="Q103" s="376"/>
      <c r="R103" s="377" t="s">
        <v>3</v>
      </c>
      <c r="S103" s="378" t="s">
        <v>136</v>
      </c>
      <c r="T103" s="376" t="s">
        <v>134</v>
      </c>
      <c r="U103" s="374" t="s">
        <v>135</v>
      </c>
      <c r="V103" s="376"/>
      <c r="W103" s="379" t="s">
        <v>26</v>
      </c>
    </row>
    <row r="104" spans="1:30" s="16" customFormat="1" ht="9" customHeight="1">
      <c r="A104" s="1">
        <v>1960</v>
      </c>
      <c r="B104" s="196"/>
      <c r="C104" s="196"/>
      <c r="D104" s="196"/>
      <c r="E104" s="232"/>
      <c r="F104" s="196"/>
      <c r="G104" s="1">
        <v>1960</v>
      </c>
      <c r="H104" s="196"/>
      <c r="I104" s="196"/>
      <c r="J104" s="196"/>
      <c r="K104" s="196"/>
      <c r="L104" s="196"/>
      <c r="M104" s="196"/>
      <c r="N104" s="232"/>
      <c r="O104" s="232"/>
      <c r="P104" s="197"/>
      <c r="Q104" s="197"/>
      <c r="R104" s="1">
        <v>1960</v>
      </c>
      <c r="S104" s="54"/>
      <c r="T104" s="197"/>
      <c r="U104" s="196"/>
      <c r="V104" s="197"/>
      <c r="W104" s="198"/>
    </row>
    <row r="105" spans="1:30" s="16" customFormat="1" ht="9" customHeight="1">
      <c r="A105" s="1">
        <v>1961</v>
      </c>
      <c r="B105" s="196"/>
      <c r="C105" s="196"/>
      <c r="D105" s="196"/>
      <c r="E105" s="232"/>
      <c r="F105" s="196"/>
      <c r="G105" s="1">
        <v>1961</v>
      </c>
      <c r="H105" s="196"/>
      <c r="I105" s="196"/>
      <c r="J105" s="196"/>
      <c r="K105" s="196"/>
      <c r="L105" s="196"/>
      <c r="M105" s="196"/>
      <c r="N105" s="232"/>
      <c r="O105" s="232"/>
      <c r="P105" s="197"/>
      <c r="Q105" s="197"/>
      <c r="R105" s="1">
        <v>1961</v>
      </c>
      <c r="S105" s="54"/>
      <c r="T105" s="197"/>
      <c r="U105" s="196"/>
      <c r="V105" s="197"/>
      <c r="W105" s="198"/>
    </row>
    <row r="106" spans="1:30" s="16" customFormat="1" ht="9" customHeight="1">
      <c r="A106" s="1">
        <v>1962</v>
      </c>
      <c r="B106" s="196"/>
      <c r="C106" s="196"/>
      <c r="D106" s="196"/>
      <c r="E106" s="232"/>
      <c r="F106" s="196"/>
      <c r="G106" s="1">
        <v>1962</v>
      </c>
      <c r="H106" s="196"/>
      <c r="I106" s="196"/>
      <c r="J106" s="196"/>
      <c r="K106" s="196"/>
      <c r="L106" s="196"/>
      <c r="M106" s="196"/>
      <c r="N106" s="232"/>
      <c r="O106" s="232"/>
      <c r="P106" s="197"/>
      <c r="Q106" s="197"/>
      <c r="R106" s="1">
        <v>1962</v>
      </c>
      <c r="S106" s="54"/>
      <c r="T106" s="197"/>
      <c r="U106" s="196"/>
      <c r="V106" s="197"/>
      <c r="W106" s="198"/>
    </row>
    <row r="107" spans="1:30" s="16" customFormat="1" ht="9" customHeight="1">
      <c r="A107" s="1">
        <v>1963</v>
      </c>
      <c r="B107" s="196"/>
      <c r="C107" s="196"/>
      <c r="D107" s="196"/>
      <c r="E107" s="232"/>
      <c r="F107" s="196"/>
      <c r="G107" s="1">
        <v>1963</v>
      </c>
      <c r="H107" s="196"/>
      <c r="I107" s="196"/>
      <c r="J107" s="196"/>
      <c r="K107" s="196"/>
      <c r="L107" s="196"/>
      <c r="M107" s="196"/>
      <c r="N107" s="232"/>
      <c r="O107" s="232"/>
      <c r="P107" s="197"/>
      <c r="Q107" s="197"/>
      <c r="R107" s="1">
        <v>1963</v>
      </c>
      <c r="S107" s="54"/>
      <c r="T107" s="197"/>
      <c r="U107" s="196"/>
      <c r="V107" s="197"/>
      <c r="W107" s="198"/>
    </row>
    <row r="108" spans="1:30" s="16" customFormat="1" ht="9" customHeight="1">
      <c r="A108" s="1">
        <v>1964</v>
      </c>
      <c r="B108" s="196"/>
      <c r="C108" s="196"/>
      <c r="D108" s="196"/>
      <c r="E108" s="232"/>
      <c r="F108" s="196"/>
      <c r="G108" s="1">
        <v>1964</v>
      </c>
      <c r="H108" s="196"/>
      <c r="I108" s="196"/>
      <c r="J108" s="196"/>
      <c r="K108" s="196"/>
      <c r="L108" s="196"/>
      <c r="M108" s="196"/>
      <c r="N108" s="232"/>
      <c r="O108" s="232"/>
      <c r="P108" s="197"/>
      <c r="Q108" s="197"/>
      <c r="R108" s="1">
        <v>1964</v>
      </c>
      <c r="S108" s="54"/>
      <c r="T108" s="197"/>
      <c r="U108" s="196"/>
      <c r="V108" s="197"/>
      <c r="W108" s="198"/>
    </row>
    <row r="109" spans="1:30" s="16" customFormat="1" ht="9" customHeight="1">
      <c r="A109" s="1">
        <v>1965</v>
      </c>
      <c r="B109" s="196"/>
      <c r="C109" s="196"/>
      <c r="D109" s="196"/>
      <c r="E109" s="232"/>
      <c r="F109" s="196"/>
      <c r="G109" s="1">
        <v>1965</v>
      </c>
      <c r="H109" s="196"/>
      <c r="I109" s="196"/>
      <c r="J109" s="196"/>
      <c r="K109" s="196"/>
      <c r="L109" s="196"/>
      <c r="M109" s="196"/>
      <c r="N109" s="232"/>
      <c r="O109" s="232"/>
      <c r="P109" s="197"/>
      <c r="Q109" s="197"/>
      <c r="R109" s="1">
        <v>1965</v>
      </c>
      <c r="S109" s="54"/>
      <c r="T109" s="197"/>
      <c r="U109" s="196"/>
      <c r="V109" s="197"/>
      <c r="W109" s="198"/>
    </row>
    <row r="110" spans="1:30" s="16" customFormat="1" ht="9" customHeight="1">
      <c r="A110" s="1">
        <v>1966</v>
      </c>
      <c r="B110" s="196"/>
      <c r="C110" s="196"/>
      <c r="D110" s="196"/>
      <c r="E110" s="232"/>
      <c r="F110" s="196"/>
      <c r="G110" s="1">
        <v>1966</v>
      </c>
      <c r="H110" s="196"/>
      <c r="I110" s="196"/>
      <c r="J110" s="196"/>
      <c r="K110" s="196"/>
      <c r="L110" s="196"/>
      <c r="M110" s="196"/>
      <c r="N110" s="232"/>
      <c r="O110" s="232"/>
      <c r="P110" s="197"/>
      <c r="Q110" s="197"/>
      <c r="R110" s="1">
        <v>1966</v>
      </c>
      <c r="S110" s="54"/>
      <c r="T110" s="197"/>
      <c r="U110" s="196"/>
      <c r="V110" s="197"/>
      <c r="W110" s="198"/>
    </row>
    <row r="111" spans="1:30" s="16" customFormat="1" ht="9" customHeight="1">
      <c r="A111" s="1">
        <v>1967</v>
      </c>
      <c r="B111" s="196"/>
      <c r="C111" s="196"/>
      <c r="D111" s="196"/>
      <c r="E111" s="232"/>
      <c r="F111" s="196"/>
      <c r="G111" s="1">
        <v>1967</v>
      </c>
      <c r="H111" s="196"/>
      <c r="I111" s="196"/>
      <c r="J111" s="196"/>
      <c r="K111" s="196"/>
      <c r="L111" s="196"/>
      <c r="M111" s="196"/>
      <c r="N111" s="232"/>
      <c r="O111" s="232"/>
      <c r="P111" s="197"/>
      <c r="Q111" s="197"/>
      <c r="R111" s="1">
        <v>1967</v>
      </c>
      <c r="S111" s="54"/>
      <c r="T111" s="197"/>
      <c r="U111" s="196"/>
      <c r="V111" s="197"/>
      <c r="W111" s="198"/>
    </row>
    <row r="112" spans="1:30" s="16" customFormat="1" ht="9" customHeight="1">
      <c r="A112" s="1">
        <v>1968</v>
      </c>
      <c r="B112" s="196"/>
      <c r="C112" s="196"/>
      <c r="D112" s="196"/>
      <c r="E112" s="232"/>
      <c r="F112" s="196"/>
      <c r="G112" s="1">
        <v>1968</v>
      </c>
      <c r="H112" s="196"/>
      <c r="I112" s="196"/>
      <c r="J112" s="196"/>
      <c r="K112" s="196"/>
      <c r="L112" s="196"/>
      <c r="M112" s="196"/>
      <c r="N112" s="232"/>
      <c r="O112" s="232"/>
      <c r="P112" s="197"/>
      <c r="Q112" s="197"/>
      <c r="R112" s="1">
        <v>1968</v>
      </c>
      <c r="S112" s="54"/>
      <c r="T112" s="197"/>
      <c r="U112" s="196"/>
      <c r="V112" s="197"/>
      <c r="W112" s="198"/>
    </row>
    <row r="113" spans="1:29" s="16" customFormat="1" ht="9" customHeight="1">
      <c r="A113" s="1">
        <v>1969</v>
      </c>
      <c r="B113" s="196"/>
      <c r="C113" s="196"/>
      <c r="D113" s="196"/>
      <c r="E113" s="232"/>
      <c r="F113" s="196"/>
      <c r="G113" s="1">
        <v>1969</v>
      </c>
      <c r="H113" s="196"/>
      <c r="I113" s="196"/>
      <c r="J113" s="196"/>
      <c r="K113" s="196"/>
      <c r="L113" s="196"/>
      <c r="M113" s="196"/>
      <c r="N113" s="232"/>
      <c r="O113" s="232"/>
      <c r="P113" s="197"/>
      <c r="Q113" s="197"/>
      <c r="R113" s="1">
        <v>1969</v>
      </c>
      <c r="S113" s="54"/>
      <c r="T113" s="197"/>
      <c r="U113" s="196"/>
      <c r="V113" s="197"/>
      <c r="W113" s="198"/>
    </row>
    <row r="114" spans="1:29" s="16" customFormat="1" ht="9" customHeight="1">
      <c r="A114" s="1">
        <v>1970</v>
      </c>
      <c r="B114" s="196"/>
      <c r="C114" s="196"/>
      <c r="D114" s="196"/>
      <c r="E114" s="232"/>
      <c r="F114" s="196"/>
      <c r="G114" s="1">
        <v>1970</v>
      </c>
      <c r="H114" s="196"/>
      <c r="I114" s="196"/>
      <c r="J114" s="196"/>
      <c r="K114" s="196"/>
      <c r="L114" s="196"/>
      <c r="M114" s="196"/>
      <c r="N114" s="232"/>
      <c r="O114" s="232"/>
      <c r="P114" s="197"/>
      <c r="Q114" s="197"/>
      <c r="R114" s="1">
        <v>1970</v>
      </c>
      <c r="S114" s="54"/>
      <c r="T114" s="197"/>
      <c r="U114" s="196"/>
      <c r="V114" s="197"/>
      <c r="W114" s="198"/>
    </row>
    <row r="115" spans="1:29" s="16" customFormat="1" ht="9" customHeight="1">
      <c r="A115" s="1">
        <v>1971</v>
      </c>
      <c r="B115" s="196"/>
      <c r="C115" s="196"/>
      <c r="D115" s="196"/>
      <c r="E115" s="232"/>
      <c r="F115" s="196"/>
      <c r="G115" s="1">
        <v>1971</v>
      </c>
      <c r="H115" s="196"/>
      <c r="I115" s="196"/>
      <c r="J115" s="196"/>
      <c r="K115" s="196"/>
      <c r="L115" s="196"/>
      <c r="M115" s="196"/>
      <c r="N115" s="232"/>
      <c r="O115" s="232"/>
      <c r="P115" s="197"/>
      <c r="Q115" s="197"/>
      <c r="R115" s="1">
        <v>1971</v>
      </c>
      <c r="S115" s="54"/>
      <c r="T115" s="197"/>
      <c r="U115" s="196"/>
      <c r="V115" s="197"/>
      <c r="W115" s="198"/>
    </row>
    <row r="116" spans="1:29" s="16" customFormat="1" ht="9" customHeight="1">
      <c r="A116" s="1">
        <v>1972</v>
      </c>
      <c r="B116" s="196"/>
      <c r="C116" s="196"/>
      <c r="D116" s="196"/>
      <c r="E116" s="232"/>
      <c r="F116" s="196"/>
      <c r="G116" s="1">
        <v>1972</v>
      </c>
      <c r="H116" s="196"/>
      <c r="I116" s="196"/>
      <c r="J116" s="196"/>
      <c r="K116" s="196"/>
      <c r="L116" s="196"/>
      <c r="M116" s="196"/>
      <c r="N116" s="232"/>
      <c r="O116" s="232"/>
      <c r="P116" s="197"/>
      <c r="Q116" s="197"/>
      <c r="R116" s="1">
        <v>1972</v>
      </c>
      <c r="S116" s="54"/>
      <c r="T116" s="197"/>
      <c r="U116" s="196"/>
      <c r="V116" s="197"/>
      <c r="W116" s="198"/>
    </row>
    <row r="117" spans="1:29" s="16" customFormat="1" ht="9" customHeight="1">
      <c r="A117" s="1">
        <v>1973</v>
      </c>
      <c r="B117" s="196"/>
      <c r="C117" s="196"/>
      <c r="D117" s="196"/>
      <c r="E117" s="232"/>
      <c r="F117" s="196"/>
      <c r="G117" s="1">
        <v>1973</v>
      </c>
      <c r="H117" s="196"/>
      <c r="I117" s="196"/>
      <c r="J117" s="196"/>
      <c r="K117" s="196"/>
      <c r="L117" s="196"/>
      <c r="M117" s="196"/>
      <c r="N117" s="232"/>
      <c r="O117" s="232"/>
      <c r="P117" s="197"/>
      <c r="Q117" s="197"/>
      <c r="R117" s="1">
        <v>1973</v>
      </c>
      <c r="S117" s="54"/>
      <c r="T117" s="197"/>
      <c r="U117" s="196"/>
      <c r="V117" s="197"/>
      <c r="W117" s="198"/>
    </row>
    <row r="118" spans="1:29" s="16" customFormat="1" ht="9" customHeight="1">
      <c r="A118" s="1">
        <v>1974</v>
      </c>
      <c r="B118" s="196"/>
      <c r="C118" s="196"/>
      <c r="D118" s="196"/>
      <c r="E118" s="232"/>
      <c r="F118" s="196"/>
      <c r="G118" s="1">
        <v>1974</v>
      </c>
      <c r="H118" s="196"/>
      <c r="I118" s="196"/>
      <c r="J118" s="196"/>
      <c r="K118" s="196"/>
      <c r="L118" s="196"/>
      <c r="M118" s="196"/>
      <c r="N118" s="232"/>
      <c r="O118" s="232"/>
      <c r="P118" s="197"/>
      <c r="Q118" s="197"/>
      <c r="R118" s="1">
        <v>1974</v>
      </c>
      <c r="S118" s="54"/>
      <c r="T118" s="197"/>
      <c r="U118" s="196"/>
      <c r="V118" s="197"/>
      <c r="W118" s="198"/>
    </row>
    <row r="119" spans="1:29" s="16" customFormat="1" ht="9" customHeight="1">
      <c r="A119" s="1">
        <v>1975</v>
      </c>
      <c r="B119" s="196"/>
      <c r="C119" s="196"/>
      <c r="D119" s="196"/>
      <c r="E119" s="232"/>
      <c r="F119" s="196"/>
      <c r="G119" s="1">
        <v>1975</v>
      </c>
      <c r="H119" s="196"/>
      <c r="I119" s="196"/>
      <c r="J119" s="196"/>
      <c r="K119" s="196"/>
      <c r="L119" s="196"/>
      <c r="M119" s="196"/>
      <c r="N119" s="232"/>
      <c r="O119" s="232"/>
      <c r="P119" s="197"/>
      <c r="Q119" s="197"/>
      <c r="R119" s="1">
        <v>1975</v>
      </c>
      <c r="S119" s="54"/>
      <c r="T119" s="197"/>
      <c r="U119" s="196"/>
      <c r="V119" s="197"/>
      <c r="W119" s="198"/>
    </row>
    <row r="120" spans="1:29">
      <c r="A120" s="1">
        <v>1976</v>
      </c>
      <c r="B120" s="8">
        <f>(K7*($E7/162))</f>
        <v>0</v>
      </c>
      <c r="C120" s="8">
        <f>(L7*($E7/162))</f>
        <v>0</v>
      </c>
      <c r="D120" s="8">
        <f>(M7*($E7/162))</f>
        <v>70.588235294117652</v>
      </c>
      <c r="E120" s="48">
        <f>B120+C120+D120</f>
        <v>70.588235294117652</v>
      </c>
      <c r="G120" s="1">
        <v>1976</v>
      </c>
      <c r="H120" s="989">
        <f>(O7/$R7*100*($E7/162))</f>
        <v>0</v>
      </c>
      <c r="I120" s="989"/>
      <c r="J120" s="989">
        <f>(P7/$R7*100*($E7/162))</f>
        <v>0</v>
      </c>
      <c r="K120" s="989"/>
      <c r="L120" s="989">
        <f>(Q7/$R7*100*($E7/162))</f>
        <v>100</v>
      </c>
      <c r="M120" s="989"/>
      <c r="N120" s="959">
        <f t="shared" ref="N120:N156" si="26">H120+J120+L120</f>
        <v>100</v>
      </c>
      <c r="O120" s="959"/>
      <c r="R120" s="1">
        <v>1976</v>
      </c>
      <c r="S120" s="8">
        <f>(O7*($E7/162))</f>
        <v>0</v>
      </c>
      <c r="T120" s="8">
        <f>(P7*($E7/162))</f>
        <v>0</v>
      </c>
      <c r="U120" s="8">
        <f>(Q7*($E7/162))</f>
        <v>40.700000000000003</v>
      </c>
      <c r="V120" s="7"/>
      <c r="W120" s="7">
        <f>S120+T120+U120</f>
        <v>40.700000000000003</v>
      </c>
      <c r="Y120" s="233" t="s">
        <v>1236</v>
      </c>
      <c r="Z120" s="233"/>
      <c r="AA120" s="233"/>
      <c r="AB120" s="233"/>
      <c r="AC120" s="233"/>
    </row>
    <row r="121" spans="1:29">
      <c r="A121" s="1">
        <v>1977</v>
      </c>
      <c r="B121" s="8">
        <f>(K8*($E8/365))+(K9*($E9/365))</f>
        <v>0</v>
      </c>
      <c r="C121" s="8">
        <f>(L8*($E8/365))+(L9*($E9/365))</f>
        <v>0</v>
      </c>
      <c r="D121" s="8">
        <f>(M8*($E8/365))+(M9*($E9/365))</f>
        <v>70.588235294117652</v>
      </c>
      <c r="E121" s="48">
        <f t="shared" ref="E121:E155" si="27">B121+C121+D121</f>
        <v>70.588235294117652</v>
      </c>
      <c r="G121" s="1">
        <v>1977</v>
      </c>
      <c r="H121" s="989">
        <f>(O8/$R8*100*($E8/365))+(O9/$R9*100*($E9/365))</f>
        <v>0</v>
      </c>
      <c r="I121" s="989"/>
      <c r="J121" s="989">
        <f>(P8/$R8*100*($E8/365))+(P9/$R9*100*($E9/365))</f>
        <v>0</v>
      </c>
      <c r="K121" s="989"/>
      <c r="L121" s="989">
        <f>(Q8/$R8*100*($E8/365))+(Q9/$R9*100*($E9/365))</f>
        <v>100</v>
      </c>
      <c r="M121" s="989"/>
      <c r="N121" s="959">
        <f t="shared" si="26"/>
        <v>100</v>
      </c>
      <c r="O121" s="959"/>
      <c r="R121" s="1">
        <v>1977</v>
      </c>
      <c r="S121" s="8">
        <f>(O8*($E8/365))+(O9*($E9/365))</f>
        <v>0</v>
      </c>
      <c r="T121" s="8">
        <f>(P8*($E8/365))+(P9*($E9/365))</f>
        <v>0</v>
      </c>
      <c r="U121" s="8">
        <f>(Q8*($E8/365))+(Q9*($E9/365))</f>
        <v>40.700000000000003</v>
      </c>
      <c r="V121" s="7"/>
      <c r="W121" s="7">
        <f t="shared" ref="W121:W155" si="28">S121+T121+U121</f>
        <v>40.700000000000003</v>
      </c>
    </row>
    <row r="122" spans="1:29">
      <c r="A122" s="1">
        <v>1978</v>
      </c>
      <c r="B122" s="8">
        <f>(K10*($E10/365))+(K11*($E11/365))+(K12*($E12/365))+(K13*($E13/365))</f>
        <v>10.83904109589041</v>
      </c>
      <c r="C122" s="8">
        <f>(L10*($E10/365))+(L11*($E11/365))+(L12*($E12/365))+(L13*($E13/365))</f>
        <v>0</v>
      </c>
      <c r="D122" s="8">
        <f>(M10*($E10/365))+(M11*($E11/365))+(M12*($E12/365))+(M13*($E13/365))</f>
        <v>34.512489927477844</v>
      </c>
      <c r="E122" s="48">
        <f t="shared" si="27"/>
        <v>45.351531023368253</v>
      </c>
      <c r="G122" s="1">
        <v>1978</v>
      </c>
      <c r="H122" s="989">
        <f>(O10/$R10*100*($E10/365))+(O11/$R11*100*($E11/365))</f>
        <v>16.312724988524074</v>
      </c>
      <c r="I122" s="989"/>
      <c r="J122" s="989">
        <f>(P10/$R10*100*($E10/365))+(P11/$R11*100*($E11/365))</f>
        <v>0</v>
      </c>
      <c r="K122" s="989"/>
      <c r="L122" s="989">
        <f>(Q10/$R10*100*($E10/365))+(Q11/$R11*100*($E11/365))</f>
        <v>49.440699669010172</v>
      </c>
      <c r="M122" s="989"/>
      <c r="N122" s="959">
        <f t="shared" si="26"/>
        <v>65.753424657534254</v>
      </c>
      <c r="O122" s="959"/>
      <c r="R122" s="1">
        <v>1978</v>
      </c>
      <c r="S122" s="8">
        <f>(O10*($E10/365))+(O11*($E11/365))+(O12*($E12/365))+(O13*($E13/365))</f>
        <v>9.24931506849315</v>
      </c>
      <c r="T122" s="8">
        <f>(P10*($E10/365))+(P11*($E11/365))+(P12*($E12/365))+(P13*($E13/365))</f>
        <v>0</v>
      </c>
      <c r="U122" s="8">
        <f>(Q10*($E10/365))+(Q11*($E11/365))+(Q12*($E12/365))+(Q13*($E13/365))</f>
        <v>26.761643835616439</v>
      </c>
      <c r="V122" s="7"/>
      <c r="W122" s="7">
        <f t="shared" si="28"/>
        <v>36.010958904109586</v>
      </c>
    </row>
    <row r="123" spans="1:29">
      <c r="A123" s="1">
        <v>1979</v>
      </c>
      <c r="B123" s="8">
        <f>(K14*($E14/365))+(K15*($E15/365))</f>
        <v>0</v>
      </c>
      <c r="C123" s="8">
        <f>(L14*($E14/365))+(L15*($E15/365))</f>
        <v>0</v>
      </c>
      <c r="D123" s="8">
        <f>(M14*($E14/365))+(M15*($E15/365))</f>
        <v>0</v>
      </c>
      <c r="E123" s="48">
        <f t="shared" si="27"/>
        <v>0</v>
      </c>
      <c r="G123" s="1">
        <v>1979</v>
      </c>
      <c r="H123" s="989">
        <v>0</v>
      </c>
      <c r="I123" s="989"/>
      <c r="J123" s="989">
        <v>0</v>
      </c>
      <c r="K123" s="989"/>
      <c r="L123" s="989">
        <v>0</v>
      </c>
      <c r="M123" s="989"/>
      <c r="N123" s="959">
        <f>H123+J123+L123</f>
        <v>0</v>
      </c>
      <c r="O123" s="959"/>
      <c r="R123" s="1">
        <v>1979</v>
      </c>
      <c r="S123" s="8">
        <f>(O14*($E14/365))+(O15*($E15/365))</f>
        <v>0</v>
      </c>
      <c r="T123" s="8">
        <f>(P14*($E14/365))+(P15*($E15/365))</f>
        <v>0</v>
      </c>
      <c r="U123" s="8">
        <f>(Q14*($E14/365))+(Q15*($E15/365))</f>
        <v>0</v>
      </c>
      <c r="V123" s="7"/>
      <c r="W123" s="7">
        <f t="shared" si="28"/>
        <v>0</v>
      </c>
    </row>
    <row r="124" spans="1:29">
      <c r="A124" s="1">
        <v>1980</v>
      </c>
      <c r="B124" s="8">
        <f>(K16*($E16/366))+(K17*($E17/366))</f>
        <v>86.193078324225866</v>
      </c>
      <c r="C124" s="8">
        <f>(L16*($E16/366))+(L17*($E17/366))</f>
        <v>0</v>
      </c>
      <c r="D124" s="8">
        <f>(M16*($E16/366))+(M17*($E17/366))</f>
        <v>0</v>
      </c>
      <c r="E124" s="48">
        <f t="shared" si="27"/>
        <v>86.193078324225866</v>
      </c>
      <c r="G124" s="1">
        <v>1980</v>
      </c>
      <c r="H124" s="989">
        <f>(O17/$R17*100*($E17/366))</f>
        <v>99.453551912568301</v>
      </c>
      <c r="I124" s="989"/>
      <c r="J124" s="989">
        <f>(P17/$R17*100*($E17/366))</f>
        <v>0</v>
      </c>
      <c r="K124" s="989"/>
      <c r="L124" s="989">
        <f>(Q17/$R17*100*($E17/366))</f>
        <v>0</v>
      </c>
      <c r="M124" s="989"/>
      <c r="N124" s="959">
        <f t="shared" si="26"/>
        <v>99.453551912568301</v>
      </c>
      <c r="O124" s="959"/>
      <c r="R124" s="1">
        <v>1980</v>
      </c>
      <c r="S124" s="8">
        <f>(O16*($E16/366))+(O17*($E17/366))</f>
        <v>52.312568306010931</v>
      </c>
      <c r="T124" s="8">
        <f>(P16*($E16/366))+(P17*($E17/366))</f>
        <v>0</v>
      </c>
      <c r="U124" s="8">
        <f>(Q16*($E16/366))+(Q17*($E17/366))</f>
        <v>0</v>
      </c>
      <c r="V124" s="7"/>
      <c r="W124" s="7">
        <f t="shared" si="28"/>
        <v>52.312568306010931</v>
      </c>
    </row>
    <row r="125" spans="1:29">
      <c r="A125" s="1">
        <v>1981</v>
      </c>
      <c r="B125" s="8">
        <f>(K18*($E18/365))+(K19*($E19/365))+(K20*($E20/365))</f>
        <v>86.666666666666671</v>
      </c>
      <c r="C125" s="8">
        <f>(L18*($E18/365))+(L19*($E19/365))+(L20*($E20/365))</f>
        <v>0</v>
      </c>
      <c r="D125" s="8">
        <f>(M18*($E18/365))+(M19*($E19/365))+(M20*($E20/365))</f>
        <v>0</v>
      </c>
      <c r="E125" s="48">
        <f t="shared" si="27"/>
        <v>86.666666666666671</v>
      </c>
      <c r="G125" s="1">
        <v>1981</v>
      </c>
      <c r="H125" s="989">
        <f>(O18/$R18*100*($E18/365))+(O19/$R19*100*($E19/365))+(O20/$R20*100*($E20/365))</f>
        <v>99.999999999999986</v>
      </c>
      <c r="I125" s="989"/>
      <c r="J125" s="989">
        <f>(P18/$R18*100*($E18/365))+(P19/$R19*100*($E19/365))+(P20/$R20*100*($E20/365))</f>
        <v>0</v>
      </c>
      <c r="K125" s="989"/>
      <c r="L125" s="989">
        <f>(Q18/$R18*100*($E18/365))+(Q19/$R19*100*($E19/365))+(Q20/$R20*100*($E20/365))</f>
        <v>0</v>
      </c>
      <c r="M125" s="989"/>
      <c r="N125" s="959">
        <f t="shared" si="26"/>
        <v>99.999999999999986</v>
      </c>
      <c r="O125" s="959"/>
      <c r="R125" s="1">
        <v>1981</v>
      </c>
      <c r="S125" s="8">
        <f>(O18*($E18/365))+(O19*($E19/365))+(O20*($E20/365))</f>
        <v>52.6</v>
      </c>
      <c r="T125" s="8">
        <f>(P18*($E18/365))+(P19*($E19/365))+(P20*($E20/365))</f>
        <v>0</v>
      </c>
      <c r="U125" s="8">
        <f>(Q18*($E18/365))+(Q19*($E19/365))+(Q20*($E20/365))</f>
        <v>0</v>
      </c>
      <c r="V125" s="7"/>
      <c r="W125" s="7">
        <f t="shared" si="28"/>
        <v>52.6</v>
      </c>
    </row>
    <row r="126" spans="1:29">
      <c r="A126" s="1">
        <v>1982</v>
      </c>
      <c r="B126" s="8">
        <f>(K21*($E21/365))+(K22*($E22/365))</f>
        <v>93.333333333333329</v>
      </c>
      <c r="C126" s="8">
        <f>(L21*($E21/365))+(L22*($E22/365))</f>
        <v>0</v>
      </c>
      <c r="D126" s="8">
        <f>(M21*($E21/365))+(M22*($E22/365))</f>
        <v>0</v>
      </c>
      <c r="E126" s="48">
        <f t="shared" si="27"/>
        <v>93.333333333333329</v>
      </c>
      <c r="G126" s="1">
        <v>1982</v>
      </c>
      <c r="H126" s="989">
        <f>(O21/$R21*100*($E21/365))+(O22/$R22*100*($E22/365))</f>
        <v>100</v>
      </c>
      <c r="I126" s="989"/>
      <c r="J126" s="989">
        <f>(P21/$R21*100*($E21/365))+(P22/$R22*100*($E22/365))</f>
        <v>0</v>
      </c>
      <c r="K126" s="989"/>
      <c r="L126" s="989">
        <f>(Q21/$R21*100*($E21/365))+(Q22/$R22*100*($E22/365))</f>
        <v>0</v>
      </c>
      <c r="M126" s="989"/>
      <c r="N126" s="959">
        <f t="shared" si="26"/>
        <v>100</v>
      </c>
      <c r="O126" s="959"/>
      <c r="R126" s="1">
        <v>1982</v>
      </c>
      <c r="S126" s="8">
        <f>(O21*($E21/365))+(O22*($E22/365))</f>
        <v>52.6</v>
      </c>
      <c r="T126" s="8">
        <f>(P21*($E21/365))+(P22*($E22/365))</f>
        <v>0</v>
      </c>
      <c r="U126" s="8">
        <f>(Q21*($E21/365))+(Q22*($E22/365))</f>
        <v>0</v>
      </c>
      <c r="V126" s="7"/>
      <c r="W126" s="7">
        <f t="shared" si="28"/>
        <v>52.6</v>
      </c>
    </row>
    <row r="127" spans="1:29">
      <c r="A127" s="1">
        <v>1983</v>
      </c>
      <c r="B127" s="8">
        <f>(K23*($E23/365))+(K24*($E24/365))</f>
        <v>60.576954069298949</v>
      </c>
      <c r="C127" s="8">
        <f>(L23*($E23/365))+(L24*($E24/365))</f>
        <v>0</v>
      </c>
      <c r="D127" s="8">
        <f>(M23*($E23/365))+(M24*($E24/365))</f>
        <v>29.879129734085417</v>
      </c>
      <c r="E127" s="48">
        <f t="shared" si="27"/>
        <v>90.456083803384359</v>
      </c>
      <c r="G127" s="1">
        <v>1983</v>
      </c>
      <c r="H127" s="989">
        <f>(O23/$R23*100*($E23/365))+(O24/$R24*100*($E24/365))</f>
        <v>67.612079701120791</v>
      </c>
      <c r="I127" s="989"/>
      <c r="J127" s="989">
        <f>(P23/$R23*100*($E23/365))+(P24/$R24*100*($E24/365))</f>
        <v>0</v>
      </c>
      <c r="K127" s="989"/>
      <c r="L127" s="989">
        <f>(Q23/$R23*100*($E23/365))+(Q24/$R24*100*($E24/365))</f>
        <v>32.387920298879195</v>
      </c>
      <c r="M127" s="989"/>
      <c r="N127" s="959">
        <f t="shared" si="26"/>
        <v>99.999999999999986</v>
      </c>
      <c r="O127" s="959"/>
      <c r="R127" s="1">
        <v>1983</v>
      </c>
      <c r="S127" s="8">
        <f>(O23*($E23/365))+(O24*($E24/365))</f>
        <v>39.844931506849321</v>
      </c>
      <c r="T127" s="8">
        <f>(P23*($E23/365))+(P24*($E24/365))</f>
        <v>0</v>
      </c>
      <c r="U127" s="8">
        <f>(Q23*($E23/365))+(Q24*($E24/365))</f>
        <v>22.801095890410959</v>
      </c>
      <c r="V127" s="7"/>
      <c r="W127" s="7">
        <f t="shared" si="28"/>
        <v>62.646027397260283</v>
      </c>
    </row>
    <row r="128" spans="1:29">
      <c r="A128" s="1">
        <v>1984</v>
      </c>
      <c r="B128" s="8">
        <f>(K25*($E25/366))+(K26*($E26/366))</f>
        <v>35.294117647058826</v>
      </c>
      <c r="C128" s="8">
        <f>(L25*($E25/366))+(L26*($E26/366))</f>
        <v>0</v>
      </c>
      <c r="D128" s="8">
        <f>(M25*($E25/366))+(M26*($E26/366))</f>
        <v>52.941176470588239</v>
      </c>
      <c r="E128" s="48">
        <f t="shared" si="27"/>
        <v>88.235294117647072</v>
      </c>
      <c r="G128" s="1">
        <v>1984</v>
      </c>
      <c r="H128" s="989">
        <f>(O25/$R25*100*($E25/366))+(O26/$R26*100*($E26/366))</f>
        <v>42.61363636363636</v>
      </c>
      <c r="I128" s="989"/>
      <c r="J128" s="989">
        <f>(P25/$R25*100*($E25/366))+(P26/$R26*100*($E26/366))</f>
        <v>0</v>
      </c>
      <c r="K128" s="989"/>
      <c r="L128" s="989">
        <f>(Q25/$R25*100*($E25/366))+(Q26/$R26*100*($E26/366))</f>
        <v>57.386363636363626</v>
      </c>
      <c r="M128" s="989"/>
      <c r="N128" s="959">
        <f t="shared" si="26"/>
        <v>99.999999999999986</v>
      </c>
      <c r="O128" s="959"/>
      <c r="R128" s="1">
        <v>1984</v>
      </c>
      <c r="S128" s="8">
        <f>(O25*($E25/366))+(O26*($E26/366))</f>
        <v>30</v>
      </c>
      <c r="T128" s="8">
        <f>(P25*($E25/366))+(P26*($E26/366))</f>
        <v>0</v>
      </c>
      <c r="U128" s="8">
        <f>(Q25*($E25/366))+(Q26*($E26/366))</f>
        <v>40.4</v>
      </c>
      <c r="V128" s="7"/>
      <c r="W128" s="7">
        <f t="shared" si="28"/>
        <v>70.400000000000006</v>
      </c>
    </row>
    <row r="129" spans="1:23">
      <c r="A129" s="1">
        <v>1985</v>
      </c>
      <c r="B129" s="8">
        <f>(K27*($E27/365))+(K28*($E28/365))</f>
        <v>43.029814665592269</v>
      </c>
      <c r="C129" s="8">
        <f>(L27*($E27/365))+(L28*($E28/365))</f>
        <v>0</v>
      </c>
      <c r="D129" s="8">
        <f>(M27*($E27/365))+(M28*($E28/365))</f>
        <v>44.818694601128122</v>
      </c>
      <c r="E129" s="48">
        <f t="shared" si="27"/>
        <v>87.848509266720384</v>
      </c>
      <c r="G129" s="1">
        <v>1985</v>
      </c>
      <c r="H129" s="989">
        <f>(O27/$R27*100*($E27/365))+(O28/$R28*100*($E28/365))</f>
        <v>51.418119551681187</v>
      </c>
      <c r="I129" s="989"/>
      <c r="J129" s="989">
        <f>(P27/$R27*100*($E27/365))+(P28/$R28*100*($E28/365))</f>
        <v>0</v>
      </c>
      <c r="K129" s="989"/>
      <c r="L129" s="989">
        <f>(Q27/$R27*100*($E27/365))+(Q28/$R28*100*($E28/365))</f>
        <v>48.581880448318792</v>
      </c>
      <c r="M129" s="989"/>
      <c r="N129" s="959">
        <f t="shared" si="26"/>
        <v>99.999999999999972</v>
      </c>
      <c r="O129" s="959"/>
      <c r="R129" s="1">
        <v>1985</v>
      </c>
      <c r="S129" s="8">
        <f>(O27*($E27/365))+(O28*($E28/365))</f>
        <v>30.797808219178084</v>
      </c>
      <c r="T129" s="8">
        <f>(P27*($E27/365))+(P28*($E28/365))</f>
        <v>0</v>
      </c>
      <c r="U129" s="8">
        <f>(Q27*($E27/365))+(Q28*($E28/365))</f>
        <v>34.201643835616437</v>
      </c>
      <c r="V129" s="7"/>
      <c r="W129" s="7">
        <f t="shared" si="28"/>
        <v>64.999452054794517</v>
      </c>
    </row>
    <row r="130" spans="1:23">
      <c r="A130" s="1">
        <v>1986</v>
      </c>
      <c r="B130" s="8">
        <f>(K29*($E29/365))+(K30*($E30/365))</f>
        <v>85.714285714285708</v>
      </c>
      <c r="C130" s="8">
        <f>(L29*($E29/365))+(L30*($E30/365))</f>
        <v>0</v>
      </c>
      <c r="D130" s="8">
        <f>(M29*($E29/365))+(M30*($E30/365))</f>
        <v>0</v>
      </c>
      <c r="E130" s="48">
        <f t="shared" si="27"/>
        <v>85.714285714285708</v>
      </c>
      <c r="G130" s="1">
        <v>1986</v>
      </c>
      <c r="H130" s="989">
        <f>(O29/$R29*100*($E29/365))+(O30/$R30*100*($E30/365))</f>
        <v>100</v>
      </c>
      <c r="I130" s="989"/>
      <c r="J130" s="989">
        <f>(P29/$R29*100*($E29/365))+(P30/$R30*100*($E30/365))</f>
        <v>0</v>
      </c>
      <c r="K130" s="989"/>
      <c r="L130" s="989">
        <f>(Q29/$R29*100*($E29/365))+(Q30/$R30*100*($E30/365))</f>
        <v>0</v>
      </c>
      <c r="M130" s="989"/>
      <c r="N130" s="959">
        <f t="shared" si="26"/>
        <v>100</v>
      </c>
      <c r="O130" s="959"/>
      <c r="R130" s="1">
        <v>1986</v>
      </c>
      <c r="S130" s="8">
        <f>(O29*($E29/365))+(O30*($E30/365))</f>
        <v>35.200000000000003</v>
      </c>
      <c r="T130" s="8">
        <f>(P29*($E29/365))+(P30*($E30/365))</f>
        <v>0</v>
      </c>
      <c r="U130" s="8">
        <f>(Q29*($E29/365))+(Q30*($E30/365))</f>
        <v>0</v>
      </c>
      <c r="V130" s="7"/>
      <c r="W130" s="7">
        <f t="shared" si="28"/>
        <v>35.200000000000003</v>
      </c>
    </row>
    <row r="131" spans="1:23">
      <c r="A131" s="1">
        <v>1987</v>
      </c>
      <c r="B131" s="8">
        <f>(K31*($E31/365))+(K32*($E32/365))</f>
        <v>86.905849097629911</v>
      </c>
      <c r="C131" s="8">
        <f>(L31*($E31/365))+(L32*($E32/365))</f>
        <v>0</v>
      </c>
      <c r="D131" s="8">
        <f>(M31*($E31/365))+(M32*($E32/365))</f>
        <v>0</v>
      </c>
      <c r="E131" s="48">
        <f t="shared" si="27"/>
        <v>86.905849097629911</v>
      </c>
      <c r="G131" s="1">
        <v>1987</v>
      </c>
      <c r="H131" s="989">
        <f>(O31/$R31*100*($E31/365))+(O32/$R32*100*($E32/365))</f>
        <v>100</v>
      </c>
      <c r="I131" s="989"/>
      <c r="J131" s="989">
        <f>(P31/$R31*100*($E31/365))+(P32/$R32*100*($E32/365))</f>
        <v>0</v>
      </c>
      <c r="K131" s="989"/>
      <c r="L131" s="989">
        <f>(Q31/$R31*100*($E31/365))+(Q32/$R32*100*($E32/365))</f>
        <v>0</v>
      </c>
      <c r="M131" s="989"/>
      <c r="N131" s="959">
        <f t="shared" si="26"/>
        <v>100</v>
      </c>
      <c r="O131" s="959"/>
      <c r="R131" s="1">
        <v>1987</v>
      </c>
      <c r="S131" s="8">
        <f>(O31*($E31/365))+(O32*($E32/365))</f>
        <v>44.208219178082189</v>
      </c>
      <c r="T131" s="8">
        <f>(P31*($E31/365))+(P32*($E32/365))</f>
        <v>0</v>
      </c>
      <c r="U131" s="8">
        <f>(Q31*($E31/365))+(Q32*($E32/365))</f>
        <v>0</v>
      </c>
      <c r="V131" s="7"/>
      <c r="W131" s="7">
        <f t="shared" si="28"/>
        <v>44.208219178082189</v>
      </c>
    </row>
    <row r="132" spans="1:23">
      <c r="A132" s="1">
        <v>1988</v>
      </c>
      <c r="B132" s="8">
        <f>(K33*($E33/366))+(K34*($E34/366))</f>
        <v>88.888888888888886</v>
      </c>
      <c r="C132" s="8">
        <f>(L33*($E33/366))+(L34*($E34/366))</f>
        <v>0</v>
      </c>
      <c r="D132" s="8">
        <f>(M33*($E33/366))+(M34*($E34/366))</f>
        <v>0</v>
      </c>
      <c r="E132" s="48">
        <f t="shared" si="27"/>
        <v>88.888888888888886</v>
      </c>
      <c r="G132" s="1">
        <v>1988</v>
      </c>
      <c r="H132" s="989">
        <f>(O33/$R33*100*($E33/366))+(O34/$R34*100*($E34/366))</f>
        <v>100</v>
      </c>
      <c r="I132" s="989"/>
      <c r="J132" s="989">
        <f>(P33/$R33*100*($E33/366))+(P34/$R34*100*($E34/366))</f>
        <v>0</v>
      </c>
      <c r="K132" s="989"/>
      <c r="L132" s="989">
        <f>(Q33/$R33*100*($E33/366))+(Q34/$R34*100*($E34/366))</f>
        <v>0</v>
      </c>
      <c r="M132" s="989"/>
      <c r="N132" s="959">
        <f t="shared" si="26"/>
        <v>100</v>
      </c>
      <c r="O132" s="959"/>
      <c r="R132" s="1">
        <v>1988</v>
      </c>
      <c r="S132" s="8">
        <f>(O33*($E33/366))+(O34*($E34/366))</f>
        <v>59.2</v>
      </c>
      <c r="T132" s="8">
        <f>(P33*($E33/366))+(P34*($E34/366))</f>
        <v>0</v>
      </c>
      <c r="U132" s="8">
        <f>(Q33*($E33/366))+(Q34*($E34/366))</f>
        <v>0</v>
      </c>
      <c r="V132" s="7"/>
      <c r="W132" s="7">
        <f t="shared" si="28"/>
        <v>59.2</v>
      </c>
    </row>
    <row r="133" spans="1:23">
      <c r="A133" s="1">
        <v>1989</v>
      </c>
      <c r="B133" s="8">
        <f>(K35*($E35/365))+(K36*($E36/365))</f>
        <v>88.888888888888886</v>
      </c>
      <c r="C133" s="8">
        <f>(L35*($E35/365))+(L36*($E36/365))</f>
        <v>0</v>
      </c>
      <c r="D133" s="8">
        <f>(M35*($E35/365))+(M36*($E36/365))</f>
        <v>0</v>
      </c>
      <c r="E133" s="48">
        <f t="shared" si="27"/>
        <v>88.888888888888886</v>
      </c>
      <c r="G133" s="1">
        <v>1989</v>
      </c>
      <c r="H133" s="989">
        <f>(O35/$R35*100*($E35/365))+(O36/$R36*100*($E36/365))</f>
        <v>100</v>
      </c>
      <c r="I133" s="989"/>
      <c r="J133" s="989">
        <f>(P35/$R35*100*($E35/365))+(P36/$R36*100*($E36/365))</f>
        <v>0</v>
      </c>
      <c r="K133" s="989"/>
      <c r="L133" s="989">
        <f>(Q35/$R35*100*($E35/365))+(Q36/$R36*100*($E36/365))</f>
        <v>0</v>
      </c>
      <c r="M133" s="989"/>
      <c r="N133" s="959">
        <f t="shared" si="26"/>
        <v>100</v>
      </c>
      <c r="O133" s="959"/>
      <c r="R133" s="1">
        <v>1989</v>
      </c>
      <c r="S133" s="8">
        <f>(O35*($E35/365))+(O36*($E36/365))</f>
        <v>59.2</v>
      </c>
      <c r="T133" s="8">
        <f>(P35*($E35/365))+(P36*($E36/365))</f>
        <v>0</v>
      </c>
      <c r="U133" s="8">
        <f>(Q35*($E35/365))+(Q36*($E36/365))</f>
        <v>0</v>
      </c>
      <c r="V133" s="7"/>
      <c r="W133" s="7">
        <f t="shared" si="28"/>
        <v>59.2</v>
      </c>
    </row>
    <row r="134" spans="1:23">
      <c r="A134" s="1">
        <v>1990</v>
      </c>
      <c r="B134" s="8">
        <f>(K37*($E37/365))+(K38*($E38/365))</f>
        <v>88.888888888888886</v>
      </c>
      <c r="C134" s="8">
        <f>(L37*($E37/365))+(L38*($E38/365))</f>
        <v>0</v>
      </c>
      <c r="D134" s="8">
        <f>(M37*($E37/365))+(M38*($E38/365))</f>
        <v>0</v>
      </c>
      <c r="E134" s="48">
        <f t="shared" si="27"/>
        <v>88.888888888888886</v>
      </c>
      <c r="G134" s="1">
        <v>1990</v>
      </c>
      <c r="H134" s="989">
        <f>(O37/$R37*100*($E37/365))+(O38/$R38*100*($E38/365))</f>
        <v>100</v>
      </c>
      <c r="I134" s="989"/>
      <c r="J134" s="989">
        <f>(P37/$R37*100*($E37/365))+(P38/$R38*100*($E38/365))</f>
        <v>0</v>
      </c>
      <c r="K134" s="989"/>
      <c r="L134" s="989">
        <f>(Q37/$R37*100*($E37/365))+(Q38/$R38*100*($E38/365))</f>
        <v>0</v>
      </c>
      <c r="M134" s="989"/>
      <c r="N134" s="959">
        <f t="shared" si="26"/>
        <v>100</v>
      </c>
      <c r="O134" s="959"/>
      <c r="R134" s="1">
        <v>1990</v>
      </c>
      <c r="S134" s="8">
        <f>(O37*($E37/365))+(O38*($E38/365))</f>
        <v>59.2</v>
      </c>
      <c r="T134" s="8">
        <f>(P37*($E37/365))+(P38*($E38/365))</f>
        <v>0</v>
      </c>
      <c r="U134" s="8">
        <f>(Q37*($E37/365))+(Q38*($E38/365))</f>
        <v>0</v>
      </c>
      <c r="V134" s="7"/>
      <c r="W134" s="7">
        <f t="shared" si="28"/>
        <v>59.2</v>
      </c>
    </row>
    <row r="135" spans="1:23">
      <c r="A135" s="1">
        <v>1991</v>
      </c>
      <c r="B135" s="8">
        <f>(K39*($E39/365))+(K40*($E40/365))</f>
        <v>88.988223984619083</v>
      </c>
      <c r="C135" s="8">
        <f>(L39*($E39/365))+(L40*($E40/365))</f>
        <v>0</v>
      </c>
      <c r="D135" s="8">
        <f>(M39*($E39/365))+(M40*($E40/365))</f>
        <v>0</v>
      </c>
      <c r="E135" s="48">
        <f t="shared" si="27"/>
        <v>88.988223984619083</v>
      </c>
      <c r="G135" s="1">
        <v>1991</v>
      </c>
      <c r="H135" s="989">
        <f>(O39/$R39*100*($E39/365))+(O40/$R40*100*($E40/365))</f>
        <v>100</v>
      </c>
      <c r="I135" s="989"/>
      <c r="J135" s="989">
        <f>(P39/$R39*100*($E39/365))+(P40/$R40*100*($E40/365))</f>
        <v>0</v>
      </c>
      <c r="K135" s="989"/>
      <c r="L135" s="989">
        <f>(Q39/$R39*100*($E39/365))+(Q40/$R40*100*($E40/365))</f>
        <v>0</v>
      </c>
      <c r="M135" s="989"/>
      <c r="N135" s="959">
        <f t="shared" si="26"/>
        <v>100</v>
      </c>
      <c r="O135" s="959"/>
      <c r="R135" s="1">
        <v>1991</v>
      </c>
      <c r="S135" s="8">
        <f>(O39*($E39/365))+(O40*($E40/365))</f>
        <v>59.064109589041102</v>
      </c>
      <c r="T135" s="8">
        <f>(P39*($E39/365))+(P40*($E40/365))</f>
        <v>0</v>
      </c>
      <c r="U135" s="8">
        <f>(Q39*($E39/365))+(Q40*($E40/365))</f>
        <v>0</v>
      </c>
      <c r="V135" s="7"/>
      <c r="W135" s="7">
        <f t="shared" si="28"/>
        <v>59.064109589041102</v>
      </c>
    </row>
    <row r="136" spans="1:23">
      <c r="A136" s="1">
        <v>1992</v>
      </c>
      <c r="B136" s="8">
        <f>(K41*($E41/366))+(K42*($E42/366))</f>
        <v>89.473684210526315</v>
      </c>
      <c r="C136" s="8">
        <f>(L41*($E41/366))+(L42*($E42/366))</f>
        <v>0</v>
      </c>
      <c r="D136" s="8">
        <f>(M41*($E41/366))+(M42*($E42/366))</f>
        <v>0</v>
      </c>
      <c r="E136" s="48">
        <f t="shared" si="27"/>
        <v>89.473684210526315</v>
      </c>
      <c r="G136" s="1">
        <v>1992</v>
      </c>
      <c r="H136" s="989">
        <f>(O41/$R41*100*($E41/366))+(O42/$R42*100*($E42/366))</f>
        <v>100</v>
      </c>
      <c r="I136" s="989"/>
      <c r="J136" s="989">
        <f>(P41/$R41*100*($E41/366))+(P42/$R42*100*($E42/366))</f>
        <v>0</v>
      </c>
      <c r="K136" s="989"/>
      <c r="L136" s="989">
        <f>(Q41/$R41*100*($E41/366))+(Q42/$R42*100*($E42/366))</f>
        <v>0</v>
      </c>
      <c r="M136" s="989"/>
      <c r="N136" s="959">
        <f t="shared" si="26"/>
        <v>100</v>
      </c>
      <c r="O136" s="959"/>
      <c r="R136" s="1">
        <v>1992</v>
      </c>
      <c r="S136" s="8">
        <f>(O41*($E41/366))+(O42*($E42/366))</f>
        <v>58.4</v>
      </c>
      <c r="T136" s="8">
        <f>(P41*($E41/366))+(P42*($E42/366))</f>
        <v>0</v>
      </c>
      <c r="U136" s="8">
        <f>(Q41*($E41/366))+(Q42*($E42/366))</f>
        <v>0</v>
      </c>
      <c r="V136" s="7"/>
      <c r="W136" s="7">
        <f t="shared" si="28"/>
        <v>58.4</v>
      </c>
    </row>
    <row r="137" spans="1:23">
      <c r="A137" s="1">
        <v>1993</v>
      </c>
      <c r="B137" s="8">
        <f>(K43*($E43/365))+(K44*($E44/365))</f>
        <v>89.473684210526315</v>
      </c>
      <c r="C137" s="8">
        <f>(L43*($E43/365))+(L44*($E44/365))</f>
        <v>0</v>
      </c>
      <c r="D137" s="8">
        <f>(M43*($E43/365))+(M44*($E44/365))</f>
        <v>0</v>
      </c>
      <c r="E137" s="48">
        <f t="shared" si="27"/>
        <v>89.473684210526315</v>
      </c>
      <c r="G137" s="1">
        <v>1993</v>
      </c>
      <c r="H137" s="989">
        <f>(O43/$R43*100*($E43/365))+(O44/$R44*100*($E44/365))</f>
        <v>100</v>
      </c>
      <c r="I137" s="989"/>
      <c r="J137" s="989">
        <f>(P43/$R43*100*($E43/365))+(P44/$R44*100*($E44/365))</f>
        <v>0</v>
      </c>
      <c r="K137" s="989"/>
      <c r="L137" s="989">
        <f>(Q43/$R43*100*($E43/365))+(Q44/$R44*100*($E44/365))</f>
        <v>0</v>
      </c>
      <c r="M137" s="989"/>
      <c r="N137" s="959">
        <f t="shared" si="26"/>
        <v>100</v>
      </c>
      <c r="O137" s="959"/>
      <c r="R137" s="1">
        <v>1993</v>
      </c>
      <c r="S137" s="8">
        <f>(O43*($E43/365))+(O44*($E44/365))</f>
        <v>58.4</v>
      </c>
      <c r="T137" s="8">
        <f>(P43*($E43/365))+(P44*($E44/365))</f>
        <v>0</v>
      </c>
      <c r="U137" s="8">
        <f>(Q43*($E43/365))+(Q44*($E44/365))</f>
        <v>0</v>
      </c>
      <c r="V137" s="7"/>
      <c r="W137" s="7">
        <f t="shared" si="28"/>
        <v>58.4</v>
      </c>
    </row>
    <row r="138" spans="1:23">
      <c r="A138" s="1">
        <v>1994</v>
      </c>
      <c r="B138" s="8">
        <f>(K45*($E45/365))+(K46*($E46/365))</f>
        <v>89.473684210526315</v>
      </c>
      <c r="C138" s="8">
        <f>(L45*($E45/365))+(L46*($E46/365))</f>
        <v>0</v>
      </c>
      <c r="D138" s="8">
        <f>(M45*($E45/365))+(M46*($E46/365))</f>
        <v>0</v>
      </c>
      <c r="E138" s="48">
        <f t="shared" si="27"/>
        <v>89.473684210526315</v>
      </c>
      <c r="G138" s="1">
        <v>1994</v>
      </c>
      <c r="H138" s="989">
        <f>(O45/$R45*100*($E45/365))+(O46/$R46*100*($E46/365))</f>
        <v>100</v>
      </c>
      <c r="I138" s="989"/>
      <c r="J138" s="989">
        <f>(P45/$R45*100*($E45/365))+(P46/$R46*100*($E46/365))</f>
        <v>0</v>
      </c>
      <c r="K138" s="989"/>
      <c r="L138" s="989">
        <f>(Q45/$R45*100*($E45/365))+(Q46/$R46*100*($E46/365))</f>
        <v>0</v>
      </c>
      <c r="M138" s="989"/>
      <c r="N138" s="959">
        <f t="shared" si="26"/>
        <v>100</v>
      </c>
      <c r="O138" s="959"/>
      <c r="R138" s="1">
        <v>1994</v>
      </c>
      <c r="S138" s="8">
        <f>(O45*($E45/365))+(O46*($E46/365))</f>
        <v>58.4</v>
      </c>
      <c r="T138" s="8">
        <f>(P45*($E45/365))+(P46*($E46/365))</f>
        <v>0</v>
      </c>
      <c r="U138" s="8">
        <f>(Q45*($E45/365))+(Q46*($E46/365))</f>
        <v>0</v>
      </c>
      <c r="V138" s="7"/>
      <c r="W138" s="7">
        <f t="shared" si="28"/>
        <v>58.4</v>
      </c>
    </row>
    <row r="139" spans="1:23">
      <c r="A139" s="1">
        <v>1995</v>
      </c>
      <c r="B139" s="8">
        <f>(K47*($E47/365))+(K48*($E48/365))</f>
        <v>73.059360730593596</v>
      </c>
      <c r="C139" s="8">
        <f>(L47*($E47/365))+(L48*($E48/365))</f>
        <v>0</v>
      </c>
      <c r="D139" s="8">
        <f>(M47*($E47/365))+(M48*($E48/365))</f>
        <v>13.850837138508371</v>
      </c>
      <c r="E139" s="48">
        <f t="shared" si="27"/>
        <v>86.910197869101964</v>
      </c>
      <c r="G139" s="1">
        <v>1995</v>
      </c>
      <c r="H139" s="989">
        <f>(O47/$R47*100*($E47/365))+(O48/$R48*100*($E48/365))</f>
        <v>82.191780821917803</v>
      </c>
      <c r="I139" s="989"/>
      <c r="J139" s="989">
        <f>(P47/$R47*100*($E47/365))+(P48/$R48*100*($E48/365))</f>
        <v>0</v>
      </c>
      <c r="K139" s="989"/>
      <c r="L139" s="989">
        <f>(Q47/$R47*100*($E47/365))+(Q48/$R48*100*($E48/365))</f>
        <v>17.80821917808219</v>
      </c>
      <c r="M139" s="989"/>
      <c r="N139" s="959">
        <f t="shared" si="26"/>
        <v>100</v>
      </c>
      <c r="O139" s="959"/>
      <c r="R139" s="1">
        <v>1995</v>
      </c>
      <c r="S139" s="8">
        <f>(O47*($E47/365))+(O48*($E48/365))</f>
        <v>47.999999999999993</v>
      </c>
      <c r="T139" s="8">
        <f>(P47*($E47/365))+(P48*($E48/365))</f>
        <v>0</v>
      </c>
      <c r="U139" s="8">
        <f>(Q47*($E47/365))+(Q48*($E48/365))</f>
        <v>8.6726027397260275</v>
      </c>
      <c r="V139" s="7"/>
      <c r="W139" s="7">
        <f t="shared" si="28"/>
        <v>56.672602739726017</v>
      </c>
    </row>
    <row r="140" spans="1:23">
      <c r="A140" s="1">
        <v>1996</v>
      </c>
      <c r="B140" s="8">
        <f>(K49*($E49/366))+(K50*($E50/366))</f>
        <v>0</v>
      </c>
      <c r="C140" s="8">
        <f>(L49*($E49/366))+(L50*($E50/366))</f>
        <v>0</v>
      </c>
      <c r="D140" s="8">
        <f>(M49*($E49/366))+(M50*($E50/366))</f>
        <v>77.777777777777786</v>
      </c>
      <c r="E140" s="48">
        <f t="shared" si="27"/>
        <v>77.777777777777786</v>
      </c>
      <c r="G140" s="1">
        <v>1996</v>
      </c>
      <c r="H140" s="989">
        <f>(O49/$R49*100*($E49/366))+(O50/$R50*100*($E50/366))</f>
        <v>0</v>
      </c>
      <c r="I140" s="989"/>
      <c r="J140" s="989">
        <f>(P49/$R49*100*($E49/366))+(P50/$R50*100*($E50/366))</f>
        <v>0</v>
      </c>
      <c r="K140" s="989"/>
      <c r="L140" s="989">
        <f>(Q49/$R49*100*($E49/366))+(Q50/$R50*100*($E50/366))</f>
        <v>100</v>
      </c>
      <c r="M140" s="989"/>
      <c r="N140" s="959">
        <f t="shared" si="26"/>
        <v>100</v>
      </c>
      <c r="O140" s="959"/>
      <c r="R140" s="1">
        <v>1996</v>
      </c>
      <c r="S140" s="8">
        <f>(O49*($E49/366))+(O50*($E50/366))</f>
        <v>0</v>
      </c>
      <c r="T140" s="8">
        <f>(P49*($E49/366))+(P50*($E50/366))</f>
        <v>0</v>
      </c>
      <c r="U140" s="8">
        <f>(Q49*($E49/366))+(Q50*($E50/366))</f>
        <v>48.7</v>
      </c>
      <c r="V140" s="7"/>
      <c r="W140" s="7">
        <f t="shared" si="28"/>
        <v>48.7</v>
      </c>
    </row>
    <row r="141" spans="1:23">
      <c r="A141" s="1">
        <v>1997</v>
      </c>
      <c r="B141" s="8">
        <f>(K51*($E51/365))+(K52*($E52/365))</f>
        <v>0</v>
      </c>
      <c r="C141" s="8">
        <f>(L51*($E51/365))+(L52*($E52/365))</f>
        <v>0</v>
      </c>
      <c r="D141" s="8">
        <f>(M51*($E51/365))+(M52*($E52/365))</f>
        <v>77.066881547139388</v>
      </c>
      <c r="E141" s="48">
        <f t="shared" si="27"/>
        <v>77.066881547139388</v>
      </c>
      <c r="G141" s="1">
        <v>1997</v>
      </c>
      <c r="H141" s="989">
        <f>(O51/$R51*100*($E51/365))+(O52/$R52*100*($E52/365))</f>
        <v>0</v>
      </c>
      <c r="I141" s="989"/>
      <c r="J141" s="989">
        <f>(P51/$R51*100*($E51/365))+(P52/$R52*100*($E52/365))</f>
        <v>0</v>
      </c>
      <c r="K141" s="989"/>
      <c r="L141" s="989">
        <f>(Q51/$R51*100*($E51/365))+(Q52/$R52*100*($E52/365))</f>
        <v>100</v>
      </c>
      <c r="M141" s="989"/>
      <c r="N141" s="959">
        <f t="shared" si="26"/>
        <v>100</v>
      </c>
      <c r="O141" s="959"/>
      <c r="R141" s="1">
        <v>1997</v>
      </c>
      <c r="S141" s="8">
        <f>(O51*($E51/365))+(O52*($E52/365))</f>
        <v>0</v>
      </c>
      <c r="T141" s="8">
        <f>(P51*($E51/365))+(P52*($E52/365))</f>
        <v>0</v>
      </c>
      <c r="U141" s="8">
        <f>(Q51*($E51/365))+(Q52*($E52/365))</f>
        <v>48.7</v>
      </c>
      <c r="V141" s="7"/>
      <c r="W141" s="7">
        <f t="shared" si="28"/>
        <v>48.7</v>
      </c>
    </row>
    <row r="142" spans="1:23">
      <c r="A142" s="1">
        <v>1998</v>
      </c>
      <c r="B142" s="8">
        <f>(K53*($E53/365))+(K54*($E54/365))</f>
        <v>0</v>
      </c>
      <c r="C142" s="8">
        <f>(L53*($E53/365))+(L54*($E54/365))</f>
        <v>0</v>
      </c>
      <c r="D142" s="8">
        <f>(M53*($E53/365))+(M54*($E54/365))</f>
        <v>82.35294117647058</v>
      </c>
      <c r="E142" s="48">
        <f t="shared" si="27"/>
        <v>82.35294117647058</v>
      </c>
      <c r="G142" s="1">
        <v>1998</v>
      </c>
      <c r="H142" s="989">
        <f>(O53/$R53*100*($E53/365))+(O54/$R54*100*($E54/365))</f>
        <v>0</v>
      </c>
      <c r="I142" s="989"/>
      <c r="J142" s="989">
        <f>(P53/$R53*100*($E53/365))+(P54/$R54*100*($E54/365))</f>
        <v>0</v>
      </c>
      <c r="K142" s="989"/>
      <c r="L142" s="989">
        <f>(Q53/$R53*100*($E53/365))+(Q54/$R54*100*($E54/365))</f>
        <v>100</v>
      </c>
      <c r="M142" s="989"/>
      <c r="N142" s="959">
        <f t="shared" si="26"/>
        <v>100</v>
      </c>
      <c r="O142" s="959"/>
      <c r="R142" s="1">
        <v>1998</v>
      </c>
      <c r="S142" s="8">
        <f>(O53*($E53/365))+(O54*($E54/365))</f>
        <v>0</v>
      </c>
      <c r="T142" s="8">
        <f>(P53*($E53/365))+(P54*($E54/365))</f>
        <v>0</v>
      </c>
      <c r="U142" s="8">
        <f>(Q53*($E53/365))+(Q54*($E54/365))</f>
        <v>48.7</v>
      </c>
      <c r="V142" s="7"/>
      <c r="W142" s="7">
        <f t="shared" si="28"/>
        <v>48.7</v>
      </c>
    </row>
    <row r="143" spans="1:23">
      <c r="A143" s="1">
        <v>1999</v>
      </c>
      <c r="B143" s="8">
        <f>(K55*($E55/365))+(K56*($E56/365))</f>
        <v>0</v>
      </c>
      <c r="C143" s="8">
        <f>(L55*($E55/365))+(L56*($E56/365))</f>
        <v>0</v>
      </c>
      <c r="D143" s="8">
        <f>(M55*($E55/365))+(M56*($E56/365))</f>
        <v>84.795792866533773</v>
      </c>
      <c r="E143" s="48">
        <f t="shared" si="27"/>
        <v>84.795792866533773</v>
      </c>
      <c r="G143" s="1">
        <v>1999</v>
      </c>
      <c r="H143" s="989">
        <f>(O55/$R55*100*($E55/365))+(O56/$R56*100*($E56/365))</f>
        <v>0</v>
      </c>
      <c r="I143" s="989"/>
      <c r="J143" s="989">
        <f>(P55/$R55*100*($E55/365))+(P56/$R56*100*($E56/365))</f>
        <v>0</v>
      </c>
      <c r="K143" s="989"/>
      <c r="L143" s="989">
        <f>(Q55/$R55*100*($E55/365))+(Q56/$R56*100*($E56/365))</f>
        <v>100</v>
      </c>
      <c r="M143" s="989"/>
      <c r="N143" s="959">
        <f t="shared" si="26"/>
        <v>100</v>
      </c>
      <c r="O143" s="959"/>
      <c r="R143" s="1">
        <v>1999</v>
      </c>
      <c r="S143" s="8">
        <f>(O55*($E55/365))+(O56*($E56/365))</f>
        <v>0</v>
      </c>
      <c r="T143" s="8">
        <f>(P55*($E55/365))+(P56*($E56/365))</f>
        <v>0</v>
      </c>
      <c r="U143" s="8">
        <f>(Q55*($E55/365))+(Q56*($E56/365))</f>
        <v>48.956438356164384</v>
      </c>
      <c r="V143" s="7"/>
      <c r="W143" s="7">
        <f t="shared" si="28"/>
        <v>48.956438356164384</v>
      </c>
    </row>
    <row r="144" spans="1:23">
      <c r="A144" s="1">
        <v>2000</v>
      </c>
      <c r="B144" s="8">
        <f>(K57*($E57/366))+(K58*($E58/366))</f>
        <v>0</v>
      </c>
      <c r="C144" s="8">
        <f>(L57*($E57/366))+(L58*($E58/366))</f>
        <v>0</v>
      </c>
      <c r="D144" s="8">
        <f>(M57*($E57/366))+(M58*($E58/366))</f>
        <v>69.672131147540981</v>
      </c>
      <c r="E144" s="48">
        <f t="shared" si="27"/>
        <v>69.672131147540981</v>
      </c>
      <c r="G144" s="1">
        <v>2000</v>
      </c>
      <c r="H144" s="989">
        <f>(O57/$R57*100*($E57/366))+(O58/$R58*100*($E58/366))</f>
        <v>0</v>
      </c>
      <c r="I144" s="989"/>
      <c r="J144" s="989">
        <f>(P57/$R57*100*($E57/366))+(P58/$R58*100*($E58/366))</f>
        <v>0</v>
      </c>
      <c r="K144" s="989"/>
      <c r="L144" s="989">
        <f>(Q57/$R57*100*($E57/366))+(Q58/$R58*100*($E58/366))</f>
        <v>100</v>
      </c>
      <c r="M144" s="989"/>
      <c r="N144" s="959">
        <f t="shared" si="26"/>
        <v>100</v>
      </c>
      <c r="O144" s="959"/>
      <c r="R144" s="1">
        <v>2000</v>
      </c>
      <c r="S144" s="8">
        <f>(O57*($E57/366))+(O58*($E58/366))</f>
        <v>0</v>
      </c>
      <c r="T144" s="8">
        <f>(P57*($E57/366))+(P58*($E58/366))</f>
        <v>0</v>
      </c>
      <c r="U144" s="8">
        <f>(Q57*($E57/366))+(Q58*($E58/366))</f>
        <v>50</v>
      </c>
      <c r="V144" s="7"/>
      <c r="W144" s="7">
        <f t="shared" si="28"/>
        <v>50</v>
      </c>
    </row>
    <row r="145" spans="1:23">
      <c r="A145" s="1">
        <v>2001</v>
      </c>
      <c r="B145" s="8">
        <f>(K59*($E59/365))+(K60*($E60/365))</f>
        <v>0</v>
      </c>
      <c r="C145" s="8">
        <f>(L59*($E59/365))+(L60*($E60/365))</f>
        <v>0</v>
      </c>
      <c r="D145" s="8">
        <f>(M59*($E59/365))+(M60*($E60/365))</f>
        <v>57.894736842105267</v>
      </c>
      <c r="E145" s="48">
        <f t="shared" si="27"/>
        <v>57.894736842105267</v>
      </c>
      <c r="G145" s="1">
        <v>2001</v>
      </c>
      <c r="H145" s="989">
        <f>(O59/$R59*100*($E59/365))+(O60/$R60*100*($E60/365))</f>
        <v>0</v>
      </c>
      <c r="I145" s="989"/>
      <c r="J145" s="989">
        <f>(P59/$R59*100*($E59/365))+(P60/$R60*100*($E60/365))</f>
        <v>0</v>
      </c>
      <c r="K145" s="989"/>
      <c r="L145" s="989">
        <f>(Q59/$R59*100*($E59/365))+(Q60/$R60*100*($E60/365))</f>
        <v>100</v>
      </c>
      <c r="M145" s="989"/>
      <c r="N145" s="959">
        <f t="shared" si="26"/>
        <v>100</v>
      </c>
      <c r="O145" s="959"/>
      <c r="R145" s="1">
        <v>2001</v>
      </c>
      <c r="S145" s="8">
        <f>(O59*($E59/365))+(O60*($E60/365))</f>
        <v>0</v>
      </c>
      <c r="T145" s="8">
        <f>(P59*($E59/365))+(P60*($E60/365))</f>
        <v>0</v>
      </c>
      <c r="U145" s="8">
        <f>(Q59*($E59/365))+(Q60*($E60/365))</f>
        <v>50</v>
      </c>
      <c r="V145" s="7"/>
      <c r="W145" s="7">
        <f t="shared" si="28"/>
        <v>50</v>
      </c>
    </row>
    <row r="146" spans="1:23">
      <c r="A146" s="1">
        <v>2002</v>
      </c>
      <c r="B146" s="8">
        <f>(K61*($E61/365))+(K62*($E62/365))</f>
        <v>69.345509893455102</v>
      </c>
      <c r="C146" s="8">
        <f>(L61*($E61/365))+(L62*($E62/365))</f>
        <v>0</v>
      </c>
      <c r="D146" s="8">
        <f>(M61*($E61/365))+(M62*($E62/365))</f>
        <v>15.385724585436195</v>
      </c>
      <c r="E146" s="48">
        <f t="shared" si="27"/>
        <v>84.731234478891295</v>
      </c>
      <c r="G146" s="1">
        <v>2002</v>
      </c>
      <c r="H146" s="989">
        <f>(O61/$R61*100*($E61/365))+(O62/$R62*100*($E62/365))</f>
        <v>73.424657534246577</v>
      </c>
      <c r="I146" s="989"/>
      <c r="J146" s="989">
        <f>(P61/$R61*100*($E61/365))+(P62/$R62*100*($E62/365))</f>
        <v>0</v>
      </c>
      <c r="K146" s="989"/>
      <c r="L146" s="989">
        <f>(Q61/$R61*100*($E61/365))+(Q62/$R62*100*($E62/365))</f>
        <v>26.575342465753426</v>
      </c>
      <c r="M146" s="989"/>
      <c r="N146" s="959">
        <f t="shared" si="26"/>
        <v>100</v>
      </c>
      <c r="O146" s="959"/>
      <c r="R146" s="1">
        <v>2002</v>
      </c>
      <c r="S146" s="8">
        <f>(O61*($E61/365))+(O62*($E62/365))</f>
        <v>38.033972602739723</v>
      </c>
      <c r="T146" s="8">
        <f>(P61*($E61/365))+(P62*($E62/365))</f>
        <v>0</v>
      </c>
      <c r="U146" s="8">
        <f>(Q61*($E61/365))+(Q62*($E62/365))</f>
        <v>13.287671232876713</v>
      </c>
      <c r="V146" s="7"/>
      <c r="W146" s="7">
        <f t="shared" si="28"/>
        <v>51.321643835616435</v>
      </c>
    </row>
    <row r="147" spans="1:23">
      <c r="A147" s="1">
        <v>2003</v>
      </c>
      <c r="B147" s="8">
        <f>(K63*($E63/365))+(K64*($E64/365))</f>
        <v>94.444444444444443</v>
      </c>
      <c r="C147" s="8">
        <f>(L63*($E63/365))+(L64*($E64/365))</f>
        <v>0</v>
      </c>
      <c r="D147" s="8">
        <f>(M63*($E63/365))+(M64*($E64/365))</f>
        <v>0</v>
      </c>
      <c r="E147" s="48">
        <f t="shared" si="27"/>
        <v>94.444444444444443</v>
      </c>
      <c r="G147" s="1">
        <v>2003</v>
      </c>
      <c r="H147" s="989">
        <f>(O63/$R63*100*($E63/365))+(O64/$R64*100*($E64/365))</f>
        <v>100</v>
      </c>
      <c r="I147" s="989"/>
      <c r="J147" s="989">
        <f>(P63/$R63*100*($E63/365))+(P64/$R64*100*($E64/365))</f>
        <v>0</v>
      </c>
      <c r="K147" s="989"/>
      <c r="L147" s="989">
        <f>(Q63/$R63*100*($E63/365))+(Q64/$R64*100*($E64/365))</f>
        <v>0</v>
      </c>
      <c r="M147" s="989"/>
      <c r="N147" s="959">
        <f t="shared" si="26"/>
        <v>100</v>
      </c>
      <c r="O147" s="959"/>
      <c r="R147" s="1">
        <v>2003</v>
      </c>
      <c r="S147" s="8">
        <f>(O63*($E63/365))+(O64*($E64/365))</f>
        <v>51.8</v>
      </c>
      <c r="T147" s="8">
        <f>(P63*($E63/365))+(P64*($E64/365))</f>
        <v>0</v>
      </c>
      <c r="U147" s="8">
        <f>(Q63*($E63/365))+(Q64*($E64/365))</f>
        <v>0</v>
      </c>
      <c r="V147" s="7"/>
      <c r="W147" s="7">
        <f t="shared" si="28"/>
        <v>51.8</v>
      </c>
    </row>
    <row r="148" spans="1:23">
      <c r="A148" s="1">
        <v>2004</v>
      </c>
      <c r="B148" s="8">
        <f>(K65*($E65/366))+(K66*($E66/366))</f>
        <v>94.690346083788711</v>
      </c>
      <c r="C148" s="8">
        <f>(L65*($E65/366))+(L66*($E66/366))</f>
        <v>0</v>
      </c>
      <c r="D148" s="8">
        <f>(M65*($E65/366))+(M66*($E66/366))</f>
        <v>0</v>
      </c>
      <c r="E148" s="48">
        <f t="shared" si="27"/>
        <v>94.690346083788711</v>
      </c>
      <c r="G148" s="1">
        <v>2004</v>
      </c>
      <c r="H148" s="989">
        <f>(O65/$R65*100*($E65/366))+(O66/$R66*100*($E66/366))</f>
        <v>100</v>
      </c>
      <c r="I148" s="989"/>
      <c r="J148" s="989">
        <f>(P65/$R65*100*($E65/366))+(P66/$R66*100*($E66/366))</f>
        <v>0</v>
      </c>
      <c r="K148" s="989"/>
      <c r="L148" s="989">
        <f>(Q65/$R65*100*($E65/366))+(Q66/$R66*100*($E66/366))</f>
        <v>0</v>
      </c>
      <c r="M148" s="989"/>
      <c r="N148" s="959">
        <f t="shared" si="26"/>
        <v>100</v>
      </c>
      <c r="O148" s="959"/>
      <c r="R148" s="1">
        <v>2004</v>
      </c>
      <c r="S148" s="8">
        <f>(O65*($E65/366))+(O66*($E66/366))</f>
        <v>51.8</v>
      </c>
      <c r="T148" s="8">
        <f>(P65*($E65/366))+(P66*($E66/366))</f>
        <v>0</v>
      </c>
      <c r="U148" s="8">
        <f>(Q65*($E65/366))+(Q66*($E66/366))</f>
        <v>0</v>
      </c>
      <c r="V148" s="7"/>
      <c r="W148" s="7">
        <f t="shared" si="28"/>
        <v>51.8</v>
      </c>
    </row>
    <row r="149" spans="1:23">
      <c r="A149" s="1">
        <v>2005</v>
      </c>
      <c r="B149" s="8">
        <f>(K67*($E67/365))+(K68*($E68/365))</f>
        <v>18.219178082191778</v>
      </c>
      <c r="C149" s="8">
        <f>(L67*($E67/365))+(L68*($E68/365))</f>
        <v>0</v>
      </c>
      <c r="D149" s="8">
        <f>(M67*($E67/365))+(M68*($E68/365))</f>
        <v>42.788074133763097</v>
      </c>
      <c r="E149" s="48">
        <f t="shared" si="27"/>
        <v>61.007252215954878</v>
      </c>
      <c r="G149" s="1">
        <v>2005</v>
      </c>
      <c r="H149" s="989">
        <f>(O67/$R67*100*($E67/365))+(O68/$R68*100*($E68/365))</f>
        <v>19.17808219178082</v>
      </c>
      <c r="I149" s="989"/>
      <c r="J149" s="989">
        <f>(P67/$R67*100*($E67/365))+(P68/$R68*100*($E68/365))</f>
        <v>0</v>
      </c>
      <c r="K149" s="989"/>
      <c r="L149" s="989">
        <f>(Q67/$R67*100*($E67/365))+(Q68/$R68*100*($E68/365))</f>
        <v>80.821917808219183</v>
      </c>
      <c r="M149" s="989"/>
      <c r="N149" s="959">
        <f t="shared" si="26"/>
        <v>100</v>
      </c>
      <c r="O149" s="959"/>
      <c r="R149" s="1">
        <v>2005</v>
      </c>
      <c r="S149" s="8">
        <f>(O67*($E67/365))+(O68*($E68/365))</f>
        <v>9.9342465753424651</v>
      </c>
      <c r="T149" s="8">
        <f>(P67*($E67/365))+(P68*($E68/365))</f>
        <v>0</v>
      </c>
      <c r="U149" s="8">
        <f>(Q67*($E67/365))+(Q68*($E68/365))</f>
        <v>42.512328767123286</v>
      </c>
      <c r="V149" s="7"/>
      <c r="W149" s="7">
        <f t="shared" si="28"/>
        <v>52.446575342465749</v>
      </c>
    </row>
    <row r="150" spans="1:23">
      <c r="A150" s="1">
        <v>2006</v>
      </c>
      <c r="B150" s="8">
        <f>(K69*($E69/365))+(K70*($E70/365))</f>
        <v>0</v>
      </c>
      <c r="C150" s="8">
        <f>(L69*($E69/365))+(L70*($E70/365))</f>
        <v>0</v>
      </c>
      <c r="D150" s="8">
        <f>(M69*($E69/365))+(M70*($E70/365))</f>
        <v>55.874294923448844</v>
      </c>
      <c r="E150" s="48">
        <f t="shared" si="27"/>
        <v>55.874294923448844</v>
      </c>
      <c r="G150" s="1">
        <v>2006</v>
      </c>
      <c r="H150" s="989">
        <f>(O69/$R69*100*($E69/365))+(O70/$R70*100*($E70/365))</f>
        <v>0</v>
      </c>
      <c r="I150" s="989"/>
      <c r="J150" s="989">
        <f>(P69/$R69*100*($E69/365))+(P70/$R70*100*($E70/365))</f>
        <v>0</v>
      </c>
      <c r="K150" s="989"/>
      <c r="L150" s="989">
        <f>(Q69/$R69*100*($E69/365))+(Q70/$R70*100*($E70/365))</f>
        <v>100</v>
      </c>
      <c r="M150" s="989"/>
      <c r="N150" s="959">
        <f t="shared" si="26"/>
        <v>100</v>
      </c>
      <c r="O150" s="959"/>
      <c r="R150" s="1">
        <v>2006</v>
      </c>
      <c r="S150" s="8">
        <f>(O69*($E69/365))+(O70*($E70/365))</f>
        <v>0</v>
      </c>
      <c r="T150" s="8">
        <f>(P69*($E69/365))+(P70*($E70/365))</f>
        <v>0</v>
      </c>
      <c r="U150" s="8">
        <f>(Q69*($E69/365))+(Q70*($E70/365))</f>
        <v>52.600000000000009</v>
      </c>
      <c r="V150" s="7"/>
      <c r="W150" s="7">
        <f t="shared" si="28"/>
        <v>52.600000000000009</v>
      </c>
    </row>
    <row r="151" spans="1:23">
      <c r="A151" s="1">
        <v>2007</v>
      </c>
      <c r="B151" s="8">
        <f>(K71*($E71/365))+(K72*($E72/365))</f>
        <v>0</v>
      </c>
      <c r="C151" s="8">
        <f>(L71*($E71/365))+(L72*($E72/365))</f>
        <v>0</v>
      </c>
      <c r="D151" s="8">
        <f>(M71*($E71/365))+(M72*($E72/365))</f>
        <v>55.132957292506049</v>
      </c>
      <c r="E151" s="48">
        <f t="shared" si="27"/>
        <v>55.132957292506049</v>
      </c>
      <c r="G151" s="1">
        <v>2007</v>
      </c>
      <c r="H151" s="989">
        <f>(O71/$R71*100*($E71/365))+(O72/$R72*100*($E72/365))</f>
        <v>0</v>
      </c>
      <c r="I151" s="989"/>
      <c r="J151" s="989">
        <f>(P71/$R71*100*($E71/365))+(P72/$R72*100*($E72/365))</f>
        <v>0</v>
      </c>
      <c r="K151" s="989"/>
      <c r="L151" s="989">
        <f>(Q71/$R71*100*($E71/365))+(Q72/$R72*100*($E72/365))</f>
        <v>100</v>
      </c>
      <c r="M151" s="989"/>
      <c r="N151" s="959">
        <f t="shared" si="26"/>
        <v>100</v>
      </c>
      <c r="O151" s="959"/>
      <c r="R151" s="1">
        <v>2007</v>
      </c>
      <c r="S151" s="8">
        <f>(O71*($E71/365))+(O72*($E72/365))</f>
        <v>0</v>
      </c>
      <c r="T151" s="8">
        <f>(P71*($E71/365))+(P72*($E72/365))</f>
        <v>0</v>
      </c>
      <c r="U151" s="8">
        <f>(Q71*($E71/365))+(Q72*($E72/365))</f>
        <v>52.6</v>
      </c>
      <c r="V151" s="7"/>
      <c r="W151" s="7">
        <f t="shared" si="28"/>
        <v>52.6</v>
      </c>
    </row>
    <row r="152" spans="1:23">
      <c r="A152" s="1">
        <v>2008</v>
      </c>
      <c r="B152" s="8">
        <f>(K73*($E73/366))+(K74*($E74/366))</f>
        <v>0</v>
      </c>
      <c r="C152" s="8">
        <f>(L73*($E73/366))+(L74*($E74/366))</f>
        <v>0</v>
      </c>
      <c r="D152" s="8">
        <f>(M73*($E73/366))+(M74*($E74/366))</f>
        <v>58.357441337190622</v>
      </c>
      <c r="E152" s="48">
        <f t="shared" si="27"/>
        <v>58.357441337190622</v>
      </c>
      <c r="G152" s="1">
        <v>2008</v>
      </c>
      <c r="H152" s="989">
        <f>(O73/$R73*100*($E73/366))+(O74/$R74*100*($E74/366))</f>
        <v>0</v>
      </c>
      <c r="I152" s="989"/>
      <c r="J152" s="989">
        <f>(P73/$R73*100*($E73/366))+(P74/$R74*100*($E74/366))</f>
        <v>0</v>
      </c>
      <c r="K152" s="989"/>
      <c r="L152" s="989">
        <f>(Q73/$R73*100*($E73/366))+(Q74/$R74*100*($E74/366))</f>
        <v>100</v>
      </c>
      <c r="M152" s="989"/>
      <c r="N152" s="959">
        <f t="shared" si="26"/>
        <v>100</v>
      </c>
      <c r="O152" s="959"/>
      <c r="R152" s="1">
        <v>2008</v>
      </c>
      <c r="S152" s="8">
        <f>(O73*($E73/366))+(O74*($E74/366))</f>
        <v>0</v>
      </c>
      <c r="T152" s="8">
        <f>(P73*($E73/366))+(P74*($E74/366))</f>
        <v>0</v>
      </c>
      <c r="U152" s="8">
        <f>(Q73*($E73/366))+(Q74*($E74/366))</f>
        <v>52.6</v>
      </c>
      <c r="V152" s="7"/>
      <c r="W152" s="7">
        <f t="shared" si="28"/>
        <v>52.6</v>
      </c>
    </row>
    <row r="153" spans="1:23">
      <c r="A153" s="1">
        <v>2009</v>
      </c>
      <c r="B153" s="8">
        <f>(K75*($E75/365))+(K76*($E76/365))</f>
        <v>0</v>
      </c>
      <c r="C153" s="8">
        <f>(L75*($E75/365))+(L76*($E76/365))</f>
        <v>0</v>
      </c>
      <c r="D153" s="8">
        <f>(M75*($E75/365))+(M76*($E76/365))</f>
        <v>58.82352941176471</v>
      </c>
      <c r="E153" s="48">
        <f t="shared" si="27"/>
        <v>58.82352941176471</v>
      </c>
      <c r="G153" s="1">
        <v>2009</v>
      </c>
      <c r="H153" s="989">
        <f>(O75/$R75*100*($E75/365))+(O76/$R76*100*($E76/365))</f>
        <v>0</v>
      </c>
      <c r="I153" s="989"/>
      <c r="J153" s="989">
        <f>(P75/$R75*100*($E75/365))+(P76/$R76*100*($E76/365))</f>
        <v>0</v>
      </c>
      <c r="K153" s="989"/>
      <c r="L153" s="989">
        <f>(Q75/$R75*100*($E75/365))+(Q76/$R76*100*($E76/365))</f>
        <v>100</v>
      </c>
      <c r="M153" s="989"/>
      <c r="N153" s="959">
        <f t="shared" si="26"/>
        <v>100</v>
      </c>
      <c r="O153" s="959"/>
      <c r="R153" s="1">
        <v>2009</v>
      </c>
      <c r="S153" s="8">
        <f>(O75*($E75/365))+(O76*($E76/365))</f>
        <v>0</v>
      </c>
      <c r="T153" s="8">
        <f>(P75*($E75/365))+(P76*($E76/365))</f>
        <v>0</v>
      </c>
      <c r="U153" s="8">
        <f>(Q75*($E75/365))+(Q76*($E76/365))</f>
        <v>50.690958904109586</v>
      </c>
      <c r="V153" s="7"/>
      <c r="W153" s="7">
        <f t="shared" si="28"/>
        <v>50.690958904109586</v>
      </c>
    </row>
    <row r="154" spans="1:23">
      <c r="A154" s="1">
        <v>2010</v>
      </c>
      <c r="B154" s="8">
        <f>(K77*($E77/365))+(K78*($E78/365))</f>
        <v>0</v>
      </c>
      <c r="C154" s="8">
        <f>(L77*($E77/365))+(L78*($E78/365))</f>
        <v>0</v>
      </c>
      <c r="D154" s="8">
        <f>(M77*($E77/365))+(M78*($E78/365))</f>
        <v>58.82352941176471</v>
      </c>
      <c r="E154" s="48">
        <f t="shared" si="27"/>
        <v>58.82352941176471</v>
      </c>
      <c r="G154" s="1">
        <v>2010</v>
      </c>
      <c r="H154" s="989">
        <f>(O77/$R77*100*($E77/365))+(O78/$R78*100*($E78/365))</f>
        <v>0</v>
      </c>
      <c r="I154" s="989"/>
      <c r="J154" s="989">
        <f>(P77/$R77*100*($E77/365))+(P78/$R78*100*($E78/365))</f>
        <v>0</v>
      </c>
      <c r="K154" s="989"/>
      <c r="L154" s="989">
        <f>(Q77/$R77*100*($E77/365))+(Q78/$R78*100*($E78/365))</f>
        <v>100</v>
      </c>
      <c r="M154" s="989"/>
      <c r="N154" s="959">
        <f t="shared" si="26"/>
        <v>100</v>
      </c>
      <c r="O154" s="959"/>
      <c r="R154" s="1">
        <v>2010</v>
      </c>
      <c r="S154" s="8">
        <f>(O77*($E77/365))+(O78*($E78/365))</f>
        <v>0</v>
      </c>
      <c r="T154" s="8">
        <f>(P77*($E77/365))+(P78*($E78/365))</f>
        <v>0</v>
      </c>
      <c r="U154" s="8">
        <f>(Q77*($E77/365))+(Q78*($E78/365))</f>
        <v>42.2</v>
      </c>
      <c r="V154" s="7"/>
      <c r="W154" s="7">
        <f t="shared" si="28"/>
        <v>42.2</v>
      </c>
    </row>
    <row r="155" spans="1:23">
      <c r="A155" s="1">
        <v>2011</v>
      </c>
      <c r="B155" s="8">
        <f>(K79*($E79/365))+(K80*($E80/365))</f>
        <v>35.433789954337897</v>
      </c>
      <c r="C155" s="8">
        <f>(L79*($E79/365))+(L80*($E80/365))</f>
        <v>0</v>
      </c>
      <c r="D155" s="8">
        <f>(M79*($E79/365))+(M80*($E80/365))</f>
        <v>27.558420628525386</v>
      </c>
      <c r="E155" s="48">
        <f t="shared" si="27"/>
        <v>62.992210582863279</v>
      </c>
      <c r="G155" s="1">
        <v>2011</v>
      </c>
      <c r="H155" s="989">
        <f>(O79/$R79*100*($E79/365))+(O80/$R80*100*($E80/365))</f>
        <v>53.150684931506852</v>
      </c>
      <c r="I155" s="989"/>
      <c r="J155" s="989">
        <f>(P79/$R79*100*($E79/365))+(P80/$R80*100*($E80/365))</f>
        <v>0</v>
      </c>
      <c r="K155" s="989"/>
      <c r="L155" s="989">
        <f>(Q79/$R79*100*($E79/365))+(Q80/$R80*100*($E80/365))</f>
        <v>46.849315068493155</v>
      </c>
      <c r="M155" s="989"/>
      <c r="N155" s="959">
        <f t="shared" si="26"/>
        <v>100</v>
      </c>
      <c r="O155" s="959"/>
      <c r="R155" s="1">
        <v>2011</v>
      </c>
      <c r="S155" s="8">
        <f>(O79*($E79/365))+(O80*($E80/365))</f>
        <v>30.503178082191784</v>
      </c>
      <c r="T155" s="8">
        <f>(P79*($E79/365))+(P80*($E80/365))</f>
        <v>0</v>
      </c>
      <c r="U155" s="8">
        <f>(Q79*($E79/365))+(Q80*($E80/365))</f>
        <v>19.770410958904112</v>
      </c>
      <c r="V155" s="7"/>
      <c r="W155" s="7">
        <f t="shared" si="28"/>
        <v>50.273589041095896</v>
      </c>
    </row>
    <row r="156" spans="1:23">
      <c r="A156" s="1">
        <v>2012</v>
      </c>
      <c r="B156" s="8">
        <f>(K81*($E81/366))+(K82*($E82/366))</f>
        <v>66.666666666666657</v>
      </c>
      <c r="C156" s="8">
        <f>(L81*($E81/366))+(L82*($E82/366))</f>
        <v>0</v>
      </c>
      <c r="D156" s="8">
        <f>(M81*($E81/366))+(M82*($E82/366))</f>
        <v>0</v>
      </c>
      <c r="E156" s="48">
        <f t="shared" ref="E156:E161" si="29">B156+C156+D156</f>
        <v>66.666666666666657</v>
      </c>
      <c r="G156" s="1">
        <v>2012</v>
      </c>
      <c r="H156" s="989">
        <f>(O81/$R81*100*($E81/366))+(O82/$R82*100*($E82/366))</f>
        <v>100</v>
      </c>
      <c r="I156" s="989"/>
      <c r="J156" s="989">
        <f>(P81/$R81*100*($E81/366))+(P82/$R82*100*($E82/366))</f>
        <v>0</v>
      </c>
      <c r="K156" s="989"/>
      <c r="L156" s="989">
        <f>(Q81/$R81*100*($E81/366))+(Q82/$R82*100*($E82/366))</f>
        <v>0</v>
      </c>
      <c r="M156" s="989"/>
      <c r="N156" s="959">
        <f t="shared" si="26"/>
        <v>100</v>
      </c>
      <c r="O156" s="959"/>
      <c r="R156" s="1">
        <v>2012</v>
      </c>
      <c r="S156" s="8">
        <f>(O81*($E81/366))+(O82*($E82/366))</f>
        <v>57.39</v>
      </c>
      <c r="T156" s="8">
        <f>(P81*($E81/366))+(P82*($E82/366))</f>
        <v>0</v>
      </c>
      <c r="U156" s="8">
        <f>(Q81*($E81/366))+(Q82*($E82/366))</f>
        <v>0</v>
      </c>
      <c r="V156" s="7"/>
      <c r="W156" s="7">
        <f t="shared" ref="W156:W161" si="30">S156+T156+U156</f>
        <v>57.39</v>
      </c>
    </row>
    <row r="157" spans="1:23">
      <c r="A157" s="1">
        <v>2013</v>
      </c>
      <c r="B157" s="8">
        <f>(K83*($E83/365))+(K84*($E84/365))+(K85*($E85/365))</f>
        <v>73.264488935721801</v>
      </c>
      <c r="C157" s="8">
        <f>(L83*($E83/365))+(L84*($E84/365))+(L85*($E85/365))</f>
        <v>0</v>
      </c>
      <c r="D157" s="8">
        <f>(M83*($E83/365))+(M84*($E84/365))+(M85*($E85/365))</f>
        <v>0</v>
      </c>
      <c r="E157" s="309">
        <f t="shared" si="29"/>
        <v>73.264488935721801</v>
      </c>
      <c r="G157" s="1">
        <v>2013</v>
      </c>
      <c r="H157" s="989">
        <f>(O83/$R83*100*($E83/365))+(O84/$R84*100*($E84/365))+(O85/$R85*100*($E85/365))</f>
        <v>100</v>
      </c>
      <c r="I157" s="989"/>
      <c r="J157" s="989">
        <f>(P83/$R83*100*($E83/365))+(P84/$R84*100*($E84/365))+(P85/$R85*100*($E85/365))</f>
        <v>0</v>
      </c>
      <c r="K157" s="989"/>
      <c r="L157" s="989">
        <f>(Q83/$R83*100*($E83/365))+(Q84/$R84*100*($E84/365))+(Q85/$R85*100*($E85/365))</f>
        <v>0</v>
      </c>
      <c r="M157" s="989"/>
      <c r="N157" s="959">
        <f>H157+J157+L157</f>
        <v>100</v>
      </c>
      <c r="O157" s="959"/>
      <c r="R157" s="1">
        <v>2013</v>
      </c>
      <c r="S157" s="8">
        <f>(O83*($E83/365))+(O84*($E84/365))+(O85*($E85/365))</f>
        <v>57.39</v>
      </c>
      <c r="T157" s="8">
        <f>(P83*($E83/365))+(P84*($E84/365))+(P85*($E85/365))</f>
        <v>0</v>
      </c>
      <c r="U157" s="8">
        <f>(Q83*($E83/365))+(Q84*($E84/365))+(Q85*($E85/365))</f>
        <v>0</v>
      </c>
      <c r="W157" s="7">
        <f t="shared" si="30"/>
        <v>57.39</v>
      </c>
    </row>
    <row r="158" spans="1:23">
      <c r="A158" s="1">
        <v>2014</v>
      </c>
      <c r="B158" s="8">
        <f>(K86*($E86/365))+(K87*($E87/365))</f>
        <v>79.214611872146122</v>
      </c>
      <c r="C158" s="8">
        <f>(L86*($E86/365))+(L87*($E87/365))</f>
        <v>0</v>
      </c>
      <c r="D158" s="8">
        <f>(M86*($E86/365))+(M87*($E87/365))</f>
        <v>0</v>
      </c>
      <c r="E158" s="655">
        <f t="shared" si="29"/>
        <v>79.214611872146122</v>
      </c>
      <c r="G158" s="1">
        <v>2014</v>
      </c>
      <c r="H158" s="989">
        <f>(O86/$R86*100*($E86/365))+(O87/$R87*100*($E87/365))</f>
        <v>100.00000000000001</v>
      </c>
      <c r="I158" s="989"/>
      <c r="J158" s="989">
        <f>(P86/$R86*100*($E86/365))+(P87/$R87*100*($E87/365))</f>
        <v>0</v>
      </c>
      <c r="K158" s="989"/>
      <c r="L158" s="989">
        <f>(Q86/$R86*100*($E86/365))+(Q87/$R87*100*($E87/365))</f>
        <v>0</v>
      </c>
      <c r="M158" s="989"/>
      <c r="N158" s="959">
        <f>H158+J158+L158</f>
        <v>100.00000000000001</v>
      </c>
      <c r="O158" s="959"/>
      <c r="R158" s="1">
        <v>2014</v>
      </c>
      <c r="S158" s="8">
        <f>(O86*($E86/365))+(O87*($E87/365))</f>
        <v>57.39</v>
      </c>
      <c r="T158" s="8">
        <f>(P86*($E86/365))+(P87*($E87/365))</f>
        <v>0</v>
      </c>
      <c r="U158" s="8">
        <f>(Q86*($E86/365))+(Q87*($E87/365))</f>
        <v>0</v>
      </c>
      <c r="W158" s="7">
        <f t="shared" si="30"/>
        <v>57.39</v>
      </c>
    </row>
    <row r="159" spans="1:23" s="747" customFormat="1">
      <c r="A159" s="747">
        <v>2015</v>
      </c>
      <c r="B159" s="742">
        <f>(K88*($E88/365))+(K89*($E89/365))+(K90*($E90/365))</f>
        <v>66.767660488853068</v>
      </c>
      <c r="C159" s="742">
        <f>(L88*($E88/365))+(L89*($E89/365))+(L90*($E90/365))</f>
        <v>0</v>
      </c>
      <c r="D159" s="742">
        <f>(M88*($E88/365))+(M89*($E89/365))+(M90*($E90/365))</f>
        <v>6.0273972602739727</v>
      </c>
      <c r="E159" s="743">
        <f t="shared" si="29"/>
        <v>72.795057749127039</v>
      </c>
      <c r="G159" s="747">
        <v>2015</v>
      </c>
      <c r="H159" s="989">
        <f>(O88/$R88*100*($E88/365))+(O89/$R89*100*($E89/365))+(O90/$R90*100*($E90/365))</f>
        <v>90.136986301369873</v>
      </c>
      <c r="I159" s="989"/>
      <c r="J159" s="989">
        <f>(P88/$R88*100*($E88/365))+(P89/$R89*100*($E89/365))+(P90/$R90*100*($E90/365))</f>
        <v>0</v>
      </c>
      <c r="K159" s="989"/>
      <c r="L159" s="989">
        <f>(Q88/$R88*100*($E88/365))+(Q89/$R89*100*($E89/365))+(Q90/$R90*100*($E90/365))</f>
        <v>9.8630136986301373</v>
      </c>
      <c r="M159" s="989"/>
      <c r="N159" s="959">
        <f>H159+J159+L159</f>
        <v>100.00000000000001</v>
      </c>
      <c r="O159" s="959"/>
      <c r="R159" s="747">
        <v>2015</v>
      </c>
      <c r="S159" s="742">
        <f>(O88*($E88/365))+(O89*($E89/365))+(O90*($E90/365))</f>
        <v>50.924054794520551</v>
      </c>
      <c r="T159" s="742">
        <f>(P88*($E88/365))+(P89*($E89/365))+(P90*($E90/365))</f>
        <v>0</v>
      </c>
      <c r="U159" s="742">
        <f>(Q88*($E88/365))+(Q89*($E89/365))+(Q90*($E90/365))</f>
        <v>3.6789041095890407</v>
      </c>
      <c r="W159" s="746">
        <f t="shared" si="30"/>
        <v>54.602958904109592</v>
      </c>
    </row>
    <row r="160" spans="1:23" s="747" customFormat="1">
      <c r="A160" s="747">
        <v>2016</v>
      </c>
      <c r="B160" s="838">
        <f>(K91*($E91/366))+(K92*($E92/366))</f>
        <v>0</v>
      </c>
      <c r="C160" s="838">
        <f t="shared" ref="C160" si="31">(L91*($E91/366))+(L92*($E92/366))</f>
        <v>0</v>
      </c>
      <c r="D160" s="838">
        <f>(M91*($E91/366))+(M92*($E92/366))</f>
        <v>57.134183363691562</v>
      </c>
      <c r="E160" s="839">
        <f t="shared" si="29"/>
        <v>57.134183363691562</v>
      </c>
      <c r="G160" s="747">
        <v>2016</v>
      </c>
      <c r="H160" s="989">
        <f>(O91/$R91*100*($E91/366))+(O92/$R92*100*($E92/366))</f>
        <v>0</v>
      </c>
      <c r="I160" s="989"/>
      <c r="J160" s="989">
        <f>(P91/$R91*100*($E91/366))+(P92/$R92*100*($E92/366))</f>
        <v>0</v>
      </c>
      <c r="K160" s="989"/>
      <c r="L160" s="989">
        <f>(Q91/$R91*100*($E91/366))+(Q92/$R92*100*($E92/366))</f>
        <v>100</v>
      </c>
      <c r="M160" s="989"/>
      <c r="N160" s="959">
        <f>H160+J160+L160</f>
        <v>100</v>
      </c>
      <c r="O160" s="959"/>
      <c r="R160" s="747">
        <v>2016</v>
      </c>
      <c r="S160" s="838">
        <f>(O91*($E91/366))+(O92*($E92/366))</f>
        <v>0</v>
      </c>
      <c r="T160" s="838">
        <f>(P91*($E91/366))+(P92*($E92/366))</f>
        <v>0</v>
      </c>
      <c r="U160" s="838">
        <f>(Q91*($E91/366))+(Q92*($E92/366))</f>
        <v>37.299999999999997</v>
      </c>
      <c r="W160" s="842">
        <f t="shared" si="30"/>
        <v>37.299999999999997</v>
      </c>
    </row>
    <row r="161" spans="1:23">
      <c r="A161" s="920">
        <v>2017</v>
      </c>
      <c r="B161" s="915">
        <f>(K93*($E93/365))+(K94*($E94/365))</f>
        <v>0</v>
      </c>
      <c r="C161" s="915">
        <f t="shared" ref="C161:D161" si="32">(L93*($E93/365))+(L94*($E94/365))</f>
        <v>0</v>
      </c>
      <c r="D161" s="915">
        <f t="shared" si="32"/>
        <v>55.555555555555557</v>
      </c>
      <c r="E161" s="916">
        <f t="shared" si="29"/>
        <v>55.555555555555557</v>
      </c>
      <c r="F161" s="920"/>
      <c r="G161" s="920">
        <v>2017</v>
      </c>
      <c r="H161" s="989">
        <f>(O93/$R93*100*($E93/365))+(O94/$R94*100*($E94/365))</f>
        <v>0</v>
      </c>
      <c r="I161" s="989"/>
      <c r="J161" s="989">
        <f>(P93/$R93*100*($E93/365))+(P94/$R94*100*($E94/365))</f>
        <v>0</v>
      </c>
      <c r="K161" s="989"/>
      <c r="L161" s="989">
        <f>(Q93/$R93*100*($E93/365))+(Q94/$R94*100*($E94/365))</f>
        <v>100</v>
      </c>
      <c r="M161" s="989"/>
      <c r="N161" s="959">
        <f>H161+J161+L161</f>
        <v>100</v>
      </c>
      <c r="O161" s="959"/>
      <c r="P161" s="920"/>
      <c r="Q161" s="920"/>
      <c r="R161" s="920">
        <v>2017</v>
      </c>
      <c r="S161" s="915">
        <f>(O93*($E93/365))+(O94*($E94/365))</f>
        <v>0</v>
      </c>
      <c r="T161" s="915">
        <f>(P93*($E93/365))+(P94*($E94/365))</f>
        <v>0</v>
      </c>
      <c r="U161" s="915">
        <f>(Q93*($E93/365))+(Q94*($E94/365))</f>
        <v>37.299999999999997</v>
      </c>
      <c r="V161" s="920"/>
      <c r="W161" s="917">
        <f t="shared" si="30"/>
        <v>37.299999999999997</v>
      </c>
    </row>
    <row r="162" spans="1:23">
      <c r="A162" s="950">
        <v>2018</v>
      </c>
      <c r="B162" s="947">
        <f>(K95*($E95/365))+(K96*($E96/365))</f>
        <v>0</v>
      </c>
      <c r="C162" s="947">
        <f>(L95*($E95/365))+(L96*($E96/365))</f>
        <v>0</v>
      </c>
      <c r="D162" s="947">
        <f>(M95*($E95/365))+(M96*($E96/365))</f>
        <v>57.929984779299851</v>
      </c>
      <c r="E162" s="948">
        <f t="shared" ref="E162" si="33">B162+C162+D162</f>
        <v>57.929984779299851</v>
      </c>
      <c r="F162" s="950"/>
      <c r="G162" s="950">
        <v>2018</v>
      </c>
      <c r="H162" s="989">
        <f>(O95/$R95*100*($E95/365))+(O96/$R96*100*($E96/365))</f>
        <v>0</v>
      </c>
      <c r="I162" s="989"/>
      <c r="J162" s="989">
        <f>(P95/$R95*100*($E95/365))+(P96/$R96*100*($E96/365))</f>
        <v>0</v>
      </c>
      <c r="K162" s="989"/>
      <c r="L162" s="989">
        <f>(Q95/$R95*100*($E95/365))+(Q96/$R96*100*($E96/365))</f>
        <v>100</v>
      </c>
      <c r="M162" s="989"/>
      <c r="N162" s="959">
        <f t="shared" ref="N162" si="34">H162+J162+L162</f>
        <v>100</v>
      </c>
      <c r="O162" s="959"/>
      <c r="P162" s="950"/>
      <c r="Q162" s="950"/>
      <c r="R162" s="950">
        <v>2018</v>
      </c>
      <c r="S162" s="947">
        <f>(O95*($E95/365))+(O96*($E96/365))</f>
        <v>0</v>
      </c>
      <c r="T162" s="947">
        <f>(P95*($E95/365))+(P96*($E96/365))</f>
        <v>0</v>
      </c>
      <c r="U162" s="947">
        <f>(Q95*($E95/365))+(Q96*($E96/365))</f>
        <v>37.299999999999997</v>
      </c>
      <c r="V162" s="950"/>
      <c r="W162" s="949">
        <f t="shared" ref="W162" si="35">S162+T162+U162</f>
        <v>37.299999999999997</v>
      </c>
    </row>
  </sheetData>
  <mergeCells count="289">
    <mergeCell ref="H156:I156"/>
    <mergeCell ref="J156:K156"/>
    <mergeCell ref="L156:M156"/>
    <mergeCell ref="L153:M153"/>
    <mergeCell ref="H154:I154"/>
    <mergeCell ref="L155:M155"/>
    <mergeCell ref="J153:K153"/>
    <mergeCell ref="J154:K154"/>
    <mergeCell ref="H146:I146"/>
    <mergeCell ref="H152:I152"/>
    <mergeCell ref="H153:I153"/>
    <mergeCell ref="L150:M150"/>
    <mergeCell ref="H162:I162"/>
    <mergeCell ref="J162:K162"/>
    <mergeCell ref="L162:M162"/>
    <mergeCell ref="N162:O162"/>
    <mergeCell ref="L159:M159"/>
    <mergeCell ref="N159:O159"/>
    <mergeCell ref="H157:I157"/>
    <mergeCell ref="J157:K157"/>
    <mergeCell ref="L157:M157"/>
    <mergeCell ref="AT4:AW4"/>
    <mergeCell ref="H147:I147"/>
    <mergeCell ref="H148:I148"/>
    <mergeCell ref="H150:I150"/>
    <mergeCell ref="H151:I151"/>
    <mergeCell ref="N151:O151"/>
    <mergeCell ref="N152:O152"/>
    <mergeCell ref="N141:O141"/>
    <mergeCell ref="N142:O142"/>
    <mergeCell ref="N143:O143"/>
    <mergeCell ref="N144:O144"/>
    <mergeCell ref="N150:O150"/>
    <mergeCell ref="J148:K148"/>
    <mergeCell ref="J149:K149"/>
    <mergeCell ref="L142:M142"/>
    <mergeCell ref="L143:M143"/>
    <mergeCell ref="N126:O126"/>
    <mergeCell ref="N130:O130"/>
    <mergeCell ref="L151:M151"/>
    <mergeCell ref="L152:M152"/>
    <mergeCell ref="L145:M145"/>
    <mergeCell ref="L146:M146"/>
    <mergeCell ref="H149:I149"/>
    <mergeCell ref="L147:M147"/>
    <mergeCell ref="H159:I159"/>
    <mergeCell ref="J159:K159"/>
    <mergeCell ref="L135:M135"/>
    <mergeCell ref="L140:M140"/>
    <mergeCell ref="L141:M141"/>
    <mergeCell ref="L136:M136"/>
    <mergeCell ref="H155:I155"/>
    <mergeCell ref="J155:K155"/>
    <mergeCell ref="L138:M138"/>
    <mergeCell ref="J138:K138"/>
    <mergeCell ref="J139:K139"/>
    <mergeCell ref="J150:K150"/>
    <mergeCell ref="J140:K140"/>
    <mergeCell ref="L154:M154"/>
    <mergeCell ref="J151:K151"/>
    <mergeCell ref="J152:K152"/>
    <mergeCell ref="L144:M144"/>
    <mergeCell ref="J145:K145"/>
    <mergeCell ref="J144:K144"/>
    <mergeCell ref="L148:M148"/>
    <mergeCell ref="L149:M149"/>
    <mergeCell ref="H145:I145"/>
    <mergeCell ref="J146:K146"/>
    <mergeCell ref="J147:K147"/>
    <mergeCell ref="AX4:BA4"/>
    <mergeCell ref="N157:O157"/>
    <mergeCell ref="R101:W101"/>
    <mergeCell ref="N153:O153"/>
    <mergeCell ref="N154:O154"/>
    <mergeCell ref="N147:O147"/>
    <mergeCell ref="N148:O148"/>
    <mergeCell ref="N149:O149"/>
    <mergeCell ref="N140:O140"/>
    <mergeCell ref="V4:Y4"/>
    <mergeCell ref="N156:O156"/>
    <mergeCell ref="N145:O145"/>
    <mergeCell ref="N146:O146"/>
    <mergeCell ref="N135:O135"/>
    <mergeCell ref="N155:O155"/>
    <mergeCell ref="N139:O139"/>
    <mergeCell ref="N132:O132"/>
    <mergeCell ref="N133:O133"/>
    <mergeCell ref="N134:O134"/>
    <mergeCell ref="N136:O136"/>
    <mergeCell ref="N137:O137"/>
    <mergeCell ref="N138:O138"/>
    <mergeCell ref="N131:O131"/>
    <mergeCell ref="AP4:AS4"/>
    <mergeCell ref="H144:I144"/>
    <mergeCell ref="H143:I143"/>
    <mergeCell ref="J141:K141"/>
    <mergeCell ref="J143:K143"/>
    <mergeCell ref="H140:I140"/>
    <mergeCell ref="H141:I141"/>
    <mergeCell ref="H142:I142"/>
    <mergeCell ref="J142:K142"/>
    <mergeCell ref="H136:I136"/>
    <mergeCell ref="H137:I137"/>
    <mergeCell ref="L137:M137"/>
    <mergeCell ref="J132:K132"/>
    <mergeCell ref="J133:K133"/>
    <mergeCell ref="L139:M139"/>
    <mergeCell ref="L126:M126"/>
    <mergeCell ref="H126:I126"/>
    <mergeCell ref="J126:K126"/>
    <mergeCell ref="H125:I125"/>
    <mergeCell ref="J125:K125"/>
    <mergeCell ref="L125:M125"/>
    <mergeCell ref="H132:I132"/>
    <mergeCell ref="H133:I133"/>
    <mergeCell ref="H134:I134"/>
    <mergeCell ref="H135:I135"/>
    <mergeCell ref="H138:I138"/>
    <mergeCell ref="H139:I139"/>
    <mergeCell ref="J134:K134"/>
    <mergeCell ref="J135:K135"/>
    <mergeCell ref="J136:K136"/>
    <mergeCell ref="J137:K137"/>
    <mergeCell ref="H127:I127"/>
    <mergeCell ref="L132:M132"/>
    <mergeCell ref="L133:M133"/>
    <mergeCell ref="L134:M134"/>
    <mergeCell ref="J127:K127"/>
    <mergeCell ref="L127:M127"/>
    <mergeCell ref="N127:O127"/>
    <mergeCell ref="H128:I128"/>
    <mergeCell ref="J128:K128"/>
    <mergeCell ref="L128:M128"/>
    <mergeCell ref="N128:O128"/>
    <mergeCell ref="H129:I129"/>
    <mergeCell ref="J129:K129"/>
    <mergeCell ref="L129:M129"/>
    <mergeCell ref="N129:O129"/>
    <mergeCell ref="L130:M130"/>
    <mergeCell ref="L131:M131"/>
    <mergeCell ref="J130:K130"/>
    <mergeCell ref="J131:K131"/>
    <mergeCell ref="H130:I130"/>
    <mergeCell ref="H131:I131"/>
    <mergeCell ref="G3:M3"/>
    <mergeCell ref="O3:Q3"/>
    <mergeCell ref="A4:A5"/>
    <mergeCell ref="B4:B5"/>
    <mergeCell ref="C4:D5"/>
    <mergeCell ref="E4:E5"/>
    <mergeCell ref="F4:F5"/>
    <mergeCell ref="G4:J4"/>
    <mergeCell ref="K4:N4"/>
    <mergeCell ref="O4:R4"/>
    <mergeCell ref="C8:D8"/>
    <mergeCell ref="C9:D9"/>
    <mergeCell ref="C10:D10"/>
    <mergeCell ref="C11:D11"/>
    <mergeCell ref="C12:D12"/>
    <mergeCell ref="C13:D13"/>
    <mergeCell ref="C14:D14"/>
    <mergeCell ref="C15:D15"/>
    <mergeCell ref="S4:S5"/>
    <mergeCell ref="T4:T5"/>
    <mergeCell ref="U4:U5"/>
    <mergeCell ref="C6:D6"/>
    <mergeCell ref="Z4:AC4"/>
    <mergeCell ref="AD4:AG4"/>
    <mergeCell ref="AH4:AK4"/>
    <mergeCell ref="AL4:AO4"/>
    <mergeCell ref="C7:D7"/>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71:D71"/>
    <mergeCell ref="C72:D72"/>
    <mergeCell ref="C73:D73"/>
    <mergeCell ref="C74:D74"/>
    <mergeCell ref="L121:M121"/>
    <mergeCell ref="C82:D82"/>
    <mergeCell ref="C93:D93"/>
    <mergeCell ref="C94:D94"/>
    <mergeCell ref="C91:D91"/>
    <mergeCell ref="C92:D92"/>
    <mergeCell ref="C85:D85"/>
    <mergeCell ref="C84:D84"/>
    <mergeCell ref="C95:D95"/>
    <mergeCell ref="C96:D96"/>
    <mergeCell ref="C88:D88"/>
    <mergeCell ref="C89:D89"/>
    <mergeCell ref="C90:D90"/>
    <mergeCell ref="N121:O121"/>
    <mergeCell ref="C56:D56"/>
    <mergeCell ref="C57:D57"/>
    <mergeCell ref="C58:D58"/>
    <mergeCell ref="C59:D59"/>
    <mergeCell ref="C60:D60"/>
    <mergeCell ref="C61:D61"/>
    <mergeCell ref="C62:D62"/>
    <mergeCell ref="C75:D75"/>
    <mergeCell ref="C63:D63"/>
    <mergeCell ref="C64:D64"/>
    <mergeCell ref="C65:D65"/>
    <mergeCell ref="C66:D66"/>
    <mergeCell ref="C67:D67"/>
    <mergeCell ref="C68:D68"/>
    <mergeCell ref="C69:D69"/>
    <mergeCell ref="C70:D70"/>
    <mergeCell ref="C83:D83"/>
    <mergeCell ref="C76:D76"/>
    <mergeCell ref="C77:D77"/>
    <mergeCell ref="C78:D78"/>
    <mergeCell ref="C79:D79"/>
    <mergeCell ref="C80:D80"/>
    <mergeCell ref="C81:D81"/>
    <mergeCell ref="N125:O125"/>
    <mergeCell ref="H122:I122"/>
    <mergeCell ref="J122:K122"/>
    <mergeCell ref="L122:M122"/>
    <mergeCell ref="N122:O122"/>
    <mergeCell ref="H123:I123"/>
    <mergeCell ref="J123:K123"/>
    <mergeCell ref="L123:M123"/>
    <mergeCell ref="N123:O123"/>
    <mergeCell ref="H124:I124"/>
    <mergeCell ref="J124:K124"/>
    <mergeCell ref="L124:M124"/>
    <mergeCell ref="N124:O124"/>
    <mergeCell ref="H161:I161"/>
    <mergeCell ref="J161:K161"/>
    <mergeCell ref="L161:M161"/>
    <mergeCell ref="N161:O161"/>
    <mergeCell ref="H160:I160"/>
    <mergeCell ref="J160:K160"/>
    <mergeCell ref="L160:M160"/>
    <mergeCell ref="N160:O160"/>
    <mergeCell ref="C86:D86"/>
    <mergeCell ref="C87:D87"/>
    <mergeCell ref="H158:I158"/>
    <mergeCell ref="J158:K158"/>
    <mergeCell ref="L158:M158"/>
    <mergeCell ref="N158:O158"/>
    <mergeCell ref="H120:I120"/>
    <mergeCell ref="J120:K120"/>
    <mergeCell ref="L120:M120"/>
    <mergeCell ref="N120:O120"/>
    <mergeCell ref="H103:I103"/>
    <mergeCell ref="J103:K103"/>
    <mergeCell ref="L103:M103"/>
    <mergeCell ref="N103:O103"/>
    <mergeCell ref="H121:I121"/>
    <mergeCell ref="J121:K12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A124"/>
  <sheetViews>
    <sheetView zoomScale="120" zoomScaleNormal="120" workbookViewId="0">
      <pane ySplit="5" topLeftCell="A74" activePane="bottomLeft" state="frozen"/>
      <selection pane="bottomLeft" activeCell="H90" sqref="H90"/>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145</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c r="A6" s="208">
        <v>1990</v>
      </c>
      <c r="C6" s="1005" t="s">
        <v>1277</v>
      </c>
      <c r="D6" s="1005"/>
      <c r="E6" s="208">
        <v>178</v>
      </c>
      <c r="G6" s="74"/>
      <c r="H6" s="75"/>
      <c r="I6" s="75"/>
      <c r="J6" s="76"/>
      <c r="K6" s="77"/>
      <c r="L6" s="77"/>
      <c r="M6" s="77"/>
      <c r="N6" s="78"/>
      <c r="O6" s="79"/>
      <c r="P6" s="77"/>
      <c r="Q6" s="77"/>
      <c r="R6" s="80"/>
      <c r="T6" s="81"/>
      <c r="V6" s="82"/>
      <c r="Y6" s="83"/>
      <c r="AD6" s="82"/>
      <c r="AG6" s="83"/>
      <c r="AL6" s="82"/>
      <c r="AO6" s="83"/>
      <c r="AP6" s="82"/>
      <c r="AS6" s="83"/>
      <c r="AW6" s="83"/>
      <c r="BA6" s="84"/>
    </row>
    <row r="7" spans="1:53" s="334" customFormat="1">
      <c r="A7" s="334">
        <v>1990</v>
      </c>
      <c r="B7" s="355">
        <v>33052</v>
      </c>
      <c r="C7" s="992" t="s">
        <v>917</v>
      </c>
      <c r="D7" s="992"/>
      <c r="E7" s="334">
        <v>187</v>
      </c>
      <c r="F7" s="334" t="s">
        <v>345</v>
      </c>
      <c r="G7" s="336"/>
      <c r="H7" s="200"/>
      <c r="I7" s="200">
        <v>21</v>
      </c>
      <c r="J7" s="337">
        <v>23</v>
      </c>
      <c r="K7" s="338">
        <f t="shared" ref="K7:K55" si="0">G7/J7*100</f>
        <v>0</v>
      </c>
      <c r="L7" s="338">
        <f t="shared" ref="L7:L55" si="1">H7/J7*100</f>
        <v>0</v>
      </c>
      <c r="M7" s="338">
        <f t="shared" ref="M7:M55" si="2">I7/J7*100</f>
        <v>91.304347826086953</v>
      </c>
      <c r="N7" s="339">
        <f t="shared" ref="N7:N70" si="3">SUM(K7:M7)</f>
        <v>91.304347826086953</v>
      </c>
      <c r="O7" s="340"/>
      <c r="P7" s="338"/>
      <c r="Q7" s="338">
        <v>66.400000000000006</v>
      </c>
      <c r="R7" s="341">
        <f t="shared" ref="R7:R64" si="4">SUM(O7:Q7)</f>
        <v>66.400000000000006</v>
      </c>
      <c r="S7" s="334">
        <v>1</v>
      </c>
      <c r="T7" s="342">
        <v>33013</v>
      </c>
      <c r="U7" s="355">
        <v>33052</v>
      </c>
      <c r="V7" s="343" t="s">
        <v>919</v>
      </c>
      <c r="W7" s="334" t="s">
        <v>20</v>
      </c>
      <c r="X7" s="334" t="s">
        <v>12</v>
      </c>
      <c r="Y7" s="344">
        <v>66.400000000000006</v>
      </c>
      <c r="AD7" s="343"/>
      <c r="AG7" s="344"/>
      <c r="AL7" s="343"/>
      <c r="AO7" s="344"/>
      <c r="AP7" s="343"/>
      <c r="AS7" s="344"/>
      <c r="AW7" s="344"/>
      <c r="BA7" s="345"/>
    </row>
    <row r="8" spans="1:53" s="334" customFormat="1">
      <c r="A8" s="334">
        <v>1991</v>
      </c>
      <c r="C8" s="992" t="s">
        <v>917</v>
      </c>
      <c r="D8" s="992"/>
      <c r="E8" s="334">
        <v>288</v>
      </c>
      <c r="G8" s="336"/>
      <c r="H8" s="200"/>
      <c r="I8" s="200">
        <v>21</v>
      </c>
      <c r="J8" s="337">
        <v>23</v>
      </c>
      <c r="K8" s="338">
        <f t="shared" si="0"/>
        <v>0</v>
      </c>
      <c r="L8" s="338">
        <f t="shared" si="1"/>
        <v>0</v>
      </c>
      <c r="M8" s="338">
        <f t="shared" si="2"/>
        <v>91.304347826086953</v>
      </c>
      <c r="N8" s="339">
        <f t="shared" si="3"/>
        <v>91.304347826086953</v>
      </c>
      <c r="O8" s="340"/>
      <c r="P8" s="338"/>
      <c r="Q8" s="338">
        <v>66.400000000000006</v>
      </c>
      <c r="R8" s="341">
        <f t="shared" si="4"/>
        <v>66.400000000000006</v>
      </c>
      <c r="S8" s="334">
        <v>1</v>
      </c>
      <c r="T8" s="357"/>
      <c r="V8" s="343" t="s">
        <v>919</v>
      </c>
      <c r="W8" s="334" t="s">
        <v>20</v>
      </c>
      <c r="X8" s="334" t="s">
        <v>12</v>
      </c>
      <c r="Y8" s="344">
        <v>66.400000000000006</v>
      </c>
      <c r="AD8" s="343"/>
      <c r="AG8" s="344"/>
      <c r="AL8" s="343"/>
      <c r="AO8" s="344"/>
      <c r="AP8" s="343"/>
      <c r="AS8" s="344"/>
      <c r="AW8" s="344"/>
      <c r="BA8" s="345"/>
    </row>
    <row r="9" spans="1:53" s="208" customFormat="1">
      <c r="A9" s="208">
        <v>1991</v>
      </c>
      <c r="B9" s="207">
        <v>33527</v>
      </c>
      <c r="C9" s="988" t="s">
        <v>918</v>
      </c>
      <c r="D9" s="988"/>
      <c r="E9" s="208">
        <f>365-E8</f>
        <v>77</v>
      </c>
      <c r="F9" s="208">
        <v>2</v>
      </c>
      <c r="G9" s="74">
        <v>3</v>
      </c>
      <c r="H9" s="75"/>
      <c r="I9" s="75">
        <v>13</v>
      </c>
      <c r="J9" s="76">
        <v>19</v>
      </c>
      <c r="K9" s="77">
        <f t="shared" si="0"/>
        <v>15.789473684210526</v>
      </c>
      <c r="L9" s="77">
        <f t="shared" si="1"/>
        <v>0</v>
      </c>
      <c r="M9" s="77">
        <f t="shared" si="2"/>
        <v>68.421052631578945</v>
      </c>
      <c r="N9" s="78">
        <f t="shared" si="3"/>
        <v>84.210526315789465</v>
      </c>
      <c r="O9" s="79">
        <v>7.3</v>
      </c>
      <c r="P9" s="77"/>
      <c r="Q9" s="77">
        <v>71.7</v>
      </c>
      <c r="R9" s="80">
        <f t="shared" si="4"/>
        <v>79</v>
      </c>
      <c r="S9" s="208">
        <v>3</v>
      </c>
      <c r="T9" s="81"/>
      <c r="U9" s="207">
        <v>33527</v>
      </c>
      <c r="V9" s="82" t="s">
        <v>919</v>
      </c>
      <c r="W9" s="208" t="s">
        <v>20</v>
      </c>
      <c r="X9" s="208" t="s">
        <v>12</v>
      </c>
      <c r="Y9" s="83">
        <v>66.400000000000006</v>
      </c>
      <c r="Z9" s="208" t="s">
        <v>920</v>
      </c>
      <c r="AA9" s="208" t="s">
        <v>22</v>
      </c>
      <c r="AB9" s="208" t="s">
        <v>11</v>
      </c>
      <c r="AC9" s="208">
        <v>7.3</v>
      </c>
      <c r="AD9" s="82" t="s">
        <v>921</v>
      </c>
      <c r="AE9" s="208" t="s">
        <v>218</v>
      </c>
      <c r="AF9" s="208" t="s">
        <v>12</v>
      </c>
      <c r="AG9" s="83">
        <v>3</v>
      </c>
      <c r="AH9" s="208" t="s">
        <v>922</v>
      </c>
      <c r="AI9" s="208" t="s">
        <v>880</v>
      </c>
      <c r="AJ9" s="208" t="s">
        <v>12</v>
      </c>
      <c r="AK9" s="208">
        <v>2.2999999999999998</v>
      </c>
      <c r="AL9" s="82"/>
      <c r="AO9" s="83"/>
      <c r="AP9" s="82"/>
      <c r="AS9" s="83"/>
      <c r="AW9" s="83"/>
      <c r="BA9" s="84"/>
    </row>
    <row r="10" spans="1:53" s="208" customFormat="1">
      <c r="A10" s="208">
        <v>1992</v>
      </c>
      <c r="C10" s="988" t="s">
        <v>918</v>
      </c>
      <c r="D10" s="988"/>
      <c r="E10" s="208">
        <v>317</v>
      </c>
      <c r="G10" s="74">
        <v>3</v>
      </c>
      <c r="H10" s="75"/>
      <c r="I10" s="75">
        <v>13</v>
      </c>
      <c r="J10" s="76">
        <v>19</v>
      </c>
      <c r="K10" s="77">
        <f t="shared" si="0"/>
        <v>15.789473684210526</v>
      </c>
      <c r="L10" s="77">
        <f t="shared" si="1"/>
        <v>0</v>
      </c>
      <c r="M10" s="77">
        <f t="shared" si="2"/>
        <v>68.421052631578945</v>
      </c>
      <c r="N10" s="78">
        <f t="shared" si="3"/>
        <v>84.210526315789465</v>
      </c>
      <c r="O10" s="79">
        <v>7.3</v>
      </c>
      <c r="P10" s="77"/>
      <c r="Q10" s="77">
        <v>71.7</v>
      </c>
      <c r="R10" s="80">
        <f t="shared" si="4"/>
        <v>79</v>
      </c>
      <c r="S10" s="208">
        <v>3</v>
      </c>
      <c r="T10" s="81"/>
      <c r="V10" s="82" t="s">
        <v>919</v>
      </c>
      <c r="W10" s="208" t="s">
        <v>20</v>
      </c>
      <c r="X10" s="208" t="s">
        <v>12</v>
      </c>
      <c r="Y10" s="83">
        <v>66.400000000000006</v>
      </c>
      <c r="Z10" s="208" t="s">
        <v>920</v>
      </c>
      <c r="AA10" s="208" t="s">
        <v>22</v>
      </c>
      <c r="AB10" s="208" t="s">
        <v>11</v>
      </c>
      <c r="AC10" s="208">
        <v>7.3</v>
      </c>
      <c r="AD10" s="82" t="s">
        <v>921</v>
      </c>
      <c r="AE10" s="208" t="s">
        <v>218</v>
      </c>
      <c r="AF10" s="208" t="s">
        <v>12</v>
      </c>
      <c r="AG10" s="83">
        <v>3</v>
      </c>
      <c r="AH10" s="208" t="s">
        <v>922</v>
      </c>
      <c r="AI10" s="208" t="s">
        <v>880</v>
      </c>
      <c r="AJ10" s="208" t="s">
        <v>12</v>
      </c>
      <c r="AK10" s="208">
        <v>2.2999999999999998</v>
      </c>
      <c r="AL10" s="82"/>
      <c r="AO10" s="83"/>
      <c r="AP10" s="82"/>
      <c r="AS10" s="83"/>
      <c r="AW10" s="83"/>
      <c r="BA10" s="84"/>
    </row>
    <row r="11" spans="1:53" s="334" customFormat="1">
      <c r="A11" s="334">
        <v>1992</v>
      </c>
      <c r="B11" s="355">
        <v>33921</v>
      </c>
      <c r="C11" s="992" t="s">
        <v>1171</v>
      </c>
      <c r="D11" s="992"/>
      <c r="E11" s="334">
        <f xml:space="preserve"> 366-E10</f>
        <v>49</v>
      </c>
      <c r="F11" s="334">
        <v>1</v>
      </c>
      <c r="G11" s="336"/>
      <c r="H11" s="200"/>
      <c r="I11" s="200">
        <v>19</v>
      </c>
      <c r="J11" s="337">
        <v>20</v>
      </c>
      <c r="K11" s="338">
        <f t="shared" si="0"/>
        <v>0</v>
      </c>
      <c r="L11" s="338">
        <f t="shared" si="1"/>
        <v>0</v>
      </c>
      <c r="M11" s="338">
        <f t="shared" si="2"/>
        <v>95</v>
      </c>
      <c r="N11" s="339">
        <f t="shared" si="3"/>
        <v>95</v>
      </c>
      <c r="O11" s="340"/>
      <c r="P11" s="338"/>
      <c r="Q11" s="338">
        <v>34.299999999999997</v>
      </c>
      <c r="R11" s="341">
        <f t="shared" si="4"/>
        <v>34.299999999999997</v>
      </c>
      <c r="S11" s="334">
        <v>4</v>
      </c>
      <c r="T11" s="342">
        <v>33874</v>
      </c>
      <c r="U11" s="355">
        <v>33921</v>
      </c>
      <c r="V11" s="343" t="s">
        <v>919</v>
      </c>
      <c r="W11" s="334" t="s">
        <v>20</v>
      </c>
      <c r="X11" s="334" t="s">
        <v>12</v>
      </c>
      <c r="Y11" s="344">
        <v>34.299999999999997</v>
      </c>
      <c r="AD11" s="343"/>
      <c r="AG11" s="344"/>
      <c r="AL11" s="343"/>
      <c r="AO11" s="344"/>
      <c r="AP11" s="343"/>
      <c r="AS11" s="344"/>
      <c r="AW11" s="344"/>
      <c r="BA11" s="345"/>
    </row>
    <row r="12" spans="1:53" s="334" customFormat="1">
      <c r="A12" s="334">
        <v>1993</v>
      </c>
      <c r="C12" s="992" t="s">
        <v>1171</v>
      </c>
      <c r="D12" s="992"/>
      <c r="E12" s="334">
        <v>0</v>
      </c>
      <c r="G12" s="336"/>
      <c r="H12" s="200"/>
      <c r="I12" s="200">
        <v>19</v>
      </c>
      <c r="J12" s="337">
        <v>20</v>
      </c>
      <c r="K12" s="338">
        <f t="shared" si="0"/>
        <v>0</v>
      </c>
      <c r="L12" s="338">
        <f t="shared" si="1"/>
        <v>0</v>
      </c>
      <c r="M12" s="338">
        <f t="shared" si="2"/>
        <v>95</v>
      </c>
      <c r="N12" s="339">
        <f t="shared" si="3"/>
        <v>95</v>
      </c>
      <c r="O12" s="340"/>
      <c r="P12" s="338"/>
      <c r="Q12" s="338">
        <v>34.299999999999997</v>
      </c>
      <c r="R12" s="341">
        <f t="shared" si="4"/>
        <v>34.299999999999997</v>
      </c>
      <c r="S12" s="334">
        <v>4</v>
      </c>
      <c r="T12" s="357"/>
      <c r="V12" s="343" t="s">
        <v>919</v>
      </c>
      <c r="W12" s="334" t="s">
        <v>20</v>
      </c>
      <c r="X12" s="334" t="s">
        <v>12</v>
      </c>
      <c r="Y12" s="344">
        <v>34.299999999999997</v>
      </c>
      <c r="AD12" s="343"/>
      <c r="AG12" s="344"/>
      <c r="AL12" s="343"/>
      <c r="AO12" s="344"/>
      <c r="AP12" s="343"/>
      <c r="AS12" s="344"/>
      <c r="AW12" s="344"/>
      <c r="BA12" s="345"/>
    </row>
    <row r="13" spans="1:53" s="334" customFormat="1">
      <c r="A13" s="334">
        <v>1993</v>
      </c>
      <c r="C13" s="992" t="s">
        <v>1171</v>
      </c>
      <c r="D13" s="992"/>
      <c r="E13" s="334">
        <v>365</v>
      </c>
      <c r="G13" s="336"/>
      <c r="H13" s="200"/>
      <c r="I13" s="200">
        <v>19</v>
      </c>
      <c r="J13" s="337">
        <v>20</v>
      </c>
      <c r="K13" s="338">
        <f t="shared" si="0"/>
        <v>0</v>
      </c>
      <c r="L13" s="338">
        <f t="shared" si="1"/>
        <v>0</v>
      </c>
      <c r="M13" s="338">
        <f t="shared" si="2"/>
        <v>95</v>
      </c>
      <c r="N13" s="339">
        <f t="shared" si="3"/>
        <v>95</v>
      </c>
      <c r="O13" s="340"/>
      <c r="P13" s="338"/>
      <c r="Q13" s="338">
        <v>34.299999999999997</v>
      </c>
      <c r="R13" s="341">
        <f t="shared" si="4"/>
        <v>34.299999999999997</v>
      </c>
      <c r="S13" s="334">
        <v>4</v>
      </c>
      <c r="T13" s="357"/>
      <c r="V13" s="343" t="s">
        <v>919</v>
      </c>
      <c r="W13" s="334" t="s">
        <v>20</v>
      </c>
      <c r="X13" s="334" t="s">
        <v>12</v>
      </c>
      <c r="Y13" s="344">
        <v>34.299999999999997</v>
      </c>
      <c r="AD13" s="343"/>
      <c r="AG13" s="344"/>
      <c r="AL13" s="343"/>
      <c r="AO13" s="344"/>
      <c r="AP13" s="343"/>
      <c r="AS13" s="344"/>
      <c r="AW13" s="344"/>
      <c r="BA13" s="345"/>
    </row>
    <row r="14" spans="1:53" s="334" customFormat="1">
      <c r="A14" s="334">
        <v>1994</v>
      </c>
      <c r="C14" s="992" t="s">
        <v>1171</v>
      </c>
      <c r="D14" s="992"/>
      <c r="E14" s="334">
        <v>229</v>
      </c>
      <c r="G14" s="336"/>
      <c r="H14" s="200"/>
      <c r="I14" s="200">
        <v>19</v>
      </c>
      <c r="J14" s="337">
        <v>20</v>
      </c>
      <c r="K14" s="338">
        <f t="shared" si="0"/>
        <v>0</v>
      </c>
      <c r="L14" s="338">
        <f t="shared" si="1"/>
        <v>0</v>
      </c>
      <c r="M14" s="338">
        <f t="shared" si="2"/>
        <v>95</v>
      </c>
      <c r="N14" s="339">
        <f t="shared" si="3"/>
        <v>95</v>
      </c>
      <c r="O14" s="340"/>
      <c r="P14" s="338"/>
      <c r="Q14" s="338">
        <v>34.299999999999997</v>
      </c>
      <c r="R14" s="341">
        <f t="shared" si="4"/>
        <v>34.299999999999997</v>
      </c>
      <c r="S14" s="334">
        <v>4</v>
      </c>
      <c r="T14" s="357"/>
      <c r="V14" s="343" t="s">
        <v>919</v>
      </c>
      <c r="W14" s="334" t="s">
        <v>20</v>
      </c>
      <c r="X14" s="334" t="s">
        <v>12</v>
      </c>
      <c r="Y14" s="344">
        <v>34.299999999999997</v>
      </c>
      <c r="AD14" s="343"/>
      <c r="AG14" s="344"/>
      <c r="AL14" s="343"/>
      <c r="AO14" s="344"/>
      <c r="AP14" s="343"/>
      <c r="AS14" s="344"/>
      <c r="AW14" s="344"/>
      <c r="BA14" s="345"/>
    </row>
    <row r="15" spans="1:53" s="208" customFormat="1">
      <c r="A15" s="208">
        <v>1994</v>
      </c>
      <c r="B15" s="207">
        <v>34564</v>
      </c>
      <c r="C15" s="988" t="s">
        <v>1172</v>
      </c>
      <c r="D15" s="988"/>
      <c r="E15" s="208">
        <f>365-E14</f>
        <v>136</v>
      </c>
      <c r="F15" s="208">
        <v>7</v>
      </c>
      <c r="G15" s="74">
        <v>2</v>
      </c>
      <c r="H15" s="75"/>
      <c r="I15" s="75">
        <v>16</v>
      </c>
      <c r="J15" s="76">
        <v>22</v>
      </c>
      <c r="K15" s="77">
        <f t="shared" si="0"/>
        <v>9.0909090909090917</v>
      </c>
      <c r="L15" s="77">
        <f t="shared" si="1"/>
        <v>0</v>
      </c>
      <c r="M15" s="77">
        <f t="shared" si="2"/>
        <v>72.727272727272734</v>
      </c>
      <c r="N15" s="78">
        <f t="shared" si="3"/>
        <v>81.818181818181827</v>
      </c>
      <c r="O15" s="79">
        <v>8.8000000000000007</v>
      </c>
      <c r="P15" s="77"/>
      <c r="Q15" s="77">
        <v>34.299999999999997</v>
      </c>
      <c r="R15" s="80">
        <f t="shared" si="4"/>
        <v>43.099999999999994</v>
      </c>
      <c r="S15" s="208">
        <v>5</v>
      </c>
      <c r="T15" s="81"/>
      <c r="U15" s="207">
        <v>34399</v>
      </c>
      <c r="V15" s="82" t="s">
        <v>923</v>
      </c>
      <c r="W15" s="208" t="s">
        <v>20</v>
      </c>
      <c r="X15" s="208" t="s">
        <v>12</v>
      </c>
      <c r="Y15" s="83">
        <v>34.299999999999997</v>
      </c>
      <c r="Z15" s="208" t="s">
        <v>924</v>
      </c>
      <c r="AA15" s="208" t="s">
        <v>304</v>
      </c>
      <c r="AB15" s="208" t="s">
        <v>11</v>
      </c>
      <c r="AC15" s="208">
        <v>8.8000000000000007</v>
      </c>
      <c r="AD15" s="82"/>
      <c r="AG15" s="83"/>
      <c r="AL15" s="82"/>
      <c r="AO15" s="83"/>
      <c r="AP15" s="82"/>
      <c r="AS15" s="83"/>
      <c r="AW15" s="83"/>
      <c r="BA15" s="84"/>
    </row>
    <row r="16" spans="1:53" s="208" customFormat="1">
      <c r="A16" s="208">
        <v>1995</v>
      </c>
      <c r="C16" s="988" t="s">
        <v>1172</v>
      </c>
      <c r="D16" s="988"/>
      <c r="E16" s="208">
        <v>292</v>
      </c>
      <c r="G16" s="74">
        <v>2</v>
      </c>
      <c r="H16" s="75"/>
      <c r="I16" s="75">
        <v>16</v>
      </c>
      <c r="J16" s="76">
        <v>22</v>
      </c>
      <c r="K16" s="77">
        <f t="shared" si="0"/>
        <v>9.0909090909090917</v>
      </c>
      <c r="L16" s="77">
        <f t="shared" si="1"/>
        <v>0</v>
      </c>
      <c r="M16" s="77">
        <f t="shared" si="2"/>
        <v>72.727272727272734</v>
      </c>
      <c r="N16" s="78">
        <f t="shared" si="3"/>
        <v>81.818181818181827</v>
      </c>
      <c r="O16" s="79">
        <v>8.8000000000000007</v>
      </c>
      <c r="P16" s="77"/>
      <c r="Q16" s="77">
        <v>34.299999999999997</v>
      </c>
      <c r="R16" s="80">
        <f t="shared" si="4"/>
        <v>43.099999999999994</v>
      </c>
      <c r="S16" s="208">
        <v>5</v>
      </c>
      <c r="T16" s="81"/>
      <c r="V16" s="82" t="s">
        <v>923</v>
      </c>
      <c r="W16" s="208" t="s">
        <v>20</v>
      </c>
      <c r="X16" s="208" t="s">
        <v>12</v>
      </c>
      <c r="Y16" s="83">
        <v>34.299999999999997</v>
      </c>
      <c r="Z16" s="208" t="s">
        <v>924</v>
      </c>
      <c r="AA16" s="208" t="s">
        <v>304</v>
      </c>
      <c r="AB16" s="208" t="s">
        <v>11</v>
      </c>
      <c r="AC16" s="208">
        <v>8.8000000000000007</v>
      </c>
      <c r="AD16" s="82"/>
      <c r="AG16" s="83"/>
      <c r="AL16" s="82"/>
      <c r="AO16" s="83"/>
      <c r="AP16" s="82"/>
      <c r="AS16" s="83"/>
      <c r="AW16" s="83"/>
      <c r="BA16" s="84"/>
    </row>
    <row r="17" spans="1:53" s="208" customFormat="1">
      <c r="A17" s="208">
        <v>1995</v>
      </c>
      <c r="B17" s="149">
        <v>34992</v>
      </c>
      <c r="C17" s="988" t="s">
        <v>1199</v>
      </c>
      <c r="D17" s="988"/>
      <c r="E17" s="208">
        <f xml:space="preserve"> 365-E16</f>
        <v>73</v>
      </c>
      <c r="F17" s="150">
        <v>0</v>
      </c>
      <c r="G17" s="74">
        <v>2</v>
      </c>
      <c r="H17" s="75"/>
      <c r="I17" s="75">
        <v>21</v>
      </c>
      <c r="J17" s="76">
        <v>24</v>
      </c>
      <c r="K17" s="77">
        <f t="shared" si="0"/>
        <v>8.3333333333333321</v>
      </c>
      <c r="L17" s="77">
        <f t="shared" si="1"/>
        <v>0</v>
      </c>
      <c r="M17" s="77">
        <f t="shared" si="2"/>
        <v>87.5</v>
      </c>
      <c r="N17" s="78">
        <f t="shared" si="3"/>
        <v>95.833333333333329</v>
      </c>
      <c r="O17" s="79">
        <v>8.8000000000000007</v>
      </c>
      <c r="P17" s="77"/>
      <c r="Q17" s="77">
        <v>34.299999999999997</v>
      </c>
      <c r="R17" s="80">
        <f t="shared" si="4"/>
        <v>43.099999999999994</v>
      </c>
      <c r="S17" s="208">
        <v>5</v>
      </c>
      <c r="T17" s="81"/>
      <c r="U17" s="207"/>
      <c r="V17" s="82" t="s">
        <v>923</v>
      </c>
      <c r="W17" s="208" t="s">
        <v>20</v>
      </c>
      <c r="X17" s="208" t="s">
        <v>12</v>
      </c>
      <c r="Y17" s="83">
        <v>34.299999999999997</v>
      </c>
      <c r="Z17" s="208" t="s">
        <v>924</v>
      </c>
      <c r="AA17" s="208" t="s">
        <v>304</v>
      </c>
      <c r="AB17" s="208" t="s">
        <v>11</v>
      </c>
      <c r="AC17" s="208">
        <v>8.8000000000000007</v>
      </c>
      <c r="AD17" s="82"/>
      <c r="AG17" s="83"/>
      <c r="AL17" s="82"/>
      <c r="AO17" s="83"/>
      <c r="AP17" s="82"/>
      <c r="AS17" s="83"/>
      <c r="AW17" s="83"/>
      <c r="BA17" s="84"/>
    </row>
    <row r="18" spans="1:53" s="208" customFormat="1">
      <c r="A18" s="208">
        <v>1996</v>
      </c>
      <c r="C18" s="988" t="s">
        <v>1199</v>
      </c>
      <c r="D18" s="988"/>
      <c r="E18" s="208">
        <v>246</v>
      </c>
      <c r="G18" s="74">
        <v>2</v>
      </c>
      <c r="H18" s="75"/>
      <c r="I18" s="75">
        <v>21</v>
      </c>
      <c r="J18" s="76">
        <v>24</v>
      </c>
      <c r="K18" s="77">
        <f t="shared" si="0"/>
        <v>8.3333333333333321</v>
      </c>
      <c r="L18" s="77">
        <f t="shared" si="1"/>
        <v>0</v>
      </c>
      <c r="M18" s="77">
        <f t="shared" si="2"/>
        <v>87.5</v>
      </c>
      <c r="N18" s="78">
        <f t="shared" si="3"/>
        <v>95.833333333333329</v>
      </c>
      <c r="O18" s="79">
        <v>8.8000000000000007</v>
      </c>
      <c r="P18" s="77"/>
      <c r="Q18" s="77">
        <v>34.299999999999997</v>
      </c>
      <c r="R18" s="80">
        <f t="shared" si="4"/>
        <v>43.099999999999994</v>
      </c>
      <c r="S18" s="208">
        <v>5</v>
      </c>
      <c r="T18" s="81"/>
      <c r="V18" s="82" t="s">
        <v>923</v>
      </c>
      <c r="W18" s="208" t="s">
        <v>20</v>
      </c>
      <c r="X18" s="208" t="s">
        <v>12</v>
      </c>
      <c r="Y18" s="83">
        <v>34.299999999999997</v>
      </c>
      <c r="Z18" s="208" t="s">
        <v>924</v>
      </c>
      <c r="AA18" s="208" t="s">
        <v>304</v>
      </c>
      <c r="AB18" s="208" t="s">
        <v>11</v>
      </c>
      <c r="AC18" s="208">
        <v>8.8000000000000007</v>
      </c>
      <c r="AD18" s="82"/>
      <c r="AG18" s="83"/>
      <c r="AL18" s="82"/>
      <c r="AO18" s="83"/>
      <c r="AP18" s="82"/>
      <c r="AS18" s="83"/>
      <c r="AW18" s="83"/>
      <c r="BA18" s="84"/>
    </row>
    <row r="19" spans="1:53" s="334" customFormat="1">
      <c r="A19" s="334">
        <v>1996</v>
      </c>
      <c r="B19" s="355">
        <v>35311</v>
      </c>
      <c r="C19" s="992" t="s">
        <v>1214</v>
      </c>
      <c r="D19" s="992"/>
      <c r="E19" s="334">
        <v>100</v>
      </c>
      <c r="F19" s="334">
        <v>4</v>
      </c>
      <c r="G19" s="336"/>
      <c r="H19" s="200"/>
      <c r="I19" s="200">
        <v>26</v>
      </c>
      <c r="J19" s="337">
        <v>26</v>
      </c>
      <c r="K19" s="338">
        <f t="shared" si="0"/>
        <v>0</v>
      </c>
      <c r="L19" s="338">
        <f t="shared" si="1"/>
        <v>0</v>
      </c>
      <c r="M19" s="338">
        <f t="shared" si="2"/>
        <v>100</v>
      </c>
      <c r="N19" s="339">
        <f t="shared" si="3"/>
        <v>100</v>
      </c>
      <c r="O19" s="340"/>
      <c r="P19" s="338"/>
      <c r="Q19" s="338">
        <v>34.299999999999997</v>
      </c>
      <c r="R19" s="341">
        <f t="shared" si="4"/>
        <v>34.299999999999997</v>
      </c>
      <c r="S19" s="334">
        <v>4</v>
      </c>
      <c r="T19" s="357"/>
      <c r="U19" s="355">
        <v>35311</v>
      </c>
      <c r="V19" s="343" t="s">
        <v>923</v>
      </c>
      <c r="W19" s="334" t="s">
        <v>20</v>
      </c>
      <c r="X19" s="334" t="s">
        <v>12</v>
      </c>
      <c r="Y19" s="344">
        <v>34.299999999999997</v>
      </c>
      <c r="AD19" s="343"/>
      <c r="AG19" s="344"/>
      <c r="AL19" s="343"/>
      <c r="AO19" s="344"/>
      <c r="AP19" s="343"/>
      <c r="AS19" s="344"/>
      <c r="AW19" s="344"/>
      <c r="BA19" s="345"/>
    </row>
    <row r="20" spans="1:53" s="208" customFormat="1">
      <c r="A20" s="208">
        <v>1996</v>
      </c>
      <c r="B20" s="207">
        <v>35411</v>
      </c>
      <c r="C20" s="988" t="s">
        <v>929</v>
      </c>
      <c r="D20" s="988"/>
      <c r="E20" s="208">
        <f>366-E19-E18</f>
        <v>20</v>
      </c>
      <c r="F20" s="208">
        <v>1</v>
      </c>
      <c r="G20" s="74">
        <v>13</v>
      </c>
      <c r="H20" s="75">
        <v>1</v>
      </c>
      <c r="I20" s="75">
        <v>5</v>
      </c>
      <c r="J20" s="76">
        <v>20</v>
      </c>
      <c r="K20" s="77">
        <f t="shared" si="0"/>
        <v>65</v>
      </c>
      <c r="L20" s="77">
        <f t="shared" si="1"/>
        <v>5</v>
      </c>
      <c r="M20" s="77">
        <f t="shared" si="2"/>
        <v>25</v>
      </c>
      <c r="N20" s="78">
        <f t="shared" si="3"/>
        <v>95</v>
      </c>
      <c r="O20" s="79">
        <v>35.6</v>
      </c>
      <c r="P20" s="77">
        <v>7.3</v>
      </c>
      <c r="Q20" s="77">
        <v>15.5</v>
      </c>
      <c r="R20" s="80">
        <f t="shared" si="4"/>
        <v>58.4</v>
      </c>
      <c r="S20" s="208">
        <v>3</v>
      </c>
      <c r="T20" s="95">
        <v>35376</v>
      </c>
      <c r="U20" s="207">
        <v>35411</v>
      </c>
      <c r="V20" s="82" t="s">
        <v>925</v>
      </c>
      <c r="W20" s="208" t="s">
        <v>926</v>
      </c>
      <c r="X20" s="208" t="s">
        <v>11</v>
      </c>
      <c r="Y20" s="83">
        <v>35.6</v>
      </c>
      <c r="Z20" s="208" t="s">
        <v>927</v>
      </c>
      <c r="AA20" s="208" t="s">
        <v>98</v>
      </c>
      <c r="AB20" s="208" t="s">
        <v>12</v>
      </c>
      <c r="AC20" s="208">
        <v>15.5</v>
      </c>
      <c r="AD20" s="82" t="s">
        <v>928</v>
      </c>
      <c r="AE20" s="208" t="s">
        <v>90</v>
      </c>
      <c r="AF20" s="208" t="s">
        <v>18</v>
      </c>
      <c r="AG20" s="83">
        <v>7.3</v>
      </c>
      <c r="AL20" s="82"/>
      <c r="AO20" s="83"/>
      <c r="AP20" s="82"/>
      <c r="AS20" s="83"/>
      <c r="AW20" s="83"/>
      <c r="BA20" s="84"/>
    </row>
    <row r="21" spans="1:53" s="208" customFormat="1">
      <c r="A21" s="208">
        <v>1997</v>
      </c>
      <c r="C21" s="988" t="s">
        <v>929</v>
      </c>
      <c r="D21" s="988"/>
      <c r="E21" s="208">
        <v>0</v>
      </c>
      <c r="G21" s="74">
        <v>13</v>
      </c>
      <c r="H21" s="75">
        <v>1</v>
      </c>
      <c r="I21" s="75">
        <v>5</v>
      </c>
      <c r="J21" s="76">
        <v>20</v>
      </c>
      <c r="K21" s="77">
        <f t="shared" si="0"/>
        <v>65</v>
      </c>
      <c r="L21" s="77">
        <f t="shared" si="1"/>
        <v>5</v>
      </c>
      <c r="M21" s="77">
        <f t="shared" si="2"/>
        <v>25</v>
      </c>
      <c r="N21" s="78">
        <f t="shared" si="3"/>
        <v>95</v>
      </c>
      <c r="O21" s="79">
        <v>35.6</v>
      </c>
      <c r="P21" s="77">
        <v>7.3</v>
      </c>
      <c r="Q21" s="77">
        <v>15.5</v>
      </c>
      <c r="R21" s="80">
        <f t="shared" si="4"/>
        <v>58.4</v>
      </c>
      <c r="S21" s="208">
        <v>3</v>
      </c>
      <c r="T21" s="81"/>
      <c r="V21" s="82" t="s">
        <v>925</v>
      </c>
      <c r="W21" s="208" t="s">
        <v>926</v>
      </c>
      <c r="X21" s="208" t="s">
        <v>11</v>
      </c>
      <c r="Y21" s="83">
        <v>35.6</v>
      </c>
      <c r="Z21" s="208" t="s">
        <v>927</v>
      </c>
      <c r="AA21" s="208" t="s">
        <v>98</v>
      </c>
      <c r="AB21" s="208" t="s">
        <v>12</v>
      </c>
      <c r="AC21" s="208">
        <v>15.5</v>
      </c>
      <c r="AD21" s="82" t="s">
        <v>928</v>
      </c>
      <c r="AE21" s="208" t="s">
        <v>90</v>
      </c>
      <c r="AF21" s="208" t="s">
        <v>18</v>
      </c>
      <c r="AG21" s="83">
        <v>7.3</v>
      </c>
      <c r="AL21" s="82"/>
      <c r="AO21" s="83"/>
      <c r="AP21" s="82"/>
      <c r="AS21" s="83"/>
      <c r="AW21" s="83"/>
      <c r="BA21" s="84"/>
    </row>
    <row r="22" spans="1:53" s="208" customFormat="1">
      <c r="A22" s="208">
        <v>1997</v>
      </c>
      <c r="C22" s="988" t="s">
        <v>929</v>
      </c>
      <c r="D22" s="988"/>
      <c r="E22" s="208">
        <v>365</v>
      </c>
      <c r="G22" s="74">
        <v>13</v>
      </c>
      <c r="H22" s="75">
        <v>1</v>
      </c>
      <c r="I22" s="75">
        <v>5</v>
      </c>
      <c r="J22" s="76">
        <v>20</v>
      </c>
      <c r="K22" s="77">
        <f t="shared" si="0"/>
        <v>65</v>
      </c>
      <c r="L22" s="77">
        <f t="shared" si="1"/>
        <v>5</v>
      </c>
      <c r="M22" s="77">
        <f t="shared" si="2"/>
        <v>25</v>
      </c>
      <c r="N22" s="78">
        <f t="shared" si="3"/>
        <v>95</v>
      </c>
      <c r="O22" s="79">
        <v>35.6</v>
      </c>
      <c r="P22" s="77">
        <v>7.3</v>
      </c>
      <c r="Q22" s="77">
        <v>15.5</v>
      </c>
      <c r="R22" s="80">
        <f t="shared" si="4"/>
        <v>58.4</v>
      </c>
      <c r="S22" s="208">
        <v>3</v>
      </c>
      <c r="T22" s="81"/>
      <c r="V22" s="82" t="s">
        <v>925</v>
      </c>
      <c r="W22" s="208" t="s">
        <v>926</v>
      </c>
      <c r="X22" s="208" t="s">
        <v>11</v>
      </c>
      <c r="Y22" s="83">
        <v>35.6</v>
      </c>
      <c r="Z22" s="208" t="s">
        <v>927</v>
      </c>
      <c r="AA22" s="208" t="s">
        <v>98</v>
      </c>
      <c r="AB22" s="208" t="s">
        <v>12</v>
      </c>
      <c r="AC22" s="208">
        <v>15.5</v>
      </c>
      <c r="AD22" s="82" t="s">
        <v>928</v>
      </c>
      <c r="AE22" s="208" t="s">
        <v>90</v>
      </c>
      <c r="AF22" s="208" t="s">
        <v>18</v>
      </c>
      <c r="AG22" s="83">
        <v>7.3</v>
      </c>
      <c r="AL22" s="82"/>
      <c r="AO22" s="83"/>
      <c r="AP22" s="82"/>
      <c r="AS22" s="83"/>
      <c r="AW22" s="83"/>
      <c r="BA22" s="84"/>
    </row>
    <row r="23" spans="1:53" s="208" customFormat="1">
      <c r="A23" s="208">
        <v>1998</v>
      </c>
      <c r="C23" s="988" t="s">
        <v>929</v>
      </c>
      <c r="D23" s="988"/>
      <c r="E23" s="208">
        <v>88</v>
      </c>
      <c r="G23" s="74">
        <v>13</v>
      </c>
      <c r="H23" s="75">
        <v>1</v>
      </c>
      <c r="I23" s="75">
        <v>5</v>
      </c>
      <c r="J23" s="76">
        <v>20</v>
      </c>
      <c r="K23" s="77">
        <f t="shared" si="0"/>
        <v>65</v>
      </c>
      <c r="L23" s="77">
        <f t="shared" si="1"/>
        <v>5</v>
      </c>
      <c r="M23" s="77">
        <f t="shared" si="2"/>
        <v>25</v>
      </c>
      <c r="N23" s="78">
        <f t="shared" si="3"/>
        <v>95</v>
      </c>
      <c r="O23" s="79">
        <v>35.6</v>
      </c>
      <c r="P23" s="77">
        <v>7.3</v>
      </c>
      <c r="Q23" s="77">
        <v>15.5</v>
      </c>
      <c r="R23" s="80">
        <f t="shared" si="4"/>
        <v>58.4</v>
      </c>
      <c r="S23" s="208">
        <v>3</v>
      </c>
      <c r="T23" s="81"/>
      <c r="V23" s="82" t="s">
        <v>925</v>
      </c>
      <c r="W23" s="208" t="s">
        <v>926</v>
      </c>
      <c r="X23" s="208" t="s">
        <v>11</v>
      </c>
      <c r="Y23" s="83">
        <v>35.6</v>
      </c>
      <c r="Z23" s="208" t="s">
        <v>927</v>
      </c>
      <c r="AA23" s="208" t="s">
        <v>98</v>
      </c>
      <c r="AB23" s="208" t="s">
        <v>12</v>
      </c>
      <c r="AC23" s="208">
        <v>15.5</v>
      </c>
      <c r="AD23" s="82" t="s">
        <v>928</v>
      </c>
      <c r="AE23" s="208" t="s">
        <v>90</v>
      </c>
      <c r="AF23" s="208" t="s">
        <v>18</v>
      </c>
      <c r="AG23" s="83">
        <v>7.3</v>
      </c>
      <c r="AL23" s="82"/>
      <c r="AO23" s="83"/>
      <c r="AP23" s="82"/>
      <c r="AS23" s="83"/>
      <c r="AW23" s="83"/>
      <c r="BA23" s="84"/>
    </row>
    <row r="24" spans="1:53" s="334" customFormat="1">
      <c r="A24" s="334">
        <v>1998</v>
      </c>
      <c r="B24" s="355">
        <v>35884</v>
      </c>
      <c r="C24" s="992" t="s">
        <v>1173</v>
      </c>
      <c r="D24" s="992"/>
      <c r="E24" s="334">
        <v>16</v>
      </c>
      <c r="F24" s="334">
        <v>2</v>
      </c>
      <c r="G24" s="336">
        <v>11</v>
      </c>
      <c r="H24" s="200">
        <v>1</v>
      </c>
      <c r="I24" s="200">
        <v>6</v>
      </c>
      <c r="J24" s="337">
        <v>21</v>
      </c>
      <c r="K24" s="338">
        <f t="shared" si="0"/>
        <v>52.380952380952387</v>
      </c>
      <c r="L24" s="338">
        <f t="shared" si="1"/>
        <v>4.7619047619047619</v>
      </c>
      <c r="M24" s="338">
        <f t="shared" si="2"/>
        <v>28.571428571428569</v>
      </c>
      <c r="N24" s="339">
        <f t="shared" si="3"/>
        <v>85.714285714285722</v>
      </c>
      <c r="O24" s="340">
        <v>35.6</v>
      </c>
      <c r="P24" s="338">
        <v>7.3</v>
      </c>
      <c r="Q24" s="338">
        <v>15.5</v>
      </c>
      <c r="R24" s="341">
        <f t="shared" si="4"/>
        <v>58.4</v>
      </c>
      <c r="S24" s="334">
        <v>6</v>
      </c>
      <c r="T24" s="357"/>
      <c r="U24" s="355">
        <v>35884</v>
      </c>
      <c r="V24" s="343" t="s">
        <v>925</v>
      </c>
      <c r="W24" s="334" t="s">
        <v>926</v>
      </c>
      <c r="X24" s="334" t="s">
        <v>11</v>
      </c>
      <c r="Y24" s="344">
        <v>35.6</v>
      </c>
      <c r="Z24" s="334" t="s">
        <v>565</v>
      </c>
      <c r="AA24" s="334" t="s">
        <v>98</v>
      </c>
      <c r="AB24" s="334" t="s">
        <v>12</v>
      </c>
      <c r="AC24" s="334">
        <v>15.5</v>
      </c>
      <c r="AD24" s="343" t="s">
        <v>928</v>
      </c>
      <c r="AE24" s="334" t="s">
        <v>90</v>
      </c>
      <c r="AF24" s="334" t="s">
        <v>18</v>
      </c>
      <c r="AG24" s="344">
        <v>7.3</v>
      </c>
      <c r="AL24" s="343"/>
      <c r="AO24" s="344"/>
      <c r="AP24" s="343"/>
      <c r="AS24" s="344"/>
      <c r="AW24" s="344"/>
      <c r="BA24" s="345"/>
    </row>
    <row r="25" spans="1:53" s="208" customFormat="1">
      <c r="A25" s="208">
        <v>1998</v>
      </c>
      <c r="B25" s="207">
        <v>35900</v>
      </c>
      <c r="C25" s="988" t="s">
        <v>930</v>
      </c>
      <c r="D25" s="988"/>
      <c r="E25" s="208">
        <f xml:space="preserve"> 365-E24-E23</f>
        <v>261</v>
      </c>
      <c r="F25" s="208">
        <v>6</v>
      </c>
      <c r="G25" s="74">
        <v>11</v>
      </c>
      <c r="H25" s="75">
        <v>1</v>
      </c>
      <c r="I25" s="75">
        <v>7</v>
      </c>
      <c r="J25" s="76">
        <v>21</v>
      </c>
      <c r="K25" s="77">
        <f t="shared" si="0"/>
        <v>52.380952380952387</v>
      </c>
      <c r="L25" s="77">
        <f t="shared" si="1"/>
        <v>4.7619047619047619</v>
      </c>
      <c r="M25" s="77">
        <f t="shared" si="2"/>
        <v>33.333333333333329</v>
      </c>
      <c r="N25" s="78">
        <f t="shared" si="3"/>
        <v>90.476190476190482</v>
      </c>
      <c r="O25" s="79">
        <v>35.6</v>
      </c>
      <c r="P25" s="77">
        <v>7.3</v>
      </c>
      <c r="Q25" s="77">
        <v>26.6</v>
      </c>
      <c r="R25" s="80">
        <f t="shared" si="4"/>
        <v>69.5</v>
      </c>
      <c r="S25" s="208">
        <v>3</v>
      </c>
      <c r="T25" s="81"/>
      <c r="U25" s="207">
        <v>35900</v>
      </c>
      <c r="V25" s="82" t="s">
        <v>925</v>
      </c>
      <c r="W25" s="208" t="s">
        <v>926</v>
      </c>
      <c r="X25" s="208" t="s">
        <v>11</v>
      </c>
      <c r="Y25" s="83">
        <v>35.6</v>
      </c>
      <c r="Z25" s="208" t="s">
        <v>923</v>
      </c>
      <c r="AA25" s="208" t="s">
        <v>20</v>
      </c>
      <c r="AB25" s="208" t="s">
        <v>12</v>
      </c>
      <c r="AC25" s="208">
        <v>26.6</v>
      </c>
      <c r="AD25" s="82" t="s">
        <v>928</v>
      </c>
      <c r="AE25" s="208" t="s">
        <v>90</v>
      </c>
      <c r="AF25" s="208" t="s">
        <v>18</v>
      </c>
      <c r="AG25" s="83">
        <v>7.3</v>
      </c>
      <c r="AL25" s="82"/>
      <c r="AO25" s="83"/>
      <c r="AP25" s="82"/>
      <c r="AS25" s="83"/>
      <c r="AW25" s="83"/>
      <c r="BA25" s="84"/>
    </row>
    <row r="26" spans="1:53" s="208" customFormat="1">
      <c r="A26" s="208">
        <v>1999</v>
      </c>
      <c r="C26" s="988" t="s">
        <v>930</v>
      </c>
      <c r="D26" s="988"/>
      <c r="E26" s="208">
        <v>345</v>
      </c>
      <c r="G26" s="74">
        <v>11</v>
      </c>
      <c r="H26" s="75">
        <v>1</v>
      </c>
      <c r="I26" s="75">
        <v>7</v>
      </c>
      <c r="J26" s="76">
        <v>21</v>
      </c>
      <c r="K26" s="77">
        <f t="shared" si="0"/>
        <v>52.380952380952387</v>
      </c>
      <c r="L26" s="77">
        <f t="shared" si="1"/>
        <v>4.7619047619047619</v>
      </c>
      <c r="M26" s="77">
        <f t="shared" si="2"/>
        <v>33.333333333333329</v>
      </c>
      <c r="N26" s="78">
        <f t="shared" si="3"/>
        <v>90.476190476190482</v>
      </c>
      <c r="O26" s="79">
        <v>35.6</v>
      </c>
      <c r="P26" s="77">
        <v>7.3</v>
      </c>
      <c r="Q26" s="77">
        <v>26.6</v>
      </c>
      <c r="R26" s="80">
        <f t="shared" si="4"/>
        <v>69.5</v>
      </c>
      <c r="S26" s="208">
        <v>3</v>
      </c>
      <c r="T26" s="81"/>
      <c r="V26" s="82" t="s">
        <v>925</v>
      </c>
      <c r="W26" s="208" t="s">
        <v>926</v>
      </c>
      <c r="X26" s="208" t="s">
        <v>11</v>
      </c>
      <c r="Y26" s="83">
        <v>35.6</v>
      </c>
      <c r="Z26" s="208" t="s">
        <v>923</v>
      </c>
      <c r="AA26" s="208" t="s">
        <v>20</v>
      </c>
      <c r="AB26" s="208" t="s">
        <v>12</v>
      </c>
      <c r="AC26" s="208">
        <v>26.6</v>
      </c>
      <c r="AD26" s="82" t="s">
        <v>928</v>
      </c>
      <c r="AE26" s="208" t="s">
        <v>90</v>
      </c>
      <c r="AF26" s="208" t="s">
        <v>18</v>
      </c>
      <c r="AG26" s="83">
        <v>7.3</v>
      </c>
      <c r="AL26" s="82"/>
      <c r="AO26" s="83"/>
      <c r="AP26" s="82"/>
      <c r="AS26" s="83"/>
      <c r="AW26" s="83"/>
      <c r="BA26" s="84"/>
    </row>
    <row r="27" spans="1:53" s="334" customFormat="1">
      <c r="A27" s="334">
        <v>1999</v>
      </c>
      <c r="B27" s="355">
        <v>36506</v>
      </c>
      <c r="C27" s="992" t="s">
        <v>1174</v>
      </c>
      <c r="D27" s="992"/>
      <c r="E27" s="334">
        <f xml:space="preserve"> 365-E26</f>
        <v>20</v>
      </c>
      <c r="F27" s="334">
        <v>6</v>
      </c>
      <c r="G27" s="336">
        <v>11</v>
      </c>
      <c r="H27" s="200">
        <v>1</v>
      </c>
      <c r="I27" s="200">
        <v>6</v>
      </c>
      <c r="J27" s="337">
        <v>18</v>
      </c>
      <c r="K27" s="338">
        <f t="shared" si="0"/>
        <v>61.111111111111114</v>
      </c>
      <c r="L27" s="338">
        <f t="shared" si="1"/>
        <v>5.5555555555555554</v>
      </c>
      <c r="M27" s="338">
        <f t="shared" si="2"/>
        <v>33.333333333333329</v>
      </c>
      <c r="N27" s="339">
        <f t="shared" si="3"/>
        <v>100</v>
      </c>
      <c r="O27" s="340">
        <v>35.6</v>
      </c>
      <c r="P27" s="338">
        <v>7.3</v>
      </c>
      <c r="Q27" s="338">
        <v>15.5</v>
      </c>
      <c r="R27" s="341">
        <f t="shared" si="4"/>
        <v>58.4</v>
      </c>
      <c r="S27" s="334">
        <v>3</v>
      </c>
      <c r="T27" s="357"/>
      <c r="U27" s="355">
        <v>36506</v>
      </c>
      <c r="V27" s="343" t="s">
        <v>925</v>
      </c>
      <c r="W27" s="334" t="s">
        <v>926</v>
      </c>
      <c r="X27" s="334" t="s">
        <v>11</v>
      </c>
      <c r="Y27" s="344">
        <v>35.6</v>
      </c>
      <c r="Z27" s="334" t="s">
        <v>565</v>
      </c>
      <c r="AA27" s="334" t="s">
        <v>98</v>
      </c>
      <c r="AB27" s="334" t="s">
        <v>12</v>
      </c>
      <c r="AC27" s="334">
        <v>15.5</v>
      </c>
      <c r="AD27" s="343" t="s">
        <v>928</v>
      </c>
      <c r="AE27" s="334" t="s">
        <v>90</v>
      </c>
      <c r="AF27" s="334" t="s">
        <v>18</v>
      </c>
      <c r="AG27" s="344">
        <v>7.3</v>
      </c>
      <c r="AL27" s="343"/>
      <c r="AO27" s="344"/>
      <c r="AP27" s="343"/>
      <c r="AS27" s="344"/>
      <c r="AW27" s="344"/>
      <c r="BA27" s="345"/>
    </row>
    <row r="28" spans="1:53" s="334" customFormat="1">
      <c r="A28" s="334">
        <v>2000</v>
      </c>
      <c r="C28" s="992" t="s">
        <v>1174</v>
      </c>
      <c r="D28" s="992"/>
      <c r="E28" s="334">
        <v>362</v>
      </c>
      <c r="G28" s="336">
        <v>11</v>
      </c>
      <c r="H28" s="200">
        <v>1</v>
      </c>
      <c r="I28" s="200">
        <v>6</v>
      </c>
      <c r="J28" s="337">
        <v>18</v>
      </c>
      <c r="K28" s="338">
        <f t="shared" si="0"/>
        <v>61.111111111111114</v>
      </c>
      <c r="L28" s="338">
        <f t="shared" si="1"/>
        <v>5.5555555555555554</v>
      </c>
      <c r="M28" s="338">
        <f t="shared" si="2"/>
        <v>33.333333333333329</v>
      </c>
      <c r="N28" s="339">
        <f t="shared" si="3"/>
        <v>100</v>
      </c>
      <c r="O28" s="340">
        <v>35.6</v>
      </c>
      <c r="P28" s="338">
        <v>7.3</v>
      </c>
      <c r="Q28" s="338">
        <v>15.5</v>
      </c>
      <c r="R28" s="341">
        <f t="shared" si="4"/>
        <v>58.4</v>
      </c>
      <c r="S28" s="334">
        <v>3</v>
      </c>
      <c r="T28" s="357"/>
      <c r="V28" s="343" t="s">
        <v>925</v>
      </c>
      <c r="W28" s="334" t="s">
        <v>926</v>
      </c>
      <c r="X28" s="334" t="s">
        <v>11</v>
      </c>
      <c r="Y28" s="344">
        <v>35.6</v>
      </c>
      <c r="Z28" s="334" t="s">
        <v>565</v>
      </c>
      <c r="AA28" s="334" t="s">
        <v>98</v>
      </c>
      <c r="AB28" s="334" t="s">
        <v>12</v>
      </c>
      <c r="AC28" s="334">
        <v>15.5</v>
      </c>
      <c r="AD28" s="343" t="s">
        <v>928</v>
      </c>
      <c r="AE28" s="334" t="s">
        <v>90</v>
      </c>
      <c r="AF28" s="334" t="s">
        <v>18</v>
      </c>
      <c r="AG28" s="344">
        <v>7.3</v>
      </c>
      <c r="AL28" s="343"/>
      <c r="AO28" s="344"/>
      <c r="AP28" s="343"/>
      <c r="AS28" s="344"/>
      <c r="AW28" s="344"/>
      <c r="BA28" s="345"/>
    </row>
    <row r="29" spans="1:53" s="208" customFormat="1">
      <c r="A29" s="208">
        <v>2000</v>
      </c>
      <c r="B29" s="207">
        <v>36888</v>
      </c>
      <c r="C29" s="988" t="s">
        <v>1175</v>
      </c>
      <c r="D29" s="988"/>
      <c r="E29" s="208">
        <f xml:space="preserve"> 366-E28</f>
        <v>4</v>
      </c>
      <c r="F29" s="208">
        <v>1</v>
      </c>
      <c r="G29" s="74"/>
      <c r="H29" s="75"/>
      <c r="I29" s="75">
        <v>23</v>
      </c>
      <c r="J29" s="76">
        <v>23</v>
      </c>
      <c r="K29" s="77">
        <f t="shared" si="0"/>
        <v>0</v>
      </c>
      <c r="L29" s="77">
        <f t="shared" si="1"/>
        <v>0</v>
      </c>
      <c r="M29" s="77">
        <f t="shared" si="2"/>
        <v>100</v>
      </c>
      <c r="N29" s="78">
        <f t="shared" si="3"/>
        <v>100</v>
      </c>
      <c r="O29" s="79"/>
      <c r="P29" s="77"/>
      <c r="Q29" s="77">
        <v>44.9</v>
      </c>
      <c r="R29" s="80">
        <f t="shared" si="4"/>
        <v>44.9</v>
      </c>
      <c r="S29" s="208">
        <v>4</v>
      </c>
      <c r="T29" s="95">
        <v>36856</v>
      </c>
      <c r="U29" s="207">
        <v>36888</v>
      </c>
      <c r="V29" s="82" t="s">
        <v>923</v>
      </c>
      <c r="W29" s="208" t="s">
        <v>20</v>
      </c>
      <c r="X29" s="208" t="s">
        <v>12</v>
      </c>
      <c r="Y29" s="83">
        <v>44.9</v>
      </c>
      <c r="AD29" s="82"/>
      <c r="AG29" s="83"/>
      <c r="AL29" s="82"/>
      <c r="AO29" s="83"/>
      <c r="AP29" s="82"/>
      <c r="AS29" s="83"/>
      <c r="AW29" s="83"/>
      <c r="BA29" s="84"/>
    </row>
    <row r="30" spans="1:53" s="208" customFormat="1">
      <c r="A30" s="208">
        <v>2001</v>
      </c>
      <c r="C30" s="988" t="s">
        <v>1175</v>
      </c>
      <c r="D30" s="988"/>
      <c r="E30" s="208">
        <v>0</v>
      </c>
      <c r="G30" s="74"/>
      <c r="H30" s="75"/>
      <c r="I30" s="75">
        <v>23</v>
      </c>
      <c r="J30" s="76">
        <v>23</v>
      </c>
      <c r="K30" s="77">
        <f t="shared" si="0"/>
        <v>0</v>
      </c>
      <c r="L30" s="77">
        <f t="shared" si="1"/>
        <v>0</v>
      </c>
      <c r="M30" s="77">
        <f t="shared" si="2"/>
        <v>100</v>
      </c>
      <c r="N30" s="78">
        <f t="shared" si="3"/>
        <v>100</v>
      </c>
      <c r="O30" s="79"/>
      <c r="P30" s="77"/>
      <c r="Q30" s="77">
        <v>44.9</v>
      </c>
      <c r="R30" s="80">
        <f t="shared" si="4"/>
        <v>44.9</v>
      </c>
      <c r="S30" s="208">
        <v>4</v>
      </c>
      <c r="T30" s="81"/>
      <c r="V30" s="82" t="s">
        <v>923</v>
      </c>
      <c r="W30" s="208" t="s">
        <v>20</v>
      </c>
      <c r="X30" s="208" t="s">
        <v>12</v>
      </c>
      <c r="Y30" s="83">
        <v>44.9</v>
      </c>
      <c r="AD30" s="82"/>
      <c r="AG30" s="83"/>
      <c r="AL30" s="82"/>
      <c r="AO30" s="83"/>
      <c r="AP30" s="82"/>
      <c r="AS30" s="83"/>
      <c r="AW30" s="83"/>
      <c r="BA30" s="84"/>
    </row>
    <row r="31" spans="1:53" s="208" customFormat="1">
      <c r="A31" s="208">
        <v>2001</v>
      </c>
      <c r="C31" s="988" t="s">
        <v>1175</v>
      </c>
      <c r="D31" s="988"/>
      <c r="E31" s="208">
        <v>365</v>
      </c>
      <c r="G31" s="74"/>
      <c r="H31" s="75"/>
      <c r="I31" s="75">
        <v>23</v>
      </c>
      <c r="J31" s="76">
        <v>23</v>
      </c>
      <c r="K31" s="77">
        <f t="shared" si="0"/>
        <v>0</v>
      </c>
      <c r="L31" s="77">
        <f t="shared" si="1"/>
        <v>0</v>
      </c>
      <c r="M31" s="77">
        <f t="shared" si="2"/>
        <v>100</v>
      </c>
      <c r="N31" s="78">
        <f t="shared" si="3"/>
        <v>100</v>
      </c>
      <c r="O31" s="79"/>
      <c r="P31" s="77"/>
      <c r="Q31" s="77">
        <v>44.9</v>
      </c>
      <c r="R31" s="80">
        <f t="shared" si="4"/>
        <v>44.9</v>
      </c>
      <c r="S31" s="208">
        <v>4</v>
      </c>
      <c r="T31" s="81"/>
      <c r="V31" s="82" t="s">
        <v>923</v>
      </c>
      <c r="W31" s="208" t="s">
        <v>20</v>
      </c>
      <c r="X31" s="208" t="s">
        <v>12</v>
      </c>
      <c r="Y31" s="83">
        <v>44.9</v>
      </c>
      <c r="AD31" s="82"/>
      <c r="AG31" s="83"/>
      <c r="AL31" s="82"/>
      <c r="AO31" s="83"/>
      <c r="AP31" s="82"/>
      <c r="AS31" s="83"/>
      <c r="AW31" s="83"/>
      <c r="BA31" s="84"/>
    </row>
    <row r="32" spans="1:53" s="208" customFormat="1">
      <c r="A32" s="208">
        <v>2002</v>
      </c>
      <c r="C32" s="988" t="s">
        <v>1175</v>
      </c>
      <c r="D32" s="988"/>
      <c r="E32" s="208">
        <v>0</v>
      </c>
      <c r="G32" s="74"/>
      <c r="H32" s="75"/>
      <c r="I32" s="75">
        <v>23</v>
      </c>
      <c r="J32" s="76">
        <v>23</v>
      </c>
      <c r="K32" s="77">
        <f t="shared" si="0"/>
        <v>0</v>
      </c>
      <c r="L32" s="77">
        <f t="shared" si="1"/>
        <v>0</v>
      </c>
      <c r="M32" s="77">
        <f t="shared" si="2"/>
        <v>100</v>
      </c>
      <c r="N32" s="78">
        <f t="shared" si="3"/>
        <v>100</v>
      </c>
      <c r="O32" s="79"/>
      <c r="P32" s="77"/>
      <c r="Q32" s="77">
        <v>44.9</v>
      </c>
      <c r="R32" s="80">
        <f t="shared" si="4"/>
        <v>44.9</v>
      </c>
      <c r="S32" s="208">
        <v>4</v>
      </c>
      <c r="T32" s="81"/>
      <c r="V32" s="82" t="s">
        <v>923</v>
      </c>
      <c r="W32" s="208" t="s">
        <v>20</v>
      </c>
      <c r="X32" s="208" t="s">
        <v>12</v>
      </c>
      <c r="Y32" s="83">
        <v>44.9</v>
      </c>
      <c r="AD32" s="82"/>
      <c r="AG32" s="83"/>
      <c r="AL32" s="82"/>
      <c r="AO32" s="83"/>
      <c r="AP32" s="82"/>
      <c r="AS32" s="83"/>
      <c r="AW32" s="83"/>
      <c r="BA32" s="84"/>
    </row>
    <row r="33" spans="1:53" s="208" customFormat="1">
      <c r="A33" s="208">
        <v>2002</v>
      </c>
      <c r="C33" s="988" t="s">
        <v>1175</v>
      </c>
      <c r="D33" s="988"/>
      <c r="E33" s="208">
        <v>365</v>
      </c>
      <c r="G33" s="74"/>
      <c r="H33" s="75"/>
      <c r="I33" s="75">
        <v>23</v>
      </c>
      <c r="J33" s="76">
        <v>23</v>
      </c>
      <c r="K33" s="77">
        <f t="shared" si="0"/>
        <v>0</v>
      </c>
      <c r="L33" s="77">
        <f t="shared" si="1"/>
        <v>0</v>
      </c>
      <c r="M33" s="77">
        <f t="shared" si="2"/>
        <v>100</v>
      </c>
      <c r="N33" s="78">
        <f t="shared" si="3"/>
        <v>100</v>
      </c>
      <c r="O33" s="79"/>
      <c r="P33" s="77"/>
      <c r="Q33" s="77">
        <v>44.9</v>
      </c>
      <c r="R33" s="80">
        <f t="shared" si="4"/>
        <v>44.9</v>
      </c>
      <c r="S33" s="208">
        <v>4</v>
      </c>
      <c r="T33" s="81"/>
      <c r="V33" s="82" t="s">
        <v>923</v>
      </c>
      <c r="W33" s="208" t="s">
        <v>20</v>
      </c>
      <c r="X33" s="208" t="s">
        <v>12</v>
      </c>
      <c r="Y33" s="83">
        <v>44.9</v>
      </c>
      <c r="AD33" s="82"/>
      <c r="AG33" s="83"/>
      <c r="AL33" s="82"/>
      <c r="AO33" s="83"/>
      <c r="AP33" s="82"/>
      <c r="AS33" s="83"/>
      <c r="AW33" s="83"/>
      <c r="BA33" s="84"/>
    </row>
    <row r="34" spans="1:53" s="208" customFormat="1">
      <c r="A34" s="208">
        <v>2003</v>
      </c>
      <c r="C34" s="988" t="s">
        <v>1175</v>
      </c>
      <c r="D34" s="988"/>
      <c r="E34" s="208">
        <v>0</v>
      </c>
      <c r="G34" s="74"/>
      <c r="H34" s="75"/>
      <c r="I34" s="75">
        <v>23</v>
      </c>
      <c r="J34" s="76">
        <v>23</v>
      </c>
      <c r="K34" s="77">
        <f t="shared" si="0"/>
        <v>0</v>
      </c>
      <c r="L34" s="77">
        <f t="shared" si="1"/>
        <v>0</v>
      </c>
      <c r="M34" s="77">
        <f t="shared" si="2"/>
        <v>100</v>
      </c>
      <c r="N34" s="78">
        <f t="shared" si="3"/>
        <v>100</v>
      </c>
      <c r="O34" s="79"/>
      <c r="P34" s="77"/>
      <c r="Q34" s="77">
        <v>44.9</v>
      </c>
      <c r="R34" s="80">
        <f t="shared" si="4"/>
        <v>44.9</v>
      </c>
      <c r="S34" s="208">
        <v>4</v>
      </c>
      <c r="T34" s="81"/>
      <c r="V34" s="82" t="s">
        <v>923</v>
      </c>
      <c r="W34" s="208" t="s">
        <v>20</v>
      </c>
      <c r="X34" s="208" t="s">
        <v>12</v>
      </c>
      <c r="Y34" s="83">
        <v>44.9</v>
      </c>
      <c r="AD34" s="82"/>
      <c r="AG34" s="83"/>
      <c r="AL34" s="82"/>
      <c r="AO34" s="83"/>
      <c r="AP34" s="82"/>
      <c r="AS34" s="83"/>
      <c r="AW34" s="83"/>
      <c r="BA34" s="84"/>
    </row>
    <row r="35" spans="1:53" s="208" customFormat="1">
      <c r="A35" s="208">
        <v>2003</v>
      </c>
      <c r="C35" s="988" t="s">
        <v>1175</v>
      </c>
      <c r="D35" s="988"/>
      <c r="E35" s="208">
        <v>365</v>
      </c>
      <c r="G35" s="74"/>
      <c r="H35" s="75"/>
      <c r="I35" s="75">
        <v>23</v>
      </c>
      <c r="J35" s="76">
        <v>23</v>
      </c>
      <c r="K35" s="77">
        <f t="shared" si="0"/>
        <v>0</v>
      </c>
      <c r="L35" s="77">
        <f t="shared" si="1"/>
        <v>0</v>
      </c>
      <c r="M35" s="77">
        <f t="shared" si="2"/>
        <v>100</v>
      </c>
      <c r="N35" s="78">
        <f t="shared" si="3"/>
        <v>100</v>
      </c>
      <c r="O35" s="79"/>
      <c r="P35" s="77"/>
      <c r="Q35" s="77">
        <v>44.9</v>
      </c>
      <c r="R35" s="80">
        <f t="shared" si="4"/>
        <v>44.9</v>
      </c>
      <c r="S35" s="208">
        <v>4</v>
      </c>
      <c r="T35" s="81"/>
      <c r="V35" s="82" t="s">
        <v>923</v>
      </c>
      <c r="W35" s="208" t="s">
        <v>20</v>
      </c>
      <c r="X35" s="208" t="s">
        <v>12</v>
      </c>
      <c r="Y35" s="83">
        <v>44.9</v>
      </c>
      <c r="AD35" s="82"/>
      <c r="AG35" s="83"/>
      <c r="AL35" s="82"/>
      <c r="AO35" s="83"/>
      <c r="AP35" s="82"/>
      <c r="AS35" s="83"/>
      <c r="AW35" s="83"/>
      <c r="BA35" s="84"/>
    </row>
    <row r="36" spans="1:53" s="208" customFormat="1">
      <c r="A36" s="208">
        <v>2004</v>
      </c>
      <c r="C36" s="988" t="s">
        <v>1175</v>
      </c>
      <c r="D36" s="988"/>
      <c r="E36" s="208">
        <v>363</v>
      </c>
      <c r="G36" s="74"/>
      <c r="H36" s="75"/>
      <c r="I36" s="75">
        <v>23</v>
      </c>
      <c r="J36" s="76">
        <v>23</v>
      </c>
      <c r="K36" s="77">
        <f t="shared" si="0"/>
        <v>0</v>
      </c>
      <c r="L36" s="77">
        <f t="shared" si="1"/>
        <v>0</v>
      </c>
      <c r="M36" s="77">
        <f t="shared" si="2"/>
        <v>100</v>
      </c>
      <c r="N36" s="78">
        <f t="shared" si="3"/>
        <v>100</v>
      </c>
      <c r="O36" s="79"/>
      <c r="P36" s="77"/>
      <c r="Q36" s="77">
        <v>44.9</v>
      </c>
      <c r="R36" s="80">
        <f t="shared" si="4"/>
        <v>44.9</v>
      </c>
      <c r="S36" s="208">
        <v>4</v>
      </c>
      <c r="T36" s="81"/>
      <c r="V36" s="82" t="s">
        <v>923</v>
      </c>
      <c r="W36" s="208" t="s">
        <v>20</v>
      </c>
      <c r="X36" s="208" t="s">
        <v>12</v>
      </c>
      <c r="Y36" s="83">
        <v>44.9</v>
      </c>
      <c r="AD36" s="82"/>
      <c r="AG36" s="83"/>
      <c r="AL36" s="82"/>
      <c r="AO36" s="83"/>
      <c r="AP36" s="82"/>
      <c r="AS36" s="83"/>
      <c r="AW36" s="83"/>
      <c r="BA36" s="84"/>
    </row>
    <row r="37" spans="1:53" s="334" customFormat="1">
      <c r="A37" s="334">
        <v>2004</v>
      </c>
      <c r="B37" s="335">
        <v>38350</v>
      </c>
      <c r="C37" s="992" t="s">
        <v>1176</v>
      </c>
      <c r="D37" s="992"/>
      <c r="E37" s="334">
        <f xml:space="preserve"> 366-E36</f>
        <v>3</v>
      </c>
      <c r="F37" s="334">
        <v>1</v>
      </c>
      <c r="G37" s="336">
        <v>10</v>
      </c>
      <c r="H37" s="200">
        <v>7</v>
      </c>
      <c r="I37" s="200">
        <v>7</v>
      </c>
      <c r="J37" s="337">
        <v>25</v>
      </c>
      <c r="K37" s="338">
        <f t="shared" si="0"/>
        <v>40</v>
      </c>
      <c r="L37" s="338">
        <f t="shared" si="1"/>
        <v>28.000000000000004</v>
      </c>
      <c r="M37" s="338">
        <f t="shared" si="2"/>
        <v>28.000000000000004</v>
      </c>
      <c r="N37" s="339">
        <f t="shared" si="3"/>
        <v>96</v>
      </c>
      <c r="O37" s="340">
        <v>19.2</v>
      </c>
      <c r="P37" s="338">
        <v>12.3</v>
      </c>
      <c r="Q37" s="338">
        <v>14.5</v>
      </c>
      <c r="R37" s="341">
        <f t="shared" si="4"/>
        <v>46</v>
      </c>
      <c r="S37" s="334">
        <v>5</v>
      </c>
      <c r="T37" s="342">
        <v>38319</v>
      </c>
      <c r="U37" s="335">
        <v>38350</v>
      </c>
      <c r="V37" s="343" t="s">
        <v>920</v>
      </c>
      <c r="W37" s="334" t="s">
        <v>22</v>
      </c>
      <c r="X37" s="334" t="s">
        <v>11</v>
      </c>
      <c r="Y37" s="344">
        <v>19.2</v>
      </c>
      <c r="Z37" s="334" t="s">
        <v>565</v>
      </c>
      <c r="AA37" s="334" t="s">
        <v>98</v>
      </c>
      <c r="AB37" s="334" t="s">
        <v>12</v>
      </c>
      <c r="AC37" s="334">
        <v>14.5</v>
      </c>
      <c r="AD37" s="343" t="s">
        <v>928</v>
      </c>
      <c r="AE37" s="334" t="s">
        <v>90</v>
      </c>
      <c r="AF37" s="334" t="s">
        <v>18</v>
      </c>
      <c r="AG37" s="344">
        <v>6.6</v>
      </c>
      <c r="AH37" s="334" t="s">
        <v>931</v>
      </c>
      <c r="AI37" s="334" t="s">
        <v>337</v>
      </c>
      <c r="AJ37" s="334" t="s">
        <v>18</v>
      </c>
      <c r="AK37" s="334">
        <v>5.7</v>
      </c>
      <c r="AL37" s="343"/>
      <c r="AO37" s="344"/>
      <c r="AP37" s="343"/>
      <c r="AS37" s="344"/>
      <c r="AW37" s="344"/>
      <c r="BA37" s="345"/>
    </row>
    <row r="38" spans="1:53" s="334" customFormat="1">
      <c r="A38" s="334">
        <v>2005</v>
      </c>
      <c r="B38" s="358"/>
      <c r="C38" s="992" t="s">
        <v>1176</v>
      </c>
      <c r="D38" s="992"/>
      <c r="E38" s="334">
        <v>20</v>
      </c>
      <c r="G38" s="336">
        <v>10</v>
      </c>
      <c r="H38" s="200">
        <v>7</v>
      </c>
      <c r="I38" s="200">
        <v>7</v>
      </c>
      <c r="J38" s="337">
        <v>25</v>
      </c>
      <c r="K38" s="338">
        <f t="shared" si="0"/>
        <v>40</v>
      </c>
      <c r="L38" s="338">
        <f t="shared" si="1"/>
        <v>28.000000000000004</v>
      </c>
      <c r="M38" s="338">
        <f t="shared" si="2"/>
        <v>28.000000000000004</v>
      </c>
      <c r="N38" s="339">
        <f t="shared" si="3"/>
        <v>96</v>
      </c>
      <c r="O38" s="340">
        <v>19.2</v>
      </c>
      <c r="P38" s="338">
        <v>12.3</v>
      </c>
      <c r="Q38" s="338">
        <v>14.5</v>
      </c>
      <c r="R38" s="341">
        <f t="shared" si="4"/>
        <v>46</v>
      </c>
      <c r="S38" s="334">
        <v>5</v>
      </c>
      <c r="T38" s="357"/>
      <c r="V38" s="343" t="s">
        <v>920</v>
      </c>
      <c r="W38" s="334" t="s">
        <v>22</v>
      </c>
      <c r="X38" s="334" t="s">
        <v>11</v>
      </c>
      <c r="Y38" s="344">
        <v>19.2</v>
      </c>
      <c r="Z38" s="334" t="s">
        <v>565</v>
      </c>
      <c r="AA38" s="334" t="s">
        <v>98</v>
      </c>
      <c r="AB38" s="334" t="s">
        <v>12</v>
      </c>
      <c r="AC38" s="334">
        <v>14.5</v>
      </c>
      <c r="AD38" s="343" t="s">
        <v>928</v>
      </c>
      <c r="AE38" s="334" t="s">
        <v>90</v>
      </c>
      <c r="AF38" s="334" t="s">
        <v>18</v>
      </c>
      <c r="AG38" s="344">
        <v>6.6</v>
      </c>
      <c r="AH38" s="334" t="s">
        <v>931</v>
      </c>
      <c r="AI38" s="334" t="s">
        <v>337</v>
      </c>
      <c r="AJ38" s="334" t="s">
        <v>18</v>
      </c>
      <c r="AK38" s="334">
        <v>5.7</v>
      </c>
      <c r="AL38" s="343"/>
      <c r="AO38" s="344"/>
      <c r="AP38" s="343"/>
      <c r="AS38" s="344"/>
      <c r="AW38" s="344"/>
      <c r="BA38" s="345"/>
    </row>
    <row r="39" spans="1:53" s="334" customFormat="1">
      <c r="A39" s="334">
        <v>2005</v>
      </c>
      <c r="B39" s="440">
        <v>38373</v>
      </c>
      <c r="C39" s="992" t="s">
        <v>1176</v>
      </c>
      <c r="D39" s="992"/>
      <c r="E39" s="334">
        <f>365-E38</f>
        <v>345</v>
      </c>
      <c r="F39" s="441">
        <v>0</v>
      </c>
      <c r="G39" s="336">
        <v>10</v>
      </c>
      <c r="H39" s="200">
        <v>6</v>
      </c>
      <c r="I39" s="200">
        <v>7</v>
      </c>
      <c r="J39" s="337">
        <v>24</v>
      </c>
      <c r="K39" s="338">
        <f t="shared" si="0"/>
        <v>41.666666666666671</v>
      </c>
      <c r="L39" s="338">
        <f t="shared" si="1"/>
        <v>25</v>
      </c>
      <c r="M39" s="338">
        <f t="shared" si="2"/>
        <v>29.166666666666668</v>
      </c>
      <c r="N39" s="339">
        <f t="shared" si="3"/>
        <v>95.833333333333343</v>
      </c>
      <c r="O39" s="340">
        <v>19.2</v>
      </c>
      <c r="P39" s="338">
        <v>12.3</v>
      </c>
      <c r="Q39" s="338">
        <v>14.5</v>
      </c>
      <c r="R39" s="341">
        <f t="shared" si="4"/>
        <v>46</v>
      </c>
      <c r="S39" s="334">
        <v>5</v>
      </c>
      <c r="T39" s="357"/>
      <c r="V39" s="343" t="s">
        <v>920</v>
      </c>
      <c r="W39" s="334" t="s">
        <v>22</v>
      </c>
      <c r="X39" s="334" t="s">
        <v>11</v>
      </c>
      <c r="Y39" s="344">
        <v>19.2</v>
      </c>
      <c r="Z39" s="334" t="s">
        <v>565</v>
      </c>
      <c r="AA39" s="334" t="s">
        <v>98</v>
      </c>
      <c r="AB39" s="334" t="s">
        <v>12</v>
      </c>
      <c r="AC39" s="334">
        <v>14.5</v>
      </c>
      <c r="AD39" s="343" t="s">
        <v>928</v>
      </c>
      <c r="AE39" s="334" t="s">
        <v>90</v>
      </c>
      <c r="AF39" s="334" t="s">
        <v>18</v>
      </c>
      <c r="AG39" s="344">
        <v>6.6</v>
      </c>
      <c r="AH39" s="334" t="s">
        <v>931</v>
      </c>
      <c r="AI39" s="334" t="s">
        <v>337</v>
      </c>
      <c r="AJ39" s="334" t="s">
        <v>18</v>
      </c>
      <c r="AK39" s="334">
        <v>5.7</v>
      </c>
      <c r="AL39" s="343"/>
      <c r="AO39" s="344"/>
      <c r="AP39" s="343"/>
      <c r="AS39" s="344"/>
      <c r="AW39" s="344"/>
      <c r="BA39" s="345"/>
    </row>
    <row r="40" spans="1:53" s="334" customFormat="1">
      <c r="A40" s="334">
        <v>2006</v>
      </c>
      <c r="B40" s="358"/>
      <c r="C40" s="992" t="s">
        <v>1176</v>
      </c>
      <c r="D40" s="992"/>
      <c r="E40" s="334">
        <v>162</v>
      </c>
      <c r="G40" s="336">
        <v>10</v>
      </c>
      <c r="H40" s="200">
        <v>6</v>
      </c>
      <c r="I40" s="200">
        <v>7</v>
      </c>
      <c r="J40" s="337">
        <v>24</v>
      </c>
      <c r="K40" s="338">
        <f>G40/J40*100</f>
        <v>41.666666666666671</v>
      </c>
      <c r="L40" s="338">
        <f>H40/J40*100</f>
        <v>25</v>
      </c>
      <c r="M40" s="338">
        <f>I40/J40*100</f>
        <v>29.166666666666668</v>
      </c>
      <c r="N40" s="339">
        <f t="shared" si="3"/>
        <v>95.833333333333343</v>
      </c>
      <c r="O40" s="340">
        <v>19.2</v>
      </c>
      <c r="P40" s="338">
        <v>12.3</v>
      </c>
      <c r="Q40" s="338">
        <v>14.5</v>
      </c>
      <c r="R40" s="341">
        <f t="shared" si="4"/>
        <v>46</v>
      </c>
      <c r="S40" s="334">
        <v>5</v>
      </c>
      <c r="T40" s="357"/>
      <c r="V40" s="343" t="s">
        <v>920</v>
      </c>
      <c r="W40" s="334" t="s">
        <v>22</v>
      </c>
      <c r="X40" s="334" t="s">
        <v>11</v>
      </c>
      <c r="Y40" s="344">
        <v>19.2</v>
      </c>
      <c r="Z40" s="334" t="s">
        <v>565</v>
      </c>
      <c r="AA40" s="334" t="s">
        <v>98</v>
      </c>
      <c r="AB40" s="334" t="s">
        <v>12</v>
      </c>
      <c r="AC40" s="334">
        <v>14.5</v>
      </c>
      <c r="AD40" s="343" t="s">
        <v>928</v>
      </c>
      <c r="AE40" s="334" t="s">
        <v>90</v>
      </c>
      <c r="AF40" s="334" t="s">
        <v>18</v>
      </c>
      <c r="AG40" s="344">
        <v>6.6</v>
      </c>
      <c r="AH40" s="334" t="s">
        <v>931</v>
      </c>
      <c r="AI40" s="334" t="s">
        <v>337</v>
      </c>
      <c r="AJ40" s="334" t="s">
        <v>18</v>
      </c>
      <c r="AK40" s="334">
        <v>5.7</v>
      </c>
      <c r="AL40" s="343"/>
      <c r="AO40" s="344"/>
      <c r="AP40" s="343"/>
      <c r="AS40" s="344"/>
      <c r="AW40" s="344"/>
      <c r="BA40" s="345"/>
    </row>
    <row r="41" spans="1:53" s="334" customFormat="1">
      <c r="A41" s="334">
        <v>2006</v>
      </c>
      <c r="B41" s="440">
        <v>38880</v>
      </c>
      <c r="C41" s="992" t="s">
        <v>1176</v>
      </c>
      <c r="D41" s="992"/>
      <c r="E41" s="334">
        <v>136</v>
      </c>
      <c r="F41" s="441">
        <v>0</v>
      </c>
      <c r="G41" s="336">
        <v>10</v>
      </c>
      <c r="H41" s="200">
        <v>6</v>
      </c>
      <c r="I41" s="200">
        <v>6</v>
      </c>
      <c r="J41" s="337">
        <v>23</v>
      </c>
      <c r="K41" s="338">
        <f>G41/J41*100</f>
        <v>43.478260869565219</v>
      </c>
      <c r="L41" s="338">
        <f>H41/J41*100</f>
        <v>26.086956521739129</v>
      </c>
      <c r="M41" s="338">
        <f>I41/J41*100</f>
        <v>26.086956521739129</v>
      </c>
      <c r="N41" s="339">
        <f t="shared" si="3"/>
        <v>95.65217391304347</v>
      </c>
      <c r="O41" s="340">
        <v>19.2</v>
      </c>
      <c r="P41" s="338">
        <v>12.3</v>
      </c>
      <c r="Q41" s="338">
        <v>14.5</v>
      </c>
      <c r="R41" s="341">
        <f t="shared" si="4"/>
        <v>46</v>
      </c>
      <c r="S41" s="334">
        <v>5</v>
      </c>
      <c r="T41" s="357"/>
      <c r="V41" s="343" t="s">
        <v>920</v>
      </c>
      <c r="W41" s="334" t="s">
        <v>22</v>
      </c>
      <c r="X41" s="334" t="s">
        <v>11</v>
      </c>
      <c r="Y41" s="344">
        <v>19.2</v>
      </c>
      <c r="Z41" s="334" t="s">
        <v>565</v>
      </c>
      <c r="AA41" s="334" t="s">
        <v>98</v>
      </c>
      <c r="AB41" s="334" t="s">
        <v>12</v>
      </c>
      <c r="AC41" s="334">
        <v>14.5</v>
      </c>
      <c r="AD41" s="343" t="s">
        <v>928</v>
      </c>
      <c r="AE41" s="334" t="s">
        <v>90</v>
      </c>
      <c r="AF41" s="334" t="s">
        <v>18</v>
      </c>
      <c r="AG41" s="344">
        <v>6.6</v>
      </c>
      <c r="AH41" s="334" t="s">
        <v>931</v>
      </c>
      <c r="AI41" s="334" t="s">
        <v>337</v>
      </c>
      <c r="AJ41" s="334" t="s">
        <v>18</v>
      </c>
      <c r="AK41" s="334">
        <v>5.7</v>
      </c>
      <c r="AL41" s="343"/>
      <c r="AO41" s="344"/>
      <c r="AP41" s="343"/>
      <c r="AS41" s="344"/>
      <c r="AW41" s="344"/>
      <c r="BA41" s="345"/>
    </row>
    <row r="42" spans="1:53" s="334" customFormat="1">
      <c r="A42" s="334">
        <v>2006</v>
      </c>
      <c r="B42" s="440">
        <v>39016</v>
      </c>
      <c r="C42" s="992" t="s">
        <v>1176</v>
      </c>
      <c r="D42" s="992"/>
      <c r="E42" s="334">
        <v>46</v>
      </c>
      <c r="F42" s="441">
        <v>0</v>
      </c>
      <c r="G42" s="336">
        <v>9</v>
      </c>
      <c r="H42" s="200">
        <v>6</v>
      </c>
      <c r="I42" s="200">
        <v>7</v>
      </c>
      <c r="J42" s="337">
        <v>23</v>
      </c>
      <c r="K42" s="338">
        <f t="shared" si="0"/>
        <v>39.130434782608695</v>
      </c>
      <c r="L42" s="338">
        <f t="shared" si="1"/>
        <v>26.086956521739129</v>
      </c>
      <c r="M42" s="338">
        <f t="shared" si="2"/>
        <v>30.434782608695656</v>
      </c>
      <c r="N42" s="339">
        <f t="shared" si="3"/>
        <v>95.652173913043484</v>
      </c>
      <c r="O42" s="340">
        <v>19.2</v>
      </c>
      <c r="P42" s="338">
        <v>12.3</v>
      </c>
      <c r="Q42" s="338">
        <v>14.5</v>
      </c>
      <c r="R42" s="341">
        <f t="shared" si="4"/>
        <v>46</v>
      </c>
      <c r="S42" s="334">
        <v>5</v>
      </c>
      <c r="T42" s="357"/>
      <c r="V42" s="343" t="s">
        <v>920</v>
      </c>
      <c r="W42" s="334" t="s">
        <v>22</v>
      </c>
      <c r="X42" s="334" t="s">
        <v>11</v>
      </c>
      <c r="Y42" s="344">
        <v>19.2</v>
      </c>
      <c r="Z42" s="334" t="s">
        <v>565</v>
      </c>
      <c r="AA42" s="334" t="s">
        <v>98</v>
      </c>
      <c r="AB42" s="334" t="s">
        <v>12</v>
      </c>
      <c r="AC42" s="334">
        <v>14.5</v>
      </c>
      <c r="AD42" s="343" t="s">
        <v>928</v>
      </c>
      <c r="AE42" s="334" t="s">
        <v>90</v>
      </c>
      <c r="AF42" s="334" t="s">
        <v>18</v>
      </c>
      <c r="AG42" s="344">
        <v>6.6</v>
      </c>
      <c r="AH42" s="334" t="s">
        <v>931</v>
      </c>
      <c r="AI42" s="334" t="s">
        <v>337</v>
      </c>
      <c r="AJ42" s="334" t="s">
        <v>18</v>
      </c>
      <c r="AK42" s="334">
        <v>5.7</v>
      </c>
      <c r="AL42" s="343"/>
      <c r="AO42" s="344"/>
      <c r="AP42" s="343"/>
      <c r="AS42" s="344"/>
      <c r="AW42" s="344"/>
      <c r="BA42" s="345"/>
    </row>
    <row r="43" spans="1:53" s="334" customFormat="1">
      <c r="A43" s="334">
        <v>2006</v>
      </c>
      <c r="B43" s="440">
        <v>39062</v>
      </c>
      <c r="C43" s="992" t="s">
        <v>1176</v>
      </c>
      <c r="D43" s="992"/>
      <c r="E43" s="334">
        <f xml:space="preserve"> 365-E42-E41-E40</f>
        <v>21</v>
      </c>
      <c r="F43" s="441">
        <v>0</v>
      </c>
      <c r="G43" s="336">
        <v>10</v>
      </c>
      <c r="H43" s="200">
        <v>5</v>
      </c>
      <c r="I43" s="200">
        <v>7</v>
      </c>
      <c r="J43" s="337">
        <v>23</v>
      </c>
      <c r="K43" s="338">
        <f t="shared" si="0"/>
        <v>43.478260869565219</v>
      </c>
      <c r="L43" s="338">
        <f t="shared" si="1"/>
        <v>21.739130434782609</v>
      </c>
      <c r="M43" s="338">
        <f t="shared" si="2"/>
        <v>30.434782608695656</v>
      </c>
      <c r="N43" s="339">
        <f t="shared" si="3"/>
        <v>95.652173913043484</v>
      </c>
      <c r="O43" s="340">
        <v>19.2</v>
      </c>
      <c r="P43" s="338">
        <v>12.3</v>
      </c>
      <c r="Q43" s="338">
        <v>14.5</v>
      </c>
      <c r="R43" s="341">
        <f t="shared" si="4"/>
        <v>46</v>
      </c>
      <c r="S43" s="334">
        <v>5</v>
      </c>
      <c r="T43" s="357"/>
      <c r="V43" s="343" t="s">
        <v>920</v>
      </c>
      <c r="W43" s="334" t="s">
        <v>22</v>
      </c>
      <c r="X43" s="334" t="s">
        <v>11</v>
      </c>
      <c r="Y43" s="344">
        <v>19.2</v>
      </c>
      <c r="Z43" s="334" t="s">
        <v>565</v>
      </c>
      <c r="AA43" s="334" t="s">
        <v>98</v>
      </c>
      <c r="AB43" s="334" t="s">
        <v>12</v>
      </c>
      <c r="AC43" s="334">
        <v>14.5</v>
      </c>
      <c r="AD43" s="343" t="s">
        <v>928</v>
      </c>
      <c r="AE43" s="334" t="s">
        <v>90</v>
      </c>
      <c r="AF43" s="334" t="s">
        <v>18</v>
      </c>
      <c r="AG43" s="344">
        <v>6.6</v>
      </c>
      <c r="AH43" s="334" t="s">
        <v>931</v>
      </c>
      <c r="AI43" s="334" t="s">
        <v>337</v>
      </c>
      <c r="AJ43" s="334" t="s">
        <v>18</v>
      </c>
      <c r="AK43" s="334">
        <v>5.7</v>
      </c>
      <c r="AL43" s="343"/>
      <c r="AO43" s="344"/>
      <c r="AP43" s="343"/>
      <c r="AS43" s="344"/>
      <c r="AW43" s="344"/>
      <c r="BA43" s="345"/>
    </row>
    <row r="44" spans="1:53" s="334" customFormat="1">
      <c r="A44" s="334">
        <v>2007</v>
      </c>
      <c r="B44" s="358"/>
      <c r="C44" s="992" t="s">
        <v>1176</v>
      </c>
      <c r="D44" s="992"/>
      <c r="E44" s="334">
        <v>94</v>
      </c>
      <c r="G44" s="336">
        <v>10</v>
      </c>
      <c r="H44" s="200">
        <v>5</v>
      </c>
      <c r="I44" s="200">
        <v>7</v>
      </c>
      <c r="J44" s="337">
        <v>23</v>
      </c>
      <c r="K44" s="338">
        <f t="shared" si="0"/>
        <v>43.478260869565219</v>
      </c>
      <c r="L44" s="338">
        <f t="shared" si="1"/>
        <v>21.739130434782609</v>
      </c>
      <c r="M44" s="338">
        <f t="shared" si="2"/>
        <v>30.434782608695656</v>
      </c>
      <c r="N44" s="339">
        <f t="shared" si="3"/>
        <v>95.652173913043484</v>
      </c>
      <c r="O44" s="340">
        <v>19.2</v>
      </c>
      <c r="P44" s="338">
        <v>12.3</v>
      </c>
      <c r="Q44" s="338">
        <v>14.5</v>
      </c>
      <c r="R44" s="341">
        <f t="shared" si="4"/>
        <v>46</v>
      </c>
      <c r="S44" s="334">
        <v>5</v>
      </c>
      <c r="T44" s="357"/>
      <c r="V44" s="343" t="s">
        <v>920</v>
      </c>
      <c r="W44" s="334" t="s">
        <v>22</v>
      </c>
      <c r="X44" s="334" t="s">
        <v>11</v>
      </c>
      <c r="Y44" s="344">
        <v>19.2</v>
      </c>
      <c r="Z44" s="334" t="s">
        <v>565</v>
      </c>
      <c r="AA44" s="334" t="s">
        <v>98</v>
      </c>
      <c r="AB44" s="334" t="s">
        <v>12</v>
      </c>
      <c r="AC44" s="334">
        <v>14.5</v>
      </c>
      <c r="AD44" s="343" t="s">
        <v>928</v>
      </c>
      <c r="AE44" s="334" t="s">
        <v>90</v>
      </c>
      <c r="AF44" s="334" t="s">
        <v>18</v>
      </c>
      <c r="AG44" s="344">
        <v>6.6</v>
      </c>
      <c r="AH44" s="334" t="s">
        <v>931</v>
      </c>
      <c r="AI44" s="334" t="s">
        <v>337</v>
      </c>
      <c r="AJ44" s="334" t="s">
        <v>18</v>
      </c>
      <c r="AK44" s="334">
        <v>5.7</v>
      </c>
      <c r="AL44" s="343"/>
      <c r="AO44" s="344"/>
      <c r="AP44" s="343"/>
      <c r="AS44" s="344"/>
      <c r="AW44" s="344"/>
      <c r="BA44" s="345"/>
    </row>
    <row r="45" spans="1:53" s="208" customFormat="1">
      <c r="A45" s="208">
        <v>2007</v>
      </c>
      <c r="B45" s="121">
        <v>39177</v>
      </c>
      <c r="C45" s="988" t="s">
        <v>1177</v>
      </c>
      <c r="D45" s="988"/>
      <c r="E45" s="208">
        <v>89</v>
      </c>
      <c r="F45" s="208">
        <v>4</v>
      </c>
      <c r="G45" s="74">
        <v>14</v>
      </c>
      <c r="H45" s="75">
        <v>4</v>
      </c>
      <c r="I45" s="75"/>
      <c r="J45" s="76">
        <v>18</v>
      </c>
      <c r="K45" s="77">
        <f>G45/J45*100</f>
        <v>77.777777777777786</v>
      </c>
      <c r="L45" s="77">
        <f>H45/J45*100</f>
        <v>22.222222222222221</v>
      </c>
      <c r="M45" s="77">
        <f>I45/J45*100</f>
        <v>0</v>
      </c>
      <c r="N45" s="78">
        <f>SUM(K45:M45)</f>
        <v>100</v>
      </c>
      <c r="O45" s="79">
        <v>16.899999999999999</v>
      </c>
      <c r="P45" s="77">
        <v>6.6</v>
      </c>
      <c r="Q45" s="77"/>
      <c r="R45" s="80">
        <f>SUM(O45:Q45)</f>
        <v>23.5</v>
      </c>
      <c r="S45" s="208">
        <v>5</v>
      </c>
      <c r="T45" s="81"/>
      <c r="U45" s="121">
        <v>39177</v>
      </c>
      <c r="V45" s="82" t="s">
        <v>920</v>
      </c>
      <c r="W45" s="208" t="s">
        <v>22</v>
      </c>
      <c r="X45" s="208" t="s">
        <v>11</v>
      </c>
      <c r="Y45" s="83">
        <v>19.2</v>
      </c>
      <c r="Z45" s="82" t="s">
        <v>928</v>
      </c>
      <c r="AA45" s="208" t="s">
        <v>90</v>
      </c>
      <c r="AB45" s="208" t="s">
        <v>18</v>
      </c>
      <c r="AC45" s="83">
        <v>6.6</v>
      </c>
      <c r="AD45" s="82"/>
      <c r="AG45" s="83"/>
      <c r="AL45" s="82"/>
      <c r="AO45" s="83"/>
      <c r="AP45" s="82"/>
      <c r="AS45" s="83"/>
      <c r="AW45" s="83"/>
      <c r="BA45" s="84"/>
    </row>
    <row r="46" spans="1:53" s="208" customFormat="1">
      <c r="A46" s="208">
        <v>2007</v>
      </c>
      <c r="B46" s="154">
        <v>39266</v>
      </c>
      <c r="C46" s="988" t="s">
        <v>1177</v>
      </c>
      <c r="D46" s="988"/>
      <c r="E46" s="208">
        <v>100</v>
      </c>
      <c r="F46" s="150">
        <v>0</v>
      </c>
      <c r="G46" s="74">
        <v>14</v>
      </c>
      <c r="H46" s="75">
        <v>3</v>
      </c>
      <c r="I46" s="75"/>
      <c r="J46" s="76">
        <v>17</v>
      </c>
      <c r="K46" s="77">
        <f>G46/J46*100</f>
        <v>82.35294117647058</v>
      </c>
      <c r="L46" s="77">
        <f>H46/J46*100</f>
        <v>17.647058823529413</v>
      </c>
      <c r="M46" s="77">
        <f>I46/J46*100</f>
        <v>0</v>
      </c>
      <c r="N46" s="78">
        <f>SUM(K46:M46)</f>
        <v>100</v>
      </c>
      <c r="O46" s="79">
        <v>16.899999999999999</v>
      </c>
      <c r="P46" s="77">
        <v>6.6</v>
      </c>
      <c r="Q46" s="77"/>
      <c r="R46" s="80">
        <f>SUM(O46:Q46)</f>
        <v>23.5</v>
      </c>
      <c r="S46" s="208">
        <v>5</v>
      </c>
      <c r="T46" s="81"/>
      <c r="U46" s="121"/>
      <c r="V46" s="82" t="s">
        <v>920</v>
      </c>
      <c r="W46" s="208" t="s">
        <v>22</v>
      </c>
      <c r="X46" s="208" t="s">
        <v>11</v>
      </c>
      <c r="Y46" s="83">
        <v>19.2</v>
      </c>
      <c r="Z46" s="82" t="s">
        <v>928</v>
      </c>
      <c r="AA46" s="208" t="s">
        <v>90</v>
      </c>
      <c r="AB46" s="208" t="s">
        <v>18</v>
      </c>
      <c r="AC46" s="83">
        <v>6.6</v>
      </c>
      <c r="AD46" s="82"/>
      <c r="AG46" s="83"/>
      <c r="AL46" s="82"/>
      <c r="AO46" s="83"/>
      <c r="AP46" s="82"/>
      <c r="AS46" s="83"/>
      <c r="AW46" s="83"/>
      <c r="BA46" s="84"/>
    </row>
    <row r="47" spans="1:53" s="208" customFormat="1">
      <c r="A47" s="208">
        <v>2007</v>
      </c>
      <c r="B47" s="154">
        <v>39366</v>
      </c>
      <c r="C47" s="988" t="s">
        <v>1177</v>
      </c>
      <c r="D47" s="988"/>
      <c r="E47" s="208">
        <v>82</v>
      </c>
      <c r="F47" s="150">
        <v>0</v>
      </c>
      <c r="G47" s="74">
        <v>13</v>
      </c>
      <c r="H47" s="75">
        <v>3</v>
      </c>
      <c r="I47" s="75"/>
      <c r="J47" s="76">
        <v>17</v>
      </c>
      <c r="K47" s="77">
        <f>G47/J47*100</f>
        <v>76.470588235294116</v>
      </c>
      <c r="L47" s="77">
        <f>H47/J47*100</f>
        <v>17.647058823529413</v>
      </c>
      <c r="M47" s="77">
        <f>I47/J47*100</f>
        <v>0</v>
      </c>
      <c r="N47" s="78">
        <f>SUM(K47:M47)</f>
        <v>94.117647058823536</v>
      </c>
      <c r="O47" s="79">
        <v>16.899999999999999</v>
      </c>
      <c r="P47" s="77">
        <v>6.6</v>
      </c>
      <c r="Q47" s="77"/>
      <c r="R47" s="80">
        <f>SUM(O47:Q47)</f>
        <v>23.5</v>
      </c>
      <c r="S47" s="208">
        <v>5</v>
      </c>
      <c r="T47" s="81"/>
      <c r="U47" s="121"/>
      <c r="V47" s="82" t="s">
        <v>920</v>
      </c>
      <c r="W47" s="208" t="s">
        <v>22</v>
      </c>
      <c r="X47" s="208" t="s">
        <v>11</v>
      </c>
      <c r="Y47" s="83">
        <v>19.2</v>
      </c>
      <c r="Z47" s="82" t="s">
        <v>928</v>
      </c>
      <c r="AA47" s="208" t="s">
        <v>90</v>
      </c>
      <c r="AB47" s="208" t="s">
        <v>18</v>
      </c>
      <c r="AC47" s="83">
        <v>6.6</v>
      </c>
      <c r="AD47" s="82"/>
      <c r="AG47" s="83"/>
      <c r="AL47" s="82"/>
      <c r="AO47" s="83"/>
      <c r="AP47" s="82"/>
      <c r="AS47" s="83"/>
      <c r="AW47" s="83"/>
      <c r="BA47" s="84"/>
    </row>
    <row r="48" spans="1:53" s="208" customFormat="1">
      <c r="A48" s="208">
        <v>2008</v>
      </c>
      <c r="B48" s="122"/>
      <c r="C48" s="988" t="s">
        <v>1177</v>
      </c>
      <c r="D48" s="988"/>
      <c r="E48" s="208">
        <v>356</v>
      </c>
      <c r="G48" s="74">
        <v>13</v>
      </c>
      <c r="H48" s="75">
        <v>3</v>
      </c>
      <c r="I48" s="75"/>
      <c r="J48" s="76">
        <v>17</v>
      </c>
      <c r="K48" s="77">
        <f t="shared" si="0"/>
        <v>76.470588235294116</v>
      </c>
      <c r="L48" s="77">
        <f t="shared" si="1"/>
        <v>17.647058823529413</v>
      </c>
      <c r="M48" s="77">
        <f t="shared" si="2"/>
        <v>0</v>
      </c>
      <c r="N48" s="78">
        <f t="shared" si="3"/>
        <v>94.117647058823536</v>
      </c>
      <c r="O48" s="79">
        <v>16.899999999999999</v>
      </c>
      <c r="P48" s="77">
        <v>6.6</v>
      </c>
      <c r="Q48" s="77"/>
      <c r="R48" s="80">
        <f t="shared" si="4"/>
        <v>23.5</v>
      </c>
      <c r="S48" s="208">
        <v>5</v>
      </c>
      <c r="T48" s="81"/>
      <c r="V48" s="82" t="s">
        <v>920</v>
      </c>
      <c r="W48" s="208" t="s">
        <v>22</v>
      </c>
      <c r="X48" s="208" t="s">
        <v>11</v>
      </c>
      <c r="Y48" s="83">
        <v>19.2</v>
      </c>
      <c r="Z48" s="82" t="s">
        <v>928</v>
      </c>
      <c r="AA48" s="208" t="s">
        <v>90</v>
      </c>
      <c r="AB48" s="208" t="s">
        <v>18</v>
      </c>
      <c r="AC48" s="83">
        <v>6.6</v>
      </c>
      <c r="AD48" s="82"/>
      <c r="AG48" s="83"/>
      <c r="AL48" s="82"/>
      <c r="AO48" s="83"/>
      <c r="AP48" s="82"/>
      <c r="AS48" s="83"/>
      <c r="AW48" s="83"/>
      <c r="BA48" s="84"/>
    </row>
    <row r="49" spans="1:53" s="334" customFormat="1">
      <c r="A49" s="334">
        <v>2008</v>
      </c>
      <c r="B49" s="335">
        <v>39804</v>
      </c>
      <c r="C49" s="992" t="s">
        <v>933</v>
      </c>
      <c r="D49" s="992"/>
      <c r="E49" s="334">
        <f>366-E48</f>
        <v>10</v>
      </c>
      <c r="F49" s="334">
        <v>1</v>
      </c>
      <c r="G49" s="336">
        <v>10</v>
      </c>
      <c r="H49" s="200"/>
      <c r="I49" s="200">
        <v>10</v>
      </c>
      <c r="J49" s="337">
        <v>21</v>
      </c>
      <c r="K49" s="338">
        <f t="shared" si="0"/>
        <v>47.619047619047613</v>
      </c>
      <c r="L49" s="338">
        <f t="shared" si="1"/>
        <v>0</v>
      </c>
      <c r="M49" s="338">
        <f t="shared" si="2"/>
        <v>47.619047619047613</v>
      </c>
      <c r="N49" s="339">
        <f t="shared" si="3"/>
        <v>95.238095238095227</v>
      </c>
      <c r="O49" s="340">
        <v>34.4</v>
      </c>
      <c r="P49" s="338"/>
      <c r="Q49" s="200">
        <v>32.9</v>
      </c>
      <c r="R49" s="341">
        <f t="shared" si="4"/>
        <v>67.3</v>
      </c>
      <c r="S49" s="334">
        <v>2</v>
      </c>
      <c r="T49" s="342">
        <v>39782</v>
      </c>
      <c r="U49" s="335">
        <v>39804</v>
      </c>
      <c r="V49" s="343" t="s">
        <v>934</v>
      </c>
      <c r="W49" s="334" t="s">
        <v>100</v>
      </c>
      <c r="X49" s="334" t="s">
        <v>11</v>
      </c>
      <c r="Y49" s="344">
        <v>34.4</v>
      </c>
      <c r="Z49" s="334" t="s">
        <v>932</v>
      </c>
      <c r="AA49" s="334" t="s">
        <v>20</v>
      </c>
      <c r="AB49" s="334" t="s">
        <v>12</v>
      </c>
      <c r="AC49" s="334">
        <v>32.9</v>
      </c>
      <c r="AD49" s="343"/>
      <c r="AG49" s="344"/>
      <c r="AL49" s="343"/>
      <c r="AO49" s="344"/>
      <c r="AP49" s="343"/>
      <c r="AS49" s="344"/>
      <c r="AW49" s="344"/>
      <c r="BA49" s="345"/>
    </row>
    <row r="50" spans="1:53" s="334" customFormat="1">
      <c r="A50" s="334">
        <v>2009</v>
      </c>
      <c r="B50" s="358"/>
      <c r="C50" s="992" t="s">
        <v>933</v>
      </c>
      <c r="D50" s="992"/>
      <c r="E50" s="334">
        <v>273</v>
      </c>
      <c r="G50" s="336">
        <v>10</v>
      </c>
      <c r="H50" s="200"/>
      <c r="I50" s="200">
        <v>10</v>
      </c>
      <c r="J50" s="337">
        <v>21</v>
      </c>
      <c r="K50" s="338">
        <f>G50/J50*100</f>
        <v>47.619047619047613</v>
      </c>
      <c r="L50" s="338">
        <f>H50/J50*100</f>
        <v>0</v>
      </c>
      <c r="M50" s="338">
        <f>I50/J50*100</f>
        <v>47.619047619047613</v>
      </c>
      <c r="N50" s="339">
        <f t="shared" si="3"/>
        <v>95.238095238095227</v>
      </c>
      <c r="O50" s="340">
        <v>34.4</v>
      </c>
      <c r="P50" s="338"/>
      <c r="Q50" s="200">
        <v>32.9</v>
      </c>
      <c r="R50" s="341">
        <f t="shared" si="4"/>
        <v>67.3</v>
      </c>
      <c r="S50" s="334">
        <v>2</v>
      </c>
      <c r="T50" s="357"/>
      <c r="V50" s="343" t="s">
        <v>934</v>
      </c>
      <c r="W50" s="334" t="s">
        <v>100</v>
      </c>
      <c r="X50" s="334" t="s">
        <v>11</v>
      </c>
      <c r="Y50" s="344">
        <v>34.4</v>
      </c>
      <c r="Z50" s="334" t="s">
        <v>932</v>
      </c>
      <c r="AA50" s="334" t="s">
        <v>20</v>
      </c>
      <c r="AB50" s="334" t="s">
        <v>12</v>
      </c>
      <c r="AC50" s="334">
        <v>32.9</v>
      </c>
      <c r="AD50" s="343"/>
      <c r="AG50" s="344"/>
      <c r="AL50" s="343"/>
      <c r="AO50" s="344"/>
      <c r="AP50" s="343"/>
      <c r="AS50" s="344"/>
      <c r="AW50" s="344"/>
      <c r="BA50" s="345"/>
    </row>
    <row r="51" spans="1:53" s="208" customFormat="1">
      <c r="A51" s="208">
        <v>2009</v>
      </c>
      <c r="B51" s="121">
        <v>40087</v>
      </c>
      <c r="C51" s="988" t="s">
        <v>935</v>
      </c>
      <c r="D51" s="988"/>
      <c r="E51" s="208">
        <v>83</v>
      </c>
      <c r="F51" s="208">
        <v>4</v>
      </c>
      <c r="G51" s="74">
        <v>18</v>
      </c>
      <c r="H51" s="75"/>
      <c r="I51" s="75"/>
      <c r="J51" s="76">
        <v>20</v>
      </c>
      <c r="K51" s="77">
        <f t="shared" si="0"/>
        <v>90</v>
      </c>
      <c r="L51" s="77">
        <f t="shared" si="1"/>
        <v>0</v>
      </c>
      <c r="M51" s="77">
        <f t="shared" si="2"/>
        <v>0</v>
      </c>
      <c r="N51" s="78">
        <f t="shared" si="3"/>
        <v>90</v>
      </c>
      <c r="O51" s="79">
        <v>34.4</v>
      </c>
      <c r="P51" s="77"/>
      <c r="Q51" s="77"/>
      <c r="R51" s="80">
        <f t="shared" si="4"/>
        <v>34.4</v>
      </c>
      <c r="S51" s="208">
        <v>4</v>
      </c>
      <c r="T51" s="81"/>
      <c r="U51" s="121">
        <v>40087</v>
      </c>
      <c r="V51" s="82" t="s">
        <v>934</v>
      </c>
      <c r="W51" s="208" t="s">
        <v>100</v>
      </c>
      <c r="X51" s="208" t="s">
        <v>11</v>
      </c>
      <c r="Y51" s="83">
        <v>34.4</v>
      </c>
      <c r="AD51" s="82"/>
      <c r="AG51" s="83"/>
      <c r="AL51" s="82"/>
      <c r="AO51" s="83"/>
      <c r="AP51" s="82"/>
      <c r="AS51" s="83"/>
      <c r="AW51" s="83"/>
      <c r="BA51" s="84"/>
    </row>
    <row r="52" spans="1:53" s="334" customFormat="1">
      <c r="A52" s="334">
        <v>2009</v>
      </c>
      <c r="B52" s="335">
        <v>40170</v>
      </c>
      <c r="C52" s="992" t="s">
        <v>936</v>
      </c>
      <c r="D52" s="992"/>
      <c r="E52" s="334">
        <f xml:space="preserve"> 365-E51-E50</f>
        <v>9</v>
      </c>
      <c r="F52" s="334">
        <v>5</v>
      </c>
      <c r="G52" s="336">
        <v>8</v>
      </c>
      <c r="H52" s="200">
        <v>4</v>
      </c>
      <c r="I52" s="200"/>
      <c r="J52" s="337">
        <v>17</v>
      </c>
      <c r="K52" s="338">
        <f t="shared" si="0"/>
        <v>47.058823529411761</v>
      </c>
      <c r="L52" s="338">
        <f t="shared" si="1"/>
        <v>23.52941176470588</v>
      </c>
      <c r="M52" s="338">
        <f t="shared" si="2"/>
        <v>0</v>
      </c>
      <c r="N52" s="339">
        <f t="shared" si="3"/>
        <v>70.588235294117638</v>
      </c>
      <c r="O52" s="340">
        <v>34.4</v>
      </c>
      <c r="P52" s="338">
        <v>6.6</v>
      </c>
      <c r="Q52" s="338"/>
      <c r="R52" s="341">
        <f t="shared" si="4"/>
        <v>41</v>
      </c>
      <c r="S52" s="334">
        <v>5</v>
      </c>
      <c r="T52" s="357"/>
      <c r="U52" s="335">
        <v>40170</v>
      </c>
      <c r="V52" s="343" t="s">
        <v>934</v>
      </c>
      <c r="W52" s="334" t="s">
        <v>100</v>
      </c>
      <c r="X52" s="334" t="s">
        <v>11</v>
      </c>
      <c r="Y52" s="344">
        <v>34.4</v>
      </c>
      <c r="Z52" s="343" t="s">
        <v>928</v>
      </c>
      <c r="AA52" s="334" t="s">
        <v>90</v>
      </c>
      <c r="AB52" s="334" t="s">
        <v>18</v>
      </c>
      <c r="AC52" s="344">
        <v>6.6</v>
      </c>
      <c r="AD52" s="343"/>
      <c r="AG52" s="344"/>
      <c r="AL52" s="343"/>
      <c r="AO52" s="344"/>
      <c r="AP52" s="343"/>
      <c r="AS52" s="344"/>
      <c r="AW52" s="344"/>
      <c r="BA52" s="345"/>
    </row>
    <row r="53" spans="1:53" s="334" customFormat="1">
      <c r="A53" s="334">
        <v>2010</v>
      </c>
      <c r="B53" s="358"/>
      <c r="C53" s="992" t="s">
        <v>936</v>
      </c>
      <c r="D53" s="992"/>
      <c r="E53" s="334">
        <v>245</v>
      </c>
      <c r="G53" s="336">
        <v>8</v>
      </c>
      <c r="H53" s="200">
        <v>4</v>
      </c>
      <c r="I53" s="200"/>
      <c r="J53" s="337">
        <v>17</v>
      </c>
      <c r="K53" s="338">
        <f>G53/J53*100</f>
        <v>47.058823529411761</v>
      </c>
      <c r="L53" s="338">
        <f>H53/J53*100</f>
        <v>23.52941176470588</v>
      </c>
      <c r="M53" s="338">
        <f>I53/J53*100</f>
        <v>0</v>
      </c>
      <c r="N53" s="339">
        <f t="shared" si="3"/>
        <v>70.588235294117638</v>
      </c>
      <c r="O53" s="340">
        <v>34.4</v>
      </c>
      <c r="P53" s="338">
        <v>6.6</v>
      </c>
      <c r="Q53" s="338"/>
      <c r="R53" s="341">
        <f t="shared" si="4"/>
        <v>41</v>
      </c>
      <c r="S53" s="334">
        <v>5</v>
      </c>
      <c r="T53" s="357"/>
      <c r="V53" s="343" t="s">
        <v>934</v>
      </c>
      <c r="W53" s="334" t="s">
        <v>100</v>
      </c>
      <c r="X53" s="334" t="s">
        <v>11</v>
      </c>
      <c r="Y53" s="344">
        <v>34.4</v>
      </c>
      <c r="Z53" s="343" t="s">
        <v>928</v>
      </c>
      <c r="AA53" s="334" t="s">
        <v>90</v>
      </c>
      <c r="AB53" s="334" t="s">
        <v>18</v>
      </c>
      <c r="AC53" s="344">
        <v>6.6</v>
      </c>
      <c r="AD53" s="343"/>
      <c r="AG53" s="344"/>
      <c r="AL53" s="343"/>
      <c r="AO53" s="344"/>
      <c r="AP53" s="343"/>
      <c r="AS53" s="344"/>
      <c r="AW53" s="344"/>
      <c r="BA53" s="345"/>
    </row>
    <row r="54" spans="1:53" s="208" customFormat="1">
      <c r="A54" s="208">
        <v>2010</v>
      </c>
      <c r="B54" s="121">
        <v>40424</v>
      </c>
      <c r="C54" s="988" t="s">
        <v>937</v>
      </c>
      <c r="D54" s="988"/>
      <c r="E54" s="208">
        <v>25</v>
      </c>
      <c r="F54" s="208">
        <v>7</v>
      </c>
      <c r="G54" s="74">
        <v>10</v>
      </c>
      <c r="H54" s="75">
        <v>4</v>
      </c>
      <c r="I54" s="75">
        <v>1</v>
      </c>
      <c r="J54" s="76">
        <v>17</v>
      </c>
      <c r="K54" s="77">
        <f t="shared" si="0"/>
        <v>58.82352941176471</v>
      </c>
      <c r="L54" s="77">
        <f t="shared" si="1"/>
        <v>23.52941176470588</v>
      </c>
      <c r="M54" s="77">
        <f t="shared" si="2"/>
        <v>5.8823529411764701</v>
      </c>
      <c r="N54" s="78">
        <f t="shared" si="3"/>
        <v>88.235294117647058</v>
      </c>
      <c r="O54" s="79">
        <v>37.1</v>
      </c>
      <c r="P54" s="77">
        <v>6.6</v>
      </c>
      <c r="Q54" s="77">
        <v>4.5</v>
      </c>
      <c r="R54" s="80">
        <f t="shared" si="4"/>
        <v>48.2</v>
      </c>
      <c r="S54" s="208">
        <v>5</v>
      </c>
      <c r="T54" s="81"/>
      <c r="U54" s="121">
        <v>40424</v>
      </c>
      <c r="V54" s="82" t="s">
        <v>934</v>
      </c>
      <c r="W54" s="208" t="s">
        <v>100</v>
      </c>
      <c r="X54" s="208" t="s">
        <v>11</v>
      </c>
      <c r="Y54" s="83">
        <v>37.1</v>
      </c>
      <c r="Z54" s="82" t="s">
        <v>928</v>
      </c>
      <c r="AA54" s="208" t="s">
        <v>90</v>
      </c>
      <c r="AB54" s="208" t="s">
        <v>18</v>
      </c>
      <c r="AC54" s="83">
        <v>6.6</v>
      </c>
      <c r="AD54" s="82" t="s">
        <v>938</v>
      </c>
      <c r="AE54" s="208" t="s">
        <v>337</v>
      </c>
      <c r="AF54" s="208" t="s">
        <v>12</v>
      </c>
      <c r="AG54" s="83">
        <v>4.5</v>
      </c>
      <c r="AL54" s="82"/>
      <c r="AO54" s="83"/>
      <c r="AP54" s="82"/>
      <c r="AS54" s="83"/>
      <c r="AW54" s="83"/>
      <c r="BA54" s="84"/>
    </row>
    <row r="55" spans="1:53" s="208" customFormat="1">
      <c r="A55" s="208">
        <v>2010</v>
      </c>
      <c r="B55" s="154">
        <v>40449</v>
      </c>
      <c r="C55" s="988" t="s">
        <v>937</v>
      </c>
      <c r="D55" s="988"/>
      <c r="E55" s="208">
        <f xml:space="preserve"> 365-E54-E53</f>
        <v>95</v>
      </c>
      <c r="F55" s="150">
        <v>0</v>
      </c>
      <c r="G55" s="74">
        <v>11</v>
      </c>
      <c r="H55" s="75">
        <v>4</v>
      </c>
      <c r="I55" s="75">
        <v>1</v>
      </c>
      <c r="J55" s="76">
        <v>17</v>
      </c>
      <c r="K55" s="77">
        <f t="shared" si="0"/>
        <v>64.705882352941174</v>
      </c>
      <c r="L55" s="77">
        <f t="shared" si="1"/>
        <v>23.52941176470588</v>
      </c>
      <c r="M55" s="77">
        <f t="shared" si="2"/>
        <v>5.8823529411764701</v>
      </c>
      <c r="N55" s="78">
        <f t="shared" si="3"/>
        <v>94.117647058823522</v>
      </c>
      <c r="O55" s="79">
        <v>37.1</v>
      </c>
      <c r="P55" s="77">
        <v>6.6</v>
      </c>
      <c r="Q55" s="77">
        <v>4.5</v>
      </c>
      <c r="R55" s="80">
        <f t="shared" si="4"/>
        <v>48.2</v>
      </c>
      <c r="S55" s="208">
        <v>5</v>
      </c>
      <c r="T55" s="81"/>
      <c r="V55" s="82" t="s">
        <v>934</v>
      </c>
      <c r="W55" s="208" t="s">
        <v>100</v>
      </c>
      <c r="X55" s="208" t="s">
        <v>11</v>
      </c>
      <c r="Y55" s="83">
        <v>37.1</v>
      </c>
      <c r="Z55" s="82" t="s">
        <v>928</v>
      </c>
      <c r="AA55" s="208" t="s">
        <v>90</v>
      </c>
      <c r="AB55" s="208" t="s">
        <v>18</v>
      </c>
      <c r="AC55" s="83">
        <v>6.6</v>
      </c>
      <c r="AD55" s="82" t="s">
        <v>938</v>
      </c>
      <c r="AE55" s="208" t="s">
        <v>337</v>
      </c>
      <c r="AF55" s="208" t="s">
        <v>12</v>
      </c>
      <c r="AG55" s="83">
        <v>4.5</v>
      </c>
      <c r="AL55" s="82"/>
      <c r="AO55" s="83"/>
      <c r="AP55" s="82"/>
      <c r="AS55" s="83"/>
      <c r="AW55" s="83"/>
      <c r="BA55" s="84"/>
    </row>
    <row r="56" spans="1:53" s="208" customFormat="1">
      <c r="A56" s="208">
        <v>2011</v>
      </c>
      <c r="B56" s="122"/>
      <c r="C56" s="988" t="s">
        <v>937</v>
      </c>
      <c r="D56" s="988"/>
      <c r="E56" s="208">
        <v>153</v>
      </c>
      <c r="G56" s="74">
        <v>11</v>
      </c>
      <c r="H56" s="75">
        <v>4</v>
      </c>
      <c r="I56" s="75">
        <v>1</v>
      </c>
      <c r="J56" s="76">
        <v>17</v>
      </c>
      <c r="K56" s="77">
        <f t="shared" ref="K56:K70" si="5">G56/J56*100</f>
        <v>64.705882352941174</v>
      </c>
      <c r="L56" s="77">
        <f t="shared" ref="L56:L70" si="6">H56/J56*100</f>
        <v>23.52941176470588</v>
      </c>
      <c r="M56" s="77">
        <f t="shared" ref="M56:M70" si="7">I56/J56*100</f>
        <v>5.8823529411764701</v>
      </c>
      <c r="N56" s="78">
        <f t="shared" si="3"/>
        <v>94.117647058823522</v>
      </c>
      <c r="O56" s="79">
        <v>37.1</v>
      </c>
      <c r="P56" s="77">
        <v>6.6</v>
      </c>
      <c r="Q56" s="77">
        <v>4.5</v>
      </c>
      <c r="R56" s="80">
        <f t="shared" si="4"/>
        <v>48.2</v>
      </c>
      <c r="S56" s="208">
        <v>5</v>
      </c>
      <c r="T56" s="81"/>
      <c r="V56" s="82" t="s">
        <v>934</v>
      </c>
      <c r="W56" s="208" t="s">
        <v>100</v>
      </c>
      <c r="X56" s="208" t="s">
        <v>11</v>
      </c>
      <c r="Y56" s="83">
        <v>37.1</v>
      </c>
      <c r="Z56" s="82" t="s">
        <v>928</v>
      </c>
      <c r="AA56" s="208" t="s">
        <v>90</v>
      </c>
      <c r="AB56" s="208" t="s">
        <v>18</v>
      </c>
      <c r="AC56" s="83">
        <v>6.6</v>
      </c>
      <c r="AD56" s="82" t="s">
        <v>938</v>
      </c>
      <c r="AE56" s="208" t="s">
        <v>337</v>
      </c>
      <c r="AF56" s="208" t="s">
        <v>12</v>
      </c>
      <c r="AG56" s="83">
        <v>4.5</v>
      </c>
      <c r="AL56" s="82"/>
      <c r="AO56" s="83"/>
      <c r="AP56" s="82"/>
      <c r="AS56" s="83"/>
      <c r="AW56" s="83"/>
      <c r="BA56" s="84"/>
    </row>
    <row r="57" spans="1:53" s="208" customFormat="1">
      <c r="A57" s="208">
        <v>2011</v>
      </c>
      <c r="B57" s="154">
        <v>40697</v>
      </c>
      <c r="C57" s="988" t="s">
        <v>937</v>
      </c>
      <c r="D57" s="988"/>
      <c r="E57" s="208">
        <v>108</v>
      </c>
      <c r="F57" s="150">
        <v>0</v>
      </c>
      <c r="G57" s="74">
        <v>10</v>
      </c>
      <c r="H57" s="75">
        <v>4</v>
      </c>
      <c r="I57" s="75">
        <v>1</v>
      </c>
      <c r="J57" s="76">
        <v>17</v>
      </c>
      <c r="K57" s="77">
        <f t="shared" si="5"/>
        <v>58.82352941176471</v>
      </c>
      <c r="L57" s="77">
        <f t="shared" si="6"/>
        <v>23.52941176470588</v>
      </c>
      <c r="M57" s="77">
        <f t="shared" si="7"/>
        <v>5.8823529411764701</v>
      </c>
      <c r="N57" s="78">
        <f t="shared" si="3"/>
        <v>88.235294117647058</v>
      </c>
      <c r="O57" s="79">
        <v>37.1</v>
      </c>
      <c r="P57" s="77">
        <v>6.6</v>
      </c>
      <c r="Q57" s="77">
        <v>4.5</v>
      </c>
      <c r="R57" s="80">
        <f t="shared" si="4"/>
        <v>48.2</v>
      </c>
      <c r="S57" s="208">
        <v>5</v>
      </c>
      <c r="T57" s="81"/>
      <c r="V57" s="82" t="s">
        <v>934</v>
      </c>
      <c r="W57" s="208" t="s">
        <v>100</v>
      </c>
      <c r="X57" s="208" t="s">
        <v>11</v>
      </c>
      <c r="Y57" s="83">
        <v>37.1</v>
      </c>
      <c r="Z57" s="82" t="s">
        <v>928</v>
      </c>
      <c r="AA57" s="208" t="s">
        <v>90</v>
      </c>
      <c r="AB57" s="208" t="s">
        <v>18</v>
      </c>
      <c r="AC57" s="83">
        <v>6.6</v>
      </c>
      <c r="AD57" s="82" t="s">
        <v>938</v>
      </c>
      <c r="AE57" s="208" t="s">
        <v>337</v>
      </c>
      <c r="AF57" s="208" t="s">
        <v>12</v>
      </c>
      <c r="AG57" s="83">
        <v>4.5</v>
      </c>
      <c r="AL57" s="82"/>
      <c r="AO57" s="83"/>
      <c r="AP57" s="82"/>
      <c r="AS57" s="83"/>
      <c r="AW57" s="83"/>
      <c r="BA57" s="84"/>
    </row>
    <row r="58" spans="1:53" s="208" customFormat="1">
      <c r="A58" s="208">
        <v>2011</v>
      </c>
      <c r="B58" s="154">
        <v>40805</v>
      </c>
      <c r="C58" s="988" t="s">
        <v>937</v>
      </c>
      <c r="D58" s="988"/>
      <c r="E58" s="208">
        <v>1</v>
      </c>
      <c r="F58" s="150">
        <v>0</v>
      </c>
      <c r="G58" s="74">
        <v>11</v>
      </c>
      <c r="H58" s="75">
        <v>4</v>
      </c>
      <c r="I58" s="75">
        <v>1</v>
      </c>
      <c r="J58" s="76">
        <v>17</v>
      </c>
      <c r="K58" s="77">
        <f t="shared" si="5"/>
        <v>64.705882352941174</v>
      </c>
      <c r="L58" s="77">
        <f t="shared" si="6"/>
        <v>23.52941176470588</v>
      </c>
      <c r="M58" s="77">
        <f t="shared" si="7"/>
        <v>5.8823529411764701</v>
      </c>
      <c r="N58" s="78">
        <f t="shared" si="3"/>
        <v>94.117647058823522</v>
      </c>
      <c r="O58" s="79">
        <v>37.1</v>
      </c>
      <c r="P58" s="77">
        <v>6.6</v>
      </c>
      <c r="Q58" s="77">
        <v>4.5</v>
      </c>
      <c r="R58" s="80">
        <f t="shared" si="4"/>
        <v>48.2</v>
      </c>
      <c r="S58" s="208">
        <v>5</v>
      </c>
      <c r="T58" s="81"/>
      <c r="V58" s="82" t="s">
        <v>934</v>
      </c>
      <c r="W58" s="208" t="s">
        <v>100</v>
      </c>
      <c r="X58" s="208" t="s">
        <v>11</v>
      </c>
      <c r="Y58" s="83">
        <v>37.1</v>
      </c>
      <c r="Z58" s="82" t="s">
        <v>928</v>
      </c>
      <c r="AA58" s="208" t="s">
        <v>90</v>
      </c>
      <c r="AB58" s="208" t="s">
        <v>18</v>
      </c>
      <c r="AC58" s="83">
        <v>6.6</v>
      </c>
      <c r="AD58" s="82" t="s">
        <v>938</v>
      </c>
      <c r="AE58" s="208" t="s">
        <v>337</v>
      </c>
      <c r="AF58" s="208" t="s">
        <v>12</v>
      </c>
      <c r="AG58" s="83">
        <v>4.5</v>
      </c>
      <c r="AL58" s="82"/>
      <c r="AO58" s="83"/>
      <c r="AP58" s="82"/>
      <c r="AS58" s="83"/>
      <c r="AW58" s="83"/>
      <c r="BA58" s="84"/>
    </row>
    <row r="59" spans="1:53" s="208" customFormat="1">
      <c r="A59" s="208">
        <v>2011</v>
      </c>
      <c r="B59" s="154">
        <v>40806</v>
      </c>
      <c r="C59" s="988" t="s">
        <v>937</v>
      </c>
      <c r="D59" s="988"/>
      <c r="E59" s="208">
        <f xml:space="preserve"> 365-E58-E57-E56</f>
        <v>103</v>
      </c>
      <c r="F59" s="150">
        <v>0</v>
      </c>
      <c r="G59" s="74">
        <v>11</v>
      </c>
      <c r="H59" s="75">
        <v>4</v>
      </c>
      <c r="I59" s="75">
        <v>1</v>
      </c>
      <c r="J59" s="76">
        <v>18</v>
      </c>
      <c r="K59" s="77">
        <f t="shared" si="5"/>
        <v>61.111111111111114</v>
      </c>
      <c r="L59" s="77">
        <f t="shared" si="6"/>
        <v>22.222222222222221</v>
      </c>
      <c r="M59" s="77">
        <f t="shared" si="7"/>
        <v>5.5555555555555554</v>
      </c>
      <c r="N59" s="78">
        <f t="shared" si="3"/>
        <v>88.8888888888889</v>
      </c>
      <c r="O59" s="79">
        <v>37.1</v>
      </c>
      <c r="P59" s="77">
        <v>6.6</v>
      </c>
      <c r="Q59" s="77">
        <v>4.5</v>
      </c>
      <c r="R59" s="80">
        <f t="shared" si="4"/>
        <v>48.2</v>
      </c>
      <c r="S59" s="208">
        <v>5</v>
      </c>
      <c r="T59" s="81"/>
      <c r="V59" s="82" t="s">
        <v>934</v>
      </c>
      <c r="W59" s="208" t="s">
        <v>100</v>
      </c>
      <c r="X59" s="208" t="s">
        <v>11</v>
      </c>
      <c r="Y59" s="83">
        <v>37.1</v>
      </c>
      <c r="Z59" s="82" t="s">
        <v>928</v>
      </c>
      <c r="AA59" s="208" t="s">
        <v>90</v>
      </c>
      <c r="AB59" s="208" t="s">
        <v>18</v>
      </c>
      <c r="AC59" s="83">
        <v>6.6</v>
      </c>
      <c r="AD59" s="82" t="s">
        <v>938</v>
      </c>
      <c r="AE59" s="208" t="s">
        <v>337</v>
      </c>
      <c r="AF59" s="208" t="s">
        <v>12</v>
      </c>
      <c r="AG59" s="83">
        <v>4.5</v>
      </c>
      <c r="AL59" s="82"/>
      <c r="AO59" s="83"/>
      <c r="AP59" s="82"/>
      <c r="AS59" s="83"/>
      <c r="AW59" s="83"/>
      <c r="BA59" s="84"/>
    </row>
    <row r="60" spans="1:53" s="208" customFormat="1">
      <c r="A60" s="208">
        <v>2012</v>
      </c>
      <c r="B60" s="122"/>
      <c r="C60" s="988" t="s">
        <v>937</v>
      </c>
      <c r="D60" s="988"/>
      <c r="E60" s="208">
        <v>39</v>
      </c>
      <c r="G60" s="74">
        <v>11</v>
      </c>
      <c r="H60" s="75">
        <v>4</v>
      </c>
      <c r="I60" s="75">
        <v>1</v>
      </c>
      <c r="J60" s="76">
        <v>18</v>
      </c>
      <c r="K60" s="77">
        <f t="shared" si="5"/>
        <v>61.111111111111114</v>
      </c>
      <c r="L60" s="77">
        <f t="shared" si="6"/>
        <v>22.222222222222221</v>
      </c>
      <c r="M60" s="77">
        <f t="shared" si="7"/>
        <v>5.5555555555555554</v>
      </c>
      <c r="N60" s="78">
        <f t="shared" si="3"/>
        <v>88.8888888888889</v>
      </c>
      <c r="O60" s="79">
        <v>37.1</v>
      </c>
      <c r="P60" s="77">
        <v>6.6</v>
      </c>
      <c r="Q60" s="77">
        <v>4.5</v>
      </c>
      <c r="R60" s="80">
        <f t="shared" si="4"/>
        <v>48.2</v>
      </c>
      <c r="S60" s="208">
        <v>5</v>
      </c>
      <c r="T60" s="81"/>
      <c r="V60" s="82" t="s">
        <v>934</v>
      </c>
      <c r="W60" s="208" t="s">
        <v>100</v>
      </c>
      <c r="X60" s="208" t="s">
        <v>11</v>
      </c>
      <c r="Y60" s="83">
        <v>37.1</v>
      </c>
      <c r="Z60" s="82" t="s">
        <v>928</v>
      </c>
      <c r="AA60" s="208" t="s">
        <v>90</v>
      </c>
      <c r="AB60" s="208" t="s">
        <v>18</v>
      </c>
      <c r="AC60" s="83">
        <v>6.6</v>
      </c>
      <c r="AD60" s="82" t="s">
        <v>938</v>
      </c>
      <c r="AE60" s="208" t="s">
        <v>337</v>
      </c>
      <c r="AF60" s="208" t="s">
        <v>12</v>
      </c>
      <c r="AG60" s="83">
        <v>4.5</v>
      </c>
      <c r="AL60" s="82"/>
      <c r="AO60" s="83"/>
      <c r="AP60" s="82"/>
      <c r="AS60" s="83"/>
      <c r="AW60" s="83"/>
      <c r="BA60" s="84"/>
    </row>
    <row r="61" spans="1:53" s="334" customFormat="1">
      <c r="A61" s="334">
        <v>2012</v>
      </c>
      <c r="B61" s="335">
        <v>40948</v>
      </c>
      <c r="C61" s="1025" t="s">
        <v>940</v>
      </c>
      <c r="D61" s="1025"/>
      <c r="E61" s="334">
        <v>88</v>
      </c>
      <c r="F61" s="334">
        <v>2</v>
      </c>
      <c r="G61" s="336">
        <v>9</v>
      </c>
      <c r="H61" s="200">
        <v>3</v>
      </c>
      <c r="I61" s="200">
        <v>2</v>
      </c>
      <c r="J61" s="337">
        <v>17</v>
      </c>
      <c r="K61" s="338">
        <f t="shared" si="5"/>
        <v>52.941176470588239</v>
      </c>
      <c r="L61" s="338">
        <f t="shared" si="6"/>
        <v>17.647058823529413</v>
      </c>
      <c r="M61" s="338">
        <f t="shared" si="7"/>
        <v>11.76470588235294</v>
      </c>
      <c r="N61" s="339">
        <f t="shared" si="3"/>
        <v>82.352941176470594</v>
      </c>
      <c r="O61" s="340">
        <v>37.1</v>
      </c>
      <c r="P61" s="338">
        <v>6.6</v>
      </c>
      <c r="Q61" s="338">
        <v>4.5</v>
      </c>
      <c r="R61" s="341">
        <f t="shared" si="4"/>
        <v>48.2</v>
      </c>
      <c r="S61" s="334">
        <v>5</v>
      </c>
      <c r="T61" s="357"/>
      <c r="U61" s="335">
        <v>40948</v>
      </c>
      <c r="V61" s="343" t="s">
        <v>934</v>
      </c>
      <c r="W61" s="334" t="s">
        <v>100</v>
      </c>
      <c r="X61" s="334" t="s">
        <v>11</v>
      </c>
      <c r="Y61" s="344">
        <v>37.1</v>
      </c>
      <c r="Z61" s="343" t="s">
        <v>928</v>
      </c>
      <c r="AA61" s="334" t="s">
        <v>90</v>
      </c>
      <c r="AB61" s="334" t="s">
        <v>18</v>
      </c>
      <c r="AC61" s="344">
        <v>6.6</v>
      </c>
      <c r="AD61" s="343" t="s">
        <v>938</v>
      </c>
      <c r="AE61" s="334" t="s">
        <v>337</v>
      </c>
      <c r="AF61" s="334" t="s">
        <v>12</v>
      </c>
      <c r="AG61" s="344">
        <v>4.5</v>
      </c>
      <c r="AL61" s="343"/>
      <c r="AO61" s="344"/>
      <c r="AP61" s="343"/>
      <c r="AS61" s="344"/>
      <c r="AW61" s="344"/>
      <c r="BA61" s="345"/>
    </row>
    <row r="62" spans="1:53" s="208" customFormat="1">
      <c r="A62" s="208">
        <v>2012</v>
      </c>
      <c r="B62" s="121">
        <v>41036</v>
      </c>
      <c r="C62" s="988" t="s">
        <v>939</v>
      </c>
      <c r="D62" s="988"/>
      <c r="E62" s="208">
        <v>91</v>
      </c>
      <c r="F62" s="208">
        <v>5</v>
      </c>
      <c r="G62" s="74">
        <v>6</v>
      </c>
      <c r="H62" s="75">
        <v>1</v>
      </c>
      <c r="I62" s="75">
        <v>12</v>
      </c>
      <c r="J62" s="76">
        <v>23</v>
      </c>
      <c r="K62" s="77">
        <f t="shared" si="5"/>
        <v>26.086956521739129</v>
      </c>
      <c r="L62" s="77">
        <v>3.4</v>
      </c>
      <c r="M62" s="77">
        <f t="shared" si="7"/>
        <v>52.173913043478258</v>
      </c>
      <c r="N62" s="78">
        <f t="shared" si="3"/>
        <v>81.660869565217382</v>
      </c>
      <c r="O62" s="79">
        <v>19.5</v>
      </c>
      <c r="P62" s="77">
        <v>1.2</v>
      </c>
      <c r="Q62" s="77">
        <v>32.9</v>
      </c>
      <c r="R62" s="80">
        <f t="shared" si="4"/>
        <v>53.599999999999994</v>
      </c>
      <c r="S62" s="208">
        <v>3</v>
      </c>
      <c r="T62" s="81"/>
      <c r="U62" s="121">
        <v>41036</v>
      </c>
      <c r="V62" s="82" t="s">
        <v>932</v>
      </c>
      <c r="W62" s="208" t="s">
        <v>20</v>
      </c>
      <c r="X62" s="208" t="s">
        <v>12</v>
      </c>
      <c r="Y62" s="208">
        <v>32.9</v>
      </c>
      <c r="Z62" s="82" t="s">
        <v>920</v>
      </c>
      <c r="AA62" s="208" t="s">
        <v>22</v>
      </c>
      <c r="AB62" s="208" t="s">
        <v>11</v>
      </c>
      <c r="AC62" s="208">
        <v>19.5</v>
      </c>
      <c r="AD62" s="82" t="s">
        <v>101</v>
      </c>
      <c r="AE62" s="208" t="s">
        <v>337</v>
      </c>
      <c r="AF62" s="208" t="s">
        <v>18</v>
      </c>
      <c r="AG62" s="83">
        <v>1.2</v>
      </c>
      <c r="AL62" s="82"/>
      <c r="AO62" s="83"/>
      <c r="AP62" s="82"/>
      <c r="AS62" s="83"/>
      <c r="AW62" s="83"/>
      <c r="BA62" s="84"/>
    </row>
    <row r="63" spans="1:53" s="208" customFormat="1">
      <c r="A63" s="208">
        <v>2012</v>
      </c>
      <c r="B63" s="154">
        <v>41127</v>
      </c>
      <c r="C63" s="988" t="s">
        <v>939</v>
      </c>
      <c r="D63" s="988"/>
      <c r="E63" s="208">
        <v>137</v>
      </c>
      <c r="F63" s="150">
        <v>0</v>
      </c>
      <c r="G63" s="74">
        <v>8</v>
      </c>
      <c r="H63" s="75">
        <v>1</v>
      </c>
      <c r="I63" s="75">
        <v>10</v>
      </c>
      <c r="J63" s="76">
        <v>23</v>
      </c>
      <c r="K63" s="77">
        <f t="shared" si="5"/>
        <v>34.782608695652172</v>
      </c>
      <c r="L63" s="77">
        <v>3.4</v>
      </c>
      <c r="M63" s="77">
        <f t="shared" si="7"/>
        <v>43.478260869565219</v>
      </c>
      <c r="N63" s="78">
        <f t="shared" si="3"/>
        <v>81.660869565217382</v>
      </c>
      <c r="O63" s="79">
        <v>19.5</v>
      </c>
      <c r="P63" s="77">
        <v>1.2</v>
      </c>
      <c r="Q63" s="77">
        <v>32.9</v>
      </c>
      <c r="R63" s="80">
        <f t="shared" si="4"/>
        <v>53.599999999999994</v>
      </c>
      <c r="S63" s="208">
        <v>3</v>
      </c>
      <c r="T63" s="81"/>
      <c r="V63" s="82" t="s">
        <v>932</v>
      </c>
      <c r="W63" s="208" t="s">
        <v>20</v>
      </c>
      <c r="X63" s="208" t="s">
        <v>12</v>
      </c>
      <c r="Y63" s="208">
        <v>32.9</v>
      </c>
      <c r="Z63" s="82" t="s">
        <v>920</v>
      </c>
      <c r="AA63" s="208" t="s">
        <v>22</v>
      </c>
      <c r="AB63" s="208" t="s">
        <v>11</v>
      </c>
      <c r="AC63" s="208">
        <v>19.5</v>
      </c>
      <c r="AD63" s="82" t="s">
        <v>101</v>
      </c>
      <c r="AE63" s="208" t="s">
        <v>337</v>
      </c>
      <c r="AF63" s="208" t="s">
        <v>18</v>
      </c>
      <c r="AG63" s="83">
        <v>1.2</v>
      </c>
      <c r="AL63" s="82"/>
      <c r="AO63" s="83"/>
      <c r="AP63" s="82"/>
      <c r="AS63" s="83"/>
      <c r="AW63" s="83"/>
      <c r="BA63" s="84"/>
    </row>
    <row r="64" spans="1:53" s="334" customFormat="1">
      <c r="A64" s="334">
        <v>2012</v>
      </c>
      <c r="B64" s="335">
        <v>41264</v>
      </c>
      <c r="C64" s="992" t="s">
        <v>941</v>
      </c>
      <c r="D64" s="992"/>
      <c r="E64" s="334">
        <f xml:space="preserve"> 366-E63-E62-E61-E60</f>
        <v>11</v>
      </c>
      <c r="F64" s="334">
        <v>1</v>
      </c>
      <c r="G64" s="336">
        <v>10</v>
      </c>
      <c r="H64" s="200">
        <v>1</v>
      </c>
      <c r="I64" s="200">
        <v>14</v>
      </c>
      <c r="J64" s="337">
        <v>25</v>
      </c>
      <c r="K64" s="338">
        <f t="shared" si="5"/>
        <v>40</v>
      </c>
      <c r="L64" s="338">
        <f t="shared" si="6"/>
        <v>4</v>
      </c>
      <c r="M64" s="338">
        <f t="shared" si="7"/>
        <v>56.000000000000007</v>
      </c>
      <c r="N64" s="339">
        <f t="shared" si="3"/>
        <v>100</v>
      </c>
      <c r="O64" s="340">
        <v>25.5</v>
      </c>
      <c r="P64" s="338">
        <v>3.4</v>
      </c>
      <c r="Q64" s="338">
        <v>38.1</v>
      </c>
      <c r="R64" s="341">
        <f t="shared" si="4"/>
        <v>67</v>
      </c>
      <c r="S64" s="334">
        <v>3</v>
      </c>
      <c r="T64" s="342">
        <v>41252</v>
      </c>
      <c r="U64" s="335">
        <v>41264</v>
      </c>
      <c r="V64" s="343" t="s">
        <v>932</v>
      </c>
      <c r="W64" s="334" t="s">
        <v>20</v>
      </c>
      <c r="X64" s="334" t="s">
        <v>12</v>
      </c>
      <c r="Y64" s="344">
        <v>36.4</v>
      </c>
      <c r="Z64" s="343" t="s">
        <v>920</v>
      </c>
      <c r="AA64" s="334" t="s">
        <v>22</v>
      </c>
      <c r="AB64" s="334" t="s">
        <v>11</v>
      </c>
      <c r="AC64" s="334">
        <v>25.5</v>
      </c>
      <c r="AD64" s="343" t="s">
        <v>101</v>
      </c>
      <c r="AE64" s="334" t="s">
        <v>337</v>
      </c>
      <c r="AF64" s="334" t="s">
        <v>18</v>
      </c>
      <c r="AG64" s="344">
        <v>3.4</v>
      </c>
      <c r="AH64" s="343" t="s">
        <v>938</v>
      </c>
      <c r="AI64" s="334" t="s">
        <v>337</v>
      </c>
      <c r="AJ64" s="334" t="s">
        <v>12</v>
      </c>
      <c r="AK64" s="334">
        <v>1.7</v>
      </c>
      <c r="AL64" s="343"/>
      <c r="AO64" s="344"/>
      <c r="AP64" s="343"/>
      <c r="AS64" s="344"/>
      <c r="AW64" s="344"/>
      <c r="BA64" s="345"/>
    </row>
    <row r="65" spans="1:53" s="334" customFormat="1">
      <c r="A65" s="334">
        <v>2013</v>
      </c>
      <c r="B65" s="335"/>
      <c r="C65" s="992" t="s">
        <v>941</v>
      </c>
      <c r="D65" s="992"/>
      <c r="E65" s="334">
        <v>104</v>
      </c>
      <c r="G65" s="336">
        <v>10</v>
      </c>
      <c r="H65" s="200">
        <v>1</v>
      </c>
      <c r="I65" s="200">
        <v>14</v>
      </c>
      <c r="J65" s="337">
        <v>25</v>
      </c>
      <c r="K65" s="338">
        <f t="shared" si="5"/>
        <v>40</v>
      </c>
      <c r="L65" s="338">
        <f t="shared" si="6"/>
        <v>4</v>
      </c>
      <c r="M65" s="338">
        <f t="shared" si="7"/>
        <v>56.000000000000007</v>
      </c>
      <c r="N65" s="339">
        <f t="shared" si="3"/>
        <v>100</v>
      </c>
      <c r="O65" s="340">
        <v>25.5</v>
      </c>
      <c r="P65" s="338">
        <v>3.4</v>
      </c>
      <c r="Q65" s="338">
        <v>38.1</v>
      </c>
      <c r="R65" s="341">
        <f>SUM(O65:Q65)</f>
        <v>67</v>
      </c>
      <c r="S65" s="334">
        <v>3</v>
      </c>
      <c r="T65" s="342"/>
      <c r="U65" s="335"/>
      <c r="V65" s="343" t="s">
        <v>932</v>
      </c>
      <c r="W65" s="334" t="s">
        <v>20</v>
      </c>
      <c r="X65" s="334" t="s">
        <v>12</v>
      </c>
      <c r="Y65" s="344">
        <v>36.4</v>
      </c>
      <c r="Z65" s="343" t="s">
        <v>920</v>
      </c>
      <c r="AA65" s="334" t="s">
        <v>22</v>
      </c>
      <c r="AB65" s="334" t="s">
        <v>11</v>
      </c>
      <c r="AC65" s="334">
        <v>25.5</v>
      </c>
      <c r="AD65" s="343" t="s">
        <v>101</v>
      </c>
      <c r="AE65" s="334" t="s">
        <v>337</v>
      </c>
      <c r="AF65" s="334" t="s">
        <v>18</v>
      </c>
      <c r="AG65" s="344">
        <v>3.4</v>
      </c>
      <c r="AH65" s="343" t="s">
        <v>938</v>
      </c>
      <c r="AI65" s="334" t="s">
        <v>337</v>
      </c>
      <c r="AJ65" s="334" t="s">
        <v>12</v>
      </c>
      <c r="AK65" s="334">
        <v>1.7</v>
      </c>
      <c r="AL65" s="343"/>
      <c r="AO65" s="344"/>
      <c r="AP65" s="343"/>
      <c r="AS65" s="344"/>
      <c r="AW65" s="344"/>
      <c r="BA65" s="345"/>
    </row>
    <row r="66" spans="1:53" s="334" customFormat="1">
      <c r="A66" s="334">
        <v>2013</v>
      </c>
      <c r="B66" s="440">
        <v>41379</v>
      </c>
      <c r="C66" s="992" t="s">
        <v>941</v>
      </c>
      <c r="D66" s="992"/>
      <c r="E66" s="334">
        <f>365-E65</f>
        <v>261</v>
      </c>
      <c r="F66" s="441">
        <v>0</v>
      </c>
      <c r="G66" s="336">
        <v>10</v>
      </c>
      <c r="H66" s="200">
        <v>1</v>
      </c>
      <c r="I66" s="200">
        <v>13</v>
      </c>
      <c r="J66" s="337">
        <v>25</v>
      </c>
      <c r="K66" s="338">
        <f t="shared" si="5"/>
        <v>40</v>
      </c>
      <c r="L66" s="338">
        <f t="shared" si="6"/>
        <v>4</v>
      </c>
      <c r="M66" s="338">
        <f t="shared" si="7"/>
        <v>52</v>
      </c>
      <c r="N66" s="339">
        <f t="shared" si="3"/>
        <v>96</v>
      </c>
      <c r="O66" s="340">
        <v>25.5</v>
      </c>
      <c r="P66" s="338">
        <v>3.4</v>
      </c>
      <c r="Q66" s="338">
        <v>38.1</v>
      </c>
      <c r="R66" s="341">
        <f>SUM(O66:Q66)</f>
        <v>67</v>
      </c>
      <c r="S66" s="334">
        <v>3</v>
      </c>
      <c r="T66" s="357"/>
      <c r="V66" s="343" t="s">
        <v>932</v>
      </c>
      <c r="W66" s="334" t="s">
        <v>20</v>
      </c>
      <c r="X66" s="334" t="s">
        <v>12</v>
      </c>
      <c r="Y66" s="344">
        <v>36.4</v>
      </c>
      <c r="Z66" s="334" t="s">
        <v>920</v>
      </c>
      <c r="AA66" s="334" t="s">
        <v>22</v>
      </c>
      <c r="AB66" s="334" t="s">
        <v>11</v>
      </c>
      <c r="AC66" s="334">
        <v>25.5</v>
      </c>
      <c r="AD66" s="343" t="s">
        <v>101</v>
      </c>
      <c r="AE66" s="334" t="s">
        <v>337</v>
      </c>
      <c r="AF66" s="334" t="s">
        <v>18</v>
      </c>
      <c r="AG66" s="344">
        <v>3.4</v>
      </c>
      <c r="AH66" s="334" t="s">
        <v>938</v>
      </c>
      <c r="AI66" s="334" t="s">
        <v>337</v>
      </c>
      <c r="AJ66" s="334" t="s">
        <v>12</v>
      </c>
      <c r="AK66" s="334">
        <v>1.7</v>
      </c>
      <c r="AL66" s="343"/>
      <c r="AO66" s="344"/>
      <c r="AP66" s="343"/>
      <c r="AS66" s="344"/>
      <c r="AW66" s="344"/>
      <c r="BA66" s="345"/>
    </row>
    <row r="67" spans="1:53" s="657" customFormat="1">
      <c r="A67" s="657">
        <v>2014</v>
      </c>
      <c r="B67" s="335"/>
      <c r="C67" s="992" t="s">
        <v>941</v>
      </c>
      <c r="D67" s="992"/>
      <c r="E67" s="657">
        <v>22</v>
      </c>
      <c r="G67" s="336">
        <v>10</v>
      </c>
      <c r="H67" s="200">
        <v>1</v>
      </c>
      <c r="I67" s="200">
        <v>13</v>
      </c>
      <c r="J67" s="337">
        <v>25</v>
      </c>
      <c r="K67" s="338">
        <f t="shared" si="5"/>
        <v>40</v>
      </c>
      <c r="L67" s="338">
        <f t="shared" si="6"/>
        <v>4</v>
      </c>
      <c r="M67" s="338">
        <f t="shared" si="7"/>
        <v>52</v>
      </c>
      <c r="N67" s="339">
        <f t="shared" si="3"/>
        <v>96</v>
      </c>
      <c r="O67" s="340">
        <v>25.5</v>
      </c>
      <c r="P67" s="338">
        <v>3.4</v>
      </c>
      <c r="Q67" s="338">
        <v>38.1</v>
      </c>
      <c r="R67" s="341">
        <f>SUM(O67:Q67)</f>
        <v>67</v>
      </c>
      <c r="S67" s="657">
        <v>3</v>
      </c>
      <c r="T67" s="487"/>
      <c r="U67" s="335"/>
      <c r="V67" s="634" t="s">
        <v>932</v>
      </c>
      <c r="W67" s="657" t="s">
        <v>20</v>
      </c>
      <c r="X67" s="657" t="s">
        <v>12</v>
      </c>
      <c r="Y67" s="635">
        <v>36.4</v>
      </c>
      <c r="Z67" s="657" t="s">
        <v>920</v>
      </c>
      <c r="AA67" s="657" t="s">
        <v>22</v>
      </c>
      <c r="AB67" s="657" t="s">
        <v>11</v>
      </c>
      <c r="AC67" s="657">
        <v>25.5</v>
      </c>
      <c r="AD67" s="634" t="s">
        <v>101</v>
      </c>
      <c r="AE67" s="657" t="s">
        <v>337</v>
      </c>
      <c r="AF67" s="657" t="s">
        <v>18</v>
      </c>
      <c r="AG67" s="635">
        <v>3.4</v>
      </c>
      <c r="AH67" s="657" t="s">
        <v>938</v>
      </c>
      <c r="AI67" s="657" t="s">
        <v>337</v>
      </c>
      <c r="AJ67" s="657" t="s">
        <v>12</v>
      </c>
      <c r="AK67" s="657">
        <v>1.7</v>
      </c>
      <c r="AL67" s="634"/>
      <c r="AO67" s="635"/>
      <c r="AP67" s="634"/>
      <c r="AS67" s="635"/>
      <c r="AW67" s="635"/>
      <c r="BA67" s="636"/>
    </row>
    <row r="68" spans="1:53" s="657" customFormat="1">
      <c r="A68" s="657">
        <v>2014</v>
      </c>
      <c r="B68" s="440">
        <v>41662</v>
      </c>
      <c r="C68" s="992" t="s">
        <v>941</v>
      </c>
      <c r="D68" s="992"/>
      <c r="E68" s="657">
        <v>14</v>
      </c>
      <c r="F68" s="501">
        <v>0</v>
      </c>
      <c r="G68" s="336">
        <v>9</v>
      </c>
      <c r="H68" s="200">
        <v>1</v>
      </c>
      <c r="I68" s="200">
        <v>14</v>
      </c>
      <c r="J68" s="337">
        <v>25</v>
      </c>
      <c r="K68" s="338">
        <f t="shared" si="5"/>
        <v>36</v>
      </c>
      <c r="L68" s="338">
        <f t="shared" si="6"/>
        <v>4</v>
      </c>
      <c r="M68" s="338">
        <f t="shared" si="7"/>
        <v>56.000000000000007</v>
      </c>
      <c r="N68" s="339">
        <f t="shared" si="3"/>
        <v>96</v>
      </c>
      <c r="O68" s="340">
        <v>25.5</v>
      </c>
      <c r="P68" s="338">
        <v>3.4</v>
      </c>
      <c r="Q68" s="338">
        <v>38.1</v>
      </c>
      <c r="R68" s="341">
        <f>SUM(O68:Q68)</f>
        <v>67</v>
      </c>
      <c r="S68" s="657">
        <v>3</v>
      </c>
      <c r="T68" s="487"/>
      <c r="U68" s="335"/>
      <c r="V68" s="634" t="s">
        <v>932</v>
      </c>
      <c r="W68" s="657" t="s">
        <v>20</v>
      </c>
      <c r="X68" s="657" t="s">
        <v>12</v>
      </c>
      <c r="Y68" s="635">
        <v>36.4</v>
      </c>
      <c r="Z68" s="657" t="s">
        <v>920</v>
      </c>
      <c r="AA68" s="657" t="s">
        <v>22</v>
      </c>
      <c r="AB68" s="657" t="s">
        <v>11</v>
      </c>
      <c r="AC68" s="657">
        <v>25.5</v>
      </c>
      <c r="AD68" s="634" t="s">
        <v>101</v>
      </c>
      <c r="AE68" s="657" t="s">
        <v>337</v>
      </c>
      <c r="AF68" s="657" t="s">
        <v>18</v>
      </c>
      <c r="AG68" s="635">
        <v>3.4</v>
      </c>
      <c r="AH68" s="657" t="s">
        <v>938</v>
      </c>
      <c r="AI68" s="657" t="s">
        <v>337</v>
      </c>
      <c r="AJ68" s="657" t="s">
        <v>12</v>
      </c>
      <c r="AK68" s="657">
        <v>1.7</v>
      </c>
      <c r="AL68" s="634"/>
      <c r="AO68" s="635"/>
      <c r="AP68" s="634"/>
      <c r="AS68" s="635"/>
      <c r="AW68" s="635"/>
      <c r="BA68" s="636"/>
    </row>
    <row r="69" spans="1:53" s="657" customFormat="1">
      <c r="A69" s="657">
        <v>2014</v>
      </c>
      <c r="B69" s="440">
        <v>41676</v>
      </c>
      <c r="C69" s="992" t="s">
        <v>941</v>
      </c>
      <c r="D69" s="992"/>
      <c r="E69" s="657">
        <v>1</v>
      </c>
      <c r="F69" s="501">
        <v>0</v>
      </c>
      <c r="G69" s="336">
        <v>8</v>
      </c>
      <c r="H69" s="200">
        <v>1</v>
      </c>
      <c r="I69" s="200">
        <v>15</v>
      </c>
      <c r="J69" s="337">
        <v>25</v>
      </c>
      <c r="K69" s="338">
        <f t="shared" si="5"/>
        <v>32</v>
      </c>
      <c r="L69" s="338">
        <f t="shared" si="6"/>
        <v>4</v>
      </c>
      <c r="M69" s="338">
        <f t="shared" si="7"/>
        <v>60</v>
      </c>
      <c r="N69" s="339">
        <f t="shared" si="3"/>
        <v>96</v>
      </c>
      <c r="O69" s="340">
        <v>25.5</v>
      </c>
      <c r="P69" s="338">
        <v>3.4</v>
      </c>
      <c r="Q69" s="338">
        <v>38.1</v>
      </c>
      <c r="R69" s="341">
        <f t="shared" ref="R69:R74" si="8">SUM(O69:Q69)</f>
        <v>67</v>
      </c>
      <c r="S69" s="657">
        <v>3</v>
      </c>
      <c r="T69" s="487"/>
      <c r="U69" s="335"/>
      <c r="V69" s="634" t="s">
        <v>932</v>
      </c>
      <c r="W69" s="657" t="s">
        <v>20</v>
      </c>
      <c r="X69" s="657" t="s">
        <v>12</v>
      </c>
      <c r="Y69" s="635">
        <v>36.4</v>
      </c>
      <c r="Z69" s="657" t="s">
        <v>920</v>
      </c>
      <c r="AA69" s="657" t="s">
        <v>22</v>
      </c>
      <c r="AB69" s="657" t="s">
        <v>11</v>
      </c>
      <c r="AC69" s="657">
        <v>25.5</v>
      </c>
      <c r="AD69" s="634" t="s">
        <v>101</v>
      </c>
      <c r="AE69" s="657" t="s">
        <v>337</v>
      </c>
      <c r="AF69" s="657" t="s">
        <v>18</v>
      </c>
      <c r="AG69" s="635">
        <v>3.4</v>
      </c>
      <c r="AH69" s="657" t="s">
        <v>938</v>
      </c>
      <c r="AI69" s="657" t="s">
        <v>337</v>
      </c>
      <c r="AJ69" s="657" t="s">
        <v>12</v>
      </c>
      <c r="AK69" s="657">
        <v>1.7</v>
      </c>
      <c r="AL69" s="634"/>
      <c r="AO69" s="635"/>
      <c r="AP69" s="634"/>
      <c r="AS69" s="635"/>
      <c r="AW69" s="635"/>
      <c r="BA69" s="636"/>
    </row>
    <row r="70" spans="1:53" s="657" customFormat="1">
      <c r="A70" s="657">
        <v>2014</v>
      </c>
      <c r="B70" s="440">
        <v>41677</v>
      </c>
      <c r="C70" s="992" t="s">
        <v>941</v>
      </c>
      <c r="D70" s="992"/>
      <c r="E70" s="657">
        <v>19</v>
      </c>
      <c r="F70" s="501">
        <v>0</v>
      </c>
      <c r="G70" s="336">
        <v>7</v>
      </c>
      <c r="H70" s="200">
        <v>1</v>
      </c>
      <c r="I70" s="200">
        <v>16</v>
      </c>
      <c r="J70" s="337">
        <v>25</v>
      </c>
      <c r="K70" s="338">
        <f t="shared" si="5"/>
        <v>28.000000000000004</v>
      </c>
      <c r="L70" s="338">
        <f t="shared" si="6"/>
        <v>4</v>
      </c>
      <c r="M70" s="338">
        <f t="shared" si="7"/>
        <v>64</v>
      </c>
      <c r="N70" s="339">
        <f t="shared" si="3"/>
        <v>96</v>
      </c>
      <c r="O70" s="340">
        <v>25.5</v>
      </c>
      <c r="P70" s="338">
        <v>3.4</v>
      </c>
      <c r="Q70" s="338">
        <v>38.1</v>
      </c>
      <c r="R70" s="341">
        <f t="shared" si="8"/>
        <v>67</v>
      </c>
      <c r="S70" s="657">
        <v>3</v>
      </c>
      <c r="T70" s="487"/>
      <c r="U70" s="335"/>
      <c r="V70" s="634" t="s">
        <v>932</v>
      </c>
      <c r="W70" s="657" t="s">
        <v>20</v>
      </c>
      <c r="X70" s="657" t="s">
        <v>12</v>
      </c>
      <c r="Y70" s="635">
        <v>36.4</v>
      </c>
      <c r="Z70" s="657" t="s">
        <v>920</v>
      </c>
      <c r="AA70" s="657" t="s">
        <v>22</v>
      </c>
      <c r="AB70" s="657" t="s">
        <v>11</v>
      </c>
      <c r="AC70" s="657">
        <v>25.5</v>
      </c>
      <c r="AD70" s="634" t="s">
        <v>101</v>
      </c>
      <c r="AE70" s="657" t="s">
        <v>337</v>
      </c>
      <c r="AF70" s="657" t="s">
        <v>18</v>
      </c>
      <c r="AG70" s="635">
        <v>3.4</v>
      </c>
      <c r="AH70" s="657" t="s">
        <v>938</v>
      </c>
      <c r="AI70" s="657" t="s">
        <v>337</v>
      </c>
      <c r="AJ70" s="657" t="s">
        <v>12</v>
      </c>
      <c r="AK70" s="657">
        <v>1.7</v>
      </c>
      <c r="AL70" s="634"/>
      <c r="AO70" s="635"/>
      <c r="AP70" s="634"/>
      <c r="AS70" s="635"/>
      <c r="AW70" s="635"/>
      <c r="BA70" s="636"/>
    </row>
    <row r="71" spans="1:53" s="657" customFormat="1">
      <c r="A71" s="657">
        <v>2014</v>
      </c>
      <c r="B71" s="440">
        <v>41696</v>
      </c>
      <c r="C71" s="992" t="s">
        <v>941</v>
      </c>
      <c r="D71" s="992"/>
      <c r="E71" s="657">
        <v>7</v>
      </c>
      <c r="F71" s="501">
        <v>0</v>
      </c>
      <c r="G71" s="336"/>
      <c r="H71" s="200">
        <v>1</v>
      </c>
      <c r="I71" s="200">
        <v>23</v>
      </c>
      <c r="J71" s="337">
        <v>25</v>
      </c>
      <c r="K71" s="338">
        <f t="shared" ref="K71:K78" si="9">G71/J71*100</f>
        <v>0</v>
      </c>
      <c r="L71" s="338">
        <f t="shared" ref="L71:L78" si="10">H71/J71*100</f>
        <v>4</v>
      </c>
      <c r="M71" s="338">
        <f t="shared" ref="M71:M78" si="11">I71/J71*100</f>
        <v>92</v>
      </c>
      <c r="N71" s="339">
        <f t="shared" ref="N71:N78" si="12">SUM(K71:M71)</f>
        <v>96</v>
      </c>
      <c r="O71" s="340"/>
      <c r="P71" s="338">
        <v>3.4</v>
      </c>
      <c r="Q71" s="338">
        <v>38.1</v>
      </c>
      <c r="R71" s="341">
        <f t="shared" si="8"/>
        <v>41.5</v>
      </c>
      <c r="S71" s="657">
        <v>5</v>
      </c>
      <c r="T71" s="487"/>
      <c r="U71" s="335"/>
      <c r="V71" s="634" t="s">
        <v>932</v>
      </c>
      <c r="W71" s="657" t="s">
        <v>20</v>
      </c>
      <c r="X71" s="657" t="s">
        <v>12</v>
      </c>
      <c r="Y71" s="635">
        <v>36.4</v>
      </c>
      <c r="Z71" s="657" t="s">
        <v>101</v>
      </c>
      <c r="AA71" s="657" t="s">
        <v>337</v>
      </c>
      <c r="AB71" s="657" t="s">
        <v>18</v>
      </c>
      <c r="AC71" s="657">
        <v>3.4</v>
      </c>
      <c r="AD71" s="634" t="s">
        <v>938</v>
      </c>
      <c r="AE71" s="657" t="s">
        <v>337</v>
      </c>
      <c r="AF71" s="657" t="s">
        <v>12</v>
      </c>
      <c r="AG71" s="635">
        <v>1.7</v>
      </c>
      <c r="AL71" s="634"/>
      <c r="AO71" s="635"/>
      <c r="AP71" s="634"/>
      <c r="AS71" s="635"/>
      <c r="AW71" s="635"/>
      <c r="BA71" s="636"/>
    </row>
    <row r="72" spans="1:53" s="656" customFormat="1">
      <c r="A72" s="656">
        <v>2014</v>
      </c>
      <c r="B72" s="121">
        <v>41703</v>
      </c>
      <c r="C72" s="988" t="s">
        <v>1315</v>
      </c>
      <c r="D72" s="988"/>
      <c r="E72" s="656">
        <v>264</v>
      </c>
      <c r="F72" s="656">
        <v>4</v>
      </c>
      <c r="G72" s="74"/>
      <c r="H72" s="75">
        <v>3</v>
      </c>
      <c r="I72" s="75">
        <v>17</v>
      </c>
      <c r="J72" s="76">
        <v>26</v>
      </c>
      <c r="K72" s="77">
        <f t="shared" si="9"/>
        <v>0</v>
      </c>
      <c r="L72" s="77">
        <f t="shared" si="10"/>
        <v>11.538461538461538</v>
      </c>
      <c r="M72" s="77">
        <f t="shared" si="11"/>
        <v>65.384615384615387</v>
      </c>
      <c r="N72" s="78">
        <f t="shared" si="12"/>
        <v>76.92307692307692</v>
      </c>
      <c r="O72" s="79"/>
      <c r="P72" s="77">
        <v>8.3000000000000007</v>
      </c>
      <c r="Q72" s="77">
        <v>42.5</v>
      </c>
      <c r="R72" s="80">
        <f t="shared" si="8"/>
        <v>50.8</v>
      </c>
      <c r="S72" s="656">
        <v>2</v>
      </c>
      <c r="T72" s="575"/>
      <c r="U72" s="121">
        <v>41703</v>
      </c>
      <c r="V72" s="588" t="s">
        <v>932</v>
      </c>
      <c r="W72" s="656" t="s">
        <v>20</v>
      </c>
      <c r="X72" s="656" t="s">
        <v>12</v>
      </c>
      <c r="Y72" s="656">
        <v>37.6</v>
      </c>
      <c r="Z72" s="588" t="s">
        <v>101</v>
      </c>
      <c r="AA72" s="656" t="s">
        <v>337</v>
      </c>
      <c r="AB72" s="656" t="s">
        <v>18</v>
      </c>
      <c r="AC72" s="656">
        <v>3.9</v>
      </c>
      <c r="AD72" s="588" t="s">
        <v>938</v>
      </c>
      <c r="AE72" s="656" t="s">
        <v>337</v>
      </c>
      <c r="AF72" s="656" t="s">
        <v>12</v>
      </c>
      <c r="AG72" s="589">
        <v>4.9000000000000004</v>
      </c>
      <c r="AH72" s="656" t="s">
        <v>928</v>
      </c>
      <c r="AI72" s="656" t="s">
        <v>90</v>
      </c>
      <c r="AJ72" s="656" t="s">
        <v>18</v>
      </c>
      <c r="AK72" s="656">
        <v>4.4000000000000004</v>
      </c>
      <c r="AL72" s="588"/>
      <c r="AO72" s="589"/>
      <c r="AP72" s="588"/>
      <c r="AS72" s="589"/>
      <c r="AW72" s="589"/>
      <c r="BA72" s="590"/>
    </row>
    <row r="73" spans="1:53" s="656" customFormat="1">
      <c r="A73" s="656">
        <v>2014</v>
      </c>
      <c r="B73" s="154">
        <v>41967</v>
      </c>
      <c r="C73" s="988" t="s">
        <v>1315</v>
      </c>
      <c r="D73" s="988"/>
      <c r="E73" s="656">
        <v>23</v>
      </c>
      <c r="F73" s="600">
        <v>0</v>
      </c>
      <c r="G73" s="74"/>
      <c r="H73" s="75">
        <v>3</v>
      </c>
      <c r="I73" s="75">
        <v>16</v>
      </c>
      <c r="J73" s="76">
        <v>26</v>
      </c>
      <c r="K73" s="77">
        <f t="shared" si="9"/>
        <v>0</v>
      </c>
      <c r="L73" s="77">
        <f t="shared" si="10"/>
        <v>11.538461538461538</v>
      </c>
      <c r="M73" s="77">
        <f t="shared" si="11"/>
        <v>61.53846153846154</v>
      </c>
      <c r="N73" s="78">
        <f t="shared" si="12"/>
        <v>73.07692307692308</v>
      </c>
      <c r="O73" s="79"/>
      <c r="P73" s="77">
        <v>8.3000000000000007</v>
      </c>
      <c r="Q73" s="77">
        <v>42.5</v>
      </c>
      <c r="R73" s="80">
        <f t="shared" si="8"/>
        <v>50.8</v>
      </c>
      <c r="S73" s="656">
        <v>2</v>
      </c>
      <c r="T73" s="575"/>
      <c r="V73" s="588" t="s">
        <v>932</v>
      </c>
      <c r="W73" s="656" t="s">
        <v>20</v>
      </c>
      <c r="X73" s="656" t="s">
        <v>12</v>
      </c>
      <c r="Y73" s="656">
        <v>37.6</v>
      </c>
      <c r="Z73" s="588" t="s">
        <v>101</v>
      </c>
      <c r="AA73" s="656" t="s">
        <v>337</v>
      </c>
      <c r="AB73" s="656" t="s">
        <v>18</v>
      </c>
      <c r="AC73" s="656">
        <v>3.9</v>
      </c>
      <c r="AD73" s="588" t="s">
        <v>938</v>
      </c>
      <c r="AE73" s="656" t="s">
        <v>337</v>
      </c>
      <c r="AF73" s="656" t="s">
        <v>12</v>
      </c>
      <c r="AG73" s="589">
        <v>4.9000000000000004</v>
      </c>
      <c r="AH73" s="656" t="s">
        <v>928</v>
      </c>
      <c r="AI73" s="656" t="s">
        <v>90</v>
      </c>
      <c r="AJ73" s="656" t="s">
        <v>18</v>
      </c>
      <c r="AK73" s="656">
        <v>4.4000000000000004</v>
      </c>
      <c r="AL73" s="588"/>
      <c r="AO73" s="589"/>
      <c r="AP73" s="588"/>
      <c r="AS73" s="589"/>
      <c r="AW73" s="589"/>
      <c r="BA73" s="590"/>
    </row>
    <row r="74" spans="1:53" s="657" customFormat="1">
      <c r="A74" s="657">
        <v>2014</v>
      </c>
      <c r="B74" s="335">
        <v>41990</v>
      </c>
      <c r="C74" s="1025" t="s">
        <v>1316</v>
      </c>
      <c r="D74" s="1025"/>
      <c r="E74" s="657">
        <v>15</v>
      </c>
      <c r="F74" s="657">
        <v>4</v>
      </c>
      <c r="G74" s="336">
        <v>2</v>
      </c>
      <c r="H74" s="200">
        <v>2</v>
      </c>
      <c r="I74" s="200">
        <v>16</v>
      </c>
      <c r="J74" s="337">
        <v>22</v>
      </c>
      <c r="K74" s="338">
        <f t="shared" si="9"/>
        <v>9.0909090909090917</v>
      </c>
      <c r="L74" s="338">
        <f t="shared" si="10"/>
        <v>9.0909090909090917</v>
      </c>
      <c r="M74" s="338">
        <f t="shared" si="11"/>
        <v>72.727272727272734</v>
      </c>
      <c r="N74" s="339">
        <f t="shared" si="12"/>
        <v>90.909090909090921</v>
      </c>
      <c r="O74" s="340">
        <v>4</v>
      </c>
      <c r="P74" s="338">
        <v>3.2</v>
      </c>
      <c r="Q74" s="338">
        <v>45.1</v>
      </c>
      <c r="R74" s="341">
        <f t="shared" si="8"/>
        <v>52.300000000000004</v>
      </c>
      <c r="S74" s="657">
        <v>2</v>
      </c>
      <c r="T74" s="638"/>
      <c r="U74" s="335">
        <v>41990</v>
      </c>
      <c r="V74" s="634" t="s">
        <v>932</v>
      </c>
      <c r="W74" s="657" t="s">
        <v>20</v>
      </c>
      <c r="X74" s="657" t="s">
        <v>12</v>
      </c>
      <c r="Y74" s="635">
        <v>36.6</v>
      </c>
      <c r="Z74" s="634" t="s">
        <v>101</v>
      </c>
      <c r="AA74" s="657" t="s">
        <v>337</v>
      </c>
      <c r="AB74" s="657" t="s">
        <v>18</v>
      </c>
      <c r="AC74" s="635">
        <v>3.2</v>
      </c>
      <c r="AD74" s="634" t="s">
        <v>938</v>
      </c>
      <c r="AE74" s="657" t="s">
        <v>337</v>
      </c>
      <c r="AF74" s="657" t="s">
        <v>12</v>
      </c>
      <c r="AG74" s="635">
        <v>8.5</v>
      </c>
      <c r="AH74" s="657" t="s">
        <v>1317</v>
      </c>
      <c r="AI74" s="657" t="s">
        <v>337</v>
      </c>
      <c r="AJ74" s="657" t="s">
        <v>11</v>
      </c>
      <c r="AK74" s="657">
        <v>4</v>
      </c>
      <c r="AL74" s="634"/>
      <c r="AO74" s="635"/>
      <c r="AP74" s="634"/>
      <c r="AS74" s="635"/>
      <c r="AW74" s="635"/>
      <c r="BA74" s="636"/>
    </row>
    <row r="75" spans="1:53" s="752" customFormat="1">
      <c r="A75" s="752">
        <v>2015</v>
      </c>
      <c r="B75" s="335"/>
      <c r="C75" s="1025" t="s">
        <v>1316</v>
      </c>
      <c r="D75" s="1025"/>
      <c r="E75" s="752">
        <v>308</v>
      </c>
      <c r="G75" s="336">
        <v>2</v>
      </c>
      <c r="H75" s="200">
        <v>2</v>
      </c>
      <c r="I75" s="200">
        <v>16</v>
      </c>
      <c r="J75" s="337">
        <v>22</v>
      </c>
      <c r="K75" s="338">
        <f t="shared" si="9"/>
        <v>9.0909090909090917</v>
      </c>
      <c r="L75" s="338">
        <f t="shared" si="10"/>
        <v>9.0909090909090917</v>
      </c>
      <c r="M75" s="338">
        <f t="shared" si="11"/>
        <v>72.727272727272734</v>
      </c>
      <c r="N75" s="339">
        <f t="shared" si="12"/>
        <v>90.909090909090921</v>
      </c>
      <c r="O75" s="340">
        <v>4</v>
      </c>
      <c r="P75" s="338">
        <v>3.2</v>
      </c>
      <c r="Q75" s="338">
        <v>45.1</v>
      </c>
      <c r="R75" s="341">
        <f t="shared" ref="R75" si="13">SUM(O75:Q75)</f>
        <v>52.300000000000004</v>
      </c>
      <c r="S75" s="752">
        <v>2</v>
      </c>
      <c r="T75" s="638"/>
      <c r="U75" s="335"/>
      <c r="V75" s="634" t="s">
        <v>932</v>
      </c>
      <c r="W75" s="752" t="s">
        <v>20</v>
      </c>
      <c r="X75" s="752" t="s">
        <v>12</v>
      </c>
      <c r="Y75" s="635">
        <v>36.6</v>
      </c>
      <c r="Z75" s="634" t="s">
        <v>101</v>
      </c>
      <c r="AA75" s="752" t="s">
        <v>337</v>
      </c>
      <c r="AB75" s="752" t="s">
        <v>18</v>
      </c>
      <c r="AC75" s="635">
        <v>3.2</v>
      </c>
      <c r="AD75" s="634" t="s">
        <v>938</v>
      </c>
      <c r="AE75" s="752" t="s">
        <v>337</v>
      </c>
      <c r="AF75" s="752" t="s">
        <v>12</v>
      </c>
      <c r="AG75" s="635">
        <v>8.5</v>
      </c>
      <c r="AH75" s="752" t="s">
        <v>1317</v>
      </c>
      <c r="AI75" s="752" t="s">
        <v>337</v>
      </c>
      <c r="AJ75" s="752" t="s">
        <v>11</v>
      </c>
      <c r="AK75" s="752">
        <v>4</v>
      </c>
      <c r="AL75" s="634"/>
      <c r="AO75" s="635"/>
      <c r="AP75" s="634"/>
      <c r="AS75" s="635"/>
      <c r="AW75" s="635"/>
      <c r="BA75" s="636"/>
    </row>
    <row r="76" spans="1:53" s="751" customFormat="1">
      <c r="A76" s="751">
        <v>2015</v>
      </c>
      <c r="B76" s="121">
        <v>42313</v>
      </c>
      <c r="C76" s="988" t="s">
        <v>1344</v>
      </c>
      <c r="D76" s="988"/>
      <c r="E76" s="751">
        <v>4</v>
      </c>
      <c r="F76" s="751">
        <v>2</v>
      </c>
      <c r="G76" s="74">
        <v>2</v>
      </c>
      <c r="H76" s="75">
        <v>2</v>
      </c>
      <c r="I76" s="75">
        <v>15</v>
      </c>
      <c r="J76" s="76">
        <v>21</v>
      </c>
      <c r="K76" s="77">
        <f t="shared" si="9"/>
        <v>9.5238095238095237</v>
      </c>
      <c r="L76" s="77">
        <f t="shared" si="10"/>
        <v>9.5238095238095237</v>
      </c>
      <c r="M76" s="77">
        <f t="shared" si="11"/>
        <v>71.428571428571431</v>
      </c>
      <c r="N76" s="78">
        <f t="shared" si="12"/>
        <v>90.476190476190482</v>
      </c>
      <c r="O76" s="79">
        <v>4</v>
      </c>
      <c r="P76" s="77">
        <v>3.2</v>
      </c>
      <c r="Q76" s="77">
        <v>45.1</v>
      </c>
      <c r="R76" s="80">
        <v>52.300000000000004</v>
      </c>
      <c r="S76" s="751">
        <v>6</v>
      </c>
      <c r="T76" s="575"/>
      <c r="U76" s="121">
        <v>42313</v>
      </c>
      <c r="V76" s="757" t="s">
        <v>1343</v>
      </c>
      <c r="Z76" s="588" t="s">
        <v>932</v>
      </c>
      <c r="AA76" s="751" t="s">
        <v>20</v>
      </c>
      <c r="AB76" s="751" t="s">
        <v>12</v>
      </c>
      <c r="AC76" s="751">
        <v>36.6</v>
      </c>
      <c r="AD76" s="588" t="s">
        <v>101</v>
      </c>
      <c r="AE76" s="751" t="s">
        <v>337</v>
      </c>
      <c r="AF76" s="751" t="s">
        <v>18</v>
      </c>
      <c r="AG76" s="589">
        <v>3.2</v>
      </c>
      <c r="AH76" s="751" t="s">
        <v>938</v>
      </c>
      <c r="AI76" s="751" t="s">
        <v>337</v>
      </c>
      <c r="AJ76" s="751" t="s">
        <v>12</v>
      </c>
      <c r="AK76" s="751">
        <v>8.5</v>
      </c>
      <c r="AL76" s="588" t="s">
        <v>1317</v>
      </c>
      <c r="AM76" s="751" t="s">
        <v>337</v>
      </c>
      <c r="AN76" s="751" t="s">
        <v>11</v>
      </c>
      <c r="AO76" s="589">
        <v>4</v>
      </c>
      <c r="AP76" s="588"/>
      <c r="AS76" s="589"/>
      <c r="AW76" s="589"/>
      <c r="BA76" s="590"/>
    </row>
    <row r="77" spans="1:53" s="751" customFormat="1">
      <c r="A77" s="751">
        <v>2015</v>
      </c>
      <c r="B77" s="154">
        <v>42317</v>
      </c>
      <c r="C77" s="988" t="s">
        <v>1344</v>
      </c>
      <c r="D77" s="988"/>
      <c r="E77" s="751">
        <v>8</v>
      </c>
      <c r="F77" s="600">
        <v>0</v>
      </c>
      <c r="G77" s="74">
        <v>2</v>
      </c>
      <c r="H77" s="75">
        <v>2</v>
      </c>
      <c r="I77" s="75">
        <v>14</v>
      </c>
      <c r="J77" s="76">
        <v>20</v>
      </c>
      <c r="K77" s="77">
        <f t="shared" si="9"/>
        <v>10</v>
      </c>
      <c r="L77" s="77">
        <f t="shared" si="10"/>
        <v>10</v>
      </c>
      <c r="M77" s="77">
        <f t="shared" si="11"/>
        <v>70</v>
      </c>
      <c r="N77" s="78">
        <f t="shared" si="12"/>
        <v>90</v>
      </c>
      <c r="O77" s="79">
        <v>4</v>
      </c>
      <c r="P77" s="77">
        <v>3.2</v>
      </c>
      <c r="Q77" s="77">
        <v>45.1</v>
      </c>
      <c r="R77" s="80">
        <v>52.300000000000004</v>
      </c>
      <c r="S77" s="751">
        <v>6</v>
      </c>
      <c r="T77" s="575"/>
      <c r="U77" s="121"/>
      <c r="V77" s="757" t="s">
        <v>1343</v>
      </c>
      <c r="Z77" s="588" t="s">
        <v>932</v>
      </c>
      <c r="AA77" s="751" t="s">
        <v>20</v>
      </c>
      <c r="AB77" s="751" t="s">
        <v>12</v>
      </c>
      <c r="AC77" s="751">
        <v>36.6</v>
      </c>
      <c r="AD77" s="588" t="s">
        <v>101</v>
      </c>
      <c r="AE77" s="751" t="s">
        <v>337</v>
      </c>
      <c r="AF77" s="751" t="s">
        <v>18</v>
      </c>
      <c r="AG77" s="589">
        <v>3.2</v>
      </c>
      <c r="AH77" s="751" t="s">
        <v>938</v>
      </c>
      <c r="AI77" s="751" t="s">
        <v>337</v>
      </c>
      <c r="AJ77" s="751" t="s">
        <v>12</v>
      </c>
      <c r="AK77" s="751">
        <v>8.5</v>
      </c>
      <c r="AL77" s="588" t="s">
        <v>1317</v>
      </c>
      <c r="AM77" s="751" t="s">
        <v>337</v>
      </c>
      <c r="AN77" s="751" t="s">
        <v>11</v>
      </c>
      <c r="AO77" s="589">
        <v>4</v>
      </c>
      <c r="AP77" s="588"/>
      <c r="AS77" s="589"/>
      <c r="AW77" s="589"/>
      <c r="BA77" s="590"/>
    </row>
    <row r="78" spans="1:53" s="752" customFormat="1">
      <c r="A78" s="752">
        <v>2015</v>
      </c>
      <c r="B78" s="335">
        <v>42325</v>
      </c>
      <c r="C78" s="1025" t="s">
        <v>1345</v>
      </c>
      <c r="D78" s="1025"/>
      <c r="E78" s="752">
        <v>45</v>
      </c>
      <c r="F78" s="769">
        <v>2</v>
      </c>
      <c r="G78" s="336">
        <v>0</v>
      </c>
      <c r="H78" s="200">
        <v>0</v>
      </c>
      <c r="I78" s="200">
        <v>0</v>
      </c>
      <c r="J78" s="337">
        <v>23</v>
      </c>
      <c r="K78" s="338">
        <f t="shared" si="9"/>
        <v>0</v>
      </c>
      <c r="L78" s="338">
        <f t="shared" si="10"/>
        <v>0</v>
      </c>
      <c r="M78" s="338">
        <f t="shared" si="11"/>
        <v>0</v>
      </c>
      <c r="N78" s="339">
        <f t="shared" si="12"/>
        <v>0</v>
      </c>
      <c r="O78" s="340">
        <v>0</v>
      </c>
      <c r="P78" s="338">
        <v>0</v>
      </c>
      <c r="Q78" s="338">
        <v>0</v>
      </c>
      <c r="R78" s="341">
        <v>0</v>
      </c>
      <c r="S78" s="752">
        <v>7</v>
      </c>
      <c r="T78" s="638"/>
      <c r="U78" s="335">
        <v>42325</v>
      </c>
      <c r="V78" s="754" t="s">
        <v>809</v>
      </c>
      <c r="Y78" s="635"/>
      <c r="Z78" s="634"/>
      <c r="AC78" s="635"/>
      <c r="AD78" s="634"/>
      <c r="AG78" s="635"/>
      <c r="AL78" s="634"/>
      <c r="AO78" s="635"/>
      <c r="AP78" s="634"/>
      <c r="AS78" s="635"/>
      <c r="AW78" s="635"/>
      <c r="BA78" s="636"/>
    </row>
    <row r="79" spans="1:53" s="841" customFormat="1">
      <c r="A79" s="841">
        <v>2016</v>
      </c>
      <c r="B79" s="335"/>
      <c r="C79" s="1025" t="s">
        <v>1345</v>
      </c>
      <c r="D79" s="1025"/>
      <c r="E79" s="841">
        <v>0</v>
      </c>
      <c r="G79" s="336">
        <v>0</v>
      </c>
      <c r="H79" s="200">
        <v>0</v>
      </c>
      <c r="I79" s="200">
        <v>0</v>
      </c>
      <c r="J79" s="337">
        <v>23</v>
      </c>
      <c r="K79" s="338">
        <f t="shared" ref="K79:K85" si="14">G79/J79*100</f>
        <v>0</v>
      </c>
      <c r="L79" s="338">
        <f t="shared" ref="L79:L85" si="15">H79/J79*100</f>
        <v>0</v>
      </c>
      <c r="M79" s="338">
        <f t="shared" ref="M79:M85" si="16">I79/J79*100</f>
        <v>0</v>
      </c>
      <c r="N79" s="339">
        <f t="shared" ref="N79:N85" si="17">SUM(K79:M79)</f>
        <v>0</v>
      </c>
      <c r="O79" s="340">
        <v>0</v>
      </c>
      <c r="P79" s="338">
        <v>0</v>
      </c>
      <c r="Q79" s="338">
        <v>0</v>
      </c>
      <c r="R79" s="341">
        <v>0</v>
      </c>
      <c r="S79" s="841">
        <v>7</v>
      </c>
      <c r="T79" s="638"/>
      <c r="U79" s="335"/>
      <c r="V79" s="843" t="s">
        <v>809</v>
      </c>
      <c r="Y79" s="635"/>
      <c r="Z79" s="634"/>
      <c r="AC79" s="635"/>
      <c r="AD79" s="634"/>
      <c r="AG79" s="635"/>
      <c r="AL79" s="634"/>
      <c r="AO79" s="635"/>
      <c r="AP79" s="634"/>
      <c r="AS79" s="635"/>
      <c r="AW79" s="635"/>
      <c r="BA79" s="636"/>
    </row>
    <row r="80" spans="1:53" s="841" customFormat="1">
      <c r="A80" s="841">
        <v>2016</v>
      </c>
      <c r="B80" s="335"/>
      <c r="C80" s="1025" t="s">
        <v>1345</v>
      </c>
      <c r="D80" s="1025"/>
      <c r="E80" s="841">
        <v>366</v>
      </c>
      <c r="G80" s="336">
        <v>0</v>
      </c>
      <c r="H80" s="200">
        <v>0</v>
      </c>
      <c r="I80" s="200">
        <v>0</v>
      </c>
      <c r="J80" s="337">
        <v>23</v>
      </c>
      <c r="K80" s="338">
        <f t="shared" si="14"/>
        <v>0</v>
      </c>
      <c r="L80" s="338">
        <f t="shared" si="15"/>
        <v>0</v>
      </c>
      <c r="M80" s="338">
        <f t="shared" si="16"/>
        <v>0</v>
      </c>
      <c r="N80" s="339">
        <f t="shared" si="17"/>
        <v>0</v>
      </c>
      <c r="O80" s="340">
        <v>0</v>
      </c>
      <c r="P80" s="338">
        <v>0</v>
      </c>
      <c r="Q80" s="338">
        <v>0</v>
      </c>
      <c r="R80" s="341">
        <v>0</v>
      </c>
      <c r="S80" s="841">
        <v>7</v>
      </c>
      <c r="T80" s="638"/>
      <c r="U80" s="335"/>
      <c r="V80" s="843" t="s">
        <v>809</v>
      </c>
      <c r="Y80" s="635"/>
      <c r="Z80" s="634"/>
      <c r="AC80" s="635"/>
      <c r="AD80" s="634"/>
      <c r="AG80" s="635"/>
      <c r="AL80" s="634"/>
      <c r="AO80" s="635"/>
      <c r="AP80" s="634"/>
      <c r="AS80" s="635"/>
      <c r="AW80" s="635"/>
      <c r="BA80" s="636"/>
    </row>
    <row r="81" spans="1:53" s="895" customFormat="1">
      <c r="A81" s="895">
        <v>2017</v>
      </c>
      <c r="C81" s="1025" t="s">
        <v>1345</v>
      </c>
      <c r="D81" s="1025"/>
      <c r="E81" s="895">
        <v>3</v>
      </c>
      <c r="G81" s="336">
        <v>0</v>
      </c>
      <c r="H81" s="200">
        <v>0</v>
      </c>
      <c r="I81" s="200">
        <v>0</v>
      </c>
      <c r="J81" s="337">
        <v>23</v>
      </c>
      <c r="K81" s="338">
        <f t="shared" si="14"/>
        <v>0</v>
      </c>
      <c r="L81" s="338">
        <f t="shared" si="15"/>
        <v>0</v>
      </c>
      <c r="M81" s="338">
        <f t="shared" si="16"/>
        <v>0</v>
      </c>
      <c r="N81" s="339">
        <f t="shared" si="17"/>
        <v>0</v>
      </c>
      <c r="O81" s="340">
        <v>0</v>
      </c>
      <c r="P81" s="338">
        <v>0</v>
      </c>
      <c r="Q81" s="338">
        <v>0</v>
      </c>
      <c r="R81" s="341">
        <v>0</v>
      </c>
      <c r="S81" s="895">
        <v>7</v>
      </c>
      <c r="T81" s="487"/>
      <c r="U81" s="335"/>
      <c r="V81" s="898" t="s">
        <v>809</v>
      </c>
      <c r="Y81" s="635"/>
      <c r="Z81" s="634"/>
      <c r="AC81" s="635"/>
      <c r="AD81" s="634"/>
      <c r="AG81" s="635"/>
      <c r="AL81" s="634"/>
      <c r="AO81" s="635"/>
      <c r="AP81" s="634"/>
      <c r="AS81" s="635"/>
      <c r="AW81" s="635"/>
      <c r="BA81" s="636"/>
    </row>
    <row r="82" spans="1:53" s="896" customFormat="1">
      <c r="A82" s="896">
        <v>2017</v>
      </c>
      <c r="B82" s="121">
        <v>42739</v>
      </c>
      <c r="C82" s="1026" t="s">
        <v>1398</v>
      </c>
      <c r="D82" s="1026"/>
      <c r="E82" s="896">
        <v>29</v>
      </c>
      <c r="F82" s="896">
        <v>1</v>
      </c>
      <c r="G82" s="74">
        <v>4</v>
      </c>
      <c r="H82" s="75">
        <v>0</v>
      </c>
      <c r="I82" s="75">
        <v>22</v>
      </c>
      <c r="J82" s="76">
        <v>27</v>
      </c>
      <c r="K82" s="77">
        <f t="shared" si="14"/>
        <v>14.814814814814813</v>
      </c>
      <c r="L82" s="77">
        <f t="shared" si="15"/>
        <v>0</v>
      </c>
      <c r="M82" s="77">
        <f t="shared" si="16"/>
        <v>81.481481481481481</v>
      </c>
      <c r="N82" s="78">
        <f t="shared" si="17"/>
        <v>96.296296296296291</v>
      </c>
      <c r="O82" s="79">
        <v>6.1</v>
      </c>
      <c r="P82" s="77">
        <v>0</v>
      </c>
      <c r="Q82" s="77">
        <v>46.8</v>
      </c>
      <c r="R82" s="80">
        <v>52.9</v>
      </c>
      <c r="S82" s="896">
        <v>2</v>
      </c>
      <c r="T82" s="595">
        <v>42715</v>
      </c>
      <c r="U82" s="121">
        <v>42739</v>
      </c>
      <c r="V82" s="161" t="s">
        <v>932</v>
      </c>
      <c r="W82" s="896" t="s">
        <v>20</v>
      </c>
      <c r="X82" s="896" t="s">
        <v>12</v>
      </c>
      <c r="Y82" s="589">
        <v>46.8</v>
      </c>
      <c r="Z82" s="588" t="s">
        <v>1400</v>
      </c>
      <c r="AA82" s="896" t="s">
        <v>107</v>
      </c>
      <c r="AB82" s="896" t="s">
        <v>11</v>
      </c>
      <c r="AC82" s="589">
        <v>6.1</v>
      </c>
      <c r="AD82" s="588"/>
      <c r="AG82" s="589"/>
      <c r="AL82" s="588"/>
      <c r="AO82" s="589"/>
      <c r="AP82" s="588"/>
      <c r="AS82" s="589"/>
      <c r="AW82" s="589"/>
      <c r="BA82" s="590"/>
    </row>
    <row r="83" spans="1:53" s="896" customFormat="1">
      <c r="A83" s="896">
        <v>2017</v>
      </c>
      <c r="B83" s="154">
        <v>42768</v>
      </c>
      <c r="C83" s="1026" t="s">
        <v>1398</v>
      </c>
      <c r="D83" s="1026"/>
      <c r="E83" s="896">
        <v>7</v>
      </c>
      <c r="F83" s="600">
        <v>0</v>
      </c>
      <c r="G83" s="74">
        <v>4</v>
      </c>
      <c r="H83" s="75">
        <v>0</v>
      </c>
      <c r="I83" s="75">
        <v>23</v>
      </c>
      <c r="J83" s="76">
        <v>27</v>
      </c>
      <c r="K83" s="77">
        <f t="shared" si="14"/>
        <v>14.814814814814813</v>
      </c>
      <c r="L83" s="77">
        <f t="shared" si="15"/>
        <v>0</v>
      </c>
      <c r="M83" s="77">
        <f t="shared" si="16"/>
        <v>85.18518518518519</v>
      </c>
      <c r="N83" s="78">
        <f t="shared" si="17"/>
        <v>100</v>
      </c>
      <c r="O83" s="79">
        <v>6.1</v>
      </c>
      <c r="P83" s="77">
        <v>0</v>
      </c>
      <c r="Q83" s="77">
        <v>46.8</v>
      </c>
      <c r="R83" s="80">
        <v>52.9</v>
      </c>
      <c r="S83" s="896">
        <v>2</v>
      </c>
      <c r="T83" s="595"/>
      <c r="U83" s="121"/>
      <c r="V83" s="161" t="s">
        <v>932</v>
      </c>
      <c r="W83" s="896" t="s">
        <v>20</v>
      </c>
      <c r="X83" s="896" t="s">
        <v>12</v>
      </c>
      <c r="Y83" s="589">
        <v>46.8</v>
      </c>
      <c r="Z83" s="588" t="s">
        <v>1400</v>
      </c>
      <c r="AA83" s="896" t="s">
        <v>107</v>
      </c>
      <c r="AB83" s="896" t="s">
        <v>11</v>
      </c>
      <c r="AC83" s="589">
        <v>6.1</v>
      </c>
      <c r="AD83" s="588"/>
      <c r="AG83" s="589"/>
      <c r="AL83" s="588"/>
      <c r="AO83" s="589"/>
      <c r="AP83" s="588"/>
      <c r="AS83" s="589"/>
      <c r="AW83" s="589"/>
      <c r="BA83" s="590"/>
    </row>
    <row r="84" spans="1:53" s="896" customFormat="1">
      <c r="A84" s="896">
        <v>2017</v>
      </c>
      <c r="B84" s="154">
        <v>42775</v>
      </c>
      <c r="C84" s="1026" t="s">
        <v>1398</v>
      </c>
      <c r="D84" s="1026"/>
      <c r="E84" s="896">
        <v>140</v>
      </c>
      <c r="F84" s="600">
        <v>0</v>
      </c>
      <c r="G84" s="74">
        <v>4</v>
      </c>
      <c r="H84" s="75">
        <v>0</v>
      </c>
      <c r="I84" s="75">
        <v>22</v>
      </c>
      <c r="J84" s="76">
        <v>27</v>
      </c>
      <c r="K84" s="77">
        <f t="shared" si="14"/>
        <v>14.814814814814813</v>
      </c>
      <c r="L84" s="77">
        <f t="shared" si="15"/>
        <v>0</v>
      </c>
      <c r="M84" s="77">
        <f t="shared" si="16"/>
        <v>81.481481481481481</v>
      </c>
      <c r="N84" s="78">
        <f t="shared" si="17"/>
        <v>96.296296296296291</v>
      </c>
      <c r="O84" s="79">
        <v>6.1</v>
      </c>
      <c r="P84" s="77">
        <v>0</v>
      </c>
      <c r="Q84" s="77">
        <v>46.8</v>
      </c>
      <c r="R84" s="80">
        <v>52.9</v>
      </c>
      <c r="S84" s="896">
        <v>2</v>
      </c>
      <c r="T84" s="595"/>
      <c r="U84" s="121"/>
      <c r="V84" s="161" t="s">
        <v>932</v>
      </c>
      <c r="W84" s="896" t="s">
        <v>20</v>
      </c>
      <c r="X84" s="896" t="s">
        <v>12</v>
      </c>
      <c r="Y84" s="589">
        <v>46.8</v>
      </c>
      <c r="Z84" s="588" t="s">
        <v>1400</v>
      </c>
      <c r="AA84" s="896" t="s">
        <v>107</v>
      </c>
      <c r="AB84" s="896" t="s">
        <v>11</v>
      </c>
      <c r="AC84" s="589">
        <v>6.1</v>
      </c>
      <c r="AD84" s="588"/>
      <c r="AG84" s="589"/>
      <c r="AL84" s="588"/>
      <c r="AO84" s="589"/>
      <c r="AP84" s="588"/>
      <c r="AS84" s="589"/>
      <c r="AW84" s="589"/>
      <c r="BA84" s="590"/>
    </row>
    <row r="85" spans="1:53" s="895" customFormat="1">
      <c r="A85" s="895">
        <v>2017</v>
      </c>
      <c r="B85" s="335">
        <v>42915</v>
      </c>
      <c r="C85" s="1025" t="s">
        <v>1399</v>
      </c>
      <c r="D85" s="1025"/>
      <c r="E85" s="895">
        <v>105</v>
      </c>
      <c r="F85" s="895">
        <v>5</v>
      </c>
      <c r="G85" s="336">
        <v>4</v>
      </c>
      <c r="H85" s="200">
        <v>0</v>
      </c>
      <c r="I85" s="200">
        <v>23</v>
      </c>
      <c r="J85" s="337">
        <v>28</v>
      </c>
      <c r="K85" s="338">
        <f t="shared" si="14"/>
        <v>14.285714285714285</v>
      </c>
      <c r="L85" s="338">
        <f t="shared" si="15"/>
        <v>0</v>
      </c>
      <c r="M85" s="338">
        <f t="shared" si="16"/>
        <v>82.142857142857139</v>
      </c>
      <c r="N85" s="339">
        <f t="shared" si="17"/>
        <v>96.428571428571416</v>
      </c>
      <c r="O85" s="340">
        <v>4.5999999999999996</v>
      </c>
      <c r="P85" s="338">
        <v>0</v>
      </c>
      <c r="Q85" s="338">
        <v>46.8</v>
      </c>
      <c r="R85" s="341">
        <v>51.4</v>
      </c>
      <c r="S85" s="895">
        <v>2</v>
      </c>
      <c r="T85" s="487"/>
      <c r="U85" s="335">
        <v>42915</v>
      </c>
      <c r="V85" s="449" t="s">
        <v>932</v>
      </c>
      <c r="W85" s="895" t="s">
        <v>20</v>
      </c>
      <c r="X85" s="895" t="s">
        <v>12</v>
      </c>
      <c r="Y85" s="635">
        <v>46.8</v>
      </c>
      <c r="Z85" s="634" t="s">
        <v>1400</v>
      </c>
      <c r="AA85" s="895" t="s">
        <v>107</v>
      </c>
      <c r="AB85" s="923" t="s">
        <v>11</v>
      </c>
      <c r="AC85" s="635">
        <v>4.5999999999999996</v>
      </c>
      <c r="AD85" s="634"/>
      <c r="AG85" s="635"/>
      <c r="AL85" s="634"/>
      <c r="AO85" s="635"/>
      <c r="AP85" s="634"/>
      <c r="AS85" s="635"/>
      <c r="AW85" s="635"/>
      <c r="BA85" s="636"/>
    </row>
    <row r="86" spans="1:53" s="895" customFormat="1">
      <c r="A86" s="895">
        <v>2017</v>
      </c>
      <c r="B86" s="440">
        <v>43020</v>
      </c>
      <c r="C86" s="1025" t="s">
        <v>1399</v>
      </c>
      <c r="D86" s="1025"/>
      <c r="E86" s="895">
        <v>81</v>
      </c>
      <c r="F86" s="501">
        <v>0</v>
      </c>
      <c r="G86" s="336">
        <v>4</v>
      </c>
      <c r="H86" s="200">
        <v>0</v>
      </c>
      <c r="I86" s="200">
        <v>22</v>
      </c>
      <c r="J86" s="337">
        <v>27</v>
      </c>
      <c r="K86" s="338">
        <f t="shared" ref="K86" si="18">G86/J86*100</f>
        <v>14.814814814814813</v>
      </c>
      <c r="L86" s="338">
        <f t="shared" ref="L86" si="19">H86/J86*100</f>
        <v>0</v>
      </c>
      <c r="M86" s="338">
        <f t="shared" ref="M86" si="20">I86/J86*100</f>
        <v>81.481481481481481</v>
      </c>
      <c r="N86" s="339">
        <f t="shared" ref="N86" si="21">SUM(K86:M86)</f>
        <v>96.296296296296291</v>
      </c>
      <c r="O86" s="340">
        <v>4.5999999999999996</v>
      </c>
      <c r="P86" s="338">
        <v>0</v>
      </c>
      <c r="Q86" s="338">
        <v>46.8</v>
      </c>
      <c r="R86" s="341">
        <v>51.4</v>
      </c>
      <c r="S86" s="895">
        <v>2</v>
      </c>
      <c r="T86" s="487"/>
      <c r="U86" s="335"/>
      <c r="V86" s="449" t="s">
        <v>932</v>
      </c>
      <c r="W86" s="895" t="s">
        <v>20</v>
      </c>
      <c r="X86" s="895" t="s">
        <v>12</v>
      </c>
      <c r="Y86" s="635">
        <v>46.8</v>
      </c>
      <c r="Z86" s="634" t="s">
        <v>1400</v>
      </c>
      <c r="AA86" s="895" t="s">
        <v>107</v>
      </c>
      <c r="AB86" s="923" t="s">
        <v>11</v>
      </c>
      <c r="AC86" s="635">
        <v>4.5999999999999996</v>
      </c>
      <c r="AD86" s="634"/>
      <c r="AG86" s="635"/>
      <c r="AL86" s="634"/>
      <c r="AO86" s="635"/>
      <c r="AP86" s="634"/>
      <c r="AS86" s="635"/>
      <c r="AW86" s="635"/>
      <c r="BA86" s="636"/>
    </row>
    <row r="87" spans="1:53" s="945" customFormat="1">
      <c r="A87" s="945">
        <v>2018</v>
      </c>
      <c r="B87" s="440"/>
      <c r="C87" s="1025" t="s">
        <v>1399</v>
      </c>
      <c r="D87" s="1025"/>
      <c r="E87" s="945">
        <v>28</v>
      </c>
      <c r="F87" s="501"/>
      <c r="G87" s="336">
        <v>4</v>
      </c>
      <c r="H87" s="200">
        <v>0</v>
      </c>
      <c r="I87" s="200">
        <v>22</v>
      </c>
      <c r="J87" s="337">
        <v>27</v>
      </c>
      <c r="K87" s="338">
        <f t="shared" ref="K87:K89" si="22">G87/J87*100</f>
        <v>14.814814814814813</v>
      </c>
      <c r="L87" s="338">
        <f t="shared" ref="L87:L89" si="23">H87/J87*100</f>
        <v>0</v>
      </c>
      <c r="M87" s="338">
        <f t="shared" ref="M87:M89" si="24">I87/J87*100</f>
        <v>81.481481481481481</v>
      </c>
      <c r="N87" s="339">
        <f t="shared" ref="N87:N89" si="25">SUM(K87:M87)</f>
        <v>96.296296296296291</v>
      </c>
      <c r="O87" s="340">
        <v>4.5999999999999996</v>
      </c>
      <c r="P87" s="338">
        <v>0</v>
      </c>
      <c r="Q87" s="338">
        <v>46.8</v>
      </c>
      <c r="R87" s="341">
        <v>51.4</v>
      </c>
      <c r="S87" s="945">
        <v>2</v>
      </c>
      <c r="T87" s="487"/>
      <c r="U87" s="335"/>
      <c r="V87" s="449" t="s">
        <v>932</v>
      </c>
      <c r="W87" s="945" t="s">
        <v>20</v>
      </c>
      <c r="X87" s="945" t="s">
        <v>12</v>
      </c>
      <c r="Y87" s="635">
        <v>46.8</v>
      </c>
      <c r="Z87" s="634" t="s">
        <v>1400</v>
      </c>
      <c r="AA87" s="945" t="s">
        <v>107</v>
      </c>
      <c r="AB87" s="945" t="s">
        <v>11</v>
      </c>
      <c r="AC87" s="635">
        <v>4.5999999999999996</v>
      </c>
      <c r="AD87" s="634"/>
      <c r="AG87" s="635"/>
      <c r="AL87" s="634"/>
      <c r="AO87" s="635"/>
      <c r="AP87" s="634"/>
      <c r="AS87" s="635"/>
      <c r="AW87" s="635"/>
      <c r="BA87" s="636"/>
    </row>
    <row r="88" spans="1:53" s="946" customFormat="1">
      <c r="A88" s="946">
        <v>2018</v>
      </c>
      <c r="B88" s="121">
        <v>43129</v>
      </c>
      <c r="C88" s="1026" t="s">
        <v>1419</v>
      </c>
      <c r="D88" s="1026"/>
      <c r="E88" s="946">
        <v>295</v>
      </c>
      <c r="F88" s="946">
        <v>2</v>
      </c>
      <c r="G88" s="74">
        <v>4</v>
      </c>
      <c r="H88" s="75">
        <v>0</v>
      </c>
      <c r="I88" s="75">
        <v>22</v>
      </c>
      <c r="J88" s="76">
        <v>28</v>
      </c>
      <c r="K88" s="77">
        <f t="shared" si="22"/>
        <v>14.285714285714285</v>
      </c>
      <c r="L88" s="77">
        <f t="shared" si="23"/>
        <v>0</v>
      </c>
      <c r="M88" s="77">
        <f t="shared" si="24"/>
        <v>78.571428571428569</v>
      </c>
      <c r="N88" s="78">
        <f t="shared" si="25"/>
        <v>92.857142857142861</v>
      </c>
      <c r="O88" s="79">
        <v>4.5999999999999996</v>
      </c>
      <c r="P88" s="77">
        <v>0</v>
      </c>
      <c r="Q88" s="77">
        <v>46.8</v>
      </c>
      <c r="R88" s="80">
        <v>51.4</v>
      </c>
      <c r="S88" s="946">
        <v>2</v>
      </c>
      <c r="T88" s="595"/>
      <c r="U88" s="121">
        <v>43129</v>
      </c>
      <c r="V88" s="161" t="s">
        <v>932</v>
      </c>
      <c r="W88" s="946" t="s">
        <v>20</v>
      </c>
      <c r="X88" s="946" t="s">
        <v>12</v>
      </c>
      <c r="Y88" s="589">
        <v>46.8</v>
      </c>
      <c r="Z88" s="588" t="s">
        <v>1400</v>
      </c>
      <c r="AA88" s="946" t="s">
        <v>107</v>
      </c>
      <c r="AB88" s="946" t="s">
        <v>11</v>
      </c>
      <c r="AC88" s="589">
        <v>4.5999999999999996</v>
      </c>
      <c r="AD88" s="588"/>
      <c r="AG88" s="589"/>
      <c r="AL88" s="588"/>
      <c r="AO88" s="589"/>
      <c r="AP88" s="588"/>
      <c r="AS88" s="589"/>
      <c r="AW88" s="589"/>
      <c r="BA88" s="590"/>
    </row>
    <row r="89" spans="1:53" s="946" customFormat="1">
      <c r="A89" s="946">
        <v>2018</v>
      </c>
      <c r="B89" s="154">
        <v>43424</v>
      </c>
      <c r="C89" s="1026" t="s">
        <v>1419</v>
      </c>
      <c r="D89" s="1026"/>
      <c r="E89" s="946">
        <v>42</v>
      </c>
      <c r="F89" s="600">
        <v>0</v>
      </c>
      <c r="G89" s="74">
        <v>4</v>
      </c>
      <c r="H89" s="75">
        <v>0</v>
      </c>
      <c r="I89" s="75">
        <v>21</v>
      </c>
      <c r="J89" s="76">
        <v>26</v>
      </c>
      <c r="K89" s="77">
        <f t="shared" si="22"/>
        <v>15.384615384615385</v>
      </c>
      <c r="L89" s="77">
        <f t="shared" si="23"/>
        <v>0</v>
      </c>
      <c r="M89" s="77">
        <f t="shared" si="24"/>
        <v>80.769230769230774</v>
      </c>
      <c r="N89" s="78">
        <f t="shared" si="25"/>
        <v>96.15384615384616</v>
      </c>
      <c r="O89" s="79">
        <v>4.5999999999999996</v>
      </c>
      <c r="P89" s="77">
        <v>0</v>
      </c>
      <c r="Q89" s="77">
        <v>46.8</v>
      </c>
      <c r="R89" s="80">
        <v>51.4</v>
      </c>
      <c r="S89" s="946">
        <v>2</v>
      </c>
      <c r="T89" s="595"/>
      <c r="U89" s="121"/>
      <c r="V89" s="161" t="s">
        <v>932</v>
      </c>
      <c r="W89" s="946" t="s">
        <v>20</v>
      </c>
      <c r="X89" s="946" t="s">
        <v>12</v>
      </c>
      <c r="Y89" s="589">
        <v>46.8</v>
      </c>
      <c r="Z89" s="588" t="s">
        <v>1400</v>
      </c>
      <c r="AA89" s="946" t="s">
        <v>107</v>
      </c>
      <c r="AB89" s="946" t="s">
        <v>11</v>
      </c>
      <c r="AC89" s="589">
        <v>4.5999999999999996</v>
      </c>
      <c r="AD89" s="588"/>
      <c r="AG89" s="589"/>
      <c r="AL89" s="588"/>
      <c r="AO89" s="589"/>
      <c r="AP89" s="588"/>
      <c r="AS89" s="589"/>
      <c r="AW89" s="589"/>
      <c r="BA89" s="590"/>
    </row>
    <row r="90" spans="1:53">
      <c r="B90" s="2"/>
      <c r="C90" s="2"/>
      <c r="D90" s="2"/>
      <c r="E90" s="2"/>
      <c r="F90" s="2"/>
      <c r="G90" s="2"/>
      <c r="H90" s="2"/>
      <c r="I90" s="2"/>
      <c r="J90" s="2"/>
      <c r="K90" s="2"/>
      <c r="L90" s="2"/>
      <c r="M90" s="2"/>
      <c r="N90" s="2"/>
    </row>
    <row r="91" spans="1:53" s="2" customFormat="1" ht="18" customHeight="1">
      <c r="B91" s="22" t="s">
        <v>1278</v>
      </c>
    </row>
    <row r="92" spans="1:53" s="2" customFormat="1" ht="9" customHeight="1"/>
    <row r="93" spans="1:53" s="364" customFormat="1" ht="9" customHeight="1">
      <c r="A93" s="362"/>
      <c r="B93" s="363" t="s">
        <v>1229</v>
      </c>
      <c r="C93" s="363"/>
      <c r="D93" s="363"/>
      <c r="E93" s="363"/>
      <c r="F93" s="363"/>
      <c r="G93" s="363" t="s">
        <v>1230</v>
      </c>
      <c r="H93" s="363"/>
      <c r="I93" s="363"/>
      <c r="J93" s="363"/>
      <c r="K93" s="363"/>
      <c r="L93" s="363"/>
      <c r="M93" s="363"/>
      <c r="N93" s="363"/>
      <c r="R93" s="982" t="s">
        <v>1231</v>
      </c>
      <c r="S93" s="982"/>
      <c r="T93" s="982"/>
      <c r="U93" s="982"/>
      <c r="V93" s="982"/>
      <c r="W93" s="982"/>
      <c r="X93" s="365"/>
      <c r="Y93" s="365"/>
      <c r="AA93" s="365"/>
      <c r="AB93" s="365"/>
      <c r="AC93" s="365"/>
      <c r="AD93" s="365"/>
    </row>
    <row r="94" spans="1:53" s="369" customFormat="1" ht="9" customHeight="1">
      <c r="A94" s="366"/>
      <c r="B94" s="367" t="s">
        <v>1233</v>
      </c>
      <c r="C94" s="368"/>
      <c r="D94" s="368"/>
      <c r="E94" s="368"/>
      <c r="F94" s="368"/>
      <c r="G94" s="367" t="s">
        <v>1232</v>
      </c>
      <c r="H94" s="368"/>
      <c r="I94" s="368"/>
      <c r="J94" s="368"/>
      <c r="K94" s="368"/>
      <c r="L94" s="368"/>
      <c r="M94" s="368"/>
      <c r="N94" s="368"/>
      <c r="R94" s="370" t="s">
        <v>1234</v>
      </c>
      <c r="S94" s="371"/>
      <c r="T94" s="372"/>
      <c r="U94" s="372"/>
      <c r="V94" s="372"/>
      <c r="W94" s="370" t="s">
        <v>1235</v>
      </c>
      <c r="X94" s="372"/>
      <c r="Y94" s="372"/>
      <c r="AA94" s="372"/>
      <c r="AB94" s="372"/>
      <c r="AC94" s="372"/>
      <c r="AD94" s="372"/>
    </row>
    <row r="95" spans="1:53" s="351" customFormat="1" ht="12" customHeight="1">
      <c r="A95" s="373" t="s">
        <v>3</v>
      </c>
      <c r="B95" s="374" t="s">
        <v>8</v>
      </c>
      <c r="C95" s="374" t="s">
        <v>9</v>
      </c>
      <c r="D95" s="374" t="s">
        <v>10</v>
      </c>
      <c r="E95" s="375" t="s">
        <v>1209</v>
      </c>
      <c r="F95" s="374"/>
      <c r="G95" s="351" t="s">
        <v>3</v>
      </c>
      <c r="H95" s="983" t="s">
        <v>0</v>
      </c>
      <c r="I95" s="983"/>
      <c r="J95" s="983" t="s">
        <v>1</v>
      </c>
      <c r="K95" s="983"/>
      <c r="L95" s="983" t="s">
        <v>2</v>
      </c>
      <c r="M95" s="983"/>
      <c r="N95" s="984" t="s">
        <v>1209</v>
      </c>
      <c r="O95" s="984"/>
      <c r="P95" s="376"/>
      <c r="Q95" s="376"/>
      <c r="R95" s="377" t="s">
        <v>3</v>
      </c>
      <c r="S95" s="378" t="s">
        <v>136</v>
      </c>
      <c r="T95" s="376" t="s">
        <v>134</v>
      </c>
      <c r="U95" s="374" t="s">
        <v>135</v>
      </c>
      <c r="V95" s="376"/>
      <c r="W95" s="379" t="s">
        <v>26</v>
      </c>
    </row>
    <row r="96" spans="1:53" ht="9" customHeight="1">
      <c r="A96" s="1">
        <v>1990</v>
      </c>
      <c r="B96" s="8">
        <f>(K7*($E7/187))</f>
        <v>0</v>
      </c>
      <c r="C96" s="8">
        <f>(L7*($E7/187))</f>
        <v>0</v>
      </c>
      <c r="D96" s="8">
        <f>(M7*($E7/187))</f>
        <v>91.304347826086953</v>
      </c>
      <c r="E96" s="52">
        <f t="shared" ref="E96:E122" si="26">B96+C96+D96</f>
        <v>91.304347826086953</v>
      </c>
      <c r="F96" s="12"/>
      <c r="G96" s="12">
        <v>1990</v>
      </c>
      <c r="H96" s="1001">
        <f>(O7/$R7*100*($E7/187))</f>
        <v>0</v>
      </c>
      <c r="I96" s="1001"/>
      <c r="J96" s="1001">
        <f>(P7/$R7*100*($E7/187))</f>
        <v>0</v>
      </c>
      <c r="K96" s="1001"/>
      <c r="L96" s="1006">
        <f>(Q7/$R7*100*($E7/187))</f>
        <v>100</v>
      </c>
      <c r="M96" s="1006"/>
      <c r="N96" s="1011">
        <f t="shared" ref="N96:N118" si="27">H96+J96+L96</f>
        <v>100</v>
      </c>
      <c r="O96" s="1011"/>
      <c r="P96" s="12"/>
      <c r="Q96" s="12"/>
      <c r="R96" s="12">
        <v>1990</v>
      </c>
      <c r="S96" s="8">
        <f>(O7*($E7/187))</f>
        <v>0</v>
      </c>
      <c r="T96" s="8">
        <f>(P7*($E7/187))</f>
        <v>0</v>
      </c>
      <c r="U96" s="8">
        <f>(Q7*($E7/187))</f>
        <v>66.400000000000006</v>
      </c>
      <c r="V96" s="12"/>
      <c r="W96" s="7">
        <f>S96+T96+U96</f>
        <v>66.400000000000006</v>
      </c>
      <c r="X96" s="68"/>
      <c r="Y96" s="229" t="s">
        <v>1215</v>
      </c>
      <c r="Z96" s="68"/>
      <c r="AA96" s="68"/>
    </row>
    <row r="97" spans="1:23" ht="9" customHeight="1">
      <c r="A97" s="1">
        <v>1991</v>
      </c>
      <c r="B97" s="8">
        <f>(K8*($E8/365))+(K9*($E9/365))</f>
        <v>3.3309300648882476</v>
      </c>
      <c r="C97" s="8">
        <f>(L8*($E8/365))+(L9*($E9/365))</f>
        <v>0</v>
      </c>
      <c r="D97" s="8">
        <f>(M8*($E8/365))+(M9*($E9/365))</f>
        <v>86.476912949437306</v>
      </c>
      <c r="E97" s="52">
        <f t="shared" si="26"/>
        <v>89.807843014325556</v>
      </c>
      <c r="F97" s="12"/>
      <c r="G97" s="12">
        <v>1991</v>
      </c>
      <c r="H97" s="1001">
        <f>(O8/$R8*100*($E8/365))+(O9/$R9*100*($E9/365))</f>
        <v>1.9493670886075947</v>
      </c>
      <c r="I97" s="1001"/>
      <c r="J97" s="1001">
        <f>(P8/$R8*100*($E8/365))+(P9/$R9*100*($E9/365))</f>
        <v>0</v>
      </c>
      <c r="K97" s="1001"/>
      <c r="L97" s="1001">
        <f>(Q8/$R8*100*($E8/365))+(Q9/$R9*100*($E9/365))</f>
        <v>98.050632911392412</v>
      </c>
      <c r="M97" s="1001"/>
      <c r="N97" s="1011">
        <f t="shared" si="27"/>
        <v>100</v>
      </c>
      <c r="O97" s="1011"/>
      <c r="P97" s="12"/>
      <c r="Q97" s="12"/>
      <c r="R97" s="12">
        <v>1991</v>
      </c>
      <c r="S97" s="8">
        <f>(O8*($E8/365))+(O9*($E9/365))</f>
        <v>1.5399999999999998</v>
      </c>
      <c r="T97" s="8">
        <f>(P8*($E8/365))+(P9*($E9/365))</f>
        <v>0</v>
      </c>
      <c r="U97" s="8">
        <f>(Q8*($E8/365))+(Q9*($E9/365))</f>
        <v>67.51808219178082</v>
      </c>
      <c r="V97" s="12"/>
      <c r="W97" s="7">
        <f t="shared" ref="W97:W119" si="28">S97+T97+U97</f>
        <v>69.058082191780827</v>
      </c>
    </row>
    <row r="98" spans="1:23" ht="9" customHeight="1">
      <c r="A98" s="1">
        <v>1992</v>
      </c>
      <c r="B98" s="8">
        <f>(K10*($E10/366))+(K11*($E11/366))</f>
        <v>13.675582398619499</v>
      </c>
      <c r="C98" s="8">
        <f>(L10*($E10/366))+(L11*($E11/366))</f>
        <v>0</v>
      </c>
      <c r="D98" s="8">
        <f>(M10*($E10/366))+(M11*($E11/366))</f>
        <v>71.979436295657166</v>
      </c>
      <c r="E98" s="52">
        <f t="shared" si="26"/>
        <v>85.655018694276663</v>
      </c>
      <c r="F98" s="12"/>
      <c r="G98" s="12">
        <v>1992</v>
      </c>
      <c r="H98" s="1001">
        <f>(O10/$R10*100*($E10/366))+(O11/$R11*100*($E11/366))</f>
        <v>8.0033893615549552</v>
      </c>
      <c r="I98" s="1001"/>
      <c r="J98" s="1001">
        <f>(P10/$R10*100*($E10/366))+(P11/$R11*100*($E11/366))</f>
        <v>0</v>
      </c>
      <c r="K98" s="1001"/>
      <c r="L98" s="1001">
        <f>(Q10/$R10*100*($E10/366))+(Q11/$R11*100*($E11/366))</f>
        <v>91.996610638445048</v>
      </c>
      <c r="M98" s="1001"/>
      <c r="N98" s="1011">
        <f t="shared" si="27"/>
        <v>100</v>
      </c>
      <c r="O98" s="1011"/>
      <c r="P98" s="12"/>
      <c r="Q98" s="12"/>
      <c r="R98" s="12">
        <v>1992</v>
      </c>
      <c r="S98" s="8">
        <f>(O10*($E10/366))+(O11*($E11/366))</f>
        <v>6.3226775956284147</v>
      </c>
      <c r="T98" s="8">
        <f>(P10*($E10/366))+(P11*($E11/366))</f>
        <v>0</v>
      </c>
      <c r="U98" s="8">
        <f>(Q10*($E10/366))+(Q11*($E11/366))</f>
        <v>66.692896174863392</v>
      </c>
      <c r="V98" s="12"/>
      <c r="W98" s="7">
        <f t="shared" si="28"/>
        <v>73.015573770491812</v>
      </c>
    </row>
    <row r="99" spans="1:23" ht="9" customHeight="1">
      <c r="A99" s="1">
        <v>1993</v>
      </c>
      <c r="B99" s="8">
        <f>(K12*($E12/365))+(K13*($E13/365))</f>
        <v>0</v>
      </c>
      <c r="C99" s="8">
        <f>(L12*($E12/365))+(L13*($E13/365))</f>
        <v>0</v>
      </c>
      <c r="D99" s="8">
        <f>(M12*($E12/365))+(M13*($E13/365))</f>
        <v>95</v>
      </c>
      <c r="E99" s="52">
        <f t="shared" si="26"/>
        <v>95</v>
      </c>
      <c r="F99" s="12"/>
      <c r="G99" s="12">
        <v>1993</v>
      </c>
      <c r="H99" s="1001">
        <f>(O12/$R12*100*($E12/365))+(O13/$R13*100*($E13/365))</f>
        <v>0</v>
      </c>
      <c r="I99" s="1001"/>
      <c r="J99" s="1001">
        <f>(P12/$R12*100*($E12/365))+(P13/$R13*100*($E13/365))</f>
        <v>0</v>
      </c>
      <c r="K99" s="1001"/>
      <c r="L99" s="1001">
        <f>(Q12/$R12*100*($E12/365))+(Q13/$R13*100*($E13/365))</f>
        <v>100</v>
      </c>
      <c r="M99" s="1001"/>
      <c r="N99" s="1011">
        <f t="shared" si="27"/>
        <v>100</v>
      </c>
      <c r="O99" s="1011"/>
      <c r="P99" s="12"/>
      <c r="Q99" s="12"/>
      <c r="R99" s="12">
        <v>1993</v>
      </c>
      <c r="S99" s="8">
        <f>(O12*($E12/365))+(O13*($E13/365))</f>
        <v>0</v>
      </c>
      <c r="T99" s="8">
        <f>(P12*($E12/365))+(P13*($E13/365))</f>
        <v>0</v>
      </c>
      <c r="U99" s="8">
        <f>(Q12*($E12/365))+(Q13*($E13/365))</f>
        <v>34.299999999999997</v>
      </c>
      <c r="V99" s="12"/>
      <c r="W99" s="7">
        <f t="shared" si="28"/>
        <v>34.299999999999997</v>
      </c>
    </row>
    <row r="100" spans="1:23" ht="9" customHeight="1">
      <c r="A100" s="1">
        <v>1994</v>
      </c>
      <c r="B100" s="8">
        <f>(K14*($E14/365))+(K15*($E15/365))</f>
        <v>3.387297633872977</v>
      </c>
      <c r="C100" s="8">
        <f>(L14*($E14/365))+(L15*($E15/365))</f>
        <v>0</v>
      </c>
      <c r="D100" s="8">
        <f>(M14*($E14/365))+(M15*($E15/365))</f>
        <v>86.701120797011214</v>
      </c>
      <c r="E100" s="52">
        <f t="shared" si="26"/>
        <v>90.08841843088419</v>
      </c>
      <c r="F100" s="12"/>
      <c r="G100" s="12">
        <v>1994</v>
      </c>
      <c r="H100" s="1001">
        <f>(O14/$R14*100*($E14/365))+(O15/$R15*100*($E15/365))</f>
        <v>7.6076661475383807</v>
      </c>
      <c r="I100" s="1001"/>
      <c r="J100" s="1001">
        <f>(P14/$R14*100*($E14/365))+(P15/$R15*100*($E15/365))</f>
        <v>0</v>
      </c>
      <c r="K100" s="1001"/>
      <c r="L100" s="1001">
        <f>(Q14/$R14*100*($E14/365))+(Q15/$R15*100*($E15/365))</f>
        <v>92.392333852461633</v>
      </c>
      <c r="M100" s="1001"/>
      <c r="N100" s="1011">
        <f t="shared" si="27"/>
        <v>100.00000000000001</v>
      </c>
      <c r="O100" s="1011"/>
      <c r="P100" s="12"/>
      <c r="Q100" s="12"/>
      <c r="R100" s="12">
        <v>1994</v>
      </c>
      <c r="S100" s="8">
        <f>(O14*($E14/365))+(O15*($E15/365))</f>
        <v>3.2789041095890417</v>
      </c>
      <c r="T100" s="8">
        <f>(P14*($E14/365))+(P15*($E15/365))</f>
        <v>0</v>
      </c>
      <c r="U100" s="8">
        <f>(Q14*($E14/365))+(Q15*($E15/365))</f>
        <v>34.299999999999997</v>
      </c>
      <c r="V100" s="12"/>
      <c r="W100" s="7">
        <f t="shared" si="28"/>
        <v>37.57890410958904</v>
      </c>
    </row>
    <row r="101" spans="1:23" ht="9" customHeight="1">
      <c r="A101" s="1">
        <v>1995</v>
      </c>
      <c r="B101" s="8">
        <f>(K16*($E16/365))+(K17*($E17/365))</f>
        <v>8.9393939393939394</v>
      </c>
      <c r="C101" s="8">
        <f>(L16*($E16/365))+(L17*($E17/365))</f>
        <v>0</v>
      </c>
      <c r="D101" s="8">
        <f>(M16*($E16/365))+(M17*($E17/365))</f>
        <v>75.681818181818187</v>
      </c>
      <c r="E101" s="52">
        <f t="shared" si="26"/>
        <v>84.621212121212125</v>
      </c>
      <c r="F101" s="12"/>
      <c r="G101" s="12">
        <v>1995</v>
      </c>
      <c r="H101" s="1001">
        <f>(O16/$R16*100*($E16/365))+(O17/$R17*100*($E17/365))</f>
        <v>20.41763341067286</v>
      </c>
      <c r="I101" s="1001"/>
      <c r="J101" s="1001">
        <f>(P16/$R16*100*($E16/365))+(P17/$R17*100*($E17/365))</f>
        <v>0</v>
      </c>
      <c r="K101" s="1001"/>
      <c r="L101" s="1001">
        <f>(Q16/$R16*100*($E16/365))+(Q17/$R17*100*($E17/365))</f>
        <v>79.582366589327165</v>
      </c>
      <c r="M101" s="1001"/>
      <c r="N101" s="1011">
        <f t="shared" si="27"/>
        <v>100.00000000000003</v>
      </c>
      <c r="O101" s="1011"/>
      <c r="P101" s="12"/>
      <c r="Q101" s="12"/>
      <c r="R101" s="12">
        <v>1995</v>
      </c>
      <c r="S101" s="8">
        <f>(O16*($E16/365))+(O17*($E17/365))</f>
        <v>8.8000000000000007</v>
      </c>
      <c r="T101" s="8">
        <f>(P16*($E16/365))+(P17*($E17/365))</f>
        <v>0</v>
      </c>
      <c r="U101" s="8">
        <f>(Q16*($E16/365))+(Q17*($E17/365))</f>
        <v>34.299999999999997</v>
      </c>
      <c r="V101" s="12"/>
      <c r="W101" s="7">
        <f t="shared" si="28"/>
        <v>43.099999999999994</v>
      </c>
    </row>
    <row r="102" spans="1:23" ht="9" customHeight="1">
      <c r="A102" s="1">
        <v>1996</v>
      </c>
      <c r="B102" s="8">
        <f>(K18*($E18/366))+(K19*($E19/366))+(K20*($E20/366))</f>
        <v>9.1530054644808736</v>
      </c>
      <c r="C102" s="8">
        <f>(L18*($E18/366))+(L19*($E19/366))+(L20*($E20/366))</f>
        <v>0.27322404371584696</v>
      </c>
      <c r="D102" s="8">
        <f>(M18*($E18/366))+(M19*($E19/366))+(M20*($E20/366))</f>
        <v>87.500000000000014</v>
      </c>
      <c r="E102" s="52">
        <f t="shared" si="26"/>
        <v>96.926229508196741</v>
      </c>
      <c r="F102" s="12"/>
      <c r="G102" s="12">
        <v>1996</v>
      </c>
      <c r="H102" s="1001">
        <f>(O18/$R18*100*($E18/366))+(O19/$R19*100*($E19/366))+(O20/$R20*100*($E20/366))</f>
        <v>17.054415030648371</v>
      </c>
      <c r="I102" s="1001"/>
      <c r="J102" s="1001">
        <f>(P18/$R18*100*($E18/366))+(P19/$R19*100*($E19/366))+(P20/$R20*100*($E20/366))</f>
        <v>0.68306010928961747</v>
      </c>
      <c r="K102" s="1001"/>
      <c r="L102" s="1001">
        <f>(Q18/$R18*100*($E18/366))+(Q19/$R19*100*($E19/366))+(Q20/$R20*100*($E20/366))</f>
        <v>82.262524860062001</v>
      </c>
      <c r="M102" s="1001"/>
      <c r="N102" s="1011">
        <f t="shared" si="27"/>
        <v>99.999999999999986</v>
      </c>
      <c r="O102" s="1011"/>
      <c r="P102" s="12"/>
      <c r="Q102" s="12"/>
      <c r="R102" s="12">
        <v>1996</v>
      </c>
      <c r="S102" s="8">
        <f>(O18*($E18/366))+(O19*($E19/366))+(O20*($E20/366))</f>
        <v>7.8601092896174869</v>
      </c>
      <c r="T102" s="8">
        <f>(P18*($E18/366))+(P19*($E19/366))+(P20*($E20/366))</f>
        <v>0.39890710382513661</v>
      </c>
      <c r="U102" s="8">
        <f>(Q18*($E18/366))+(Q19*($E19/366))+(Q20*($E20/366))</f>
        <v>33.272677595628409</v>
      </c>
      <c r="V102" s="12"/>
      <c r="W102" s="7">
        <f t="shared" si="28"/>
        <v>41.53169398907103</v>
      </c>
    </row>
    <row r="103" spans="1:23" ht="9" customHeight="1">
      <c r="A103" s="1">
        <v>1997</v>
      </c>
      <c r="B103" s="8">
        <f>(K21*($E21/365))+(K22*($E22/365))</f>
        <v>65</v>
      </c>
      <c r="C103" s="8">
        <f>(L21*($E21/365))+(L22*($E22/365))</f>
        <v>5</v>
      </c>
      <c r="D103" s="8">
        <f>(M21*($E21/365))+(M22*($E22/365))</f>
        <v>25</v>
      </c>
      <c r="E103" s="52">
        <f t="shared" si="26"/>
        <v>95</v>
      </c>
      <c r="F103" s="12"/>
      <c r="G103" s="12">
        <v>1997</v>
      </c>
      <c r="H103" s="1001">
        <f>(O21/$R21*100*($E21/365))+(O22/$R22*100*($E22/365))</f>
        <v>60.958904109589042</v>
      </c>
      <c r="I103" s="1001"/>
      <c r="J103" s="1001">
        <f>(P21/$R21*100*($E21/365))+(P22/$R22*100*($E22/365))</f>
        <v>12.5</v>
      </c>
      <c r="K103" s="1001"/>
      <c r="L103" s="1001">
        <f>(Q21/$R21*100*($E21/365))+(Q22/$R22*100*($E22/365))</f>
        <v>26.541095890410958</v>
      </c>
      <c r="M103" s="1001"/>
      <c r="N103" s="1011">
        <f t="shared" si="27"/>
        <v>100</v>
      </c>
      <c r="O103" s="1011"/>
      <c r="P103" s="12"/>
      <c r="Q103" s="12"/>
      <c r="R103" s="12">
        <v>1997</v>
      </c>
      <c r="S103" s="8">
        <f>(O21*($E21/365))+(O22*($E22/365))</f>
        <v>35.6</v>
      </c>
      <c r="T103" s="8">
        <f>(P21*($E21/365))+(P22*($E22/365))</f>
        <v>7.3</v>
      </c>
      <c r="U103" s="8">
        <f>(Q21*($E21/365))+(Q22*($E22/365))</f>
        <v>15.5</v>
      </c>
      <c r="V103" s="12"/>
      <c r="W103" s="7">
        <f t="shared" si="28"/>
        <v>58.4</v>
      </c>
    </row>
    <row r="104" spans="1:23" ht="9" customHeight="1">
      <c r="A104" s="1">
        <v>1998</v>
      </c>
      <c r="B104" s="8">
        <f>(K23*($E23/365))+(K24*($E24/365))+(K25*($E25/365))</f>
        <v>55.423352902804965</v>
      </c>
      <c r="C104" s="8">
        <f>(L23*($E23/365))+(L24*($E24/365))+(L25*($E25/365))</f>
        <v>4.8193085453359421</v>
      </c>
      <c r="D104" s="8">
        <f>(M23*($E23/365))+(M24*($E24/365))+(M25*($E25/365))</f>
        <v>31.115459882583163</v>
      </c>
      <c r="E104" s="52">
        <f t="shared" si="26"/>
        <v>91.358121330724074</v>
      </c>
      <c r="F104" s="12"/>
      <c r="G104" s="12">
        <v>1998</v>
      </c>
      <c r="H104" s="1001">
        <f>(O23/$R23*100*($E23/365))+(O24/$R24*100*($E24/365))+(O25/$R25*100*($E25/365))</f>
        <v>53.997081261618597</v>
      </c>
      <c r="I104" s="1001"/>
      <c r="J104" s="1001">
        <f>(P23/$R23*100*($E23/365))+(P24/$R24*100*($E24/365))+(P25/$R25*100*($E25/365))</f>
        <v>11.072435202522913</v>
      </c>
      <c r="K104" s="1001"/>
      <c r="L104" s="1001">
        <f>(Q23/$R23*100*($E23/365))+(Q24/$R24*100*($E24/365))+(Q25/$R25*100*($E25/365))</f>
        <v>34.9304835358585</v>
      </c>
      <c r="M104" s="1001"/>
      <c r="N104" s="1011">
        <f t="shared" si="27"/>
        <v>100.00000000000001</v>
      </c>
      <c r="O104" s="1011"/>
      <c r="P104" s="12"/>
      <c r="Q104" s="12"/>
      <c r="R104" s="12">
        <v>1998</v>
      </c>
      <c r="S104" s="8">
        <f>(O23*($E23/365))+(O24*($E24/365))+(O25*($E25/365))</f>
        <v>35.6</v>
      </c>
      <c r="T104" s="8">
        <f>(P23*($E23/365))+(P24*($E24/365))+(P25*($E25/365))</f>
        <v>7.3</v>
      </c>
      <c r="U104" s="8">
        <f>(Q23*($E23/365))+(Q24*($E24/365))+(Q25*($E25/365))</f>
        <v>23.437260273972605</v>
      </c>
      <c r="V104" s="12"/>
      <c r="W104" s="7">
        <f t="shared" si="28"/>
        <v>66.337260273972603</v>
      </c>
    </row>
    <row r="105" spans="1:23" ht="9" customHeight="1">
      <c r="A105" s="1">
        <v>1999</v>
      </c>
      <c r="B105" s="8">
        <f>(K26*($E26/365))+(K27*($E27/365))</f>
        <v>52.859317242878895</v>
      </c>
      <c r="C105" s="8">
        <f>(L26*($E26/365))+(L27*($E27/365))</f>
        <v>4.8053924766253537</v>
      </c>
      <c r="D105" s="8">
        <f>(M26*($E26/365))+(M27*($E27/365))</f>
        <v>33.333333333333329</v>
      </c>
      <c r="E105" s="52">
        <f t="shared" si="26"/>
        <v>90.998043052837573</v>
      </c>
      <c r="F105" s="12"/>
      <c r="G105" s="12">
        <v>1999</v>
      </c>
      <c r="H105" s="1001">
        <f>(O26/$R26*100*($E26/365))+(O27/$R27*100*($E27/365))</f>
        <v>51.756494597903966</v>
      </c>
      <c r="I105" s="1001"/>
      <c r="J105" s="1001">
        <f>(P26/$R26*100*($E26/365))+(P27/$R27*100*($E27/365))</f>
        <v>10.61298906080615</v>
      </c>
      <c r="K105" s="1001"/>
      <c r="L105" s="1001">
        <f>(Q26/$R26*100*($E26/365))+(Q27/$R27*100*($E27/365))</f>
        <v>37.630516341289891</v>
      </c>
      <c r="M105" s="1001"/>
      <c r="N105" s="1011">
        <f t="shared" si="27"/>
        <v>100</v>
      </c>
      <c r="O105" s="1011"/>
      <c r="P105" s="12"/>
      <c r="Q105" s="12"/>
      <c r="R105" s="12">
        <v>1999</v>
      </c>
      <c r="S105" s="8">
        <f>(O26*($E26/365))+(O27*($E27/365))</f>
        <v>35.6</v>
      </c>
      <c r="T105" s="8">
        <f>(P26*($E26/365))+(P27*($E27/365))</f>
        <v>7.3</v>
      </c>
      <c r="U105" s="8">
        <f>(Q26*($E26/365))+(Q27*($E27/365))</f>
        <v>25.991780821917811</v>
      </c>
      <c r="V105" s="12"/>
      <c r="W105" s="7">
        <f t="shared" si="28"/>
        <v>68.891780821917806</v>
      </c>
    </row>
    <row r="106" spans="1:23" ht="9" customHeight="1">
      <c r="A106" s="1">
        <v>2000</v>
      </c>
      <c r="B106" s="8">
        <f>(K28*($E28/366))+(K29*($E29/366))</f>
        <v>60.443230115361267</v>
      </c>
      <c r="C106" s="8">
        <f>(L28*($E28/366))+(L29*($E29/366))</f>
        <v>5.4948391013964786</v>
      </c>
      <c r="D106" s="8">
        <f>(M28*($E28/366))+(M29*($E29/366))</f>
        <v>34.061930783242254</v>
      </c>
      <c r="E106" s="52">
        <f t="shared" si="26"/>
        <v>100</v>
      </c>
      <c r="F106" s="12"/>
      <c r="G106" s="12">
        <v>2000</v>
      </c>
      <c r="H106" s="1001">
        <f>(O28/$R28*100*($E28/366))+(O29/$R29*100*($E29/366))</f>
        <v>60.292686578336699</v>
      </c>
      <c r="I106" s="1001"/>
      <c r="J106" s="1001">
        <f>(P28/$R28*100*($E28/366))+(P29/$R29*100*($E29/366))</f>
        <v>12.363387978142077</v>
      </c>
      <c r="K106" s="1001"/>
      <c r="L106" s="1001">
        <f>(Q28/$R28*100*($E28/366))+(Q29/$R29*100*($E29/366))</f>
        <v>27.343925443521218</v>
      </c>
      <c r="M106" s="1001"/>
      <c r="N106" s="1011">
        <f t="shared" si="27"/>
        <v>99.999999999999986</v>
      </c>
      <c r="O106" s="1011"/>
      <c r="P106" s="12"/>
      <c r="Q106" s="12"/>
      <c r="R106" s="12">
        <v>2000</v>
      </c>
      <c r="S106" s="8">
        <f>(O28*($E28/366))+(O29*($E29/366))</f>
        <v>35.210928961748635</v>
      </c>
      <c r="T106" s="8">
        <f>(P28*($E28/366))+(P29*($E29/366))</f>
        <v>7.220218579234972</v>
      </c>
      <c r="U106" s="8">
        <f>(Q28*($E28/366))+(Q29*($E29/366))</f>
        <v>15.821311475409836</v>
      </c>
      <c r="V106" s="12"/>
      <c r="W106" s="7">
        <f t="shared" si="28"/>
        <v>58.252459016393445</v>
      </c>
    </row>
    <row r="107" spans="1:23" ht="9" customHeight="1">
      <c r="A107" s="1">
        <v>2001</v>
      </c>
      <c r="B107" s="8">
        <f>(K30*($E30/365))+(K31*($E31/365))</f>
        <v>0</v>
      </c>
      <c r="C107" s="8">
        <f>(L30*($E30/365))+(L31*($E31/365))</f>
        <v>0</v>
      </c>
      <c r="D107" s="8">
        <f>(M30*($E30/365))+(M31*($E31/365))</f>
        <v>100</v>
      </c>
      <c r="E107" s="52">
        <f t="shared" si="26"/>
        <v>100</v>
      </c>
      <c r="F107" s="12"/>
      <c r="G107" s="12">
        <v>2001</v>
      </c>
      <c r="H107" s="1001">
        <f>(O30/$R30*100*($E30/365))+(O31/$R31*100*($E31/365))</f>
        <v>0</v>
      </c>
      <c r="I107" s="1001"/>
      <c r="J107" s="1001">
        <f>(P30/$R30*100*($E30/365))+(P31/$R31*100*($E31/365))</f>
        <v>0</v>
      </c>
      <c r="K107" s="1001"/>
      <c r="L107" s="1001">
        <f>(Q30/$R30*100*($E30/365))+(Q31/$R31*100*($E31/365))</f>
        <v>100</v>
      </c>
      <c r="M107" s="1001"/>
      <c r="N107" s="1011">
        <f t="shared" si="27"/>
        <v>100</v>
      </c>
      <c r="O107" s="1011"/>
      <c r="P107" s="12"/>
      <c r="Q107" s="12"/>
      <c r="R107" s="12">
        <v>2001</v>
      </c>
      <c r="S107" s="8">
        <f>(O30*($E30/365))+(O31*($E31/365))</f>
        <v>0</v>
      </c>
      <c r="T107" s="8">
        <f>(P30*($E30/365))+(P31*($E31/365))</f>
        <v>0</v>
      </c>
      <c r="U107" s="8">
        <f>(Q30*($E30/365))+(Q31*($E31/365))</f>
        <v>44.9</v>
      </c>
      <c r="V107" s="12"/>
      <c r="W107" s="7">
        <f t="shared" si="28"/>
        <v>44.9</v>
      </c>
    </row>
    <row r="108" spans="1:23" ht="9" customHeight="1">
      <c r="A108" s="1">
        <v>2002</v>
      </c>
      <c r="B108" s="8">
        <f>(K32*($E32/365))+(K33*($E33/365))</f>
        <v>0</v>
      </c>
      <c r="C108" s="8">
        <f>(L32*($E32/365))+(L33*($E33/365))</f>
        <v>0</v>
      </c>
      <c r="D108" s="8">
        <f>(M32*($E32/365))+(M33*($E33/365))</f>
        <v>100</v>
      </c>
      <c r="E108" s="52">
        <f t="shared" si="26"/>
        <v>100</v>
      </c>
      <c r="F108" s="12"/>
      <c r="G108" s="12">
        <v>2002</v>
      </c>
      <c r="H108" s="1001">
        <f>(O32/$R32*100*($E32/365))+(O33/$R33*100*($E33/365))</f>
        <v>0</v>
      </c>
      <c r="I108" s="1001"/>
      <c r="J108" s="1001">
        <f>(P32/$R32*100*($E32/365))+(P33/$R33*100*($E33/365))</f>
        <v>0</v>
      </c>
      <c r="K108" s="1001"/>
      <c r="L108" s="1001">
        <f>(Q32/$R32*100*($E32/365))+(Q33/$R33*100*($E33/365))</f>
        <v>100</v>
      </c>
      <c r="M108" s="1001"/>
      <c r="N108" s="1011">
        <f t="shared" si="27"/>
        <v>100</v>
      </c>
      <c r="O108" s="1011"/>
      <c r="P108" s="12"/>
      <c r="Q108" s="12"/>
      <c r="R108" s="12">
        <v>2002</v>
      </c>
      <c r="S108" s="8">
        <f>(O32*($E32/365))+(O33*($E33/365))</f>
        <v>0</v>
      </c>
      <c r="T108" s="8">
        <f>(P32*($E32/365))+(P33*($E33/365))</f>
        <v>0</v>
      </c>
      <c r="U108" s="8">
        <f>(Q32*($E32/365))+(Q33*($E33/365))</f>
        <v>44.9</v>
      </c>
      <c r="V108" s="12"/>
      <c r="W108" s="7">
        <f t="shared" si="28"/>
        <v>44.9</v>
      </c>
    </row>
    <row r="109" spans="1:23" ht="9" customHeight="1">
      <c r="A109" s="1">
        <v>2003</v>
      </c>
      <c r="B109" s="8">
        <f>(K34*($E34/365))+(K35*($E35/365))</f>
        <v>0</v>
      </c>
      <c r="C109" s="8">
        <f>(L34*($E34/365))+(L35*($E35/365))</f>
        <v>0</v>
      </c>
      <c r="D109" s="8">
        <f>(M34*($E34/365))+(M35*($E35/365))</f>
        <v>100</v>
      </c>
      <c r="E109" s="52">
        <f t="shared" si="26"/>
        <v>100</v>
      </c>
      <c r="F109" s="12"/>
      <c r="G109" s="12">
        <v>2003</v>
      </c>
      <c r="H109" s="1001">
        <f>(O34/$R34*100*($E34/365))+(O35/$R35*100*($E35/365))</f>
        <v>0</v>
      </c>
      <c r="I109" s="1001"/>
      <c r="J109" s="1001">
        <f>(P34/$R34*100*($E34/365))+(P35/$R35*100*($E35/365))</f>
        <v>0</v>
      </c>
      <c r="K109" s="1001"/>
      <c r="L109" s="1001">
        <f>(Q34/$R34*100*($E34/365))+(Q35/$R35*100*($E35/365))</f>
        <v>100</v>
      </c>
      <c r="M109" s="1001"/>
      <c r="N109" s="1011">
        <f t="shared" si="27"/>
        <v>100</v>
      </c>
      <c r="O109" s="1011"/>
      <c r="P109" s="12"/>
      <c r="Q109" s="12"/>
      <c r="R109" s="12">
        <v>2003</v>
      </c>
      <c r="S109" s="8">
        <f>(O34*($E34/365))+(O35*($E35/365))</f>
        <v>0</v>
      </c>
      <c r="T109" s="8">
        <f>(P34*($E34/365))+(P35*($E35/365))</f>
        <v>0</v>
      </c>
      <c r="U109" s="8">
        <f>(Q34*($E34/365))+(Q35*($E35/365))</f>
        <v>44.9</v>
      </c>
      <c r="V109" s="12"/>
      <c r="W109" s="7">
        <f t="shared" si="28"/>
        <v>44.9</v>
      </c>
    </row>
    <row r="110" spans="1:23" ht="9" customHeight="1">
      <c r="A110" s="1">
        <v>2004</v>
      </c>
      <c r="B110" s="8">
        <f>(K36*($E36/366))+(K37*($E37/366))</f>
        <v>0.32786885245901642</v>
      </c>
      <c r="C110" s="8">
        <f>(L36*($E36/366))+(L37*($E37/366))</f>
        <v>0.22950819672131151</v>
      </c>
      <c r="D110" s="8">
        <f>(M36*($E36/366))+(M37*($E37/366))</f>
        <v>99.409836065573771</v>
      </c>
      <c r="E110" s="52">
        <f t="shared" si="26"/>
        <v>99.967213114754102</v>
      </c>
      <c r="F110" s="12"/>
      <c r="G110" s="12">
        <v>2004</v>
      </c>
      <c r="H110" s="1001">
        <f>(O36/$R36*100*($E36/366))+(O37/$R37*100*($E37/366))</f>
        <v>0.34212401995723452</v>
      </c>
      <c r="I110" s="1001"/>
      <c r="J110" s="1001">
        <f>(P36/$R36*100*($E36/366))+(P37/$R37*100*($E37/366))</f>
        <v>0.21917320028510337</v>
      </c>
      <c r="K110" s="1001"/>
      <c r="L110" s="1001">
        <f>(Q36/$R36*100*($E36/366))+(Q37/$R37*100*($E37/366))</f>
        <v>99.438702779757662</v>
      </c>
      <c r="M110" s="1001"/>
      <c r="N110" s="1011">
        <f t="shared" si="27"/>
        <v>100</v>
      </c>
      <c r="O110" s="1011"/>
      <c r="P110" s="12"/>
      <c r="Q110" s="12"/>
      <c r="R110" s="12">
        <v>2004</v>
      </c>
      <c r="S110" s="8">
        <f>(O36*($E36/366))+(O37*($E37/366))</f>
        <v>0.15737704918032788</v>
      </c>
      <c r="T110" s="8">
        <f>(P36*($E36/366))+(P37*($E37/366))</f>
        <v>0.10081967213114755</v>
      </c>
      <c r="U110" s="8">
        <f>(Q36*($E36/366))+(Q37*($E37/366))</f>
        <v>44.650819672131149</v>
      </c>
      <c r="V110" s="12"/>
      <c r="W110" s="7">
        <f t="shared" si="28"/>
        <v>44.909016393442627</v>
      </c>
    </row>
    <row r="111" spans="1:23" ht="9" customHeight="1">
      <c r="A111" s="1">
        <v>2005</v>
      </c>
      <c r="B111" s="8">
        <f>(K38*($E38/365))+(K39*($E39/365))</f>
        <v>41.57534246575343</v>
      </c>
      <c r="C111" s="8">
        <f>(L38*($E38/365))+(L39*($E39/365))</f>
        <v>25.164383561643834</v>
      </c>
      <c r="D111" s="8">
        <f>(M38*($E38/365))+(M39*($E39/365))</f>
        <v>29.102739726027398</v>
      </c>
      <c r="E111" s="52">
        <f t="shared" si="26"/>
        <v>95.842465753424662</v>
      </c>
      <c r="F111" s="12"/>
      <c r="G111" s="12">
        <v>2005</v>
      </c>
      <c r="H111" s="1001">
        <f>(O38/$R38*100*($E38/365))+(O39/$R39*100*($E39/365))</f>
        <v>41.739130434782609</v>
      </c>
      <c r="I111" s="1001"/>
      <c r="J111" s="1001">
        <f>(P38/$R38*100*($E38/365))+(P39/$R39*100*($E39/365))</f>
        <v>26.739130434782609</v>
      </c>
      <c r="K111" s="1001"/>
      <c r="L111" s="1001">
        <f>(Q38/$R38*100*($E38/365))+(Q39/$R39*100*($E39/365))</f>
        <v>31.521739130434785</v>
      </c>
      <c r="M111" s="1001"/>
      <c r="N111" s="1011">
        <f t="shared" si="27"/>
        <v>100</v>
      </c>
      <c r="O111" s="1011"/>
      <c r="P111" s="12"/>
      <c r="Q111" s="12"/>
      <c r="R111" s="12">
        <v>2005</v>
      </c>
      <c r="S111" s="8">
        <f>(O38*($E38/365))+(O39*($E39/365))</f>
        <v>19.2</v>
      </c>
      <c r="T111" s="8">
        <f>(P38*($E38/365))+(P39*($E39/365))</f>
        <v>12.3</v>
      </c>
      <c r="U111" s="8">
        <f>(Q38*($E38/365))+(Q39*($E39/365))</f>
        <v>14.5</v>
      </c>
      <c r="V111" s="12"/>
      <c r="W111" s="7">
        <f t="shared" si="28"/>
        <v>46</v>
      </c>
    </row>
    <row r="112" spans="1:23" ht="9" customHeight="1">
      <c r="A112" s="1">
        <v>2006</v>
      </c>
      <c r="B112" s="8">
        <f>(K40*($E40/365))+(K41*($E41/365))+(K42*($E42/365))+(K43*($E43/365))</f>
        <v>42.126265634306144</v>
      </c>
      <c r="C112" s="8">
        <f>(L40*($E40/365))+(L41*($E41/365))+(L42*($E42/365))+(L43*($E43/365))</f>
        <v>25.354377605717691</v>
      </c>
      <c r="D112" s="8">
        <f>(M40*($E40/365))+(M41*($E41/365))+(M42*($E42/365))+(M43*($E43/365))</f>
        <v>28.251935675997622</v>
      </c>
      <c r="E112" s="52">
        <f t="shared" si="26"/>
        <v>95.732578916021453</v>
      </c>
      <c r="F112" s="12"/>
      <c r="G112" s="12">
        <v>2006</v>
      </c>
      <c r="H112" s="1001">
        <f>(O40/$R40*100*($E40/365))+(O41/$R41*100*($E41/365))+(O42/$R42*100*($E42/365))+(O43/$R43*100*($E43/365))</f>
        <v>41.739130434782609</v>
      </c>
      <c r="I112" s="1001"/>
      <c r="J112" s="1001">
        <f>(P40/$R40*100*($E40/365))+(P41/$R41*100*($E41/365))+(P42/$R42*100*($E42/365))+(P43/$R43*100*($E43/365))</f>
        <v>26.739130434782609</v>
      </c>
      <c r="K112" s="1001"/>
      <c r="L112" s="1001">
        <f>(Q40/$R40*100*($E40/365))+(Q41/$R41*100*($E41/365))+(Q42/$R42*100*($E42/365))+(Q43/$R43*100*($E43/365))</f>
        <v>31.521739130434785</v>
      </c>
      <c r="M112" s="1001"/>
      <c r="N112" s="1011">
        <f t="shared" si="27"/>
        <v>100</v>
      </c>
      <c r="O112" s="1011"/>
      <c r="P112" s="12"/>
      <c r="Q112" s="12"/>
      <c r="R112" s="12">
        <v>2006</v>
      </c>
      <c r="S112" s="8">
        <f>(O40*($E40/365))+(O41*($E41/365))+(O42*($E42/365))+(O43*($E43/365))</f>
        <v>19.2</v>
      </c>
      <c r="T112" s="8">
        <f>(P40*($E40/365))+(P41*($E41/365))+(P42*($E42/365))+(P43*($E43/365))</f>
        <v>12.300000000000002</v>
      </c>
      <c r="U112" s="8">
        <f>(Q40*($E40/365))+(Q41*($E41/365))+(Q42*($E42/365))+(Q43*($E43/365))</f>
        <v>14.5</v>
      </c>
      <c r="V112" s="12"/>
      <c r="W112" s="7">
        <f t="shared" si="28"/>
        <v>46</v>
      </c>
    </row>
    <row r="113" spans="1:23" ht="9" customHeight="1">
      <c r="A113" s="1">
        <v>2007</v>
      </c>
      <c r="B113" s="8">
        <f>(K44*($E44/365))+(K45*($E45/365))+(K46*($E46/365))+(K47*($E47/365))</f>
        <v>69.904276977815144</v>
      </c>
      <c r="C113" s="8">
        <f>(L44*($E44/365))+(L45*($E45/365))+(L46*($E46/365))+(L47*($E47/365))</f>
        <v>19.816495190492319</v>
      </c>
      <c r="D113" s="8">
        <f>(M44*($E44/365))+(M45*($E45/365))+(M46*($E46/365))+(M47*($E47/365))</f>
        <v>7.8379988088147714</v>
      </c>
      <c r="E113" s="52">
        <f t="shared" si="26"/>
        <v>97.558770977122236</v>
      </c>
      <c r="F113" s="12"/>
      <c r="G113" s="12">
        <v>2007</v>
      </c>
      <c r="H113" s="1001">
        <f>(O44/$R44*100*($E44/365))+(O45/$R45*100*($E45/365))+(O46/$R46*100*($E46/365))+(O47/$R47*100*($E47/365))</f>
        <v>64.143601181047472</v>
      </c>
      <c r="I113" s="1001"/>
      <c r="J113" s="1001">
        <f>(P44/$R44*100*($E44/365))+(P45/$R45*100*($E45/365))+(P46/$R46*100*($E46/365))+(P47/$R47*100*($E47/365))</f>
        <v>27.738471481251501</v>
      </c>
      <c r="K113" s="1001"/>
      <c r="L113" s="1001">
        <f>(Q44/$R44*100*($E44/365))+(Q45/$R45*100*($E45/365))+(Q46/$R46*100*($E46/365))+(Q47/$R47*100*($E47/365))</f>
        <v>8.1179273377010137</v>
      </c>
      <c r="M113" s="1001"/>
      <c r="N113" s="1011">
        <f t="shared" si="27"/>
        <v>100</v>
      </c>
      <c r="O113" s="1011"/>
      <c r="P113" s="12"/>
      <c r="Q113" s="12"/>
      <c r="R113" s="12">
        <v>2007</v>
      </c>
      <c r="S113" s="8">
        <f>(O44*($E44/365))+(O45*($E45/365))+(O46*($E46/365))+(O47*($E47/365))</f>
        <v>17.492328767123286</v>
      </c>
      <c r="T113" s="8">
        <f>(P44*($E44/365))+(P45*($E45/365))+(P46*($E46/365))+(P47*($E47/365))</f>
        <v>8.067945205479452</v>
      </c>
      <c r="U113" s="8">
        <f>(Q44*($E44/365))+(Q45*($E45/365))+(Q46*($E46/365))+(Q47*($E47/365))</f>
        <v>3.7342465753424658</v>
      </c>
      <c r="V113" s="12"/>
      <c r="W113" s="7">
        <f t="shared" si="28"/>
        <v>29.294520547945204</v>
      </c>
    </row>
    <row r="114" spans="1:23" ht="9" customHeight="1">
      <c r="A114" s="1">
        <v>2008</v>
      </c>
      <c r="B114" s="8">
        <f>(K48*($E48/366))+(K49*($E49/366))</f>
        <v>75.682294775833824</v>
      </c>
      <c r="C114" s="8">
        <f>(L48*($E48/366))+(L49*($E49/366))</f>
        <v>17.164898746383802</v>
      </c>
      <c r="D114" s="8">
        <f>(M48*($E48/366))+(M49*($E49/366))</f>
        <v>1.3010668748373664</v>
      </c>
      <c r="E114" s="52">
        <f t="shared" si="26"/>
        <v>94.148260397054983</v>
      </c>
      <c r="F114" s="12"/>
      <c r="G114" s="12">
        <v>2008</v>
      </c>
      <c r="H114" s="1001">
        <f>(O48/$R48*100*($E48/366))+(O49/$R49*100*($E49/366))</f>
        <v>71.346574476550188</v>
      </c>
      <c r="I114" s="1001"/>
      <c r="J114" s="1001">
        <f>(P48/$R48*100*($E48/366))+(P49/$R49*100*($E49/366))</f>
        <v>27.317753749563998</v>
      </c>
      <c r="K114" s="1001"/>
      <c r="L114" s="1001">
        <f>(Q48/$R48*100*($E48/366))+(Q49/$R49*100*($E49/366))</f>
        <v>1.3356717738857897</v>
      </c>
      <c r="M114" s="1001"/>
      <c r="N114" s="1011">
        <f t="shared" si="27"/>
        <v>99.999999999999972</v>
      </c>
      <c r="O114" s="1011"/>
      <c r="P114" s="12"/>
      <c r="Q114" s="12"/>
      <c r="R114" s="12">
        <v>2008</v>
      </c>
      <c r="S114" s="8">
        <f>(O48*($E48/366))+(O49*($E49/366))</f>
        <v>17.37814207650273</v>
      </c>
      <c r="T114" s="8">
        <f>(P48*($E48/366))+(P49*($E49/366))</f>
        <v>6.4196721311475402</v>
      </c>
      <c r="U114" s="8">
        <f>(Q48*($E48/366))+(Q49*($E49/366))</f>
        <v>0.8989071038251365</v>
      </c>
      <c r="V114" s="12"/>
      <c r="W114" s="7">
        <f t="shared" si="28"/>
        <v>24.696721311475407</v>
      </c>
    </row>
    <row r="115" spans="1:23" ht="9" customHeight="1">
      <c r="A115" s="1">
        <v>2009</v>
      </c>
      <c r="B115" s="8">
        <f>(K50*($E50/365))+(K51*($E51/365))+(K52*($E52/365))</f>
        <v>57.242546333601929</v>
      </c>
      <c r="C115" s="8">
        <f>(L50*($E50/365))+(L51*($E51/365))+(L52*($E52/365))</f>
        <v>0.58017727639000805</v>
      </c>
      <c r="D115" s="8">
        <f>(M50*($E50/365))+(M51*($E51/365))+(M52*($E52/365))</f>
        <v>35.61643835616438</v>
      </c>
      <c r="E115" s="52">
        <f t="shared" si="26"/>
        <v>93.43916196615632</v>
      </c>
      <c r="F115" s="12"/>
      <c r="G115" s="12">
        <v>2009</v>
      </c>
      <c r="H115" s="1001">
        <f>(O50/$R50*100*($E50/365))+(O51/$R51*100*($E51/365))+(O52/$R52*100*($E52/365))</f>
        <v>63.039333481938286</v>
      </c>
      <c r="I115" s="1001"/>
      <c r="J115" s="1001">
        <f>(P50/$R50*100*($E50/365))+(P51/$R51*100*($E51/365))+(P52/$R52*100*($E52/365))</f>
        <v>0.39692616104243233</v>
      </c>
      <c r="K115" s="1001"/>
      <c r="L115" s="1001">
        <f>(Q50/$R50*100*($E50/365))+(Q51/$R51*100*($E51/365))+(Q52/$R52*100*($E52/365))</f>
        <v>36.563740357019277</v>
      </c>
      <c r="M115" s="1001"/>
      <c r="N115" s="1011">
        <f t="shared" si="27"/>
        <v>100</v>
      </c>
      <c r="O115" s="1011"/>
      <c r="P115" s="12"/>
      <c r="Q115" s="12"/>
      <c r="R115" s="12">
        <v>2009</v>
      </c>
      <c r="S115" s="8">
        <f>(O50*($E50/365))+(O51*($E51/365))+(O52*($E52/365))</f>
        <v>34.4</v>
      </c>
      <c r="T115" s="8">
        <f>(P50*($E50/365))+(P51*($E51/365))+(P52*($E52/365))</f>
        <v>0.16273972602739725</v>
      </c>
      <c r="U115" s="8">
        <f>(Q50*($E50/365))+(Q51*($E51/365))+(Q52*($E52/365))</f>
        <v>24.607397260273974</v>
      </c>
      <c r="V115" s="12"/>
      <c r="W115" s="7">
        <f t="shared" si="28"/>
        <v>59.170136986301372</v>
      </c>
    </row>
    <row r="116" spans="1:23" ht="9" customHeight="1">
      <c r="A116" s="1">
        <v>2010</v>
      </c>
      <c r="B116" s="8">
        <f>(K53*($E53/365))+(K54*($E54/365))+(K55*($E55/365))</f>
        <v>52.457695406929886</v>
      </c>
      <c r="C116" s="8">
        <f>(L53*($E53/365))+(L54*($E54/365))+(L55*($E55/365))</f>
        <v>23.52941176470588</v>
      </c>
      <c r="D116" s="8">
        <f>(M53*($E53/365))+(M54*($E54/365))+(M55*($E55/365))</f>
        <v>1.9339242546333599</v>
      </c>
      <c r="E116" s="52">
        <f t="shared" si="26"/>
        <v>77.921031426269124</v>
      </c>
      <c r="F116" s="12"/>
      <c r="G116" s="12">
        <v>2010</v>
      </c>
      <c r="H116" s="1001">
        <f>(O53/$R53*100*($E53/365))+(O54/$R54*100*($E54/365))+(O55/$R55*100*($E55/365))</f>
        <v>81.623594750129286</v>
      </c>
      <c r="I116" s="1001"/>
      <c r="J116" s="1001">
        <f>(P53/$R53*100*($E53/365))+(P54/$R54*100*($E54/365))+(P55/$R55*100*($E55/365))</f>
        <v>15.307002646562587</v>
      </c>
      <c r="K116" s="1001"/>
      <c r="L116" s="1001">
        <f>(Q53/$R53*100*($E53/365))+(Q54/$R54*100*($E54/365))+(Q55/$R55*100*($E55/365))</f>
        <v>3.0694026033081343</v>
      </c>
      <c r="M116" s="1001"/>
      <c r="N116" s="1011">
        <f t="shared" si="27"/>
        <v>100</v>
      </c>
      <c r="O116" s="1011"/>
      <c r="P116" s="12"/>
      <c r="Q116" s="12"/>
      <c r="R116" s="12">
        <v>2010</v>
      </c>
      <c r="S116" s="8">
        <f>(O53*($E53/365))+(O54*($E54/365))+(O55*($E55/365))</f>
        <v>35.287671232876711</v>
      </c>
      <c r="T116" s="8">
        <f>(P53*($E53/365))+(P54*($E54/365))+(P55*($E55/365))</f>
        <v>6.5999999999999988</v>
      </c>
      <c r="U116" s="8">
        <f>(Q53*($E53/365))+(Q54*($E54/365))+(Q55*($E55/365))</f>
        <v>1.4794520547945207</v>
      </c>
      <c r="V116" s="12"/>
      <c r="W116" s="7">
        <f t="shared" si="28"/>
        <v>43.367123287671234</v>
      </c>
    </row>
    <row r="117" spans="1:23" ht="9" customHeight="1">
      <c r="A117" s="1">
        <v>2011</v>
      </c>
      <c r="B117" s="8">
        <f>(K56*($E56/365))+(K57*($E57/365))+(K58*($E58/365))+(K59*($E59/365))</f>
        <v>61.950935625391715</v>
      </c>
      <c r="C117" s="8">
        <f>(L56*($E56/365))+(L57*($E57/365))+(L58*($E58/365))+(L59*($E59/365))</f>
        <v>23.160533619840628</v>
      </c>
      <c r="D117" s="8">
        <f>(M56*($E56/365))+(M57*($E57/365))+(M58*($E58/365))+(M59*($E59/365))</f>
        <v>5.7901334049601569</v>
      </c>
      <c r="E117" s="52">
        <f t="shared" si="26"/>
        <v>90.901602650192501</v>
      </c>
      <c r="F117" s="12"/>
      <c r="G117" s="12">
        <v>2011</v>
      </c>
      <c r="H117" s="1001">
        <f>(O56/$R56*100*($E56/365))+(O57/$R57*100*($E57/365))+(O58/$R58*100*($E58/365))+(O59/$R59*100*($E59/365))</f>
        <v>76.970954356846462</v>
      </c>
      <c r="I117" s="1001"/>
      <c r="J117" s="1001">
        <f>(P56/$R56*100*($E56/365))+(P57/$R57*100*($E57/365))+(P58/$R58*100*($E58/365))+(P59/$R59*100*($E59/365))</f>
        <v>13.692946058091286</v>
      </c>
      <c r="K117" s="1001"/>
      <c r="L117" s="1001">
        <f>(Q56/$R56*100*($E56/365))+(Q57/$R57*100*($E57/365))+(Q58/$R58*100*($E58/365))+(Q59/$R59*100*($E59/365))</f>
        <v>9.3360995850622412</v>
      </c>
      <c r="M117" s="1001"/>
      <c r="N117" s="1011">
        <f t="shared" si="27"/>
        <v>99.999999999999986</v>
      </c>
      <c r="O117" s="1011"/>
      <c r="P117" s="12"/>
      <c r="Q117" s="12"/>
      <c r="R117" s="12">
        <v>2011</v>
      </c>
      <c r="S117" s="8">
        <f>(O56*($E56/365))+(O57*($E57/365))+(O58*($E58/365))+(O59*($E59/365))</f>
        <v>37.1</v>
      </c>
      <c r="T117" s="8">
        <f>(P56*($E56/365))+(P57*($E57/365))+(P58*($E58/365))+(P59*($E59/365))</f>
        <v>6.6</v>
      </c>
      <c r="U117" s="8">
        <f>(Q56*($E56/365))+(Q57*($E57/365))+(Q58*($E58/365))+(Q59*($E59/365))</f>
        <v>4.5</v>
      </c>
      <c r="V117" s="12"/>
      <c r="W117" s="7">
        <f t="shared" si="28"/>
        <v>48.2</v>
      </c>
    </row>
    <row r="118" spans="1:23" ht="9" customHeight="1">
      <c r="A118" s="1">
        <v>2012</v>
      </c>
      <c r="B118" s="8">
        <f>(K60*($E60/366))+(K61*($E61/366))+(K62*($E62/366))+(K63*($E63/366))+(K64*($E64/366))</f>
        <v>39.948872397616682</v>
      </c>
      <c r="C118" s="8">
        <f>(L60*($E60/366))+(L61*($E61/366))+(L62*($E62/366))+(L63*($E63/366))+(L64*($E64/366))</f>
        <v>8.8492017572056145</v>
      </c>
      <c r="D118" s="8">
        <f>(M60*($E60/366))+(M61*($E61/366))+(M62*($E62/366))+(M63*($E63/366))+(M64*($E64/366))</f>
        <v>34.350569973772359</v>
      </c>
      <c r="E118" s="52">
        <f t="shared" si="26"/>
        <v>83.148644128594654</v>
      </c>
      <c r="F118" s="12"/>
      <c r="G118" s="12">
        <v>2012</v>
      </c>
      <c r="H118" s="1001">
        <f>(O60/$R60*100*($E60/366))+(O61/$R61*100*($E61/366))+(O62/$R62*100*($E62/366))+(O63/$R63*100*($E63/366))+(O64/$R64*100*($E64/366))</f>
        <v>50.515694096012012</v>
      </c>
      <c r="I118" s="1001"/>
      <c r="J118" s="1001">
        <f>(P60/$R60*100*($E60/366))+(P61/$R61*100*($E61/366))+(P62/$R62*100*($E62/366))+(P63/$R63*100*($E63/366))+(P64/$R64*100*($E64/366))</f>
        <v>6.2985595794918341</v>
      </c>
      <c r="K118" s="1001"/>
      <c r="L118" s="1001">
        <f>(Q60/$R60*100*($E60/366))+(Q61/$R61*100*($E61/366))+(Q62/$R62*100*($E62/366))+(Q63/$R63*100*($E63/366))+(Q64/$R64*100*($E64/366))</f>
        <v>43.185746324496158</v>
      </c>
      <c r="M118" s="1001"/>
      <c r="N118" s="1011">
        <f t="shared" si="27"/>
        <v>100</v>
      </c>
      <c r="O118" s="1011"/>
      <c r="P118" s="12"/>
      <c r="Q118" s="12"/>
      <c r="R118" s="12">
        <v>2012</v>
      </c>
      <c r="S118" s="8">
        <f>(O60*($E60/366))+(O61*($E61/366))+(O62*($E62/366))+(O63*($E63/366))+(O64*($E64/366))</f>
        <v>25.787431693989074</v>
      </c>
      <c r="T118" s="8">
        <f>(P60*($E60/366))+(P61*($E61/366))+(P62*($E62/366))+(P63*($E63/366))+(P64*($E64/366))</f>
        <v>3.1398907103825136</v>
      </c>
      <c r="U118" s="8">
        <f>(Q60*($E60/366))+(Q61*($E61/366))+(Q62*($E62/366))+(Q63*($E63/366))+(Q64*($E64/366))</f>
        <v>23.201639344262297</v>
      </c>
      <c r="V118" s="12"/>
      <c r="W118" s="7">
        <f t="shared" si="28"/>
        <v>52.128961748633884</v>
      </c>
    </row>
    <row r="119" spans="1:23" ht="9" customHeight="1">
      <c r="A119" s="1">
        <v>2013</v>
      </c>
      <c r="B119" s="8">
        <f>(K65*($E65/365))+(K66*($E66/365))</f>
        <v>40</v>
      </c>
      <c r="C119" s="8">
        <f>(L65*($E65/365))+(L66*($E66/365))</f>
        <v>4</v>
      </c>
      <c r="D119" s="8">
        <f>(M65*($E65/365))+(M66*($E66/365))</f>
        <v>53.139726027397259</v>
      </c>
      <c r="E119" s="52">
        <f t="shared" si="26"/>
        <v>97.139726027397259</v>
      </c>
      <c r="F119" s="12"/>
      <c r="G119" s="12">
        <v>2013</v>
      </c>
      <c r="H119" s="1001">
        <f>(O65/$R65*100*($E65/365))+(O66/$R66*100*($E66/365))</f>
        <v>38.059701492537314</v>
      </c>
      <c r="I119" s="1001"/>
      <c r="J119" s="1001">
        <f>(P65/$R65*100*($E65/365))+(P66/$R66*100*($E66/365))</f>
        <v>5.0746268656716413</v>
      </c>
      <c r="K119" s="1001"/>
      <c r="L119" s="1001">
        <f>(Q65/$R65*100*($E65/365))+(Q66/$R66*100*($E66/365))</f>
        <v>56.865671641791039</v>
      </c>
      <c r="M119" s="1001"/>
      <c r="N119" s="1011">
        <f t="shared" ref="N119:N124" si="29">H119+J119+L119</f>
        <v>100</v>
      </c>
      <c r="O119" s="1011"/>
      <c r="P119" s="12"/>
      <c r="Q119" s="12"/>
      <c r="R119" s="12">
        <v>2013</v>
      </c>
      <c r="S119" s="8">
        <f>(O65*($E65/365))+(O66*($E66/365))</f>
        <v>25.5</v>
      </c>
      <c r="T119" s="8">
        <f>(P65*($E65/365))+(P66*($E66/365))</f>
        <v>3.4</v>
      </c>
      <c r="U119" s="8">
        <f>(Q65*($E65/365))+(Q66*($E66/365))</f>
        <v>38.1</v>
      </c>
      <c r="V119" s="12"/>
      <c r="W119" s="7">
        <f t="shared" si="28"/>
        <v>67</v>
      </c>
    </row>
    <row r="120" spans="1:23" ht="9" customHeight="1">
      <c r="A120" s="1">
        <v>2014</v>
      </c>
      <c r="B120" s="8">
        <f>(K67*($E67/365))+(K68*($E68/365))+(K69*($E69/365))+(K70*($E70/365))+(K71*($E71/365))+(K72*($E72/365))+(K73*($E73/365))+(K74*($E74/365))</f>
        <v>5.7105853051058535</v>
      </c>
      <c r="C120" s="8">
        <f>(L67*($E67/365))+(L68*($E68/365))+(L69*($E69/365))+(L70*($E70/365))+(L71*($E71/365))+(L72*($E72/365))+(L73*($E73/365))+(L74*($E74/365))</f>
        <v>10.136718076444103</v>
      </c>
      <c r="D120" s="8">
        <f>(M67*($E67/365))+(M68*($E68/365))+(M69*($E69/365))+(M70*($E70/365))+(M71*($E71/365))+(M72*($E72/365))+(M73*($E73/365))+(M74*($E74/365))</f>
        <v>64.700910048855263</v>
      </c>
      <c r="E120" s="52">
        <f t="shared" si="26"/>
        <v>80.548213430405212</v>
      </c>
      <c r="F120" s="12"/>
      <c r="G120" s="12">
        <v>2014</v>
      </c>
      <c r="H120" s="1001">
        <f>(O67/$R67*100*($E67/365))+(O68/$R68*100*($E68/365))+(O69/$R69*100*($E69/365))+(O70/$R70*100*($E70/365))+(O71/$R71*100*($E71/365))+(O72/$R72*100*($E72/365))+(O73/$R73*100*($E73/365))+(O74/$R74*100*($E74/365))</f>
        <v>6.153605580625122</v>
      </c>
      <c r="I120" s="1001"/>
      <c r="J120" s="1001">
        <f>(P67/$R67*100*($E67/365))+(P68/$R68*100*($E68/365))+(P69/$R69*100*($E69/365))+(P70/$R70*100*($E70/365))+(P71/$R71*100*($E71/365))+(P72/$R72*100*($E72/365))+(P73/$R73*100*($E73/365))+(P74/$R74*100*($E74/365))</f>
        <v>14.034191597510397</v>
      </c>
      <c r="K120" s="1001"/>
      <c r="L120" s="1001">
        <f>(Q67/$R67*100*($E67/365))+(Q68/$R68*100*($E68/365))+(Q69/$R69*100*($E69/365))+(Q70/$R70*100*($E70/365))+(Q71/$R71*100*($E71/365))+(Q72/$R72*100*($E72/365))+(Q73/$R73*100*($E73/365))+(Q74/$R74*100*($E74/365))</f>
        <v>79.812202821864489</v>
      </c>
      <c r="M120" s="1001"/>
      <c r="N120" s="1011">
        <f t="shared" si="29"/>
        <v>100</v>
      </c>
      <c r="O120" s="1011"/>
      <c r="P120" s="12"/>
      <c r="Q120" s="12"/>
      <c r="R120" s="12">
        <v>2014</v>
      </c>
      <c r="S120" s="8">
        <f>(O67*($E67/365))+(O68*($E68/365))+(O69*($E69/365))+(O70*($E70/365))+(O71*($E71/365))+(O72*($E72/365))+(O73*($E73/365))+(O74*($E74/365))</f>
        <v>4.0767123287671234</v>
      </c>
      <c r="T120" s="8">
        <f>(P67*($E67/365))+(P68*($E68/365))+(P69*($E69/365))+(P70*($E70/365))+(P71*($E71/365))+(P72*($E72/365))+(P73*($E73/365))+(P74*($E74/365))</f>
        <v>7.2446575342465769</v>
      </c>
      <c r="U120" s="8">
        <f>(Q67*($E67/365))+(Q68*($E68/365))+(Q69*($E69/365))+(Q70*($E70/365))+(Q71*($E71/365))+(Q72*($E72/365))+(Q73*($E73/365))+(Q74*($E74/365))</f>
        <v>41.847397260273979</v>
      </c>
      <c r="V120" s="12"/>
      <c r="W120" s="7">
        <f>S120+T120+U120</f>
        <v>53.16876712328768</v>
      </c>
    </row>
    <row r="121" spans="1:23" s="756" customFormat="1" ht="9" customHeight="1">
      <c r="A121" s="756">
        <v>2015</v>
      </c>
      <c r="B121" s="750">
        <f>(K75*($E75/365))+(K76*($E76/365))+(K77*($E77/365))+(K78*($E78/365))</f>
        <v>7.9947814742335295</v>
      </c>
      <c r="C121" s="750">
        <f>(L75*($E75/365))+(L76*($E76/365))+(L77*($E77/365))+(L78*($E78/365))</f>
        <v>7.9947814742335295</v>
      </c>
      <c r="D121" s="750">
        <f>(M75*($E75/365))+(M76*($E76/365))+(M77*($E77/365))+(M78*($E78/365))</f>
        <v>63.686888454011743</v>
      </c>
      <c r="E121" s="52">
        <f t="shared" si="26"/>
        <v>79.676451402478804</v>
      </c>
      <c r="F121" s="12"/>
      <c r="G121" s="12">
        <v>2015</v>
      </c>
      <c r="H121" s="1001">
        <f>(O75/$R75*100*($E75/365))+(O76/$R76*100*($E76/365))+(O77/$R77*100*($E77/365))</f>
        <v>6.7052568165745559</v>
      </c>
      <c r="I121" s="1001"/>
      <c r="J121" s="1001">
        <f>(P75/$R75*100*($E75/365))+(P76/$R76*100*($E76/365))+(P77/$R77*100*($E77/365))</f>
        <v>5.364205453259645</v>
      </c>
      <c r="K121" s="1001"/>
      <c r="L121" s="1001">
        <f>(Q75/$R75*100*($E75/365))+(Q76/$R76*100*($E76/365))+(Q77/$R77*100*($E77/365))</f>
        <v>75.601770606878119</v>
      </c>
      <c r="M121" s="1001"/>
      <c r="N121" s="1011">
        <f t="shared" si="29"/>
        <v>87.671232876712324</v>
      </c>
      <c r="O121" s="1011"/>
      <c r="P121" s="12"/>
      <c r="Q121" s="12"/>
      <c r="R121" s="12">
        <v>2015</v>
      </c>
      <c r="S121" s="750">
        <f>(O75*($E75/365))+(O76*($E76/365))+(O77*($E77/365))+(O78*($E78/365))</f>
        <v>3.506849315068493</v>
      </c>
      <c r="T121" s="750">
        <f>(P75*($E75/365))+(P76*($E76/365))+(P77*($E77/365))+(P78*($E78/365))</f>
        <v>2.8054794520547945</v>
      </c>
      <c r="U121" s="750">
        <f>(Q75*($E75/365))+(Q76*($E76/365))+(Q77*($E77/365))+(Q78*($E78/365))</f>
        <v>39.539726027397258</v>
      </c>
      <c r="V121" s="12"/>
      <c r="W121" s="753">
        <f>S121+T121+U121</f>
        <v>45.852054794520548</v>
      </c>
    </row>
    <row r="122" spans="1:23">
      <c r="A122" s="1">
        <v>2016</v>
      </c>
      <c r="B122" s="838">
        <f>(K79*($E79/366))+(K80*($E80/366))</f>
        <v>0</v>
      </c>
      <c r="C122" s="838">
        <f>(L79*($E79/366))+(L80*($E80/366))</f>
        <v>0</v>
      </c>
      <c r="D122" s="838">
        <f>(M79*($E79/366))+(M80*($E80/366))</f>
        <v>0</v>
      </c>
      <c r="E122" s="52">
        <f t="shared" si="26"/>
        <v>0</v>
      </c>
      <c r="G122" s="12">
        <v>2016</v>
      </c>
      <c r="H122" s="1001">
        <v>0</v>
      </c>
      <c r="I122" s="1001"/>
      <c r="J122" s="1001">
        <v>0</v>
      </c>
      <c r="K122" s="1001"/>
      <c r="L122" s="1001">
        <v>0</v>
      </c>
      <c r="M122" s="1001"/>
      <c r="N122" s="1011">
        <f t="shared" si="29"/>
        <v>0</v>
      </c>
      <c r="O122" s="1011"/>
      <c r="R122" s="12">
        <v>2016</v>
      </c>
      <c r="S122" s="838">
        <f>(O79*($E79/366))+(O80*($E80/366))</f>
        <v>0</v>
      </c>
      <c r="T122" s="838">
        <f>(P79*($E79/366))+(P80*($E80/366))</f>
        <v>0</v>
      </c>
      <c r="U122" s="838">
        <f>(Q79*($E79/366))+(Q80*($E80/366))</f>
        <v>0</v>
      </c>
      <c r="V122" s="12"/>
      <c r="W122" s="842">
        <f>S122+T122+U122</f>
        <v>0</v>
      </c>
    </row>
    <row r="123" spans="1:23" s="920" customFormat="1">
      <c r="A123" s="920">
        <v>2017</v>
      </c>
      <c r="B123" s="915">
        <f>(K81*($E81/365))+(K82*($E82/365))+(K83*($E83/365))+(K84*($E84/365))+(K85*($E85/365))+(K86*($E86/365))</f>
        <v>14.540842212075088</v>
      </c>
      <c r="C123" s="915">
        <f t="shared" ref="C123:D123" si="30">(L81*($E81/365))+(L82*($E82/365))+(L83*($E83/365))+(L84*($E84/365))+(L85*($E85/365))+(L86*($E86/365))</f>
        <v>0</v>
      </c>
      <c r="D123" s="915">
        <f t="shared" si="30"/>
        <v>81.073059360730582</v>
      </c>
      <c r="E123" s="52">
        <f t="shared" ref="E123" si="31">B123+C123+D123</f>
        <v>95.613901572805673</v>
      </c>
      <c r="G123" s="12">
        <v>2017</v>
      </c>
      <c r="H123" s="1001">
        <f>(O82/$R82*100*($E82/365))+(O83/$R83*100*($E83/365))+(O84/$R84*100*($E84/365))+(O85/$R85*100*($E85/365))+(O86/$R86*100*($E86/365))</f>
        <v>10.120769980036414</v>
      </c>
      <c r="I123" s="1001"/>
      <c r="J123" s="1001">
        <f>(P82/$R82*100*($E82/365))+(P83/$R83*100*($E83/365))+(P84/$R84*100*($E84/365))+(P85/$R85*100*($E85/365))+(P86/$R86*100*($E86/365))</f>
        <v>0</v>
      </c>
      <c r="K123" s="1001"/>
      <c r="L123" s="1001">
        <f>(Q82/$R82*100*($E82/365))+(Q83/$R83*100*($E83/365))+(Q84/$R84*100*($E84/365))+(Q85/$R85*100*($E85/365))+(Q86/$R86*100*($E86/365))</f>
        <v>89.057312211744403</v>
      </c>
      <c r="M123" s="1001"/>
      <c r="N123" s="1011">
        <f t="shared" si="29"/>
        <v>99.178082191780817</v>
      </c>
      <c r="O123" s="1011"/>
      <c r="R123" s="12">
        <v>2017</v>
      </c>
      <c r="S123" s="915">
        <f>(O81*($E81/365))+(O82*($E82/365))+(O83*($E83/365))+(O84*($E84/365))+(O85*($E85/365))+(O86*($E86/365))</f>
        <v>5.285479452054795</v>
      </c>
      <c r="T123" s="915">
        <f>(P81*($E81/365))+(P82*($E82/365))+(P83*($E83/365))+(P84*($E84/365))+(P85*($E85/365))+(P86*($E86/365))</f>
        <v>0</v>
      </c>
      <c r="U123" s="915">
        <f>(Q81*($E81/365))+(Q82*($E82/365))+(Q83*($E83/365))+(Q84*($E84/365))+(Q85*($E85/365))+(Q86*($E86/365))</f>
        <v>46.415342465753426</v>
      </c>
      <c r="V123" s="12"/>
      <c r="W123" s="917">
        <f>S123+T123+U123</f>
        <v>51.70082191780822</v>
      </c>
    </row>
    <row r="124" spans="1:23">
      <c r="A124" s="1">
        <v>2018</v>
      </c>
      <c r="B124" s="947">
        <f>(K87*($E87/365))+(K88*($E88/365))+(K89*($E89/365))</f>
        <v>14.452751713025684</v>
      </c>
      <c r="C124" s="947">
        <f>(L87*($E87/365))+(L88*($E88/365))+(L89*($E89/365))</f>
        <v>0</v>
      </c>
      <c r="D124" s="947">
        <f>(M87*($E87/365))+(M88*($E88/365))+(M89*($E89/365))</f>
        <v>79.047563294138641</v>
      </c>
      <c r="E124" s="52">
        <f t="shared" ref="E124" si="32">B124+C124+D124</f>
        <v>93.500315007164318</v>
      </c>
      <c r="G124" s="12">
        <v>2018</v>
      </c>
      <c r="H124" s="1001">
        <f>(O87/$R87*100*($E87/365))+(O88/$R88*100*($E88/365))+(O89/$R89*100*($E89/365))</f>
        <v>8.9494163424124515</v>
      </c>
      <c r="I124" s="1001"/>
      <c r="J124" s="1001">
        <f>(P87/$R87*100*($E87/365))+(P88/$R88*100*($E88/365))+(P89/$R89*100*($E89/365))</f>
        <v>0</v>
      </c>
      <c r="K124" s="1001"/>
      <c r="L124" s="1001">
        <f>(Q87/$R87*100*($E87/365))+(Q88/$R88*100*($E88/365))+(Q89/$R89*100*($E89/365))</f>
        <v>91.050583657587552</v>
      </c>
      <c r="M124" s="1001"/>
      <c r="N124" s="1011">
        <f t="shared" si="29"/>
        <v>100</v>
      </c>
      <c r="O124" s="1011"/>
      <c r="R124" s="12">
        <v>2018</v>
      </c>
      <c r="S124" s="947">
        <f>(O87*($E87/365))+(O88*($E88/365))+(O89*($E89/365))</f>
        <v>4.5999999999999996</v>
      </c>
      <c r="T124" s="947">
        <f t="shared" ref="T124:U124" si="33">(P87*($E87/365))+(P88*($E88/365))+(P89*($E89/365))</f>
        <v>0</v>
      </c>
      <c r="U124" s="947">
        <f t="shared" si="33"/>
        <v>46.8</v>
      </c>
      <c r="V124" s="12"/>
      <c r="W124" s="949">
        <f>S124+T124+U124</f>
        <v>51.4</v>
      </c>
    </row>
  </sheetData>
  <mergeCells count="226">
    <mergeCell ref="C87:D87"/>
    <mergeCell ref="C88:D88"/>
    <mergeCell ref="C89:D89"/>
    <mergeCell ref="H124:I124"/>
    <mergeCell ref="L124:M124"/>
    <mergeCell ref="N124:O124"/>
    <mergeCell ref="J124:K124"/>
    <mergeCell ref="AT4:AW4"/>
    <mergeCell ref="AX4:BA4"/>
    <mergeCell ref="C65:D65"/>
    <mergeCell ref="H119:I119"/>
    <mergeCell ref="J119:K119"/>
    <mergeCell ref="L119:M119"/>
    <mergeCell ref="N119:O119"/>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59:D59"/>
    <mergeCell ref="H96:I96"/>
    <mergeCell ref="J96:K96"/>
    <mergeCell ref="C63:D63"/>
    <mergeCell ref="C60:D60"/>
    <mergeCell ref="L96:M96"/>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N96:O96"/>
    <mergeCell ref="R93:W93"/>
    <mergeCell ref="H95:I95"/>
    <mergeCell ref="J95:K95"/>
    <mergeCell ref="L95:M95"/>
    <mergeCell ref="N95:O95"/>
    <mergeCell ref="H97:I97"/>
    <mergeCell ref="J97:K97"/>
    <mergeCell ref="L97:M97"/>
    <mergeCell ref="N97:O97"/>
    <mergeCell ref="N98:O98"/>
    <mergeCell ref="H99:I99"/>
    <mergeCell ref="J99:K99"/>
    <mergeCell ref="L99:M99"/>
    <mergeCell ref="N99:O99"/>
    <mergeCell ref="H100:I100"/>
    <mergeCell ref="J100:K100"/>
    <mergeCell ref="L100:M100"/>
    <mergeCell ref="N100:O100"/>
    <mergeCell ref="N110:O110"/>
    <mergeCell ref="H111:I111"/>
    <mergeCell ref="J111:K111"/>
    <mergeCell ref="L111:M111"/>
    <mergeCell ref="J101:K101"/>
    <mergeCell ref="L101:M101"/>
    <mergeCell ref="N101:O101"/>
    <mergeCell ref="H102:I102"/>
    <mergeCell ref="J102:K102"/>
    <mergeCell ref="L102:M102"/>
    <mergeCell ref="N102:O102"/>
    <mergeCell ref="H103:I103"/>
    <mergeCell ref="J103:K103"/>
    <mergeCell ref="L103:M103"/>
    <mergeCell ref="N103:O103"/>
    <mergeCell ref="H101:I101"/>
    <mergeCell ref="N111:O111"/>
    <mergeCell ref="H104:I104"/>
    <mergeCell ref="J104:K104"/>
    <mergeCell ref="L104:M104"/>
    <mergeCell ref="N104:O104"/>
    <mergeCell ref="N105:O105"/>
    <mergeCell ref="H106:I106"/>
    <mergeCell ref="J106:K106"/>
    <mergeCell ref="N106:O106"/>
    <mergeCell ref="H107:I107"/>
    <mergeCell ref="J107:K107"/>
    <mergeCell ref="L107:M107"/>
    <mergeCell ref="N107:O107"/>
    <mergeCell ref="N108:O108"/>
    <mergeCell ref="H109:I109"/>
    <mergeCell ref="J109:K109"/>
    <mergeCell ref="L109:M109"/>
    <mergeCell ref="N109:O109"/>
    <mergeCell ref="J117:K117"/>
    <mergeCell ref="L117:M117"/>
    <mergeCell ref="N117:O117"/>
    <mergeCell ref="H114:I114"/>
    <mergeCell ref="J114:K114"/>
    <mergeCell ref="N115:O115"/>
    <mergeCell ref="H112:I112"/>
    <mergeCell ref="J112:K112"/>
    <mergeCell ref="L112:M112"/>
    <mergeCell ref="N112:O112"/>
    <mergeCell ref="H116:I116"/>
    <mergeCell ref="J116:K116"/>
    <mergeCell ref="L116:M116"/>
    <mergeCell ref="N116:O116"/>
    <mergeCell ref="L114:M114"/>
    <mergeCell ref="L110:M110"/>
    <mergeCell ref="L106:M106"/>
    <mergeCell ref="N122:O122"/>
    <mergeCell ref="N114:O114"/>
    <mergeCell ref="H115:I115"/>
    <mergeCell ref="J115:K115"/>
    <mergeCell ref="L115:M115"/>
    <mergeCell ref="H113:I113"/>
    <mergeCell ref="J113:K113"/>
    <mergeCell ref="L113:M113"/>
    <mergeCell ref="N113:O113"/>
    <mergeCell ref="H121:I121"/>
    <mergeCell ref="J121:K121"/>
    <mergeCell ref="L121:M121"/>
    <mergeCell ref="N121:O121"/>
    <mergeCell ref="H120:I120"/>
    <mergeCell ref="J120:K120"/>
    <mergeCell ref="L120:M120"/>
    <mergeCell ref="N120:O120"/>
    <mergeCell ref="H118:I118"/>
    <mergeCell ref="J118:K118"/>
    <mergeCell ref="L118:M118"/>
    <mergeCell ref="N118:O118"/>
    <mergeCell ref="H117:I117"/>
    <mergeCell ref="H123:I123"/>
    <mergeCell ref="J123:K123"/>
    <mergeCell ref="L123:M123"/>
    <mergeCell ref="N123:O123"/>
    <mergeCell ref="C81:D81"/>
    <mergeCell ref="C82:D82"/>
    <mergeCell ref="C83:D83"/>
    <mergeCell ref="C85:D85"/>
    <mergeCell ref="C84:D84"/>
    <mergeCell ref="C86:D86"/>
    <mergeCell ref="H122:I122"/>
    <mergeCell ref="J122:K122"/>
    <mergeCell ref="L122:M122"/>
    <mergeCell ref="H108:I108"/>
    <mergeCell ref="J108:K108"/>
    <mergeCell ref="L108:M108"/>
    <mergeCell ref="H105:I105"/>
    <mergeCell ref="J105:K105"/>
    <mergeCell ref="L105:M105"/>
    <mergeCell ref="H98:I98"/>
    <mergeCell ref="J98:K98"/>
    <mergeCell ref="L98:M98"/>
    <mergeCell ref="H110:I110"/>
    <mergeCell ref="J110:K110"/>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A132"/>
  <sheetViews>
    <sheetView zoomScale="120" zoomScaleNormal="120" workbookViewId="0">
      <pane xSplit="1" ySplit="5" topLeftCell="B51" activePane="bottomRight" state="frozen"/>
      <selection pane="topRight" activeCell="B1" sqref="B1"/>
      <selection pane="bottomLeft" activeCell="A6" sqref="A6"/>
      <selection pane="bottomRight" activeCell="E117" sqref="E11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146</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c r="A6" s="208">
        <v>1990</v>
      </c>
      <c r="C6" s="1005" t="s">
        <v>1277</v>
      </c>
      <c r="D6" s="1005"/>
      <c r="E6" s="208">
        <v>177</v>
      </c>
      <c r="G6" s="596"/>
      <c r="H6" s="656"/>
      <c r="I6" s="656"/>
      <c r="J6" s="598"/>
      <c r="K6" s="593"/>
      <c r="L6" s="593"/>
      <c r="M6" s="593"/>
      <c r="N6" s="597"/>
      <c r="O6" s="592"/>
      <c r="P6" s="593"/>
      <c r="Q6" s="593"/>
      <c r="R6" s="594"/>
      <c r="T6" s="95"/>
      <c r="V6" s="82"/>
      <c r="Y6" s="83"/>
      <c r="AD6" s="82"/>
      <c r="AG6" s="83"/>
      <c r="AL6" s="82"/>
      <c r="AO6" s="83"/>
      <c r="AP6" s="82"/>
      <c r="AS6" s="83"/>
      <c r="AW6" s="83"/>
      <c r="BA6" s="84"/>
    </row>
    <row r="7" spans="1:53" s="334" customFormat="1">
      <c r="A7" s="334">
        <v>1990</v>
      </c>
      <c r="B7" s="355">
        <v>33051</v>
      </c>
      <c r="C7" s="992" t="s">
        <v>1079</v>
      </c>
      <c r="D7" s="992"/>
      <c r="E7" s="334">
        <v>188</v>
      </c>
      <c r="F7" s="334" t="s">
        <v>345</v>
      </c>
      <c r="G7" s="642">
        <v>15</v>
      </c>
      <c r="H7" s="657">
        <v>8</v>
      </c>
      <c r="I7" s="657"/>
      <c r="J7" s="644">
        <v>23</v>
      </c>
      <c r="K7" s="640">
        <f>G7/J7*100</f>
        <v>65.217391304347828</v>
      </c>
      <c r="L7" s="640">
        <f>H7/J7*100</f>
        <v>34.782608695652172</v>
      </c>
      <c r="M7" s="640">
        <f>I7/J7*100</f>
        <v>0</v>
      </c>
      <c r="N7" s="643">
        <f>K7+L7+M7</f>
        <v>100</v>
      </c>
      <c r="O7" s="639">
        <v>36.700000000000003</v>
      </c>
      <c r="P7" s="640">
        <v>20.7</v>
      </c>
      <c r="Q7" s="640"/>
      <c r="R7" s="641">
        <f t="shared" ref="R7:R60" si="0">SUM(O7:Q7)</f>
        <v>57.400000000000006</v>
      </c>
      <c r="S7" s="334">
        <v>3</v>
      </c>
      <c r="T7" s="342">
        <v>33033</v>
      </c>
      <c r="U7" s="355">
        <v>33051</v>
      </c>
      <c r="V7" s="343" t="s">
        <v>1064</v>
      </c>
      <c r="W7" s="334" t="s">
        <v>22</v>
      </c>
      <c r="X7" s="334" t="s">
        <v>11</v>
      </c>
      <c r="Y7" s="344">
        <v>32</v>
      </c>
      <c r="Z7" s="334" t="s">
        <v>895</v>
      </c>
      <c r="AA7" s="334" t="s">
        <v>17</v>
      </c>
      <c r="AB7" s="334" t="s">
        <v>18</v>
      </c>
      <c r="AC7" s="334">
        <v>20.7</v>
      </c>
      <c r="AD7" s="343" t="s">
        <v>1065</v>
      </c>
      <c r="AE7" s="334" t="s">
        <v>88</v>
      </c>
      <c r="AF7" s="334" t="s">
        <v>11</v>
      </c>
      <c r="AG7" s="344">
        <v>4.7</v>
      </c>
      <c r="AL7" s="343"/>
      <c r="AO7" s="344"/>
      <c r="AP7" s="343"/>
      <c r="AS7" s="344"/>
      <c r="AW7" s="344"/>
      <c r="BA7" s="345"/>
    </row>
    <row r="8" spans="1:53" s="334" customFormat="1">
      <c r="A8" s="334">
        <v>1991</v>
      </c>
      <c r="C8" s="992" t="s">
        <v>1079</v>
      </c>
      <c r="D8" s="992"/>
      <c r="E8" s="334">
        <v>112</v>
      </c>
      <c r="G8" s="642">
        <v>15</v>
      </c>
      <c r="H8" s="657">
        <v>8</v>
      </c>
      <c r="I8" s="657"/>
      <c r="J8" s="644">
        <v>23</v>
      </c>
      <c r="K8" s="640">
        <f>G8/J8*100</f>
        <v>65.217391304347828</v>
      </c>
      <c r="L8" s="640">
        <f>H8/J8*100</f>
        <v>34.782608695652172</v>
      </c>
      <c r="M8" s="640">
        <f>I8/J8*100</f>
        <v>0</v>
      </c>
      <c r="N8" s="643">
        <f>K8+L8+M8</f>
        <v>100</v>
      </c>
      <c r="O8" s="639">
        <v>36.700000000000003</v>
      </c>
      <c r="P8" s="640">
        <v>20.7</v>
      </c>
      <c r="Q8" s="640"/>
      <c r="R8" s="641">
        <f t="shared" si="0"/>
        <v>57.400000000000006</v>
      </c>
      <c r="S8" s="334">
        <v>3</v>
      </c>
      <c r="T8" s="342"/>
      <c r="V8" s="343" t="s">
        <v>1064</v>
      </c>
      <c r="W8" s="334" t="s">
        <v>22</v>
      </c>
      <c r="X8" s="334" t="s">
        <v>11</v>
      </c>
      <c r="Y8" s="344">
        <v>32</v>
      </c>
      <c r="Z8" s="334" t="s">
        <v>895</v>
      </c>
      <c r="AA8" s="334" t="s">
        <v>17</v>
      </c>
      <c r="AB8" s="334" t="s">
        <v>18</v>
      </c>
      <c r="AC8" s="334">
        <v>20.7</v>
      </c>
      <c r="AD8" s="343" t="s">
        <v>1065</v>
      </c>
      <c r="AE8" s="334" t="s">
        <v>88</v>
      </c>
      <c r="AF8" s="334" t="s">
        <v>11</v>
      </c>
      <c r="AG8" s="344">
        <v>4.7</v>
      </c>
      <c r="AL8" s="343"/>
      <c r="AO8" s="344"/>
      <c r="AP8" s="343"/>
      <c r="AS8" s="344"/>
      <c r="AW8" s="344"/>
      <c r="BA8" s="345"/>
    </row>
    <row r="9" spans="1:53" s="208" customFormat="1">
      <c r="A9" s="208">
        <v>1991</v>
      </c>
      <c r="B9" s="207">
        <v>33351</v>
      </c>
      <c r="C9" s="988" t="s">
        <v>1080</v>
      </c>
      <c r="D9" s="988"/>
      <c r="E9" s="208">
        <v>253</v>
      </c>
      <c r="F9" s="208">
        <v>5</v>
      </c>
      <c r="G9" s="596">
        <v>14</v>
      </c>
      <c r="H9" s="656">
        <v>9</v>
      </c>
      <c r="I9" s="656"/>
      <c r="J9" s="598">
        <v>23</v>
      </c>
      <c r="K9" s="593">
        <f>G9/J9*100</f>
        <v>60.869565217391312</v>
      </c>
      <c r="L9" s="593">
        <f>H9/J9*100</f>
        <v>39.130434782608695</v>
      </c>
      <c r="M9" s="593">
        <f>I9/J9*100</f>
        <v>0</v>
      </c>
      <c r="N9" s="597">
        <f>K9+L9+M9</f>
        <v>100</v>
      </c>
      <c r="O9" s="592">
        <v>36.700000000000003</v>
      </c>
      <c r="P9" s="593">
        <v>20.7</v>
      </c>
      <c r="Q9" s="593"/>
      <c r="R9" s="594">
        <f t="shared" si="0"/>
        <v>57.400000000000006</v>
      </c>
      <c r="S9" s="208">
        <v>3</v>
      </c>
      <c r="T9" s="81"/>
      <c r="U9" s="207">
        <v>33351</v>
      </c>
      <c r="V9" s="82" t="s">
        <v>1064</v>
      </c>
      <c r="W9" s="208" t="s">
        <v>22</v>
      </c>
      <c r="X9" s="208" t="s">
        <v>11</v>
      </c>
      <c r="Y9" s="83">
        <v>32</v>
      </c>
      <c r="Z9" s="208" t="s">
        <v>895</v>
      </c>
      <c r="AA9" s="208" t="s">
        <v>17</v>
      </c>
      <c r="AB9" s="208" t="s">
        <v>18</v>
      </c>
      <c r="AC9" s="208">
        <v>20.7</v>
      </c>
      <c r="AD9" s="82" t="s">
        <v>1065</v>
      </c>
      <c r="AE9" s="208" t="s">
        <v>88</v>
      </c>
      <c r="AF9" s="208" t="s">
        <v>11</v>
      </c>
      <c r="AG9" s="83">
        <v>4.7</v>
      </c>
      <c r="AL9" s="82"/>
      <c r="AO9" s="83"/>
      <c r="AP9" s="82"/>
      <c r="AS9" s="83"/>
      <c r="AW9" s="83"/>
      <c r="BA9" s="84"/>
    </row>
    <row r="10" spans="1:53" s="208" customFormat="1">
      <c r="A10" s="208">
        <v>1992</v>
      </c>
      <c r="C10" s="988" t="s">
        <v>1080</v>
      </c>
      <c r="D10" s="988"/>
      <c r="E10" s="208">
        <v>175</v>
      </c>
      <c r="G10" s="596">
        <v>14</v>
      </c>
      <c r="H10" s="656">
        <v>9</v>
      </c>
      <c r="I10" s="656"/>
      <c r="J10" s="598">
        <v>23</v>
      </c>
      <c r="K10" s="593">
        <f>G10/J10*100</f>
        <v>60.869565217391312</v>
      </c>
      <c r="L10" s="593">
        <f>H10/J10*100</f>
        <v>39.130434782608695</v>
      </c>
      <c r="M10" s="593">
        <f>I10/J10*100</f>
        <v>0</v>
      </c>
      <c r="N10" s="597">
        <f>K10+L10+M10</f>
        <v>100</v>
      </c>
      <c r="O10" s="592">
        <v>36.700000000000003</v>
      </c>
      <c r="P10" s="593">
        <v>20.7</v>
      </c>
      <c r="Q10" s="593"/>
      <c r="R10" s="594">
        <f t="shared" si="0"/>
        <v>57.400000000000006</v>
      </c>
      <c r="S10" s="208">
        <v>3</v>
      </c>
      <c r="T10" s="81"/>
      <c r="V10" s="82" t="s">
        <v>1064</v>
      </c>
      <c r="W10" s="208" t="s">
        <v>22</v>
      </c>
      <c r="X10" s="208" t="s">
        <v>11</v>
      </c>
      <c r="Y10" s="83">
        <v>32</v>
      </c>
      <c r="Z10" s="208" t="s">
        <v>895</v>
      </c>
      <c r="AA10" s="208" t="s">
        <v>17</v>
      </c>
      <c r="AB10" s="208" t="s">
        <v>18</v>
      </c>
      <c r="AC10" s="208">
        <v>20.7</v>
      </c>
      <c r="AD10" s="82" t="s">
        <v>1065</v>
      </c>
      <c r="AE10" s="208" t="s">
        <v>88</v>
      </c>
      <c r="AF10" s="208" t="s">
        <v>11</v>
      </c>
      <c r="AG10" s="83">
        <v>4.7</v>
      </c>
      <c r="AL10" s="82"/>
      <c r="AO10" s="83"/>
      <c r="AP10" s="82"/>
      <c r="AS10" s="83"/>
      <c r="AW10" s="83"/>
      <c r="BA10" s="84"/>
    </row>
    <row r="11" spans="1:53" s="334" customFormat="1">
      <c r="A11" s="334">
        <v>1992</v>
      </c>
      <c r="B11" s="335">
        <v>33779</v>
      </c>
      <c r="C11" s="992" t="s">
        <v>891</v>
      </c>
      <c r="D11" s="992"/>
      <c r="E11" s="334">
        <v>191</v>
      </c>
      <c r="F11" s="334">
        <v>1</v>
      </c>
      <c r="G11" s="642">
        <v>17</v>
      </c>
      <c r="H11" s="657"/>
      <c r="I11" s="657"/>
      <c r="J11" s="644">
        <v>17</v>
      </c>
      <c r="K11" s="640">
        <f t="shared" ref="K11:K54" si="1">G11/J11*100</f>
        <v>100</v>
      </c>
      <c r="L11" s="640">
        <f>H11/J11*100</f>
        <v>0</v>
      </c>
      <c r="M11" s="640">
        <f t="shared" ref="M11:M54" si="2">I11/J11*100</f>
        <v>0</v>
      </c>
      <c r="N11" s="643">
        <f t="shared" ref="N11:N60" si="3">SUM(K11:M11)</f>
        <v>100</v>
      </c>
      <c r="O11" s="639">
        <v>59.3</v>
      </c>
      <c r="P11" s="640"/>
      <c r="Q11" s="640"/>
      <c r="R11" s="641">
        <f t="shared" si="0"/>
        <v>59.3</v>
      </c>
      <c r="S11" s="334">
        <v>2</v>
      </c>
      <c r="T11" s="342">
        <v>33761</v>
      </c>
      <c r="U11" s="335">
        <v>33779</v>
      </c>
      <c r="V11" s="343" t="s">
        <v>889</v>
      </c>
      <c r="W11" s="334" t="s">
        <v>304</v>
      </c>
      <c r="X11" s="334" t="s">
        <v>11</v>
      </c>
      <c r="Y11" s="344">
        <v>49.3</v>
      </c>
      <c r="Z11" s="334" t="s">
        <v>890</v>
      </c>
      <c r="AA11" s="334" t="s">
        <v>27</v>
      </c>
      <c r="AB11" s="334" t="s">
        <v>11</v>
      </c>
      <c r="AC11" s="334">
        <v>10</v>
      </c>
      <c r="AD11" s="343"/>
      <c r="AG11" s="344"/>
      <c r="AL11" s="343"/>
      <c r="AO11" s="344"/>
      <c r="AP11" s="343"/>
      <c r="AS11" s="344"/>
      <c r="AW11" s="344"/>
      <c r="BA11" s="345"/>
    </row>
    <row r="12" spans="1:53" s="334" customFormat="1">
      <c r="A12" s="334">
        <v>1993</v>
      </c>
      <c r="C12" s="992" t="s">
        <v>891</v>
      </c>
      <c r="D12" s="992"/>
      <c r="E12" s="334">
        <v>11</v>
      </c>
      <c r="G12" s="642">
        <v>17</v>
      </c>
      <c r="H12" s="657"/>
      <c r="I12" s="657"/>
      <c r="J12" s="644">
        <v>17</v>
      </c>
      <c r="K12" s="640">
        <f t="shared" si="1"/>
        <v>100</v>
      </c>
      <c r="L12" s="640">
        <f t="shared" ref="L12:L54" si="4">H12/J12*100</f>
        <v>0</v>
      </c>
      <c r="M12" s="640">
        <f t="shared" si="2"/>
        <v>0</v>
      </c>
      <c r="N12" s="643">
        <f t="shared" si="3"/>
        <v>100</v>
      </c>
      <c r="O12" s="639">
        <v>59.3</v>
      </c>
      <c r="P12" s="640"/>
      <c r="Q12" s="640"/>
      <c r="R12" s="641">
        <f t="shared" si="0"/>
        <v>59.3</v>
      </c>
      <c r="S12" s="334">
        <v>2</v>
      </c>
      <c r="T12" s="357"/>
      <c r="V12" s="343" t="s">
        <v>889</v>
      </c>
      <c r="W12" s="334" t="s">
        <v>304</v>
      </c>
      <c r="X12" s="334" t="s">
        <v>11</v>
      </c>
      <c r="Y12" s="344">
        <v>49.3</v>
      </c>
      <c r="Z12" s="334" t="s">
        <v>890</v>
      </c>
      <c r="AA12" s="334" t="s">
        <v>27</v>
      </c>
      <c r="AB12" s="334" t="s">
        <v>11</v>
      </c>
      <c r="AC12" s="334">
        <v>10</v>
      </c>
      <c r="AD12" s="343"/>
      <c r="AG12" s="344"/>
      <c r="AL12" s="343"/>
      <c r="AO12" s="344"/>
      <c r="AP12" s="343"/>
      <c r="AS12" s="344"/>
      <c r="AW12" s="344"/>
      <c r="BA12" s="345"/>
    </row>
    <row r="13" spans="1:53" s="334" customFormat="1">
      <c r="A13" s="334">
        <v>1993</v>
      </c>
      <c r="B13" s="440">
        <v>33981</v>
      </c>
      <c r="C13" s="992" t="s">
        <v>891</v>
      </c>
      <c r="D13" s="992"/>
      <c r="E13" s="334">
        <v>66</v>
      </c>
      <c r="F13" s="441">
        <v>0</v>
      </c>
      <c r="G13" s="642">
        <v>19</v>
      </c>
      <c r="H13" s="657"/>
      <c r="I13" s="657"/>
      <c r="J13" s="644">
        <v>19</v>
      </c>
      <c r="K13" s="640">
        <f t="shared" si="1"/>
        <v>100</v>
      </c>
      <c r="L13" s="640">
        <f t="shared" si="4"/>
        <v>0</v>
      </c>
      <c r="M13" s="640">
        <f t="shared" si="2"/>
        <v>0</v>
      </c>
      <c r="N13" s="643">
        <f t="shared" si="3"/>
        <v>100</v>
      </c>
      <c r="O13" s="639">
        <v>59.3</v>
      </c>
      <c r="P13" s="640"/>
      <c r="Q13" s="640"/>
      <c r="R13" s="641">
        <f t="shared" si="0"/>
        <v>59.3</v>
      </c>
      <c r="S13" s="334">
        <v>2</v>
      </c>
      <c r="T13" s="357"/>
      <c r="U13" s="335"/>
      <c r="V13" s="343" t="s">
        <v>889</v>
      </c>
      <c r="W13" s="334" t="s">
        <v>304</v>
      </c>
      <c r="X13" s="334" t="s">
        <v>11</v>
      </c>
      <c r="Y13" s="344">
        <v>49.3</v>
      </c>
      <c r="Z13" s="334" t="s">
        <v>890</v>
      </c>
      <c r="AA13" s="334" t="s">
        <v>27</v>
      </c>
      <c r="AB13" s="334" t="s">
        <v>11</v>
      </c>
      <c r="AC13" s="334">
        <v>10</v>
      </c>
      <c r="AD13" s="343"/>
      <c r="AG13" s="344"/>
      <c r="AL13" s="343"/>
      <c r="AO13" s="344"/>
      <c r="AP13" s="343"/>
      <c r="AS13" s="344"/>
      <c r="AW13" s="344"/>
      <c r="BA13" s="345"/>
    </row>
    <row r="14" spans="1:53" s="208" customFormat="1">
      <c r="A14" s="208">
        <v>1993</v>
      </c>
      <c r="B14" s="121">
        <v>34047</v>
      </c>
      <c r="C14" s="988" t="s">
        <v>892</v>
      </c>
      <c r="D14" s="988"/>
      <c r="E14" s="208">
        <v>243</v>
      </c>
      <c r="F14" s="208">
        <v>4</v>
      </c>
      <c r="G14" s="596">
        <v>16</v>
      </c>
      <c r="H14" s="656"/>
      <c r="I14" s="656"/>
      <c r="J14" s="598">
        <v>16</v>
      </c>
      <c r="K14" s="593">
        <f t="shared" si="1"/>
        <v>100</v>
      </c>
      <c r="L14" s="593">
        <f t="shared" si="4"/>
        <v>0</v>
      </c>
      <c r="M14" s="593">
        <f t="shared" si="2"/>
        <v>0</v>
      </c>
      <c r="N14" s="597">
        <f t="shared" si="3"/>
        <v>100</v>
      </c>
      <c r="O14" s="592">
        <v>49.3</v>
      </c>
      <c r="P14" s="593"/>
      <c r="Q14" s="593"/>
      <c r="R14" s="594">
        <f t="shared" si="0"/>
        <v>49.3</v>
      </c>
      <c r="S14" s="208">
        <v>4</v>
      </c>
      <c r="T14" s="81"/>
      <c r="U14" s="121">
        <v>34047</v>
      </c>
      <c r="V14" s="82" t="s">
        <v>889</v>
      </c>
      <c r="W14" s="208" t="s">
        <v>304</v>
      </c>
      <c r="X14" s="208" t="s">
        <v>11</v>
      </c>
      <c r="Y14" s="83">
        <v>49.3</v>
      </c>
      <c r="AD14" s="82"/>
      <c r="AG14" s="83"/>
      <c r="AL14" s="82"/>
      <c r="AO14" s="83"/>
      <c r="AP14" s="82"/>
      <c r="AS14" s="83"/>
      <c r="AW14" s="83"/>
      <c r="BA14" s="84"/>
    </row>
    <row r="15" spans="1:53" s="334" customFormat="1">
      <c r="A15" s="334">
        <v>1993</v>
      </c>
      <c r="B15" s="335">
        <v>34290</v>
      </c>
      <c r="C15" s="992" t="s">
        <v>893</v>
      </c>
      <c r="D15" s="992"/>
      <c r="E15" s="334">
        <f xml:space="preserve"> 365-E14-E13-E12</f>
        <v>45</v>
      </c>
      <c r="F15" s="334">
        <v>7</v>
      </c>
      <c r="G15" s="642">
        <v>19</v>
      </c>
      <c r="H15" s="657"/>
      <c r="I15" s="657"/>
      <c r="J15" s="644">
        <v>19</v>
      </c>
      <c r="K15" s="640">
        <f t="shared" si="1"/>
        <v>100</v>
      </c>
      <c r="L15" s="640">
        <f t="shared" si="4"/>
        <v>0</v>
      </c>
      <c r="M15" s="640">
        <f t="shared" si="2"/>
        <v>0</v>
      </c>
      <c r="N15" s="643">
        <f t="shared" si="3"/>
        <v>100</v>
      </c>
      <c r="O15" s="639">
        <v>59.3</v>
      </c>
      <c r="P15" s="640"/>
      <c r="Q15" s="640"/>
      <c r="R15" s="641">
        <f t="shared" si="0"/>
        <v>59.3</v>
      </c>
      <c r="S15" s="334">
        <v>2</v>
      </c>
      <c r="T15" s="357"/>
      <c r="U15" s="335">
        <v>34290</v>
      </c>
      <c r="V15" s="343" t="s">
        <v>889</v>
      </c>
      <c r="W15" s="334" t="s">
        <v>304</v>
      </c>
      <c r="X15" s="334" t="s">
        <v>11</v>
      </c>
      <c r="Y15" s="344">
        <v>49.3</v>
      </c>
      <c r="Z15" s="334" t="s">
        <v>890</v>
      </c>
      <c r="AA15" s="334" t="s">
        <v>27</v>
      </c>
      <c r="AB15" s="334" t="s">
        <v>11</v>
      </c>
      <c r="AC15" s="334">
        <v>10</v>
      </c>
      <c r="AD15" s="343"/>
      <c r="AG15" s="344"/>
      <c r="AL15" s="343"/>
      <c r="AO15" s="344"/>
      <c r="AP15" s="343"/>
      <c r="AS15" s="344"/>
      <c r="AW15" s="344"/>
      <c r="BA15" s="345"/>
    </row>
    <row r="16" spans="1:53" s="334" customFormat="1">
      <c r="A16" s="334">
        <v>1994</v>
      </c>
      <c r="B16" s="335"/>
      <c r="C16" s="992" t="s">
        <v>893</v>
      </c>
      <c r="D16" s="992"/>
      <c r="E16" s="334">
        <v>74</v>
      </c>
      <c r="G16" s="642">
        <v>19</v>
      </c>
      <c r="H16" s="657"/>
      <c r="I16" s="657"/>
      <c r="J16" s="644">
        <v>19</v>
      </c>
      <c r="K16" s="640">
        <f t="shared" si="1"/>
        <v>100</v>
      </c>
      <c r="L16" s="640">
        <f t="shared" si="4"/>
        <v>0</v>
      </c>
      <c r="M16" s="640">
        <f t="shared" si="2"/>
        <v>0</v>
      </c>
      <c r="N16" s="643">
        <f t="shared" si="3"/>
        <v>100</v>
      </c>
      <c r="O16" s="639">
        <v>59.3</v>
      </c>
      <c r="P16" s="640"/>
      <c r="Q16" s="640"/>
      <c r="R16" s="641">
        <f t="shared" si="0"/>
        <v>59.3</v>
      </c>
      <c r="S16" s="334">
        <v>2</v>
      </c>
      <c r="T16" s="357"/>
      <c r="U16" s="335"/>
      <c r="V16" s="343" t="s">
        <v>889</v>
      </c>
      <c r="W16" s="334" t="s">
        <v>304</v>
      </c>
      <c r="X16" s="334" t="s">
        <v>11</v>
      </c>
      <c r="Y16" s="344">
        <v>49.3</v>
      </c>
      <c r="Z16" s="334" t="s">
        <v>890</v>
      </c>
      <c r="AA16" s="334" t="s">
        <v>27</v>
      </c>
      <c r="AB16" s="334" t="s">
        <v>11</v>
      </c>
      <c r="AC16" s="334">
        <v>10</v>
      </c>
      <c r="AD16" s="343"/>
      <c r="AG16" s="344"/>
      <c r="AL16" s="343"/>
      <c r="AO16" s="344"/>
      <c r="AP16" s="343"/>
      <c r="AS16" s="344"/>
      <c r="AW16" s="344"/>
      <c r="BA16" s="345"/>
    </row>
    <row r="17" spans="1:53" s="208" customFormat="1">
      <c r="A17" s="208">
        <v>1994</v>
      </c>
      <c r="B17" s="121">
        <v>34409</v>
      </c>
      <c r="C17" s="988" t="s">
        <v>1216</v>
      </c>
      <c r="D17" s="988"/>
      <c r="E17" s="208">
        <v>271</v>
      </c>
      <c r="F17" s="208">
        <v>5</v>
      </c>
      <c r="G17" s="596">
        <v>6</v>
      </c>
      <c r="H17" s="656">
        <v>5</v>
      </c>
      <c r="I17" s="656">
        <v>7</v>
      </c>
      <c r="J17" s="598">
        <v>18</v>
      </c>
      <c r="K17" s="593">
        <f t="shared" si="1"/>
        <v>33.333333333333329</v>
      </c>
      <c r="L17" s="593">
        <f t="shared" si="4"/>
        <v>27.777777777777779</v>
      </c>
      <c r="M17" s="593">
        <f t="shared" si="2"/>
        <v>38.888888888888893</v>
      </c>
      <c r="N17" s="597">
        <f t="shared" si="3"/>
        <v>100</v>
      </c>
      <c r="O17" s="592">
        <v>13.3</v>
      </c>
      <c r="P17" s="593">
        <v>12</v>
      </c>
      <c r="Q17" s="593">
        <v>19.3</v>
      </c>
      <c r="R17" s="594">
        <f t="shared" si="0"/>
        <v>44.6</v>
      </c>
      <c r="S17" s="208">
        <v>5</v>
      </c>
      <c r="T17" s="81"/>
      <c r="U17" s="121">
        <v>34409</v>
      </c>
      <c r="V17" s="82" t="s">
        <v>894</v>
      </c>
      <c r="W17" s="208" t="s">
        <v>903</v>
      </c>
      <c r="X17" s="208" t="s">
        <v>12</v>
      </c>
      <c r="Y17" s="83">
        <v>19.3</v>
      </c>
      <c r="Z17" s="208" t="s">
        <v>895</v>
      </c>
      <c r="AA17" s="208" t="s">
        <v>17</v>
      </c>
      <c r="AB17" s="208" t="s">
        <v>18</v>
      </c>
      <c r="AC17" s="208">
        <v>12</v>
      </c>
      <c r="AD17" s="82" t="s">
        <v>1217</v>
      </c>
      <c r="AE17" s="208" t="s">
        <v>337</v>
      </c>
      <c r="AF17" s="208" t="s">
        <v>11</v>
      </c>
      <c r="AG17" s="83">
        <v>5.3</v>
      </c>
      <c r="AH17" s="208" t="s">
        <v>1066</v>
      </c>
      <c r="AI17" s="208" t="s">
        <v>107</v>
      </c>
      <c r="AJ17" s="208" t="s">
        <v>11</v>
      </c>
      <c r="AK17" s="208">
        <v>4.7</v>
      </c>
      <c r="AL17" s="82" t="s">
        <v>1218</v>
      </c>
      <c r="AM17" s="208" t="s">
        <v>337</v>
      </c>
      <c r="AN17" s="208" t="s">
        <v>11</v>
      </c>
      <c r="AO17" s="83">
        <v>3.3</v>
      </c>
      <c r="AP17" s="82"/>
      <c r="AS17" s="83"/>
      <c r="AW17" s="83"/>
      <c r="BA17" s="84"/>
    </row>
    <row r="18" spans="1:53" s="334" customFormat="1">
      <c r="A18" s="334">
        <v>1994</v>
      </c>
      <c r="B18" s="335">
        <v>34680</v>
      </c>
      <c r="C18" s="992" t="s">
        <v>1219</v>
      </c>
      <c r="D18" s="992"/>
      <c r="E18" s="334">
        <f>365-E17-E16</f>
        <v>20</v>
      </c>
      <c r="F18" s="334">
        <v>1</v>
      </c>
      <c r="G18" s="642">
        <v>14</v>
      </c>
      <c r="H18" s="657"/>
      <c r="I18" s="657">
        <v>4</v>
      </c>
      <c r="J18" s="644">
        <v>18</v>
      </c>
      <c r="K18" s="640">
        <f t="shared" si="1"/>
        <v>77.777777777777786</v>
      </c>
      <c r="L18" s="640">
        <f t="shared" si="4"/>
        <v>0</v>
      </c>
      <c r="M18" s="640">
        <f t="shared" si="2"/>
        <v>22.222222222222221</v>
      </c>
      <c r="N18" s="643">
        <f t="shared" si="3"/>
        <v>100</v>
      </c>
      <c r="O18" s="639">
        <v>46.5</v>
      </c>
      <c r="P18" s="640"/>
      <c r="Q18" s="640">
        <v>8.1</v>
      </c>
      <c r="R18" s="641">
        <f t="shared" si="0"/>
        <v>54.6</v>
      </c>
      <c r="S18" s="334">
        <v>2</v>
      </c>
      <c r="T18" s="342">
        <v>34608</v>
      </c>
      <c r="U18" s="335">
        <v>34680</v>
      </c>
      <c r="V18" s="343" t="s">
        <v>889</v>
      </c>
      <c r="W18" s="334" t="s">
        <v>304</v>
      </c>
      <c r="X18" s="334" t="s">
        <v>11</v>
      </c>
      <c r="Y18" s="344">
        <v>40.5</v>
      </c>
      <c r="Z18" s="334" t="s">
        <v>899</v>
      </c>
      <c r="AA18" s="334" t="s">
        <v>315</v>
      </c>
      <c r="AB18" s="334" t="s">
        <v>12</v>
      </c>
      <c r="AC18" s="334">
        <v>8.1</v>
      </c>
      <c r="AD18" s="343" t="s">
        <v>890</v>
      </c>
      <c r="AE18" s="334" t="s">
        <v>27</v>
      </c>
      <c r="AF18" s="334" t="s">
        <v>11</v>
      </c>
      <c r="AG18" s="344">
        <v>6</v>
      </c>
      <c r="AL18" s="343"/>
      <c r="AO18" s="344"/>
      <c r="AP18" s="343"/>
      <c r="AS18" s="344"/>
      <c r="AW18" s="344"/>
      <c r="BA18" s="345"/>
    </row>
    <row r="19" spans="1:53" s="334" customFormat="1">
      <c r="A19" s="334">
        <v>1995</v>
      </c>
      <c r="B19" s="335"/>
      <c r="C19" s="992" t="s">
        <v>1219</v>
      </c>
      <c r="D19" s="992"/>
      <c r="E19" s="334">
        <v>0</v>
      </c>
      <c r="G19" s="642">
        <v>14</v>
      </c>
      <c r="H19" s="657"/>
      <c r="I19" s="657">
        <v>4</v>
      </c>
      <c r="J19" s="644">
        <v>18</v>
      </c>
      <c r="K19" s="640">
        <f t="shared" si="1"/>
        <v>77.777777777777786</v>
      </c>
      <c r="L19" s="640">
        <f t="shared" si="4"/>
        <v>0</v>
      </c>
      <c r="M19" s="640">
        <f t="shared" si="2"/>
        <v>22.222222222222221</v>
      </c>
      <c r="N19" s="643">
        <f t="shared" si="3"/>
        <v>100</v>
      </c>
      <c r="O19" s="639">
        <v>46.5</v>
      </c>
      <c r="P19" s="640"/>
      <c r="Q19" s="640">
        <v>8.1</v>
      </c>
      <c r="R19" s="641">
        <f t="shared" si="0"/>
        <v>54.6</v>
      </c>
      <c r="S19" s="334">
        <v>2</v>
      </c>
      <c r="T19" s="357"/>
      <c r="V19" s="343" t="s">
        <v>889</v>
      </c>
      <c r="W19" s="334" t="s">
        <v>304</v>
      </c>
      <c r="X19" s="334" t="s">
        <v>11</v>
      </c>
      <c r="Y19" s="344">
        <v>40.5</v>
      </c>
      <c r="Z19" s="334" t="s">
        <v>899</v>
      </c>
      <c r="AA19" s="334" t="s">
        <v>315</v>
      </c>
      <c r="AB19" s="334" t="s">
        <v>12</v>
      </c>
      <c r="AC19" s="334">
        <v>8.1</v>
      </c>
      <c r="AD19" s="343" t="s">
        <v>890</v>
      </c>
      <c r="AE19" s="334" t="s">
        <v>27</v>
      </c>
      <c r="AF19" s="334" t="s">
        <v>11</v>
      </c>
      <c r="AG19" s="344">
        <v>6</v>
      </c>
      <c r="AL19" s="343"/>
      <c r="AO19" s="344"/>
      <c r="AP19" s="343"/>
      <c r="AS19" s="344"/>
      <c r="AW19" s="344"/>
      <c r="BA19" s="345"/>
    </row>
    <row r="20" spans="1:53" s="334" customFormat="1">
      <c r="A20" s="334">
        <v>1995</v>
      </c>
      <c r="B20" s="335"/>
      <c r="C20" s="992" t="s">
        <v>1219</v>
      </c>
      <c r="D20" s="992"/>
      <c r="E20" s="334">
        <v>365</v>
      </c>
      <c r="G20" s="642">
        <v>14</v>
      </c>
      <c r="H20" s="657"/>
      <c r="I20" s="657">
        <v>4</v>
      </c>
      <c r="J20" s="644">
        <v>18</v>
      </c>
      <c r="K20" s="640">
        <f t="shared" si="1"/>
        <v>77.777777777777786</v>
      </c>
      <c r="L20" s="640">
        <f t="shared" si="4"/>
        <v>0</v>
      </c>
      <c r="M20" s="640">
        <f t="shared" si="2"/>
        <v>22.222222222222221</v>
      </c>
      <c r="N20" s="643">
        <f t="shared" si="3"/>
        <v>100</v>
      </c>
      <c r="O20" s="639">
        <v>46.5</v>
      </c>
      <c r="P20" s="640"/>
      <c r="Q20" s="640">
        <v>8.1</v>
      </c>
      <c r="R20" s="641">
        <f t="shared" si="0"/>
        <v>54.6</v>
      </c>
      <c r="S20" s="334">
        <v>2</v>
      </c>
      <c r="T20" s="357"/>
      <c r="V20" s="343" t="s">
        <v>889</v>
      </c>
      <c r="W20" s="334" t="s">
        <v>304</v>
      </c>
      <c r="X20" s="334" t="s">
        <v>11</v>
      </c>
      <c r="Y20" s="344">
        <v>40.5</v>
      </c>
      <c r="Z20" s="334" t="s">
        <v>899</v>
      </c>
      <c r="AA20" s="334" t="s">
        <v>315</v>
      </c>
      <c r="AB20" s="334" t="s">
        <v>12</v>
      </c>
      <c r="AC20" s="334">
        <v>8.1</v>
      </c>
      <c r="AD20" s="343" t="s">
        <v>890</v>
      </c>
      <c r="AE20" s="334" t="s">
        <v>27</v>
      </c>
      <c r="AF20" s="334" t="s">
        <v>11</v>
      </c>
      <c r="AG20" s="344">
        <v>6</v>
      </c>
      <c r="AL20" s="343"/>
      <c r="AO20" s="344"/>
      <c r="AP20" s="343"/>
      <c r="AS20" s="344"/>
      <c r="AW20" s="344"/>
      <c r="BA20" s="345"/>
    </row>
    <row r="21" spans="1:53" s="334" customFormat="1">
      <c r="A21" s="334">
        <v>1996</v>
      </c>
      <c r="B21" s="335"/>
      <c r="C21" s="992" t="s">
        <v>1219</v>
      </c>
      <c r="D21" s="992"/>
      <c r="E21" s="334">
        <v>0</v>
      </c>
      <c r="G21" s="642">
        <v>14</v>
      </c>
      <c r="H21" s="657"/>
      <c r="I21" s="657">
        <v>4</v>
      </c>
      <c r="J21" s="644">
        <v>18</v>
      </c>
      <c r="K21" s="640">
        <f t="shared" si="1"/>
        <v>77.777777777777786</v>
      </c>
      <c r="L21" s="640">
        <f t="shared" si="4"/>
        <v>0</v>
      </c>
      <c r="M21" s="640">
        <f t="shared" si="2"/>
        <v>22.222222222222221</v>
      </c>
      <c r="N21" s="643">
        <f t="shared" si="3"/>
        <v>100</v>
      </c>
      <c r="O21" s="639">
        <v>46.5</v>
      </c>
      <c r="P21" s="640"/>
      <c r="Q21" s="640">
        <v>8.1</v>
      </c>
      <c r="R21" s="641">
        <f t="shared" si="0"/>
        <v>54.6</v>
      </c>
      <c r="S21" s="334">
        <v>2</v>
      </c>
      <c r="T21" s="357"/>
      <c r="V21" s="343" t="s">
        <v>889</v>
      </c>
      <c r="W21" s="334" t="s">
        <v>304</v>
      </c>
      <c r="X21" s="334" t="s">
        <v>11</v>
      </c>
      <c r="Y21" s="344">
        <v>40.5</v>
      </c>
      <c r="Z21" s="334" t="s">
        <v>899</v>
      </c>
      <c r="AA21" s="334" t="s">
        <v>315</v>
      </c>
      <c r="AB21" s="334" t="s">
        <v>12</v>
      </c>
      <c r="AC21" s="334">
        <v>8.1</v>
      </c>
      <c r="AD21" s="343" t="s">
        <v>890</v>
      </c>
      <c r="AE21" s="334" t="s">
        <v>27</v>
      </c>
      <c r="AF21" s="334" t="s">
        <v>11</v>
      </c>
      <c r="AG21" s="344">
        <v>6</v>
      </c>
      <c r="AL21" s="343"/>
      <c r="AO21" s="344"/>
      <c r="AP21" s="343"/>
      <c r="AS21" s="344"/>
      <c r="AW21" s="344"/>
      <c r="BA21" s="345"/>
    </row>
    <row r="22" spans="1:53" s="334" customFormat="1">
      <c r="A22" s="334">
        <v>1996</v>
      </c>
      <c r="B22" s="335"/>
      <c r="C22" s="992" t="s">
        <v>1219</v>
      </c>
      <c r="D22" s="992"/>
      <c r="E22" s="334">
        <v>366</v>
      </c>
      <c r="G22" s="642">
        <v>14</v>
      </c>
      <c r="H22" s="657"/>
      <c r="I22" s="657">
        <v>4</v>
      </c>
      <c r="J22" s="644">
        <v>18</v>
      </c>
      <c r="K22" s="640">
        <f t="shared" si="1"/>
        <v>77.777777777777786</v>
      </c>
      <c r="L22" s="640">
        <f t="shared" si="4"/>
        <v>0</v>
      </c>
      <c r="M22" s="640">
        <f t="shared" si="2"/>
        <v>22.222222222222221</v>
      </c>
      <c r="N22" s="643">
        <f t="shared" si="3"/>
        <v>100</v>
      </c>
      <c r="O22" s="639">
        <v>46.5</v>
      </c>
      <c r="P22" s="640"/>
      <c r="Q22" s="640">
        <v>8.1</v>
      </c>
      <c r="R22" s="641">
        <f t="shared" si="0"/>
        <v>54.6</v>
      </c>
      <c r="S22" s="334">
        <v>2</v>
      </c>
      <c r="T22" s="357"/>
      <c r="V22" s="343" t="s">
        <v>889</v>
      </c>
      <c r="W22" s="334" t="s">
        <v>304</v>
      </c>
      <c r="X22" s="334" t="s">
        <v>11</v>
      </c>
      <c r="Y22" s="344">
        <v>40.5</v>
      </c>
      <c r="Z22" s="334" t="s">
        <v>899</v>
      </c>
      <c r="AA22" s="334" t="s">
        <v>315</v>
      </c>
      <c r="AB22" s="334" t="s">
        <v>12</v>
      </c>
      <c r="AC22" s="334">
        <v>8.1</v>
      </c>
      <c r="AD22" s="343" t="s">
        <v>890</v>
      </c>
      <c r="AE22" s="334" t="s">
        <v>27</v>
      </c>
      <c r="AF22" s="334" t="s">
        <v>11</v>
      </c>
      <c r="AG22" s="344">
        <v>6</v>
      </c>
      <c r="AL22" s="343"/>
      <c r="AO22" s="344"/>
      <c r="AP22" s="343"/>
      <c r="AS22" s="344"/>
      <c r="AW22" s="344"/>
      <c r="BA22" s="345"/>
    </row>
    <row r="23" spans="1:53" s="334" customFormat="1">
      <c r="A23" s="334">
        <v>1997</v>
      </c>
      <c r="B23" s="335"/>
      <c r="C23" s="992" t="s">
        <v>1219</v>
      </c>
      <c r="D23" s="992"/>
      <c r="E23" s="334">
        <v>0</v>
      </c>
      <c r="G23" s="642">
        <v>14</v>
      </c>
      <c r="H23" s="657"/>
      <c r="I23" s="657">
        <v>4</v>
      </c>
      <c r="J23" s="644">
        <v>18</v>
      </c>
      <c r="K23" s="640">
        <f t="shared" si="1"/>
        <v>77.777777777777786</v>
      </c>
      <c r="L23" s="640">
        <f t="shared" si="4"/>
        <v>0</v>
      </c>
      <c r="M23" s="640">
        <f t="shared" si="2"/>
        <v>22.222222222222221</v>
      </c>
      <c r="N23" s="643">
        <f t="shared" si="3"/>
        <v>100</v>
      </c>
      <c r="O23" s="639">
        <v>46.5</v>
      </c>
      <c r="P23" s="640"/>
      <c r="Q23" s="640">
        <v>8.1</v>
      </c>
      <c r="R23" s="641">
        <f t="shared" si="0"/>
        <v>54.6</v>
      </c>
      <c r="S23" s="334">
        <v>2</v>
      </c>
      <c r="T23" s="357"/>
      <c r="V23" s="343" t="s">
        <v>889</v>
      </c>
      <c r="W23" s="334" t="s">
        <v>304</v>
      </c>
      <c r="X23" s="334" t="s">
        <v>11</v>
      </c>
      <c r="Y23" s="344">
        <v>40.5</v>
      </c>
      <c r="Z23" s="334" t="s">
        <v>899</v>
      </c>
      <c r="AA23" s="334" t="s">
        <v>315</v>
      </c>
      <c r="AB23" s="334" t="s">
        <v>12</v>
      </c>
      <c r="AC23" s="334">
        <v>8.1</v>
      </c>
      <c r="AD23" s="343" t="s">
        <v>890</v>
      </c>
      <c r="AE23" s="334" t="s">
        <v>27</v>
      </c>
      <c r="AF23" s="334" t="s">
        <v>11</v>
      </c>
      <c r="AG23" s="344">
        <v>6</v>
      </c>
      <c r="AL23" s="343"/>
      <c r="AO23" s="344"/>
      <c r="AP23" s="343"/>
      <c r="AS23" s="344"/>
      <c r="AW23" s="344"/>
      <c r="BA23" s="345"/>
    </row>
    <row r="24" spans="1:53" s="334" customFormat="1">
      <c r="A24" s="334">
        <v>1997</v>
      </c>
      <c r="B24" s="335"/>
      <c r="C24" s="992" t="s">
        <v>1219</v>
      </c>
      <c r="D24" s="992"/>
      <c r="E24" s="334">
        <v>365</v>
      </c>
      <c r="G24" s="642">
        <v>14</v>
      </c>
      <c r="H24" s="657"/>
      <c r="I24" s="657">
        <v>4</v>
      </c>
      <c r="J24" s="644">
        <v>18</v>
      </c>
      <c r="K24" s="640">
        <f t="shared" si="1"/>
        <v>77.777777777777786</v>
      </c>
      <c r="L24" s="640">
        <f t="shared" si="4"/>
        <v>0</v>
      </c>
      <c r="M24" s="640">
        <f t="shared" si="2"/>
        <v>22.222222222222221</v>
      </c>
      <c r="N24" s="643">
        <f t="shared" si="3"/>
        <v>100</v>
      </c>
      <c r="O24" s="639">
        <v>46.5</v>
      </c>
      <c r="P24" s="640"/>
      <c r="Q24" s="640">
        <v>8.1</v>
      </c>
      <c r="R24" s="641">
        <f t="shared" si="0"/>
        <v>54.6</v>
      </c>
      <c r="S24" s="334">
        <v>2</v>
      </c>
      <c r="T24" s="357"/>
      <c r="V24" s="343" t="s">
        <v>889</v>
      </c>
      <c r="W24" s="334" t="s">
        <v>304</v>
      </c>
      <c r="X24" s="334" t="s">
        <v>11</v>
      </c>
      <c r="Y24" s="344">
        <v>40.5</v>
      </c>
      <c r="Z24" s="334" t="s">
        <v>899</v>
      </c>
      <c r="AA24" s="334" t="s">
        <v>315</v>
      </c>
      <c r="AB24" s="334" t="s">
        <v>12</v>
      </c>
      <c r="AC24" s="334">
        <v>8.1</v>
      </c>
      <c r="AD24" s="343" t="s">
        <v>890</v>
      </c>
      <c r="AE24" s="334" t="s">
        <v>27</v>
      </c>
      <c r="AF24" s="334" t="s">
        <v>11</v>
      </c>
      <c r="AG24" s="344">
        <v>6</v>
      </c>
      <c r="AL24" s="343"/>
      <c r="AO24" s="344"/>
      <c r="AP24" s="343"/>
      <c r="AS24" s="344"/>
      <c r="AW24" s="344"/>
      <c r="BA24" s="345"/>
    </row>
    <row r="25" spans="1:53" s="334" customFormat="1">
      <c r="A25" s="334">
        <v>1998</v>
      </c>
      <c r="B25" s="335"/>
      <c r="C25" s="992" t="s">
        <v>1219</v>
      </c>
      <c r="D25" s="992"/>
      <c r="E25" s="334">
        <v>57</v>
      </c>
      <c r="G25" s="642">
        <v>14</v>
      </c>
      <c r="H25" s="657"/>
      <c r="I25" s="657">
        <v>4</v>
      </c>
      <c r="J25" s="644">
        <v>18</v>
      </c>
      <c r="K25" s="640">
        <f t="shared" si="1"/>
        <v>77.777777777777786</v>
      </c>
      <c r="L25" s="640">
        <f t="shared" si="4"/>
        <v>0</v>
      </c>
      <c r="M25" s="640">
        <f t="shared" si="2"/>
        <v>22.222222222222221</v>
      </c>
      <c r="N25" s="643">
        <f t="shared" si="3"/>
        <v>100</v>
      </c>
      <c r="O25" s="639">
        <v>46.5</v>
      </c>
      <c r="P25" s="640"/>
      <c r="Q25" s="640">
        <v>8.1</v>
      </c>
      <c r="R25" s="641">
        <f t="shared" si="0"/>
        <v>54.6</v>
      </c>
      <c r="S25" s="334">
        <v>2</v>
      </c>
      <c r="T25" s="357"/>
      <c r="V25" s="343" t="s">
        <v>889</v>
      </c>
      <c r="W25" s="334" t="s">
        <v>304</v>
      </c>
      <c r="X25" s="334" t="s">
        <v>11</v>
      </c>
      <c r="Y25" s="344">
        <v>40.5</v>
      </c>
      <c r="Z25" s="334" t="s">
        <v>899</v>
      </c>
      <c r="AA25" s="334" t="s">
        <v>315</v>
      </c>
      <c r="AB25" s="334" t="s">
        <v>12</v>
      </c>
      <c r="AC25" s="334">
        <v>8.1</v>
      </c>
      <c r="AD25" s="343" t="s">
        <v>890</v>
      </c>
      <c r="AE25" s="334" t="s">
        <v>27</v>
      </c>
      <c r="AF25" s="334" t="s">
        <v>11</v>
      </c>
      <c r="AG25" s="344">
        <v>6</v>
      </c>
      <c r="AL25" s="343"/>
      <c r="AO25" s="344"/>
      <c r="AP25" s="343"/>
      <c r="AS25" s="344"/>
      <c r="AW25" s="344"/>
      <c r="BA25" s="345"/>
    </row>
    <row r="26" spans="1:53" s="334" customFormat="1">
      <c r="A26" s="334">
        <v>1998</v>
      </c>
      <c r="B26" s="440">
        <v>35853</v>
      </c>
      <c r="C26" s="992" t="s">
        <v>1219</v>
      </c>
      <c r="D26" s="992"/>
      <c r="E26" s="334">
        <v>221</v>
      </c>
      <c r="F26" s="441">
        <v>0</v>
      </c>
      <c r="G26" s="642">
        <v>13</v>
      </c>
      <c r="H26" s="657"/>
      <c r="I26" s="657">
        <v>4</v>
      </c>
      <c r="J26" s="644">
        <v>18</v>
      </c>
      <c r="K26" s="640">
        <f>G26/J26*100</f>
        <v>72.222222222222214</v>
      </c>
      <c r="L26" s="640">
        <f>H26/J26*100</f>
        <v>0</v>
      </c>
      <c r="M26" s="640">
        <f>I26/J26*100</f>
        <v>22.222222222222221</v>
      </c>
      <c r="N26" s="643">
        <f>SUM(K26:M26)</f>
        <v>94.444444444444429</v>
      </c>
      <c r="O26" s="639">
        <v>46.5</v>
      </c>
      <c r="P26" s="640"/>
      <c r="Q26" s="640">
        <v>8.1</v>
      </c>
      <c r="R26" s="641">
        <f>SUM(O26:Q26)</f>
        <v>54.6</v>
      </c>
      <c r="S26" s="334">
        <v>2</v>
      </c>
      <c r="T26" s="357"/>
      <c r="V26" s="343" t="s">
        <v>889</v>
      </c>
      <c r="W26" s="334" t="s">
        <v>304</v>
      </c>
      <c r="X26" s="334" t="s">
        <v>11</v>
      </c>
      <c r="Y26" s="344">
        <v>40.5</v>
      </c>
      <c r="Z26" s="334" t="s">
        <v>899</v>
      </c>
      <c r="AA26" s="334" t="s">
        <v>315</v>
      </c>
      <c r="AB26" s="334" t="s">
        <v>12</v>
      </c>
      <c r="AC26" s="334">
        <v>8.1</v>
      </c>
      <c r="AD26" s="343" t="s">
        <v>890</v>
      </c>
      <c r="AE26" s="334" t="s">
        <v>27</v>
      </c>
      <c r="AF26" s="334" t="s">
        <v>11</v>
      </c>
      <c r="AG26" s="344">
        <v>6</v>
      </c>
      <c r="AL26" s="343"/>
      <c r="AO26" s="344"/>
      <c r="AP26" s="343"/>
      <c r="AS26" s="344"/>
      <c r="AW26" s="344"/>
      <c r="BA26" s="345"/>
    </row>
    <row r="27" spans="1:53" s="334" customFormat="1">
      <c r="A27" s="334">
        <v>1998</v>
      </c>
      <c r="B27" s="440">
        <v>36074</v>
      </c>
      <c r="C27" s="992" t="s">
        <v>1219</v>
      </c>
      <c r="D27" s="992"/>
      <c r="E27" s="334">
        <v>55</v>
      </c>
      <c r="F27" s="441">
        <v>0</v>
      </c>
      <c r="G27" s="642">
        <v>12</v>
      </c>
      <c r="H27" s="657"/>
      <c r="I27" s="657">
        <v>5</v>
      </c>
      <c r="J27" s="644">
        <v>18</v>
      </c>
      <c r="K27" s="640">
        <f t="shared" si="1"/>
        <v>66.666666666666657</v>
      </c>
      <c r="L27" s="640">
        <f t="shared" si="4"/>
        <v>0</v>
      </c>
      <c r="M27" s="640">
        <f t="shared" si="2"/>
        <v>27.777777777777779</v>
      </c>
      <c r="N27" s="643">
        <f t="shared" si="3"/>
        <v>94.444444444444429</v>
      </c>
      <c r="O27" s="639">
        <v>46.5</v>
      </c>
      <c r="P27" s="640"/>
      <c r="Q27" s="640">
        <v>8.1</v>
      </c>
      <c r="R27" s="641">
        <f t="shared" si="0"/>
        <v>54.6</v>
      </c>
      <c r="S27" s="334">
        <v>2</v>
      </c>
      <c r="T27" s="357"/>
      <c r="V27" s="343" t="s">
        <v>889</v>
      </c>
      <c r="W27" s="334" t="s">
        <v>304</v>
      </c>
      <c r="X27" s="334" t="s">
        <v>11</v>
      </c>
      <c r="Y27" s="344">
        <v>40.5</v>
      </c>
      <c r="Z27" s="334" t="s">
        <v>899</v>
      </c>
      <c r="AA27" s="334" t="s">
        <v>315</v>
      </c>
      <c r="AB27" s="334" t="s">
        <v>12</v>
      </c>
      <c r="AC27" s="334">
        <v>8.1</v>
      </c>
      <c r="AD27" s="343" t="s">
        <v>890</v>
      </c>
      <c r="AE27" s="334" t="s">
        <v>27</v>
      </c>
      <c r="AF27" s="334" t="s">
        <v>11</v>
      </c>
      <c r="AG27" s="344">
        <v>6</v>
      </c>
      <c r="AL27" s="343"/>
      <c r="AO27" s="344"/>
      <c r="AP27" s="343"/>
      <c r="AS27" s="344"/>
      <c r="AW27" s="344"/>
      <c r="BA27" s="345"/>
    </row>
    <row r="28" spans="1:53" s="208" customFormat="1">
      <c r="A28" s="208">
        <v>1998</v>
      </c>
      <c r="B28" s="121">
        <v>36129</v>
      </c>
      <c r="C28" s="988" t="s">
        <v>898</v>
      </c>
      <c r="D28" s="988"/>
      <c r="E28" s="208">
        <v>32</v>
      </c>
      <c r="F28" s="208">
        <v>1</v>
      </c>
      <c r="G28" s="596">
        <v>11</v>
      </c>
      <c r="H28" s="656">
        <v>3</v>
      </c>
      <c r="I28" s="656">
        <v>6</v>
      </c>
      <c r="J28" s="598">
        <v>20</v>
      </c>
      <c r="K28" s="593">
        <f t="shared" si="1"/>
        <v>55.000000000000007</v>
      </c>
      <c r="L28" s="593">
        <f t="shared" si="4"/>
        <v>15</v>
      </c>
      <c r="M28" s="593">
        <f t="shared" si="2"/>
        <v>30</v>
      </c>
      <c r="N28" s="597">
        <f t="shared" si="3"/>
        <v>100</v>
      </c>
      <c r="O28" s="592">
        <v>36.700000000000003</v>
      </c>
      <c r="P28" s="593">
        <v>10</v>
      </c>
      <c r="Q28" s="593">
        <v>15.3</v>
      </c>
      <c r="R28" s="594">
        <f t="shared" si="0"/>
        <v>62</v>
      </c>
      <c r="S28" s="208">
        <v>3</v>
      </c>
      <c r="T28" s="95">
        <v>36069</v>
      </c>
      <c r="U28" s="121">
        <v>36129</v>
      </c>
      <c r="V28" s="82" t="s">
        <v>896</v>
      </c>
      <c r="W28" s="208" t="s">
        <v>316</v>
      </c>
      <c r="X28" s="208" t="s">
        <v>11</v>
      </c>
      <c r="Y28" s="83">
        <v>28</v>
      </c>
      <c r="Z28" s="208" t="s">
        <v>894</v>
      </c>
      <c r="AA28" s="208" t="s">
        <v>116</v>
      </c>
      <c r="AB28" s="208" t="s">
        <v>12</v>
      </c>
      <c r="AC28" s="208">
        <v>15.3</v>
      </c>
      <c r="AD28" s="82" t="s">
        <v>904</v>
      </c>
      <c r="AE28" s="208" t="s">
        <v>94</v>
      </c>
      <c r="AF28" s="208" t="s">
        <v>18</v>
      </c>
      <c r="AG28" s="83">
        <v>10</v>
      </c>
      <c r="AH28" s="208" t="s">
        <v>900</v>
      </c>
      <c r="AI28" s="208" t="s">
        <v>905</v>
      </c>
      <c r="AJ28" s="208" t="s">
        <v>11</v>
      </c>
      <c r="AK28" s="208">
        <v>8.6999999999999993</v>
      </c>
      <c r="AL28" s="82"/>
      <c r="AO28" s="83"/>
      <c r="AP28" s="82"/>
      <c r="AS28" s="83"/>
      <c r="AW28" s="83"/>
      <c r="BA28" s="84"/>
    </row>
    <row r="29" spans="1:53" s="208" customFormat="1">
      <c r="A29" s="208">
        <v>1999</v>
      </c>
      <c r="B29" s="121"/>
      <c r="C29" s="988" t="s">
        <v>898</v>
      </c>
      <c r="D29" s="988"/>
      <c r="E29" s="208">
        <v>0</v>
      </c>
      <c r="G29" s="596">
        <v>11</v>
      </c>
      <c r="H29" s="656">
        <v>3</v>
      </c>
      <c r="I29" s="656">
        <v>6</v>
      </c>
      <c r="J29" s="598">
        <v>20</v>
      </c>
      <c r="K29" s="593">
        <f t="shared" si="1"/>
        <v>55.000000000000007</v>
      </c>
      <c r="L29" s="593">
        <f t="shared" si="4"/>
        <v>15</v>
      </c>
      <c r="M29" s="593">
        <f t="shared" si="2"/>
        <v>30</v>
      </c>
      <c r="N29" s="597">
        <f t="shared" si="3"/>
        <v>100</v>
      </c>
      <c r="O29" s="592">
        <v>36.700000000000003</v>
      </c>
      <c r="P29" s="593">
        <v>10</v>
      </c>
      <c r="Q29" s="593">
        <v>15.3</v>
      </c>
      <c r="R29" s="594">
        <f t="shared" si="0"/>
        <v>62</v>
      </c>
      <c r="S29" s="208">
        <v>3</v>
      </c>
      <c r="T29" s="81"/>
      <c r="V29" s="82" t="s">
        <v>896</v>
      </c>
      <c r="W29" s="208" t="s">
        <v>316</v>
      </c>
      <c r="X29" s="208" t="s">
        <v>11</v>
      </c>
      <c r="Y29" s="83">
        <v>28</v>
      </c>
      <c r="Z29" s="208" t="s">
        <v>894</v>
      </c>
      <c r="AA29" s="208" t="s">
        <v>116</v>
      </c>
      <c r="AB29" s="208" t="s">
        <v>12</v>
      </c>
      <c r="AC29" s="208">
        <v>15.3</v>
      </c>
      <c r="AD29" s="82" t="s">
        <v>904</v>
      </c>
      <c r="AE29" s="208" t="s">
        <v>94</v>
      </c>
      <c r="AF29" s="208" t="s">
        <v>18</v>
      </c>
      <c r="AG29" s="83">
        <v>10</v>
      </c>
      <c r="AH29" s="208" t="s">
        <v>900</v>
      </c>
      <c r="AI29" s="208" t="s">
        <v>905</v>
      </c>
      <c r="AJ29" s="208" t="s">
        <v>11</v>
      </c>
      <c r="AK29" s="208">
        <v>8.6999999999999993</v>
      </c>
      <c r="AL29" s="82"/>
      <c r="AO29" s="83"/>
      <c r="AP29" s="82"/>
      <c r="AS29" s="83"/>
      <c r="AW29" s="83"/>
      <c r="BA29" s="84"/>
    </row>
    <row r="30" spans="1:53" s="208" customFormat="1">
      <c r="A30" s="208">
        <v>1999</v>
      </c>
      <c r="B30" s="121"/>
      <c r="C30" s="988" t="s">
        <v>898</v>
      </c>
      <c r="D30" s="988"/>
      <c r="E30" s="208">
        <v>365</v>
      </c>
      <c r="G30" s="596">
        <v>11</v>
      </c>
      <c r="H30" s="656">
        <v>3</v>
      </c>
      <c r="I30" s="656">
        <v>6</v>
      </c>
      <c r="J30" s="598">
        <v>20</v>
      </c>
      <c r="K30" s="593">
        <f t="shared" si="1"/>
        <v>55.000000000000007</v>
      </c>
      <c r="L30" s="593">
        <f t="shared" si="4"/>
        <v>15</v>
      </c>
      <c r="M30" s="593">
        <f t="shared" si="2"/>
        <v>30</v>
      </c>
      <c r="N30" s="597">
        <f t="shared" si="3"/>
        <v>100</v>
      </c>
      <c r="O30" s="592">
        <v>36.700000000000003</v>
      </c>
      <c r="P30" s="593">
        <v>10</v>
      </c>
      <c r="Q30" s="593">
        <v>15.3</v>
      </c>
      <c r="R30" s="594">
        <f t="shared" si="0"/>
        <v>62</v>
      </c>
      <c r="S30" s="208">
        <v>3</v>
      </c>
      <c r="T30" s="81"/>
      <c r="V30" s="82" t="s">
        <v>896</v>
      </c>
      <c r="W30" s="208" t="s">
        <v>316</v>
      </c>
      <c r="X30" s="208" t="s">
        <v>11</v>
      </c>
      <c r="Y30" s="83">
        <v>28</v>
      </c>
      <c r="Z30" s="208" t="s">
        <v>894</v>
      </c>
      <c r="AA30" s="208" t="s">
        <v>116</v>
      </c>
      <c r="AB30" s="208" t="s">
        <v>12</v>
      </c>
      <c r="AC30" s="208">
        <v>15.3</v>
      </c>
      <c r="AD30" s="82" t="s">
        <v>904</v>
      </c>
      <c r="AE30" s="208" t="s">
        <v>94</v>
      </c>
      <c r="AF30" s="208" t="s">
        <v>18</v>
      </c>
      <c r="AG30" s="83">
        <v>10</v>
      </c>
      <c r="AH30" s="208" t="s">
        <v>900</v>
      </c>
      <c r="AI30" s="208" t="s">
        <v>905</v>
      </c>
      <c r="AJ30" s="208" t="s">
        <v>11</v>
      </c>
      <c r="AK30" s="208">
        <v>8.6999999999999993</v>
      </c>
      <c r="AL30" s="82"/>
      <c r="AO30" s="83"/>
      <c r="AP30" s="82"/>
      <c r="AS30" s="83"/>
      <c r="AW30" s="83"/>
      <c r="BA30" s="84"/>
    </row>
    <row r="31" spans="1:53" s="208" customFormat="1">
      <c r="A31" s="208">
        <v>2000</v>
      </c>
      <c r="B31" s="121"/>
      <c r="C31" s="988" t="s">
        <v>898</v>
      </c>
      <c r="D31" s="988"/>
      <c r="E31" s="208">
        <v>0</v>
      </c>
      <c r="G31" s="596">
        <v>11</v>
      </c>
      <c r="H31" s="656">
        <v>3</v>
      </c>
      <c r="I31" s="656">
        <v>6</v>
      </c>
      <c r="J31" s="598">
        <v>20</v>
      </c>
      <c r="K31" s="593">
        <f t="shared" si="1"/>
        <v>55.000000000000007</v>
      </c>
      <c r="L31" s="593">
        <f t="shared" si="4"/>
        <v>15</v>
      </c>
      <c r="M31" s="593">
        <f t="shared" si="2"/>
        <v>30</v>
      </c>
      <c r="N31" s="597">
        <f t="shared" si="3"/>
        <v>100</v>
      </c>
      <c r="O31" s="592">
        <v>36.700000000000003</v>
      </c>
      <c r="P31" s="593">
        <v>10</v>
      </c>
      <c r="Q31" s="593">
        <v>15.3</v>
      </c>
      <c r="R31" s="594">
        <f t="shared" si="0"/>
        <v>62</v>
      </c>
      <c r="S31" s="208">
        <v>3</v>
      </c>
      <c r="T31" s="81"/>
      <c r="V31" s="82" t="s">
        <v>896</v>
      </c>
      <c r="W31" s="208" t="s">
        <v>316</v>
      </c>
      <c r="X31" s="208" t="s">
        <v>11</v>
      </c>
      <c r="Y31" s="83">
        <v>28</v>
      </c>
      <c r="Z31" s="208" t="s">
        <v>894</v>
      </c>
      <c r="AA31" s="208" t="s">
        <v>116</v>
      </c>
      <c r="AB31" s="208" t="s">
        <v>12</v>
      </c>
      <c r="AC31" s="208">
        <v>15.3</v>
      </c>
      <c r="AD31" s="82" t="s">
        <v>904</v>
      </c>
      <c r="AE31" s="208" t="s">
        <v>94</v>
      </c>
      <c r="AF31" s="208" t="s">
        <v>18</v>
      </c>
      <c r="AG31" s="83">
        <v>10</v>
      </c>
      <c r="AH31" s="208" t="s">
        <v>900</v>
      </c>
      <c r="AI31" s="208" t="s">
        <v>905</v>
      </c>
      <c r="AJ31" s="208" t="s">
        <v>11</v>
      </c>
      <c r="AK31" s="208">
        <v>8.6999999999999993</v>
      </c>
      <c r="AL31" s="82"/>
      <c r="AO31" s="83"/>
      <c r="AP31" s="82"/>
      <c r="AS31" s="83"/>
      <c r="AW31" s="83"/>
      <c r="BA31" s="84"/>
    </row>
    <row r="32" spans="1:53" s="208" customFormat="1">
      <c r="A32" s="208">
        <v>2000</v>
      </c>
      <c r="B32" s="121"/>
      <c r="C32" s="988" t="s">
        <v>898</v>
      </c>
      <c r="D32" s="988"/>
      <c r="E32" s="208">
        <v>366</v>
      </c>
      <c r="G32" s="596">
        <v>11</v>
      </c>
      <c r="H32" s="656">
        <v>3</v>
      </c>
      <c r="I32" s="656">
        <v>6</v>
      </c>
      <c r="J32" s="598">
        <v>20</v>
      </c>
      <c r="K32" s="593">
        <f t="shared" si="1"/>
        <v>55.000000000000007</v>
      </c>
      <c r="L32" s="593">
        <f t="shared" si="4"/>
        <v>15</v>
      </c>
      <c r="M32" s="593">
        <f t="shared" si="2"/>
        <v>30</v>
      </c>
      <c r="N32" s="597">
        <f t="shared" si="3"/>
        <v>100</v>
      </c>
      <c r="O32" s="592">
        <v>36.700000000000003</v>
      </c>
      <c r="P32" s="593">
        <v>10</v>
      </c>
      <c r="Q32" s="593">
        <v>15.3</v>
      </c>
      <c r="R32" s="594">
        <f t="shared" si="0"/>
        <v>62</v>
      </c>
      <c r="S32" s="208">
        <v>3</v>
      </c>
      <c r="T32" s="81"/>
      <c r="V32" s="82" t="s">
        <v>896</v>
      </c>
      <c r="W32" s="208" t="s">
        <v>316</v>
      </c>
      <c r="X32" s="208" t="s">
        <v>11</v>
      </c>
      <c r="Y32" s="83">
        <v>28</v>
      </c>
      <c r="Z32" s="208" t="s">
        <v>894</v>
      </c>
      <c r="AA32" s="208" t="s">
        <v>116</v>
      </c>
      <c r="AB32" s="208" t="s">
        <v>12</v>
      </c>
      <c r="AC32" s="208">
        <v>15.3</v>
      </c>
      <c r="AD32" s="82" t="s">
        <v>904</v>
      </c>
      <c r="AE32" s="208" t="s">
        <v>94</v>
      </c>
      <c r="AF32" s="208" t="s">
        <v>18</v>
      </c>
      <c r="AG32" s="83">
        <v>10</v>
      </c>
      <c r="AH32" s="208" t="s">
        <v>900</v>
      </c>
      <c r="AI32" s="208" t="s">
        <v>905</v>
      </c>
      <c r="AJ32" s="208" t="s">
        <v>11</v>
      </c>
      <c r="AK32" s="208">
        <v>8.6999999999999993</v>
      </c>
      <c r="AL32" s="82"/>
      <c r="AO32" s="83"/>
      <c r="AP32" s="82"/>
      <c r="AS32" s="83"/>
      <c r="AW32" s="83"/>
      <c r="BA32" s="84"/>
    </row>
    <row r="33" spans="1:53" s="208" customFormat="1">
      <c r="A33" s="208">
        <v>2001</v>
      </c>
      <c r="B33" s="121"/>
      <c r="C33" s="988" t="s">
        <v>898</v>
      </c>
      <c r="D33" s="988"/>
      <c r="E33" s="208">
        <v>0</v>
      </c>
      <c r="G33" s="596">
        <v>11</v>
      </c>
      <c r="H33" s="656">
        <v>3</v>
      </c>
      <c r="I33" s="656">
        <v>6</v>
      </c>
      <c r="J33" s="598">
        <v>20</v>
      </c>
      <c r="K33" s="593">
        <f t="shared" si="1"/>
        <v>55.000000000000007</v>
      </c>
      <c r="L33" s="593">
        <f t="shared" si="4"/>
        <v>15</v>
      </c>
      <c r="M33" s="593">
        <f t="shared" si="2"/>
        <v>30</v>
      </c>
      <c r="N33" s="597">
        <f t="shared" si="3"/>
        <v>100</v>
      </c>
      <c r="O33" s="592">
        <v>36.700000000000003</v>
      </c>
      <c r="P33" s="593">
        <v>10</v>
      </c>
      <c r="Q33" s="593">
        <v>15.3</v>
      </c>
      <c r="R33" s="594">
        <f t="shared" si="0"/>
        <v>62</v>
      </c>
      <c r="S33" s="208">
        <v>3</v>
      </c>
      <c r="T33" s="81"/>
      <c r="V33" s="82" t="s">
        <v>896</v>
      </c>
      <c r="W33" s="208" t="s">
        <v>316</v>
      </c>
      <c r="X33" s="208" t="s">
        <v>11</v>
      </c>
      <c r="Y33" s="83">
        <v>28</v>
      </c>
      <c r="Z33" s="208" t="s">
        <v>894</v>
      </c>
      <c r="AA33" s="208" t="s">
        <v>116</v>
      </c>
      <c r="AB33" s="208" t="s">
        <v>12</v>
      </c>
      <c r="AC33" s="208">
        <v>15.3</v>
      </c>
      <c r="AD33" s="82" t="s">
        <v>904</v>
      </c>
      <c r="AE33" s="208" t="s">
        <v>94</v>
      </c>
      <c r="AF33" s="208" t="s">
        <v>18</v>
      </c>
      <c r="AG33" s="83">
        <v>10</v>
      </c>
      <c r="AH33" s="208" t="s">
        <v>900</v>
      </c>
      <c r="AI33" s="208" t="s">
        <v>905</v>
      </c>
      <c r="AJ33" s="208" t="s">
        <v>11</v>
      </c>
      <c r="AK33" s="208">
        <v>8.6999999999999993</v>
      </c>
      <c r="AL33" s="82"/>
      <c r="AO33" s="83"/>
      <c r="AP33" s="82"/>
      <c r="AS33" s="83"/>
      <c r="AW33" s="83"/>
      <c r="BA33" s="84"/>
    </row>
    <row r="34" spans="1:53" s="208" customFormat="1">
      <c r="A34" s="208">
        <v>2001</v>
      </c>
      <c r="B34" s="121"/>
      <c r="C34" s="988" t="s">
        <v>898</v>
      </c>
      <c r="D34" s="988"/>
      <c r="E34" s="208">
        <v>365</v>
      </c>
      <c r="G34" s="596">
        <v>11</v>
      </c>
      <c r="H34" s="656">
        <v>3</v>
      </c>
      <c r="I34" s="656">
        <v>6</v>
      </c>
      <c r="J34" s="598">
        <v>20</v>
      </c>
      <c r="K34" s="593">
        <f t="shared" si="1"/>
        <v>55.000000000000007</v>
      </c>
      <c r="L34" s="593">
        <f t="shared" si="4"/>
        <v>15</v>
      </c>
      <c r="M34" s="593">
        <f t="shared" si="2"/>
        <v>30</v>
      </c>
      <c r="N34" s="597">
        <f t="shared" si="3"/>
        <v>100</v>
      </c>
      <c r="O34" s="592">
        <v>36.700000000000003</v>
      </c>
      <c r="P34" s="593">
        <v>10</v>
      </c>
      <c r="Q34" s="593">
        <v>15.3</v>
      </c>
      <c r="R34" s="594">
        <f t="shared" si="0"/>
        <v>62</v>
      </c>
      <c r="S34" s="208">
        <v>3</v>
      </c>
      <c r="T34" s="81"/>
      <c r="V34" s="82" t="s">
        <v>896</v>
      </c>
      <c r="W34" s="208" t="s">
        <v>316</v>
      </c>
      <c r="X34" s="208" t="s">
        <v>11</v>
      </c>
      <c r="Y34" s="83">
        <v>28</v>
      </c>
      <c r="Z34" s="208" t="s">
        <v>894</v>
      </c>
      <c r="AA34" s="208" t="s">
        <v>116</v>
      </c>
      <c r="AB34" s="208" t="s">
        <v>12</v>
      </c>
      <c r="AC34" s="208">
        <v>15.3</v>
      </c>
      <c r="AD34" s="82" t="s">
        <v>904</v>
      </c>
      <c r="AE34" s="208" t="s">
        <v>94</v>
      </c>
      <c r="AF34" s="208" t="s">
        <v>18</v>
      </c>
      <c r="AG34" s="83">
        <v>10</v>
      </c>
      <c r="AH34" s="208" t="s">
        <v>900</v>
      </c>
      <c r="AI34" s="208" t="s">
        <v>905</v>
      </c>
      <c r="AJ34" s="208" t="s">
        <v>11</v>
      </c>
      <c r="AK34" s="208">
        <v>8.6999999999999993</v>
      </c>
      <c r="AL34" s="82"/>
      <c r="AO34" s="83"/>
      <c r="AP34" s="82"/>
      <c r="AS34" s="83"/>
      <c r="AW34" s="83"/>
      <c r="BA34" s="84"/>
    </row>
    <row r="35" spans="1:53" s="208" customFormat="1">
      <c r="A35" s="208">
        <v>2002</v>
      </c>
      <c r="B35" s="121"/>
      <c r="C35" s="988" t="s">
        <v>898</v>
      </c>
      <c r="D35" s="988"/>
      <c r="E35" s="208">
        <v>319</v>
      </c>
      <c r="G35" s="596">
        <v>11</v>
      </c>
      <c r="H35" s="656">
        <v>3</v>
      </c>
      <c r="I35" s="656">
        <v>6</v>
      </c>
      <c r="J35" s="598">
        <v>20</v>
      </c>
      <c r="K35" s="593">
        <f t="shared" si="1"/>
        <v>55.000000000000007</v>
      </c>
      <c r="L35" s="593">
        <f t="shared" si="4"/>
        <v>15</v>
      </c>
      <c r="M35" s="593">
        <f t="shared" si="2"/>
        <v>30</v>
      </c>
      <c r="N35" s="597">
        <f t="shared" si="3"/>
        <v>100</v>
      </c>
      <c r="O35" s="592">
        <v>36.700000000000003</v>
      </c>
      <c r="P35" s="593">
        <v>10</v>
      </c>
      <c r="Q35" s="593">
        <v>15.3</v>
      </c>
      <c r="R35" s="594">
        <f t="shared" si="0"/>
        <v>62</v>
      </c>
      <c r="S35" s="208">
        <v>3</v>
      </c>
      <c r="T35" s="81"/>
      <c r="V35" s="82" t="s">
        <v>896</v>
      </c>
      <c r="W35" s="208" t="s">
        <v>316</v>
      </c>
      <c r="X35" s="208" t="s">
        <v>11</v>
      </c>
      <c r="Y35" s="83">
        <v>28</v>
      </c>
      <c r="Z35" s="208" t="s">
        <v>894</v>
      </c>
      <c r="AA35" s="208" t="s">
        <v>116</v>
      </c>
      <c r="AB35" s="208" t="s">
        <v>12</v>
      </c>
      <c r="AC35" s="208">
        <v>15.3</v>
      </c>
      <c r="AD35" s="82" t="s">
        <v>904</v>
      </c>
      <c r="AE35" s="208" t="s">
        <v>94</v>
      </c>
      <c r="AF35" s="208" t="s">
        <v>18</v>
      </c>
      <c r="AG35" s="83">
        <v>10</v>
      </c>
      <c r="AH35" s="208" t="s">
        <v>900</v>
      </c>
      <c r="AI35" s="208" t="s">
        <v>905</v>
      </c>
      <c r="AJ35" s="208" t="s">
        <v>11</v>
      </c>
      <c r="AK35" s="208">
        <v>8.6999999999999993</v>
      </c>
      <c r="AL35" s="82"/>
      <c r="AO35" s="83"/>
      <c r="AP35" s="82"/>
      <c r="AS35" s="83"/>
      <c r="AW35" s="83"/>
      <c r="BA35" s="84"/>
    </row>
    <row r="36" spans="1:53" s="334" customFormat="1">
      <c r="A36" s="334">
        <v>2002</v>
      </c>
      <c r="B36" s="335">
        <v>37576</v>
      </c>
      <c r="C36" s="992" t="s">
        <v>1220</v>
      </c>
      <c r="D36" s="992"/>
      <c r="E36" s="334">
        <f>365-E35</f>
        <v>46</v>
      </c>
      <c r="F36" s="334">
        <v>1</v>
      </c>
      <c r="G36" s="642">
        <v>3</v>
      </c>
      <c r="H36" s="657">
        <v>13</v>
      </c>
      <c r="I36" s="657"/>
      <c r="J36" s="644">
        <v>16</v>
      </c>
      <c r="K36" s="640">
        <f t="shared" si="1"/>
        <v>18.75</v>
      </c>
      <c r="L36" s="640">
        <f t="shared" si="4"/>
        <v>81.25</v>
      </c>
      <c r="M36" s="640">
        <f t="shared" si="2"/>
        <v>0</v>
      </c>
      <c r="N36" s="643">
        <f t="shared" si="3"/>
        <v>100</v>
      </c>
      <c r="O36" s="639">
        <v>10</v>
      </c>
      <c r="P36" s="640">
        <v>42</v>
      </c>
      <c r="Q36" s="640"/>
      <c r="R36" s="641">
        <f t="shared" si="0"/>
        <v>52</v>
      </c>
      <c r="S36" s="334">
        <v>2</v>
      </c>
      <c r="T36" s="342">
        <v>37520</v>
      </c>
      <c r="U36" s="335">
        <v>37576</v>
      </c>
      <c r="V36" s="343" t="s">
        <v>901</v>
      </c>
      <c r="W36" s="334" t="s">
        <v>82</v>
      </c>
      <c r="X36" s="334" t="s">
        <v>18</v>
      </c>
      <c r="Y36" s="344">
        <v>18.7</v>
      </c>
      <c r="Z36" s="334" t="s">
        <v>904</v>
      </c>
      <c r="AA36" s="334" t="s">
        <v>94</v>
      </c>
      <c r="AB36" s="334" t="s">
        <v>18</v>
      </c>
      <c r="AC36" s="334">
        <v>13.3</v>
      </c>
      <c r="AD36" s="343" t="s">
        <v>895</v>
      </c>
      <c r="AE36" s="334" t="s">
        <v>17</v>
      </c>
      <c r="AF36" s="334" t="s">
        <v>18</v>
      </c>
      <c r="AG36" s="344">
        <v>10</v>
      </c>
      <c r="AH36" s="334" t="s">
        <v>902</v>
      </c>
      <c r="AI36" s="334" t="s">
        <v>906</v>
      </c>
      <c r="AJ36" s="334" t="s">
        <v>11</v>
      </c>
      <c r="AK36" s="334">
        <v>10</v>
      </c>
      <c r="AL36" s="343"/>
      <c r="AO36" s="344"/>
      <c r="AP36" s="343"/>
      <c r="AS36" s="344"/>
      <c r="AW36" s="344"/>
      <c r="BA36" s="345"/>
    </row>
    <row r="37" spans="1:53" s="334" customFormat="1">
      <c r="A37" s="334">
        <v>2003</v>
      </c>
      <c r="B37" s="335"/>
      <c r="C37" s="992" t="s">
        <v>1220</v>
      </c>
      <c r="D37" s="992"/>
      <c r="E37" s="334">
        <v>0</v>
      </c>
      <c r="G37" s="642">
        <v>3</v>
      </c>
      <c r="H37" s="657">
        <v>13</v>
      </c>
      <c r="I37" s="657"/>
      <c r="J37" s="644">
        <v>16</v>
      </c>
      <c r="K37" s="640">
        <f t="shared" si="1"/>
        <v>18.75</v>
      </c>
      <c r="L37" s="640">
        <f t="shared" si="4"/>
        <v>81.25</v>
      </c>
      <c r="M37" s="640">
        <f t="shared" si="2"/>
        <v>0</v>
      </c>
      <c r="N37" s="643">
        <f t="shared" si="3"/>
        <v>100</v>
      </c>
      <c r="O37" s="639">
        <v>10</v>
      </c>
      <c r="P37" s="640">
        <v>42</v>
      </c>
      <c r="Q37" s="640"/>
      <c r="R37" s="641">
        <f t="shared" si="0"/>
        <v>52</v>
      </c>
      <c r="S37" s="334">
        <v>2</v>
      </c>
      <c r="T37" s="357"/>
      <c r="V37" s="343" t="s">
        <v>901</v>
      </c>
      <c r="W37" s="334" t="s">
        <v>82</v>
      </c>
      <c r="X37" s="334" t="s">
        <v>18</v>
      </c>
      <c r="Y37" s="344">
        <v>18.7</v>
      </c>
      <c r="Z37" s="334" t="s">
        <v>904</v>
      </c>
      <c r="AA37" s="334" t="s">
        <v>94</v>
      </c>
      <c r="AB37" s="334" t="s">
        <v>18</v>
      </c>
      <c r="AC37" s="334">
        <v>13.3</v>
      </c>
      <c r="AD37" s="343" t="s">
        <v>895</v>
      </c>
      <c r="AE37" s="334" t="s">
        <v>17</v>
      </c>
      <c r="AF37" s="334" t="s">
        <v>18</v>
      </c>
      <c r="AG37" s="344">
        <v>10</v>
      </c>
      <c r="AH37" s="334" t="s">
        <v>902</v>
      </c>
      <c r="AI37" s="334" t="s">
        <v>906</v>
      </c>
      <c r="AJ37" s="334" t="s">
        <v>11</v>
      </c>
      <c r="AK37" s="334">
        <v>10</v>
      </c>
      <c r="AL37" s="343"/>
      <c r="AO37" s="344"/>
      <c r="AP37" s="343"/>
      <c r="AS37" s="344"/>
      <c r="AW37" s="344"/>
      <c r="BA37" s="345"/>
    </row>
    <row r="38" spans="1:53" s="334" customFormat="1">
      <c r="A38" s="334">
        <v>2003</v>
      </c>
      <c r="B38" s="335"/>
      <c r="C38" s="992" t="s">
        <v>1220</v>
      </c>
      <c r="D38" s="992"/>
      <c r="E38" s="334">
        <v>365</v>
      </c>
      <c r="G38" s="642">
        <v>3</v>
      </c>
      <c r="H38" s="657">
        <v>13</v>
      </c>
      <c r="I38" s="657"/>
      <c r="J38" s="644">
        <v>16</v>
      </c>
      <c r="K38" s="640">
        <f t="shared" si="1"/>
        <v>18.75</v>
      </c>
      <c r="L38" s="640">
        <f t="shared" si="4"/>
        <v>81.25</v>
      </c>
      <c r="M38" s="640">
        <f t="shared" si="2"/>
        <v>0</v>
      </c>
      <c r="N38" s="643">
        <f t="shared" si="3"/>
        <v>100</v>
      </c>
      <c r="O38" s="639">
        <v>10</v>
      </c>
      <c r="P38" s="640">
        <v>42</v>
      </c>
      <c r="Q38" s="640"/>
      <c r="R38" s="641">
        <f t="shared" si="0"/>
        <v>52</v>
      </c>
      <c r="S38" s="334">
        <v>2</v>
      </c>
      <c r="T38" s="357"/>
      <c r="V38" s="343" t="s">
        <v>901</v>
      </c>
      <c r="W38" s="334" t="s">
        <v>82</v>
      </c>
      <c r="X38" s="334" t="s">
        <v>18</v>
      </c>
      <c r="Y38" s="344">
        <v>18.7</v>
      </c>
      <c r="Z38" s="334" t="s">
        <v>904</v>
      </c>
      <c r="AA38" s="334" t="s">
        <v>94</v>
      </c>
      <c r="AB38" s="334" t="s">
        <v>18</v>
      </c>
      <c r="AC38" s="334">
        <v>13.3</v>
      </c>
      <c r="AD38" s="343" t="s">
        <v>895</v>
      </c>
      <c r="AE38" s="334" t="s">
        <v>17</v>
      </c>
      <c r="AF38" s="334" t="s">
        <v>18</v>
      </c>
      <c r="AG38" s="344">
        <v>10</v>
      </c>
      <c r="AH38" s="334" t="s">
        <v>902</v>
      </c>
      <c r="AI38" s="334" t="s">
        <v>906</v>
      </c>
      <c r="AJ38" s="334" t="s">
        <v>11</v>
      </c>
      <c r="AK38" s="334">
        <v>10</v>
      </c>
      <c r="AL38" s="343"/>
      <c r="AO38" s="344"/>
      <c r="AP38" s="343"/>
      <c r="AS38" s="344"/>
      <c r="AW38" s="344"/>
      <c r="BA38" s="345"/>
    </row>
    <row r="39" spans="1:53" s="334" customFormat="1">
      <c r="A39" s="334">
        <v>2004</v>
      </c>
      <c r="B39" s="335"/>
      <c r="C39" s="992" t="s">
        <v>1220</v>
      </c>
      <c r="D39" s="992"/>
      <c r="E39" s="334">
        <v>0</v>
      </c>
      <c r="G39" s="642">
        <v>3</v>
      </c>
      <c r="H39" s="657">
        <v>13</v>
      </c>
      <c r="I39" s="657"/>
      <c r="J39" s="644">
        <v>16</v>
      </c>
      <c r="K39" s="640">
        <f t="shared" si="1"/>
        <v>18.75</v>
      </c>
      <c r="L39" s="640">
        <f t="shared" si="4"/>
        <v>81.25</v>
      </c>
      <c r="M39" s="640">
        <f t="shared" si="2"/>
        <v>0</v>
      </c>
      <c r="N39" s="643">
        <f t="shared" si="3"/>
        <v>100</v>
      </c>
      <c r="O39" s="639">
        <v>10</v>
      </c>
      <c r="P39" s="640">
        <v>42</v>
      </c>
      <c r="Q39" s="640"/>
      <c r="R39" s="641">
        <f t="shared" si="0"/>
        <v>52</v>
      </c>
      <c r="S39" s="334">
        <v>2</v>
      </c>
      <c r="T39" s="357"/>
      <c r="V39" s="343" t="s">
        <v>901</v>
      </c>
      <c r="W39" s="334" t="s">
        <v>82</v>
      </c>
      <c r="X39" s="334" t="s">
        <v>18</v>
      </c>
      <c r="Y39" s="344">
        <v>18.7</v>
      </c>
      <c r="Z39" s="334" t="s">
        <v>904</v>
      </c>
      <c r="AA39" s="334" t="s">
        <v>94</v>
      </c>
      <c r="AB39" s="334" t="s">
        <v>18</v>
      </c>
      <c r="AC39" s="334">
        <v>13.3</v>
      </c>
      <c r="AD39" s="343" t="s">
        <v>895</v>
      </c>
      <c r="AE39" s="334" t="s">
        <v>17</v>
      </c>
      <c r="AF39" s="334" t="s">
        <v>18</v>
      </c>
      <c r="AG39" s="344">
        <v>10</v>
      </c>
      <c r="AH39" s="334" t="s">
        <v>902</v>
      </c>
      <c r="AI39" s="334" t="s">
        <v>906</v>
      </c>
      <c r="AJ39" s="334" t="s">
        <v>11</v>
      </c>
      <c r="AK39" s="334">
        <v>10</v>
      </c>
      <c r="AL39" s="343"/>
      <c r="AO39" s="344"/>
      <c r="AP39" s="343"/>
      <c r="AS39" s="344"/>
      <c r="AW39" s="344"/>
      <c r="BA39" s="345"/>
    </row>
    <row r="40" spans="1:53" s="334" customFormat="1">
      <c r="A40" s="334">
        <v>2004</v>
      </c>
      <c r="B40" s="335"/>
      <c r="C40" s="992" t="s">
        <v>1220</v>
      </c>
      <c r="D40" s="992"/>
      <c r="E40" s="334">
        <v>366</v>
      </c>
      <c r="G40" s="642">
        <v>3</v>
      </c>
      <c r="H40" s="657">
        <v>13</v>
      </c>
      <c r="I40" s="657"/>
      <c r="J40" s="644">
        <v>16</v>
      </c>
      <c r="K40" s="640">
        <f t="shared" si="1"/>
        <v>18.75</v>
      </c>
      <c r="L40" s="640">
        <f t="shared" si="4"/>
        <v>81.25</v>
      </c>
      <c r="M40" s="640">
        <f t="shared" si="2"/>
        <v>0</v>
      </c>
      <c r="N40" s="643">
        <f t="shared" si="3"/>
        <v>100</v>
      </c>
      <c r="O40" s="639">
        <v>10</v>
      </c>
      <c r="P40" s="640">
        <v>42</v>
      </c>
      <c r="Q40" s="640"/>
      <c r="R40" s="641">
        <f t="shared" si="0"/>
        <v>52</v>
      </c>
      <c r="S40" s="334">
        <v>2</v>
      </c>
      <c r="T40" s="357"/>
      <c r="V40" s="343" t="s">
        <v>901</v>
      </c>
      <c r="W40" s="334" t="s">
        <v>82</v>
      </c>
      <c r="X40" s="334" t="s">
        <v>18</v>
      </c>
      <c r="Y40" s="344">
        <v>18.7</v>
      </c>
      <c r="Z40" s="334" t="s">
        <v>904</v>
      </c>
      <c r="AA40" s="334" t="s">
        <v>94</v>
      </c>
      <c r="AB40" s="334" t="s">
        <v>18</v>
      </c>
      <c r="AC40" s="334">
        <v>13.3</v>
      </c>
      <c r="AD40" s="343" t="s">
        <v>895</v>
      </c>
      <c r="AE40" s="334" t="s">
        <v>17</v>
      </c>
      <c r="AF40" s="334" t="s">
        <v>18</v>
      </c>
      <c r="AG40" s="344">
        <v>10</v>
      </c>
      <c r="AH40" s="334" t="s">
        <v>902</v>
      </c>
      <c r="AI40" s="334" t="s">
        <v>906</v>
      </c>
      <c r="AJ40" s="334" t="s">
        <v>11</v>
      </c>
      <c r="AK40" s="334">
        <v>10</v>
      </c>
      <c r="AL40" s="343"/>
      <c r="AO40" s="344"/>
      <c r="AP40" s="343"/>
      <c r="AS40" s="344"/>
      <c r="AW40" s="344"/>
      <c r="BA40" s="345"/>
    </row>
    <row r="41" spans="1:53" s="334" customFormat="1">
      <c r="A41" s="334">
        <v>2005</v>
      </c>
      <c r="B41" s="335"/>
      <c r="C41" s="992" t="s">
        <v>1220</v>
      </c>
      <c r="D41" s="992"/>
      <c r="E41" s="334">
        <v>0</v>
      </c>
      <c r="G41" s="642">
        <v>3</v>
      </c>
      <c r="H41" s="657">
        <v>13</v>
      </c>
      <c r="I41" s="657"/>
      <c r="J41" s="644">
        <v>16</v>
      </c>
      <c r="K41" s="640">
        <f t="shared" si="1"/>
        <v>18.75</v>
      </c>
      <c r="L41" s="640">
        <f t="shared" si="4"/>
        <v>81.25</v>
      </c>
      <c r="M41" s="640">
        <f t="shared" si="2"/>
        <v>0</v>
      </c>
      <c r="N41" s="643">
        <f t="shared" si="3"/>
        <v>100</v>
      </c>
      <c r="O41" s="639">
        <v>10</v>
      </c>
      <c r="P41" s="640">
        <v>42</v>
      </c>
      <c r="Q41" s="640"/>
      <c r="R41" s="641">
        <f t="shared" si="0"/>
        <v>52</v>
      </c>
      <c r="S41" s="334">
        <v>2</v>
      </c>
      <c r="T41" s="357"/>
      <c r="V41" s="343" t="s">
        <v>901</v>
      </c>
      <c r="W41" s="334" t="s">
        <v>82</v>
      </c>
      <c r="X41" s="334" t="s">
        <v>18</v>
      </c>
      <c r="Y41" s="344">
        <v>18.7</v>
      </c>
      <c r="Z41" s="334" t="s">
        <v>904</v>
      </c>
      <c r="AA41" s="334" t="s">
        <v>94</v>
      </c>
      <c r="AB41" s="334" t="s">
        <v>18</v>
      </c>
      <c r="AC41" s="334">
        <v>13.3</v>
      </c>
      <c r="AD41" s="343" t="s">
        <v>895</v>
      </c>
      <c r="AE41" s="334" t="s">
        <v>17</v>
      </c>
      <c r="AF41" s="334" t="s">
        <v>18</v>
      </c>
      <c r="AG41" s="344">
        <v>10</v>
      </c>
      <c r="AH41" s="334" t="s">
        <v>902</v>
      </c>
      <c r="AI41" s="334" t="s">
        <v>906</v>
      </c>
      <c r="AJ41" s="334" t="s">
        <v>11</v>
      </c>
      <c r="AK41" s="334">
        <v>10</v>
      </c>
      <c r="AL41" s="343"/>
      <c r="AO41" s="344"/>
      <c r="AP41" s="343"/>
      <c r="AS41" s="344"/>
      <c r="AW41" s="344"/>
      <c r="BA41" s="345"/>
    </row>
    <row r="42" spans="1:53" s="334" customFormat="1">
      <c r="A42" s="334">
        <v>2005</v>
      </c>
      <c r="B42" s="335"/>
      <c r="C42" s="992" t="s">
        <v>1220</v>
      </c>
      <c r="D42" s="992"/>
      <c r="E42" s="334">
        <v>365</v>
      </c>
      <c r="G42" s="642">
        <v>3</v>
      </c>
      <c r="H42" s="657">
        <v>13</v>
      </c>
      <c r="I42" s="657"/>
      <c r="J42" s="644">
        <v>16</v>
      </c>
      <c r="K42" s="640">
        <f t="shared" si="1"/>
        <v>18.75</v>
      </c>
      <c r="L42" s="640">
        <f t="shared" si="4"/>
        <v>81.25</v>
      </c>
      <c r="M42" s="640">
        <f t="shared" si="2"/>
        <v>0</v>
      </c>
      <c r="N42" s="643">
        <f t="shared" si="3"/>
        <v>100</v>
      </c>
      <c r="O42" s="639">
        <v>10</v>
      </c>
      <c r="P42" s="640">
        <v>42</v>
      </c>
      <c r="Q42" s="640"/>
      <c r="R42" s="641">
        <f t="shared" si="0"/>
        <v>52</v>
      </c>
      <c r="S42" s="334">
        <v>2</v>
      </c>
      <c r="T42" s="357"/>
      <c r="V42" s="343" t="s">
        <v>901</v>
      </c>
      <c r="W42" s="334" t="s">
        <v>82</v>
      </c>
      <c r="X42" s="334" t="s">
        <v>18</v>
      </c>
      <c r="Y42" s="344">
        <v>18.7</v>
      </c>
      <c r="Z42" s="334" t="s">
        <v>904</v>
      </c>
      <c r="AA42" s="334" t="s">
        <v>94</v>
      </c>
      <c r="AB42" s="334" t="s">
        <v>18</v>
      </c>
      <c r="AC42" s="334">
        <v>13.3</v>
      </c>
      <c r="AD42" s="343" t="s">
        <v>895</v>
      </c>
      <c r="AE42" s="334" t="s">
        <v>17</v>
      </c>
      <c r="AF42" s="334" t="s">
        <v>18</v>
      </c>
      <c r="AG42" s="344">
        <v>10</v>
      </c>
      <c r="AH42" s="334" t="s">
        <v>902</v>
      </c>
      <c r="AI42" s="334" t="s">
        <v>906</v>
      </c>
      <c r="AJ42" s="334" t="s">
        <v>11</v>
      </c>
      <c r="AK42" s="334">
        <v>10</v>
      </c>
      <c r="AL42" s="343"/>
      <c r="AO42" s="344"/>
      <c r="AP42" s="343"/>
      <c r="AS42" s="344"/>
      <c r="AW42" s="344"/>
      <c r="BA42" s="345"/>
    </row>
    <row r="43" spans="1:53" s="334" customFormat="1">
      <c r="A43" s="334">
        <v>2006</v>
      </c>
      <c r="B43" s="335"/>
      <c r="C43" s="992" t="s">
        <v>1220</v>
      </c>
      <c r="D43" s="992"/>
      <c r="E43" s="334">
        <v>38</v>
      </c>
      <c r="G43" s="642">
        <v>3</v>
      </c>
      <c r="H43" s="657">
        <v>13</v>
      </c>
      <c r="I43" s="657"/>
      <c r="J43" s="644">
        <v>16</v>
      </c>
      <c r="K43" s="640">
        <f t="shared" si="1"/>
        <v>18.75</v>
      </c>
      <c r="L43" s="640">
        <f t="shared" si="4"/>
        <v>81.25</v>
      </c>
      <c r="M43" s="640">
        <f t="shared" si="2"/>
        <v>0</v>
      </c>
      <c r="N43" s="643">
        <f t="shared" si="3"/>
        <v>100</v>
      </c>
      <c r="O43" s="639">
        <v>10</v>
      </c>
      <c r="P43" s="640">
        <v>42</v>
      </c>
      <c r="Q43" s="640"/>
      <c r="R43" s="641">
        <f t="shared" si="0"/>
        <v>52</v>
      </c>
      <c r="S43" s="334">
        <v>2</v>
      </c>
      <c r="T43" s="357"/>
      <c r="V43" s="343" t="s">
        <v>901</v>
      </c>
      <c r="W43" s="334" t="s">
        <v>82</v>
      </c>
      <c r="X43" s="334" t="s">
        <v>18</v>
      </c>
      <c r="Y43" s="344">
        <v>18.7</v>
      </c>
      <c r="Z43" s="334" t="s">
        <v>904</v>
      </c>
      <c r="AA43" s="334" t="s">
        <v>94</v>
      </c>
      <c r="AB43" s="334" t="s">
        <v>18</v>
      </c>
      <c r="AC43" s="334">
        <v>13.3</v>
      </c>
      <c r="AD43" s="343" t="s">
        <v>895</v>
      </c>
      <c r="AE43" s="334" t="s">
        <v>17</v>
      </c>
      <c r="AF43" s="334" t="s">
        <v>18</v>
      </c>
      <c r="AG43" s="344">
        <v>10</v>
      </c>
      <c r="AH43" s="334" t="s">
        <v>902</v>
      </c>
      <c r="AI43" s="334" t="s">
        <v>906</v>
      </c>
      <c r="AJ43" s="334" t="s">
        <v>11</v>
      </c>
      <c r="AK43" s="334">
        <v>10</v>
      </c>
      <c r="AL43" s="343"/>
      <c r="AO43" s="344"/>
      <c r="AP43" s="343"/>
      <c r="AS43" s="344"/>
      <c r="AW43" s="344"/>
      <c r="BA43" s="345"/>
    </row>
    <row r="44" spans="1:53" s="227" customFormat="1">
      <c r="A44" s="227">
        <v>2006</v>
      </c>
      <c r="B44" s="121">
        <v>38756</v>
      </c>
      <c r="C44" s="988" t="s">
        <v>1222</v>
      </c>
      <c r="D44" s="988"/>
      <c r="E44" s="227">
        <v>50</v>
      </c>
      <c r="F44" s="227">
        <v>4</v>
      </c>
      <c r="G44" s="596">
        <v>3</v>
      </c>
      <c r="H44" s="656">
        <v>12</v>
      </c>
      <c r="I44" s="656"/>
      <c r="J44" s="598">
        <v>16</v>
      </c>
      <c r="K44" s="593">
        <f>G44/J44*100</f>
        <v>18.75</v>
      </c>
      <c r="L44" s="593">
        <f>H44/J44*100</f>
        <v>75</v>
      </c>
      <c r="M44" s="593">
        <f>I44/J44*100</f>
        <v>0</v>
      </c>
      <c r="N44" s="597">
        <f>SUM(K44:M44)</f>
        <v>93.75</v>
      </c>
      <c r="O44" s="592">
        <v>10</v>
      </c>
      <c r="P44" s="593">
        <v>32</v>
      </c>
      <c r="Q44" s="593"/>
      <c r="R44" s="594">
        <f>SUM(O44:Q44)</f>
        <v>42</v>
      </c>
      <c r="S44" s="227">
        <v>5</v>
      </c>
      <c r="T44" s="81"/>
      <c r="U44" s="121">
        <v>38756</v>
      </c>
      <c r="V44" s="82" t="s">
        <v>907</v>
      </c>
      <c r="W44" s="227" t="s">
        <v>82</v>
      </c>
      <c r="X44" s="227" t="s">
        <v>18</v>
      </c>
      <c r="Y44" s="83">
        <v>18.7</v>
      </c>
      <c r="Z44" s="227" t="s">
        <v>904</v>
      </c>
      <c r="AA44" s="227" t="s">
        <v>94</v>
      </c>
      <c r="AB44" s="227" t="s">
        <v>18</v>
      </c>
      <c r="AC44" s="227">
        <v>13.3</v>
      </c>
      <c r="AD44" s="82" t="s">
        <v>897</v>
      </c>
      <c r="AE44" s="227" t="s">
        <v>906</v>
      </c>
      <c r="AF44" s="227" t="s">
        <v>11</v>
      </c>
      <c r="AG44" s="83">
        <v>10</v>
      </c>
      <c r="AL44" s="82"/>
      <c r="AO44" s="83"/>
      <c r="AP44" s="82"/>
      <c r="AS44" s="83"/>
      <c r="AW44" s="83"/>
      <c r="BA44" s="84"/>
    </row>
    <row r="45" spans="1:53" s="208" customFormat="1">
      <c r="A45" s="208">
        <v>2006</v>
      </c>
      <c r="B45" s="154">
        <v>38806</v>
      </c>
      <c r="C45" s="988" t="s">
        <v>1222</v>
      </c>
      <c r="D45" s="988"/>
      <c r="E45" s="208">
        <v>96</v>
      </c>
      <c r="F45" s="150">
        <v>0</v>
      </c>
      <c r="G45" s="596">
        <v>2</v>
      </c>
      <c r="H45" s="656">
        <v>12</v>
      </c>
      <c r="I45" s="656"/>
      <c r="J45" s="598">
        <v>16</v>
      </c>
      <c r="K45" s="593">
        <f>G45/J45*100</f>
        <v>12.5</v>
      </c>
      <c r="L45" s="593">
        <f>H45/J45*100</f>
        <v>75</v>
      </c>
      <c r="M45" s="593">
        <f>I45/J45*100</f>
        <v>0</v>
      </c>
      <c r="N45" s="597">
        <f t="shared" si="3"/>
        <v>87.5</v>
      </c>
      <c r="O45" s="592">
        <v>10</v>
      </c>
      <c r="P45" s="593">
        <v>32</v>
      </c>
      <c r="Q45" s="593"/>
      <c r="R45" s="594">
        <f t="shared" si="0"/>
        <v>42</v>
      </c>
      <c r="S45" s="208">
        <v>5</v>
      </c>
      <c r="T45" s="81"/>
      <c r="U45" s="121"/>
      <c r="V45" s="82" t="s">
        <v>907</v>
      </c>
      <c r="W45" s="208" t="s">
        <v>82</v>
      </c>
      <c r="X45" s="208" t="s">
        <v>18</v>
      </c>
      <c r="Y45" s="83">
        <v>18.7</v>
      </c>
      <c r="Z45" s="208" t="s">
        <v>904</v>
      </c>
      <c r="AA45" s="208" t="s">
        <v>94</v>
      </c>
      <c r="AB45" s="208" t="s">
        <v>18</v>
      </c>
      <c r="AC45" s="208">
        <v>13.3</v>
      </c>
      <c r="AD45" s="82" t="s">
        <v>897</v>
      </c>
      <c r="AE45" s="208" t="s">
        <v>906</v>
      </c>
      <c r="AF45" s="208" t="s">
        <v>11</v>
      </c>
      <c r="AG45" s="83">
        <v>10</v>
      </c>
      <c r="AL45" s="82"/>
      <c r="AO45" s="83"/>
      <c r="AP45" s="82"/>
      <c r="AS45" s="83"/>
      <c r="AW45" s="83"/>
      <c r="BA45" s="84"/>
    </row>
    <row r="46" spans="1:53" s="334" customFormat="1">
      <c r="A46" s="334">
        <v>2006</v>
      </c>
      <c r="B46" s="335">
        <v>38902</v>
      </c>
      <c r="C46" s="992" t="s">
        <v>916</v>
      </c>
      <c r="D46" s="992"/>
      <c r="E46" s="334">
        <v>181</v>
      </c>
      <c r="F46" s="334">
        <v>1</v>
      </c>
      <c r="G46" s="642">
        <v>5</v>
      </c>
      <c r="H46" s="657"/>
      <c r="I46" s="657">
        <v>11</v>
      </c>
      <c r="J46" s="644">
        <v>16</v>
      </c>
      <c r="K46" s="640">
        <f t="shared" si="1"/>
        <v>31.25</v>
      </c>
      <c r="L46" s="640">
        <f t="shared" si="4"/>
        <v>0</v>
      </c>
      <c r="M46" s="640">
        <f t="shared" si="2"/>
        <v>68.75</v>
      </c>
      <c r="N46" s="643">
        <f t="shared" si="3"/>
        <v>100</v>
      </c>
      <c r="O46" s="639">
        <v>23.33</v>
      </c>
      <c r="P46" s="640"/>
      <c r="Q46" s="640">
        <v>33.33</v>
      </c>
      <c r="R46" s="641">
        <f t="shared" si="0"/>
        <v>56.66</v>
      </c>
      <c r="S46" s="334">
        <v>2</v>
      </c>
      <c r="T46" s="342">
        <v>38885</v>
      </c>
      <c r="U46" s="335">
        <v>38902</v>
      </c>
      <c r="V46" s="343" t="s">
        <v>914</v>
      </c>
      <c r="W46" s="334" t="s">
        <v>97</v>
      </c>
      <c r="X46" s="334" t="s">
        <v>12</v>
      </c>
      <c r="Y46" s="344">
        <v>33.299999999999997</v>
      </c>
      <c r="Z46" s="334" t="s">
        <v>890</v>
      </c>
      <c r="AA46" s="334" t="s">
        <v>27</v>
      </c>
      <c r="AB46" s="334" t="s">
        <v>11</v>
      </c>
      <c r="AC46" s="334">
        <v>13.3</v>
      </c>
      <c r="AD46" s="343" t="s">
        <v>908</v>
      </c>
      <c r="AE46" s="334" t="s">
        <v>304</v>
      </c>
      <c r="AF46" s="334" t="s">
        <v>11</v>
      </c>
      <c r="AG46" s="344">
        <v>10</v>
      </c>
      <c r="AL46" s="343"/>
      <c r="AO46" s="344"/>
      <c r="AP46" s="343"/>
      <c r="AS46" s="344"/>
      <c r="AW46" s="344"/>
      <c r="BA46" s="345"/>
    </row>
    <row r="47" spans="1:53" s="334" customFormat="1">
      <c r="A47" s="334">
        <v>2007</v>
      </c>
      <c r="B47" s="335"/>
      <c r="C47" s="992" t="s">
        <v>916</v>
      </c>
      <c r="D47" s="992"/>
      <c r="E47" s="334">
        <v>0</v>
      </c>
      <c r="G47" s="642">
        <v>5</v>
      </c>
      <c r="H47" s="657"/>
      <c r="I47" s="657">
        <v>11</v>
      </c>
      <c r="J47" s="644">
        <v>16</v>
      </c>
      <c r="K47" s="640">
        <f t="shared" si="1"/>
        <v>31.25</v>
      </c>
      <c r="L47" s="640">
        <f t="shared" si="4"/>
        <v>0</v>
      </c>
      <c r="M47" s="640">
        <f t="shared" si="2"/>
        <v>68.75</v>
      </c>
      <c r="N47" s="643">
        <f t="shared" si="3"/>
        <v>100</v>
      </c>
      <c r="O47" s="639">
        <v>23.33</v>
      </c>
      <c r="P47" s="640"/>
      <c r="Q47" s="640">
        <v>33.33</v>
      </c>
      <c r="R47" s="641">
        <f t="shared" si="0"/>
        <v>56.66</v>
      </c>
      <c r="S47" s="334">
        <v>2</v>
      </c>
      <c r="T47" s="357"/>
      <c r="U47" s="335"/>
      <c r="V47" s="343" t="s">
        <v>914</v>
      </c>
      <c r="W47" s="334" t="s">
        <v>97</v>
      </c>
      <c r="X47" s="334" t="s">
        <v>12</v>
      </c>
      <c r="Y47" s="344">
        <v>33.299999999999997</v>
      </c>
      <c r="Z47" s="334" t="s">
        <v>890</v>
      </c>
      <c r="AA47" s="334" t="s">
        <v>27</v>
      </c>
      <c r="AB47" s="334" t="s">
        <v>11</v>
      </c>
      <c r="AC47" s="334">
        <v>13.3</v>
      </c>
      <c r="AD47" s="343" t="s">
        <v>908</v>
      </c>
      <c r="AE47" s="334" t="s">
        <v>304</v>
      </c>
      <c r="AF47" s="334" t="s">
        <v>11</v>
      </c>
      <c r="AG47" s="344">
        <v>10</v>
      </c>
      <c r="AL47" s="343"/>
      <c r="AO47" s="344"/>
      <c r="AP47" s="343"/>
      <c r="AS47" s="344"/>
      <c r="AW47" s="344"/>
      <c r="BA47" s="345"/>
    </row>
    <row r="48" spans="1:53" s="334" customFormat="1">
      <c r="A48" s="334">
        <v>2007</v>
      </c>
      <c r="B48" s="335"/>
      <c r="C48" s="992" t="s">
        <v>916</v>
      </c>
      <c r="D48" s="992"/>
      <c r="E48" s="334">
        <v>365</v>
      </c>
      <c r="G48" s="642">
        <v>5</v>
      </c>
      <c r="H48" s="657"/>
      <c r="I48" s="657">
        <v>11</v>
      </c>
      <c r="J48" s="644">
        <v>16</v>
      </c>
      <c r="K48" s="640">
        <f t="shared" si="1"/>
        <v>31.25</v>
      </c>
      <c r="L48" s="640">
        <f t="shared" si="4"/>
        <v>0</v>
      </c>
      <c r="M48" s="640">
        <f t="shared" si="2"/>
        <v>68.75</v>
      </c>
      <c r="N48" s="643">
        <f t="shared" si="3"/>
        <v>100</v>
      </c>
      <c r="O48" s="639">
        <v>23.33</v>
      </c>
      <c r="P48" s="640"/>
      <c r="Q48" s="640">
        <v>33.33</v>
      </c>
      <c r="R48" s="641">
        <f t="shared" si="0"/>
        <v>56.66</v>
      </c>
      <c r="S48" s="334">
        <v>2</v>
      </c>
      <c r="T48" s="357"/>
      <c r="U48" s="335"/>
      <c r="V48" s="343" t="s">
        <v>914</v>
      </c>
      <c r="W48" s="334" t="s">
        <v>97</v>
      </c>
      <c r="X48" s="334" t="s">
        <v>12</v>
      </c>
      <c r="Y48" s="344">
        <v>33.299999999999997</v>
      </c>
      <c r="Z48" s="334" t="s">
        <v>890</v>
      </c>
      <c r="AA48" s="334" t="s">
        <v>27</v>
      </c>
      <c r="AB48" s="334" t="s">
        <v>11</v>
      </c>
      <c r="AC48" s="334">
        <v>13.3</v>
      </c>
      <c r="AD48" s="343" t="s">
        <v>908</v>
      </c>
      <c r="AE48" s="334" t="s">
        <v>304</v>
      </c>
      <c r="AF48" s="334" t="s">
        <v>11</v>
      </c>
      <c r="AG48" s="344">
        <v>10</v>
      </c>
      <c r="AL48" s="343"/>
      <c r="AO48" s="344"/>
      <c r="AP48" s="343"/>
      <c r="AS48" s="344"/>
      <c r="AW48" s="344"/>
      <c r="BA48" s="345"/>
    </row>
    <row r="49" spans="1:53" s="334" customFormat="1">
      <c r="A49" s="334">
        <v>2008</v>
      </c>
      <c r="B49" s="335"/>
      <c r="C49" s="992" t="s">
        <v>916</v>
      </c>
      <c r="D49" s="992"/>
      <c r="E49" s="334">
        <v>0</v>
      </c>
      <c r="G49" s="642">
        <v>5</v>
      </c>
      <c r="H49" s="657"/>
      <c r="I49" s="657">
        <v>11</v>
      </c>
      <c r="J49" s="644">
        <v>16</v>
      </c>
      <c r="K49" s="640">
        <f t="shared" si="1"/>
        <v>31.25</v>
      </c>
      <c r="L49" s="640">
        <f t="shared" si="4"/>
        <v>0</v>
      </c>
      <c r="M49" s="640">
        <f t="shared" si="2"/>
        <v>68.75</v>
      </c>
      <c r="N49" s="643">
        <f t="shared" si="3"/>
        <v>100</v>
      </c>
      <c r="O49" s="639">
        <v>23.33</v>
      </c>
      <c r="P49" s="640"/>
      <c r="Q49" s="640">
        <v>33.33</v>
      </c>
      <c r="R49" s="641">
        <f t="shared" si="0"/>
        <v>56.66</v>
      </c>
      <c r="S49" s="334">
        <v>2</v>
      </c>
      <c r="T49" s="357"/>
      <c r="U49" s="335"/>
      <c r="V49" s="343" t="s">
        <v>914</v>
      </c>
      <c r="W49" s="334" t="s">
        <v>97</v>
      </c>
      <c r="X49" s="334" t="s">
        <v>12</v>
      </c>
      <c r="Y49" s="344">
        <v>33.299999999999997</v>
      </c>
      <c r="Z49" s="334" t="s">
        <v>890</v>
      </c>
      <c r="AA49" s="334" t="s">
        <v>27</v>
      </c>
      <c r="AB49" s="334" t="s">
        <v>11</v>
      </c>
      <c r="AC49" s="334">
        <v>13.3</v>
      </c>
      <c r="AD49" s="343" t="s">
        <v>908</v>
      </c>
      <c r="AE49" s="334" t="s">
        <v>304</v>
      </c>
      <c r="AF49" s="334" t="s">
        <v>11</v>
      </c>
      <c r="AG49" s="344">
        <v>10</v>
      </c>
      <c r="AL49" s="343"/>
      <c r="AO49" s="344"/>
      <c r="AP49" s="343"/>
      <c r="AS49" s="344"/>
      <c r="AW49" s="344"/>
      <c r="BA49" s="345"/>
    </row>
    <row r="50" spans="1:53" s="334" customFormat="1">
      <c r="A50" s="334">
        <v>2008</v>
      </c>
      <c r="B50" s="335"/>
      <c r="C50" s="992" t="s">
        <v>916</v>
      </c>
      <c r="D50" s="992"/>
      <c r="E50" s="334">
        <v>366</v>
      </c>
      <c r="G50" s="642">
        <v>5</v>
      </c>
      <c r="H50" s="657"/>
      <c r="I50" s="657">
        <v>11</v>
      </c>
      <c r="J50" s="644">
        <v>16</v>
      </c>
      <c r="K50" s="640">
        <f t="shared" si="1"/>
        <v>31.25</v>
      </c>
      <c r="L50" s="640">
        <f t="shared" si="4"/>
        <v>0</v>
      </c>
      <c r="M50" s="640">
        <f t="shared" si="2"/>
        <v>68.75</v>
      </c>
      <c r="N50" s="643">
        <f t="shared" si="3"/>
        <v>100</v>
      </c>
      <c r="O50" s="639">
        <v>23.33</v>
      </c>
      <c r="P50" s="640"/>
      <c r="Q50" s="640">
        <v>33.33</v>
      </c>
      <c r="R50" s="641">
        <f t="shared" si="0"/>
        <v>56.66</v>
      </c>
      <c r="S50" s="334">
        <v>2</v>
      </c>
      <c r="T50" s="357"/>
      <c r="U50" s="335"/>
      <c r="V50" s="343" t="s">
        <v>914</v>
      </c>
      <c r="W50" s="334" t="s">
        <v>97</v>
      </c>
      <c r="X50" s="334" t="s">
        <v>12</v>
      </c>
      <c r="Y50" s="344">
        <v>33.299999999999997</v>
      </c>
      <c r="Z50" s="334" t="s">
        <v>890</v>
      </c>
      <c r="AA50" s="334" t="s">
        <v>27</v>
      </c>
      <c r="AB50" s="334" t="s">
        <v>11</v>
      </c>
      <c r="AC50" s="334">
        <v>13.3</v>
      </c>
      <c r="AD50" s="343" t="s">
        <v>908</v>
      </c>
      <c r="AE50" s="334" t="s">
        <v>304</v>
      </c>
      <c r="AF50" s="334" t="s">
        <v>11</v>
      </c>
      <c r="AG50" s="344">
        <v>10</v>
      </c>
      <c r="AL50" s="343"/>
      <c r="AO50" s="344"/>
      <c r="AP50" s="343"/>
      <c r="AS50" s="344"/>
      <c r="AW50" s="344"/>
      <c r="BA50" s="345"/>
    </row>
    <row r="51" spans="1:53" s="334" customFormat="1">
      <c r="A51" s="334">
        <v>2009</v>
      </c>
      <c r="B51" s="335"/>
      <c r="C51" s="992" t="s">
        <v>916</v>
      </c>
      <c r="D51" s="992"/>
      <c r="E51" s="334">
        <v>239</v>
      </c>
      <c r="G51" s="642">
        <v>5</v>
      </c>
      <c r="H51" s="657"/>
      <c r="I51" s="657">
        <v>11</v>
      </c>
      <c r="J51" s="644">
        <v>16</v>
      </c>
      <c r="K51" s="640">
        <f t="shared" si="1"/>
        <v>31.25</v>
      </c>
      <c r="L51" s="640">
        <f t="shared" si="4"/>
        <v>0</v>
      </c>
      <c r="M51" s="640">
        <f t="shared" si="2"/>
        <v>68.75</v>
      </c>
      <c r="N51" s="643">
        <f t="shared" si="3"/>
        <v>100</v>
      </c>
      <c r="O51" s="639">
        <v>23.33</v>
      </c>
      <c r="P51" s="640"/>
      <c r="Q51" s="640">
        <v>33.33</v>
      </c>
      <c r="R51" s="641">
        <f t="shared" si="0"/>
        <v>56.66</v>
      </c>
      <c r="S51" s="334">
        <v>2</v>
      </c>
      <c r="T51" s="357"/>
      <c r="U51" s="335"/>
      <c r="V51" s="343" t="s">
        <v>914</v>
      </c>
      <c r="W51" s="334" t="s">
        <v>97</v>
      </c>
      <c r="X51" s="334" t="s">
        <v>12</v>
      </c>
      <c r="Y51" s="344">
        <v>33.299999999999997</v>
      </c>
      <c r="Z51" s="334" t="s">
        <v>890</v>
      </c>
      <c r="AA51" s="334" t="s">
        <v>27</v>
      </c>
      <c r="AB51" s="334" t="s">
        <v>11</v>
      </c>
      <c r="AC51" s="334">
        <v>13.3</v>
      </c>
      <c r="AD51" s="343" t="s">
        <v>908</v>
      </c>
      <c r="AE51" s="334" t="s">
        <v>304</v>
      </c>
      <c r="AF51" s="334" t="s">
        <v>11</v>
      </c>
      <c r="AG51" s="344">
        <v>10</v>
      </c>
      <c r="AL51" s="343"/>
      <c r="AO51" s="344"/>
      <c r="AP51" s="343"/>
      <c r="AS51" s="344"/>
      <c r="AW51" s="344"/>
      <c r="BA51" s="345"/>
    </row>
    <row r="52" spans="1:53" s="334" customFormat="1">
      <c r="A52" s="334">
        <v>2009</v>
      </c>
      <c r="B52" s="440">
        <v>40053</v>
      </c>
      <c r="C52" s="992" t="s">
        <v>916</v>
      </c>
      <c r="D52" s="992"/>
      <c r="E52" s="334">
        <f>365-E51</f>
        <v>126</v>
      </c>
      <c r="F52" s="441">
        <v>0</v>
      </c>
      <c r="G52" s="642">
        <v>4</v>
      </c>
      <c r="H52" s="657"/>
      <c r="I52" s="657">
        <v>12</v>
      </c>
      <c r="J52" s="644">
        <v>16</v>
      </c>
      <c r="K52" s="640">
        <f t="shared" si="1"/>
        <v>25</v>
      </c>
      <c r="L52" s="640">
        <f t="shared" si="4"/>
        <v>0</v>
      </c>
      <c r="M52" s="640">
        <f t="shared" si="2"/>
        <v>75</v>
      </c>
      <c r="N52" s="643">
        <f t="shared" si="3"/>
        <v>100</v>
      </c>
      <c r="O52" s="639">
        <v>23.33</v>
      </c>
      <c r="P52" s="640"/>
      <c r="Q52" s="640">
        <v>33.33</v>
      </c>
      <c r="R52" s="641">
        <f t="shared" si="0"/>
        <v>56.66</v>
      </c>
      <c r="S52" s="334">
        <v>2</v>
      </c>
      <c r="T52" s="357"/>
      <c r="U52" s="335"/>
      <c r="V52" s="343" t="s">
        <v>914</v>
      </c>
      <c r="W52" s="334" t="s">
        <v>97</v>
      </c>
      <c r="X52" s="334" t="s">
        <v>12</v>
      </c>
      <c r="Y52" s="344">
        <v>33.299999999999997</v>
      </c>
      <c r="Z52" s="334" t="s">
        <v>890</v>
      </c>
      <c r="AA52" s="334" t="s">
        <v>27</v>
      </c>
      <c r="AB52" s="334" t="s">
        <v>11</v>
      </c>
      <c r="AC52" s="334">
        <v>13.3</v>
      </c>
      <c r="AD52" s="343" t="s">
        <v>908</v>
      </c>
      <c r="AE52" s="334" t="s">
        <v>304</v>
      </c>
      <c r="AF52" s="334" t="s">
        <v>11</v>
      </c>
      <c r="AG52" s="344">
        <v>10</v>
      </c>
      <c r="AL52" s="343"/>
      <c r="AO52" s="344"/>
      <c r="AP52" s="343"/>
      <c r="AS52" s="344"/>
      <c r="AW52" s="344"/>
      <c r="BA52" s="345"/>
    </row>
    <row r="53" spans="1:53" s="334" customFormat="1">
      <c r="A53" s="334">
        <v>2010</v>
      </c>
      <c r="B53" s="335"/>
      <c r="C53" s="992" t="s">
        <v>916</v>
      </c>
      <c r="D53" s="992"/>
      <c r="E53" s="334">
        <v>189</v>
      </c>
      <c r="G53" s="642">
        <v>4</v>
      </c>
      <c r="H53" s="657"/>
      <c r="I53" s="657">
        <v>12</v>
      </c>
      <c r="J53" s="644">
        <v>16</v>
      </c>
      <c r="K53" s="640">
        <f t="shared" si="1"/>
        <v>25</v>
      </c>
      <c r="L53" s="640">
        <f t="shared" si="4"/>
        <v>0</v>
      </c>
      <c r="M53" s="640">
        <f t="shared" si="2"/>
        <v>75</v>
      </c>
      <c r="N53" s="643">
        <f t="shared" si="3"/>
        <v>100</v>
      </c>
      <c r="O53" s="639">
        <v>23.33</v>
      </c>
      <c r="P53" s="640"/>
      <c r="Q53" s="640">
        <v>33.33</v>
      </c>
      <c r="R53" s="641">
        <f t="shared" si="0"/>
        <v>56.66</v>
      </c>
      <c r="S53" s="334">
        <v>2</v>
      </c>
      <c r="T53" s="357"/>
      <c r="U53" s="335"/>
      <c r="V53" s="343" t="s">
        <v>914</v>
      </c>
      <c r="W53" s="334" t="s">
        <v>97</v>
      </c>
      <c r="X53" s="334" t="s">
        <v>12</v>
      </c>
      <c r="Y53" s="344">
        <v>33.299999999999997</v>
      </c>
      <c r="Z53" s="334" t="s">
        <v>890</v>
      </c>
      <c r="AA53" s="334" t="s">
        <v>27</v>
      </c>
      <c r="AB53" s="334" t="s">
        <v>11</v>
      </c>
      <c r="AC53" s="334">
        <v>13.3</v>
      </c>
      <c r="AD53" s="343" t="s">
        <v>908</v>
      </c>
      <c r="AE53" s="334" t="s">
        <v>304</v>
      </c>
      <c r="AF53" s="334" t="s">
        <v>11</v>
      </c>
      <c r="AG53" s="344">
        <v>10</v>
      </c>
      <c r="AL53" s="343"/>
      <c r="AO53" s="344"/>
      <c r="AP53" s="343"/>
      <c r="AS53" s="344"/>
      <c r="AW53" s="344"/>
      <c r="BA53" s="345"/>
    </row>
    <row r="54" spans="1:53" s="208" customFormat="1">
      <c r="A54" s="208">
        <v>2010</v>
      </c>
      <c r="B54" s="121">
        <v>40368</v>
      </c>
      <c r="C54" s="988" t="s">
        <v>909</v>
      </c>
      <c r="D54" s="988"/>
      <c r="E54" s="208">
        <f xml:space="preserve"> 365-E53</f>
        <v>176</v>
      </c>
      <c r="F54" s="208">
        <v>1</v>
      </c>
      <c r="G54" s="596">
        <v>7</v>
      </c>
      <c r="H54" s="656">
        <v>8</v>
      </c>
      <c r="I54" s="656"/>
      <c r="J54" s="598">
        <v>15</v>
      </c>
      <c r="K54" s="593">
        <f t="shared" si="1"/>
        <v>46.666666666666664</v>
      </c>
      <c r="L54" s="593">
        <f t="shared" si="4"/>
        <v>53.333333333333336</v>
      </c>
      <c r="M54" s="593">
        <f t="shared" si="2"/>
        <v>0</v>
      </c>
      <c r="N54" s="597">
        <f t="shared" si="3"/>
        <v>100</v>
      </c>
      <c r="O54" s="592">
        <v>24</v>
      </c>
      <c r="P54" s="593">
        <v>28.66</v>
      </c>
      <c r="Q54" s="593"/>
      <c r="R54" s="594">
        <f t="shared" si="0"/>
        <v>52.66</v>
      </c>
      <c r="S54" s="208">
        <v>2</v>
      </c>
      <c r="T54" s="95">
        <v>40341</v>
      </c>
      <c r="U54" s="121">
        <v>40368</v>
      </c>
      <c r="V54" s="82" t="s">
        <v>907</v>
      </c>
      <c r="W54" s="208" t="s">
        <v>82</v>
      </c>
      <c r="X54" s="208" t="s">
        <v>18</v>
      </c>
      <c r="Y54" s="83">
        <v>18.7</v>
      </c>
      <c r="Z54" s="208" t="s">
        <v>910</v>
      </c>
      <c r="AA54" s="208" t="s">
        <v>912</v>
      </c>
      <c r="AB54" s="208" t="s">
        <v>11</v>
      </c>
      <c r="AC54" s="208">
        <v>14.7</v>
      </c>
      <c r="AD54" s="82" t="s">
        <v>895</v>
      </c>
      <c r="AE54" s="208" t="s">
        <v>17</v>
      </c>
      <c r="AF54" s="208" t="s">
        <v>18</v>
      </c>
      <c r="AG54" s="83">
        <v>10</v>
      </c>
      <c r="AH54" s="208" t="s">
        <v>911</v>
      </c>
      <c r="AI54" s="208" t="s">
        <v>913</v>
      </c>
      <c r="AJ54" s="208" t="s">
        <v>11</v>
      </c>
      <c r="AK54" s="208">
        <v>9.3000000000000007</v>
      </c>
      <c r="AL54" s="82"/>
      <c r="AO54" s="83"/>
      <c r="AP54" s="82"/>
      <c r="AS54" s="83"/>
      <c r="AW54" s="83"/>
      <c r="BA54" s="84"/>
    </row>
    <row r="55" spans="1:53" s="208" customFormat="1">
      <c r="A55" s="208">
        <v>2011</v>
      </c>
      <c r="B55" s="121"/>
      <c r="C55" s="988" t="s">
        <v>909</v>
      </c>
      <c r="D55" s="988"/>
      <c r="E55" s="208">
        <v>331</v>
      </c>
      <c r="G55" s="596">
        <v>7</v>
      </c>
      <c r="H55" s="656">
        <v>8</v>
      </c>
      <c r="I55" s="656"/>
      <c r="J55" s="598">
        <v>15</v>
      </c>
      <c r="K55" s="593">
        <f t="shared" ref="K55:K60" si="5">G55/J55*100</f>
        <v>46.666666666666664</v>
      </c>
      <c r="L55" s="593">
        <f t="shared" ref="L55:L60" si="6">H55/J55*100</f>
        <v>53.333333333333336</v>
      </c>
      <c r="M55" s="593">
        <f t="shared" ref="M55:M60" si="7">I55/J55*100</f>
        <v>0</v>
      </c>
      <c r="N55" s="597">
        <f t="shared" si="3"/>
        <v>100</v>
      </c>
      <c r="O55" s="592">
        <v>24</v>
      </c>
      <c r="P55" s="593">
        <v>28.66</v>
      </c>
      <c r="Q55" s="593"/>
      <c r="R55" s="594">
        <f t="shared" si="0"/>
        <v>52.66</v>
      </c>
      <c r="S55" s="208">
        <v>2</v>
      </c>
      <c r="T55" s="81"/>
      <c r="U55" s="121"/>
      <c r="V55" s="82" t="s">
        <v>907</v>
      </c>
      <c r="W55" s="208" t="s">
        <v>82</v>
      </c>
      <c r="X55" s="208" t="s">
        <v>18</v>
      </c>
      <c r="Y55" s="83">
        <v>18.7</v>
      </c>
      <c r="Z55" s="208" t="s">
        <v>910</v>
      </c>
      <c r="AA55" s="208" t="s">
        <v>912</v>
      </c>
      <c r="AB55" s="208" t="s">
        <v>11</v>
      </c>
      <c r="AC55" s="208">
        <v>14.7</v>
      </c>
      <c r="AD55" s="82" t="s">
        <v>895</v>
      </c>
      <c r="AE55" s="208" t="s">
        <v>17</v>
      </c>
      <c r="AF55" s="208" t="s">
        <v>18</v>
      </c>
      <c r="AG55" s="83">
        <v>10</v>
      </c>
      <c r="AH55" s="208" t="s">
        <v>911</v>
      </c>
      <c r="AI55" s="208" t="s">
        <v>913</v>
      </c>
      <c r="AJ55" s="208" t="s">
        <v>11</v>
      </c>
      <c r="AK55" s="208">
        <v>9.3000000000000007</v>
      </c>
      <c r="AL55" s="82"/>
      <c r="AO55" s="83"/>
      <c r="AP55" s="82"/>
      <c r="AS55" s="83"/>
      <c r="AW55" s="83"/>
      <c r="BA55" s="84"/>
    </row>
    <row r="56" spans="1:53" s="208" customFormat="1">
      <c r="A56" s="208">
        <v>2011</v>
      </c>
      <c r="B56" s="154">
        <v>40875</v>
      </c>
      <c r="C56" s="988" t="s">
        <v>909</v>
      </c>
      <c r="D56" s="988"/>
      <c r="E56" s="208">
        <f xml:space="preserve"> 365-E55</f>
        <v>34</v>
      </c>
      <c r="F56" s="129"/>
      <c r="G56" s="596">
        <v>6</v>
      </c>
      <c r="H56" s="656">
        <v>9</v>
      </c>
      <c r="I56" s="656"/>
      <c r="J56" s="598">
        <v>15</v>
      </c>
      <c r="K56" s="593">
        <f t="shared" si="5"/>
        <v>40</v>
      </c>
      <c r="L56" s="593">
        <f t="shared" si="6"/>
        <v>60</v>
      </c>
      <c r="M56" s="593">
        <f t="shared" si="7"/>
        <v>0</v>
      </c>
      <c r="N56" s="597">
        <f t="shared" si="3"/>
        <v>100</v>
      </c>
      <c r="O56" s="592">
        <v>24</v>
      </c>
      <c r="P56" s="593">
        <v>28.66</v>
      </c>
      <c r="Q56" s="593"/>
      <c r="R56" s="594">
        <f t="shared" si="0"/>
        <v>52.66</v>
      </c>
      <c r="S56" s="208">
        <v>2</v>
      </c>
      <c r="T56" s="81"/>
      <c r="U56" s="121"/>
      <c r="V56" s="82" t="s">
        <v>907</v>
      </c>
      <c r="W56" s="208" t="s">
        <v>82</v>
      </c>
      <c r="X56" s="208" t="s">
        <v>18</v>
      </c>
      <c r="Y56" s="83">
        <v>18.7</v>
      </c>
      <c r="Z56" s="208" t="s">
        <v>910</v>
      </c>
      <c r="AA56" s="208" t="s">
        <v>912</v>
      </c>
      <c r="AB56" s="208" t="s">
        <v>11</v>
      </c>
      <c r="AC56" s="208">
        <v>14.7</v>
      </c>
      <c r="AD56" s="82" t="s">
        <v>895</v>
      </c>
      <c r="AE56" s="208" t="s">
        <v>17</v>
      </c>
      <c r="AF56" s="208" t="s">
        <v>18</v>
      </c>
      <c r="AG56" s="83">
        <v>10</v>
      </c>
      <c r="AH56" s="208" t="s">
        <v>911</v>
      </c>
      <c r="AI56" s="208" t="s">
        <v>913</v>
      </c>
      <c r="AJ56" s="208" t="s">
        <v>11</v>
      </c>
      <c r="AK56" s="208">
        <v>9.3000000000000007</v>
      </c>
      <c r="AL56" s="82"/>
      <c r="AO56" s="83"/>
      <c r="AP56" s="82"/>
      <c r="AS56" s="83"/>
      <c r="AW56" s="83"/>
      <c r="BA56" s="84"/>
    </row>
    <row r="57" spans="1:53" s="208" customFormat="1">
      <c r="A57" s="208">
        <v>2012</v>
      </c>
      <c r="B57" s="121"/>
      <c r="C57" s="988" t="s">
        <v>909</v>
      </c>
      <c r="D57" s="988"/>
      <c r="E57" s="208">
        <v>94</v>
      </c>
      <c r="G57" s="596">
        <v>6</v>
      </c>
      <c r="H57" s="656">
        <v>9</v>
      </c>
      <c r="I57" s="656"/>
      <c r="J57" s="598">
        <v>15</v>
      </c>
      <c r="K57" s="593">
        <f t="shared" si="5"/>
        <v>40</v>
      </c>
      <c r="L57" s="593">
        <f t="shared" si="6"/>
        <v>60</v>
      </c>
      <c r="M57" s="593">
        <f t="shared" si="7"/>
        <v>0</v>
      </c>
      <c r="N57" s="597">
        <f t="shared" si="3"/>
        <v>100</v>
      </c>
      <c r="O57" s="592">
        <v>24</v>
      </c>
      <c r="P57" s="593">
        <v>28.66</v>
      </c>
      <c r="Q57" s="593"/>
      <c r="R57" s="594">
        <f t="shared" si="0"/>
        <v>52.66</v>
      </c>
      <c r="S57" s="208">
        <v>2</v>
      </c>
      <c r="T57" s="81"/>
      <c r="U57" s="121"/>
      <c r="V57" s="82" t="s">
        <v>907</v>
      </c>
      <c r="W57" s="208" t="s">
        <v>82</v>
      </c>
      <c r="X57" s="208" t="s">
        <v>18</v>
      </c>
      <c r="Y57" s="83">
        <v>18.7</v>
      </c>
      <c r="Z57" s="208" t="s">
        <v>910</v>
      </c>
      <c r="AA57" s="208" t="s">
        <v>912</v>
      </c>
      <c r="AB57" s="208" t="s">
        <v>11</v>
      </c>
      <c r="AC57" s="208">
        <v>14.7</v>
      </c>
      <c r="AD57" s="82" t="s">
        <v>895</v>
      </c>
      <c r="AE57" s="208" t="s">
        <v>17</v>
      </c>
      <c r="AF57" s="208" t="s">
        <v>18</v>
      </c>
      <c r="AG57" s="83">
        <v>10</v>
      </c>
      <c r="AH57" s="208" t="s">
        <v>911</v>
      </c>
      <c r="AI57" s="208" t="s">
        <v>913</v>
      </c>
      <c r="AJ57" s="208" t="s">
        <v>11</v>
      </c>
      <c r="AK57" s="208">
        <v>9.3000000000000007</v>
      </c>
      <c r="AL57" s="82"/>
      <c r="AO57" s="83"/>
      <c r="AP57" s="82"/>
      <c r="AS57" s="83"/>
      <c r="AW57" s="83"/>
      <c r="BA57" s="84"/>
    </row>
    <row r="58" spans="1:53" s="334" customFormat="1">
      <c r="A58" s="334">
        <v>2012</v>
      </c>
      <c r="B58" s="335">
        <v>41003</v>
      </c>
      <c r="C58" s="1025" t="s">
        <v>915</v>
      </c>
      <c r="D58" s="1025"/>
      <c r="E58" s="334">
        <f xml:space="preserve"> 366-E57</f>
        <v>272</v>
      </c>
      <c r="F58" s="334">
        <v>1</v>
      </c>
      <c r="G58" s="642"/>
      <c r="H58" s="657"/>
      <c r="I58" s="657">
        <v>15</v>
      </c>
      <c r="J58" s="644">
        <v>15</v>
      </c>
      <c r="K58" s="640">
        <f t="shared" si="5"/>
        <v>0</v>
      </c>
      <c r="L58" s="640">
        <f t="shared" si="6"/>
        <v>0</v>
      </c>
      <c r="M58" s="640">
        <f t="shared" si="7"/>
        <v>100</v>
      </c>
      <c r="N58" s="643">
        <f t="shared" si="3"/>
        <v>100</v>
      </c>
      <c r="O58" s="639"/>
      <c r="P58" s="640"/>
      <c r="Q58" s="640">
        <v>55.3</v>
      </c>
      <c r="R58" s="641">
        <f t="shared" si="0"/>
        <v>55.3</v>
      </c>
      <c r="S58" s="334">
        <v>1</v>
      </c>
      <c r="T58" s="342">
        <v>40978</v>
      </c>
      <c r="U58" s="335">
        <v>41003</v>
      </c>
      <c r="V58" s="343" t="s">
        <v>914</v>
      </c>
      <c r="W58" s="334" t="s">
        <v>97</v>
      </c>
      <c r="X58" s="334" t="s">
        <v>12</v>
      </c>
      <c r="Y58" s="344">
        <v>55.3</v>
      </c>
      <c r="AD58" s="343"/>
      <c r="AG58" s="344"/>
      <c r="AL58" s="343"/>
      <c r="AO58" s="344"/>
      <c r="AP58" s="343"/>
      <c r="AS58" s="344"/>
      <c r="AW58" s="344"/>
      <c r="BA58" s="345"/>
    </row>
    <row r="59" spans="1:53" s="334" customFormat="1">
      <c r="A59" s="334">
        <v>2013</v>
      </c>
      <c r="B59" s="335"/>
      <c r="C59" s="1025" t="s">
        <v>915</v>
      </c>
      <c r="D59" s="1025"/>
      <c r="E59" s="334">
        <v>0</v>
      </c>
      <c r="G59" s="642"/>
      <c r="H59" s="657"/>
      <c r="I59" s="657">
        <v>15</v>
      </c>
      <c r="J59" s="644">
        <v>15</v>
      </c>
      <c r="K59" s="640">
        <f t="shared" si="5"/>
        <v>0</v>
      </c>
      <c r="L59" s="640">
        <f t="shared" si="6"/>
        <v>0</v>
      </c>
      <c r="M59" s="640">
        <f t="shared" si="7"/>
        <v>100</v>
      </c>
      <c r="N59" s="643">
        <f t="shared" si="3"/>
        <v>100</v>
      </c>
      <c r="O59" s="639"/>
      <c r="P59" s="640"/>
      <c r="Q59" s="640">
        <v>55.3</v>
      </c>
      <c r="R59" s="641">
        <f t="shared" si="0"/>
        <v>55.3</v>
      </c>
      <c r="S59" s="334">
        <v>1</v>
      </c>
      <c r="T59" s="342"/>
      <c r="U59" s="335"/>
      <c r="V59" s="343" t="s">
        <v>914</v>
      </c>
      <c r="W59" s="334" t="s">
        <v>97</v>
      </c>
      <c r="X59" s="334" t="s">
        <v>12</v>
      </c>
      <c r="Y59" s="344">
        <v>55.3</v>
      </c>
      <c r="AD59" s="343"/>
      <c r="AG59" s="344"/>
      <c r="AL59" s="343"/>
      <c r="AO59" s="344"/>
      <c r="AP59" s="343"/>
      <c r="AS59" s="344"/>
      <c r="AW59" s="344"/>
      <c r="BA59" s="345"/>
    </row>
    <row r="60" spans="1:53" s="334" customFormat="1">
      <c r="A60" s="334">
        <v>2013</v>
      </c>
      <c r="B60" s="335"/>
      <c r="C60" s="1025" t="s">
        <v>915</v>
      </c>
      <c r="D60" s="1025"/>
      <c r="E60" s="334">
        <v>365</v>
      </c>
      <c r="G60" s="642"/>
      <c r="H60" s="657"/>
      <c r="I60" s="657">
        <v>15</v>
      </c>
      <c r="J60" s="644">
        <v>15</v>
      </c>
      <c r="K60" s="640">
        <f t="shared" si="5"/>
        <v>0</v>
      </c>
      <c r="L60" s="640">
        <f t="shared" si="6"/>
        <v>0</v>
      </c>
      <c r="M60" s="640">
        <f t="shared" si="7"/>
        <v>100</v>
      </c>
      <c r="N60" s="643">
        <f t="shared" si="3"/>
        <v>100</v>
      </c>
      <c r="O60" s="639"/>
      <c r="P60" s="640"/>
      <c r="Q60" s="640">
        <v>55.3</v>
      </c>
      <c r="R60" s="641">
        <f t="shared" si="0"/>
        <v>55.3</v>
      </c>
      <c r="S60" s="334">
        <v>1</v>
      </c>
      <c r="T60" s="342"/>
      <c r="U60" s="335"/>
      <c r="V60" s="343" t="s">
        <v>914</v>
      </c>
      <c r="W60" s="334" t="s">
        <v>97</v>
      </c>
      <c r="X60" s="334" t="s">
        <v>12</v>
      </c>
      <c r="Y60" s="344">
        <v>55.3</v>
      </c>
      <c r="AD60" s="343"/>
      <c r="AG60" s="344"/>
      <c r="AL60" s="343"/>
      <c r="AO60" s="344"/>
      <c r="AP60" s="343"/>
      <c r="AS60" s="344"/>
      <c r="AW60" s="344"/>
      <c r="BA60" s="345"/>
    </row>
    <row r="61" spans="1:53" s="657" customFormat="1">
      <c r="A61" s="657">
        <v>2014</v>
      </c>
      <c r="B61" s="335"/>
      <c r="C61" s="1025" t="s">
        <v>915</v>
      </c>
      <c r="D61" s="1025"/>
      <c r="E61" s="657">
        <v>0</v>
      </c>
      <c r="G61" s="642"/>
      <c r="I61" s="657">
        <v>15</v>
      </c>
      <c r="J61" s="644">
        <v>15</v>
      </c>
      <c r="K61" s="640">
        <f>G61/J61*100</f>
        <v>0</v>
      </c>
      <c r="L61" s="640">
        <f>H61/J61*100</f>
        <v>0</v>
      </c>
      <c r="M61" s="640">
        <f>I61/J61*100</f>
        <v>100</v>
      </c>
      <c r="N61" s="643">
        <f>SUM(K61:M61)</f>
        <v>100</v>
      </c>
      <c r="O61" s="639"/>
      <c r="P61" s="640"/>
      <c r="Q61" s="640">
        <v>55.3</v>
      </c>
      <c r="R61" s="641">
        <f>SUM(O61:Q61)</f>
        <v>55.3</v>
      </c>
      <c r="S61" s="657">
        <v>1</v>
      </c>
      <c r="T61" s="487"/>
      <c r="U61" s="335"/>
      <c r="V61" s="634" t="s">
        <v>914</v>
      </c>
      <c r="W61" s="657" t="s">
        <v>97</v>
      </c>
      <c r="X61" s="657" t="s">
        <v>12</v>
      </c>
      <c r="Y61" s="635">
        <v>55.3</v>
      </c>
      <c r="AD61" s="634"/>
      <c r="AG61" s="635"/>
      <c r="AL61" s="634"/>
      <c r="AO61" s="635"/>
      <c r="AP61" s="634"/>
      <c r="AS61" s="635"/>
      <c r="AW61" s="635"/>
      <c r="BA61" s="636"/>
    </row>
    <row r="62" spans="1:53" s="657" customFormat="1">
      <c r="A62" s="657">
        <v>2014</v>
      </c>
      <c r="B62" s="335"/>
      <c r="C62" s="1025" t="s">
        <v>915</v>
      </c>
      <c r="D62" s="1025"/>
      <c r="E62" s="657">
        <v>365</v>
      </c>
      <c r="G62" s="642"/>
      <c r="I62" s="657">
        <v>15</v>
      </c>
      <c r="J62" s="644">
        <v>15</v>
      </c>
      <c r="K62" s="640">
        <f>G62/J62*100</f>
        <v>0</v>
      </c>
      <c r="L62" s="640">
        <f>H62/J62*100</f>
        <v>0</v>
      </c>
      <c r="M62" s="640">
        <f>I62/J62*100</f>
        <v>100</v>
      </c>
      <c r="N62" s="643">
        <f>SUM(K62:M62)</f>
        <v>100</v>
      </c>
      <c r="O62" s="639"/>
      <c r="P62" s="640"/>
      <c r="Q62" s="640">
        <v>55.3</v>
      </c>
      <c r="R62" s="641">
        <f>SUM(O62:Q62)</f>
        <v>55.3</v>
      </c>
      <c r="S62" s="657">
        <v>1</v>
      </c>
      <c r="T62" s="487"/>
      <c r="U62" s="335"/>
      <c r="V62" s="634" t="s">
        <v>914</v>
      </c>
      <c r="W62" s="657" t="s">
        <v>97</v>
      </c>
      <c r="X62" s="657" t="s">
        <v>12</v>
      </c>
      <c r="Y62" s="635">
        <v>55.3</v>
      </c>
      <c r="AD62" s="634"/>
      <c r="AG62" s="635"/>
      <c r="AL62" s="634"/>
      <c r="AO62" s="635"/>
      <c r="AP62" s="634"/>
      <c r="AS62" s="635"/>
      <c r="AW62" s="635"/>
      <c r="BA62" s="636"/>
    </row>
    <row r="63" spans="1:53" s="752" customFormat="1">
      <c r="A63" s="752">
        <v>2015</v>
      </c>
      <c r="B63" s="335"/>
      <c r="C63" s="1025" t="s">
        <v>915</v>
      </c>
      <c r="D63" s="1025"/>
      <c r="E63" s="752">
        <v>0</v>
      </c>
      <c r="G63" s="642"/>
      <c r="I63" s="752">
        <v>15</v>
      </c>
      <c r="J63" s="644">
        <v>15</v>
      </c>
      <c r="K63" s="640">
        <f t="shared" ref="K63:K65" si="8">G63/J63*100</f>
        <v>0</v>
      </c>
      <c r="L63" s="640">
        <f t="shared" ref="L63:L65" si="9">H63/J63*100</f>
        <v>0</v>
      </c>
      <c r="M63" s="640">
        <f t="shared" ref="M63:M65" si="10">I63/J63*100</f>
        <v>100</v>
      </c>
      <c r="N63" s="643">
        <f t="shared" ref="N63:N65" si="11">SUM(K63:M63)</f>
        <v>100</v>
      </c>
      <c r="O63" s="639"/>
      <c r="P63" s="640"/>
      <c r="Q63" s="640">
        <v>55.3</v>
      </c>
      <c r="R63" s="641">
        <f t="shared" ref="R63:R66" si="12">SUM(O63:Q63)</f>
        <v>55.3</v>
      </c>
      <c r="S63" s="752">
        <v>1</v>
      </c>
      <c r="T63" s="487"/>
      <c r="U63" s="335"/>
      <c r="V63" s="634" t="s">
        <v>914</v>
      </c>
      <c r="W63" s="752" t="s">
        <v>97</v>
      </c>
      <c r="X63" s="752" t="s">
        <v>12</v>
      </c>
      <c r="Y63" s="635">
        <v>55.3</v>
      </c>
      <c r="AD63" s="634"/>
      <c r="AG63" s="635"/>
      <c r="AL63" s="634"/>
      <c r="AO63" s="635"/>
      <c r="AP63" s="634"/>
      <c r="AS63" s="635"/>
      <c r="AW63" s="635"/>
      <c r="BA63" s="636"/>
    </row>
    <row r="64" spans="1:53" s="752" customFormat="1">
      <c r="A64" s="752">
        <v>2015</v>
      </c>
      <c r="B64" s="335"/>
      <c r="C64" s="1025" t="s">
        <v>915</v>
      </c>
      <c r="D64" s="1025"/>
      <c r="E64" s="752">
        <v>365</v>
      </c>
      <c r="G64" s="642"/>
      <c r="I64" s="752">
        <v>15</v>
      </c>
      <c r="J64" s="644">
        <v>15</v>
      </c>
      <c r="K64" s="640">
        <f t="shared" si="8"/>
        <v>0</v>
      </c>
      <c r="L64" s="640">
        <f t="shared" si="9"/>
        <v>0</v>
      </c>
      <c r="M64" s="640">
        <f t="shared" si="10"/>
        <v>100</v>
      </c>
      <c r="N64" s="643">
        <f t="shared" si="11"/>
        <v>100</v>
      </c>
      <c r="O64" s="639"/>
      <c r="P64" s="640"/>
      <c r="Q64" s="640">
        <v>55.3</v>
      </c>
      <c r="R64" s="641">
        <f t="shared" si="12"/>
        <v>55.3</v>
      </c>
      <c r="S64" s="752">
        <v>1</v>
      </c>
      <c r="T64" s="487"/>
      <c r="U64" s="335"/>
      <c r="V64" s="634" t="s">
        <v>914</v>
      </c>
      <c r="W64" s="752" t="s">
        <v>97</v>
      </c>
      <c r="X64" s="752" t="s">
        <v>12</v>
      </c>
      <c r="Y64" s="635">
        <v>55.3</v>
      </c>
      <c r="AD64" s="634"/>
      <c r="AG64" s="635"/>
      <c r="AL64" s="634"/>
      <c r="AO64" s="635"/>
      <c r="AP64" s="634"/>
      <c r="AS64" s="635"/>
      <c r="AW64" s="635"/>
      <c r="BA64" s="636"/>
    </row>
    <row r="65" spans="1:53" s="841" customFormat="1">
      <c r="A65" s="841">
        <v>2016</v>
      </c>
      <c r="B65" s="335"/>
      <c r="C65" s="1025" t="s">
        <v>915</v>
      </c>
      <c r="D65" s="1025"/>
      <c r="E65" s="841">
        <v>82</v>
      </c>
      <c r="G65" s="642"/>
      <c r="I65" s="841">
        <v>15</v>
      </c>
      <c r="J65" s="644">
        <v>15</v>
      </c>
      <c r="K65" s="640">
        <f t="shared" si="8"/>
        <v>0</v>
      </c>
      <c r="L65" s="640">
        <f t="shared" si="9"/>
        <v>0</v>
      </c>
      <c r="M65" s="640">
        <f t="shared" si="10"/>
        <v>100</v>
      </c>
      <c r="N65" s="643">
        <f t="shared" si="11"/>
        <v>100</v>
      </c>
      <c r="O65" s="639"/>
      <c r="P65" s="640"/>
      <c r="Q65" s="640">
        <v>55.3</v>
      </c>
      <c r="R65" s="641">
        <f t="shared" si="12"/>
        <v>55.3</v>
      </c>
      <c r="S65" s="841">
        <v>1</v>
      </c>
      <c r="T65" s="487"/>
      <c r="U65" s="335"/>
      <c r="V65" s="634" t="s">
        <v>914</v>
      </c>
      <c r="W65" s="841" t="s">
        <v>97</v>
      </c>
      <c r="X65" s="841" t="s">
        <v>12</v>
      </c>
      <c r="Y65" s="635">
        <v>55.3</v>
      </c>
      <c r="AD65" s="634"/>
      <c r="AG65" s="635"/>
      <c r="AL65" s="634"/>
      <c r="AO65" s="635"/>
      <c r="AP65" s="634"/>
      <c r="AS65" s="635"/>
      <c r="AW65" s="635"/>
      <c r="BA65" s="636"/>
    </row>
    <row r="66" spans="1:53" s="860" customFormat="1">
      <c r="A66" s="860">
        <v>2016</v>
      </c>
      <c r="B66" s="121">
        <v>42452</v>
      </c>
      <c r="C66" s="1026" t="s">
        <v>1364</v>
      </c>
      <c r="D66" s="1026"/>
      <c r="E66" s="860">
        <v>161</v>
      </c>
      <c r="F66" s="860">
        <v>1</v>
      </c>
      <c r="G66" s="596">
        <v>5</v>
      </c>
      <c r="H66" s="871">
        <v>1</v>
      </c>
      <c r="I66" s="860">
        <v>9</v>
      </c>
      <c r="J66" s="598">
        <v>15</v>
      </c>
      <c r="K66" s="593">
        <f t="shared" ref="K66" si="13">G66/J66*100</f>
        <v>33.333333333333329</v>
      </c>
      <c r="L66" s="593">
        <f t="shared" ref="L66" si="14">H66/J66*100</f>
        <v>6.666666666666667</v>
      </c>
      <c r="M66" s="593">
        <f t="shared" ref="M66" si="15">I66/J66*100</f>
        <v>60</v>
      </c>
      <c r="N66" s="597">
        <f t="shared" ref="N66" si="16">SUM(K66:M66)</f>
        <v>100</v>
      </c>
      <c r="O66" s="592">
        <v>32.700000000000003</v>
      </c>
      <c r="P66" s="593">
        <v>4.7</v>
      </c>
      <c r="Q66" s="593">
        <v>17.3</v>
      </c>
      <c r="R66" s="594">
        <f t="shared" si="12"/>
        <v>54.7</v>
      </c>
      <c r="S66" s="860">
        <v>2</v>
      </c>
      <c r="T66" s="595">
        <v>42434</v>
      </c>
      <c r="U66" s="121">
        <v>42452</v>
      </c>
      <c r="V66" s="588" t="s">
        <v>914</v>
      </c>
      <c r="W66" s="860" t="s">
        <v>314</v>
      </c>
      <c r="X66" s="860" t="s">
        <v>12</v>
      </c>
      <c r="Y66" s="589">
        <v>32.700000000000003</v>
      </c>
      <c r="Z66" s="860" t="s">
        <v>890</v>
      </c>
      <c r="AA66" s="860" t="s">
        <v>27</v>
      </c>
      <c r="AB66" s="860" t="s">
        <v>11</v>
      </c>
      <c r="AC66" s="860">
        <v>10</v>
      </c>
      <c r="AD66" s="588" t="s">
        <v>911</v>
      </c>
      <c r="AE66" s="860" t="s">
        <v>913</v>
      </c>
      <c r="AF66" s="860" t="s">
        <v>11</v>
      </c>
      <c r="AG66" s="589">
        <v>7.3</v>
      </c>
      <c r="AH66" s="871" t="s">
        <v>1365</v>
      </c>
      <c r="AI66" s="871" t="s">
        <v>76</v>
      </c>
      <c r="AJ66" s="871" t="s">
        <v>18</v>
      </c>
      <c r="AK66" s="871">
        <v>4.7</v>
      </c>
      <c r="AL66" s="588"/>
      <c r="AO66" s="589"/>
      <c r="AP66" s="588"/>
      <c r="AS66" s="589"/>
      <c r="AW66" s="589"/>
      <c r="BA66" s="590"/>
    </row>
    <row r="67" spans="1:53" s="860" customFormat="1">
      <c r="A67" s="860">
        <v>2016</v>
      </c>
      <c r="B67" s="154">
        <v>42613</v>
      </c>
      <c r="C67" s="1026" t="s">
        <v>1364</v>
      </c>
      <c r="D67" s="1026"/>
      <c r="E67" s="860">
        <v>123</v>
      </c>
      <c r="F67" s="600">
        <v>0</v>
      </c>
      <c r="G67" s="596">
        <v>6</v>
      </c>
      <c r="I67" s="860">
        <v>9</v>
      </c>
      <c r="J67" s="598">
        <v>15</v>
      </c>
      <c r="K67" s="593">
        <f t="shared" ref="K67" si="17">G67/J67*100</f>
        <v>40</v>
      </c>
      <c r="L67" s="593">
        <f t="shared" ref="L67" si="18">H67/J67*100</f>
        <v>0</v>
      </c>
      <c r="M67" s="593">
        <f t="shared" ref="M67" si="19">I67/J67*100</f>
        <v>60</v>
      </c>
      <c r="N67" s="597">
        <f t="shared" ref="N67" si="20">SUM(K67:M67)</f>
        <v>100</v>
      </c>
      <c r="O67" s="592">
        <v>32.700000000000003</v>
      </c>
      <c r="P67" s="593">
        <v>4.7</v>
      </c>
      <c r="Q67" s="593">
        <v>17.3</v>
      </c>
      <c r="R67" s="594">
        <f t="shared" ref="R67" si="21">SUM(O67:Q67)</f>
        <v>54.7</v>
      </c>
      <c r="S67" s="860">
        <v>2</v>
      </c>
      <c r="T67" s="595"/>
      <c r="U67" s="121"/>
      <c r="V67" s="588" t="s">
        <v>914</v>
      </c>
      <c r="W67" s="860" t="s">
        <v>314</v>
      </c>
      <c r="X67" s="860" t="s">
        <v>12</v>
      </c>
      <c r="Y67" s="589">
        <v>32.700000000000003</v>
      </c>
      <c r="Z67" s="860" t="s">
        <v>890</v>
      </c>
      <c r="AA67" s="860" t="s">
        <v>27</v>
      </c>
      <c r="AB67" s="860" t="s">
        <v>11</v>
      </c>
      <c r="AC67" s="860">
        <v>10</v>
      </c>
      <c r="AD67" s="588" t="s">
        <v>911</v>
      </c>
      <c r="AE67" s="860" t="s">
        <v>913</v>
      </c>
      <c r="AF67" s="860" t="s">
        <v>11</v>
      </c>
      <c r="AG67" s="589">
        <v>7.3</v>
      </c>
      <c r="AH67" s="871" t="s">
        <v>1365</v>
      </c>
      <c r="AI67" s="871" t="s">
        <v>76</v>
      </c>
      <c r="AJ67" s="871" t="s">
        <v>18</v>
      </c>
      <c r="AK67" s="871">
        <v>4.7</v>
      </c>
      <c r="AL67" s="588"/>
      <c r="AO67" s="589"/>
      <c r="AP67" s="588"/>
      <c r="AS67" s="589"/>
      <c r="AW67" s="589"/>
      <c r="BA67" s="590"/>
    </row>
    <row r="68" spans="1:53" s="903" customFormat="1">
      <c r="A68" s="903">
        <v>2017</v>
      </c>
      <c r="B68" s="154"/>
      <c r="C68" s="1026" t="s">
        <v>1364</v>
      </c>
      <c r="D68" s="1026"/>
      <c r="E68" s="903">
        <v>0</v>
      </c>
      <c r="F68" s="600"/>
      <c r="G68" s="596">
        <v>6</v>
      </c>
      <c r="I68" s="903">
        <v>9</v>
      </c>
      <c r="J68" s="598">
        <v>15</v>
      </c>
      <c r="K68" s="593">
        <f t="shared" ref="K68:K69" si="22">G68/J68*100</f>
        <v>40</v>
      </c>
      <c r="L68" s="593">
        <f t="shared" ref="L68:L69" si="23">H68/J68*100</f>
        <v>0</v>
      </c>
      <c r="M68" s="593">
        <f t="shared" ref="M68:M69" si="24">I68/J68*100</f>
        <v>60</v>
      </c>
      <c r="N68" s="597">
        <f t="shared" ref="N68:N69" si="25">SUM(K68:M68)</f>
        <v>100</v>
      </c>
      <c r="O68" s="592">
        <v>32.700000000000003</v>
      </c>
      <c r="P68" s="593">
        <v>4.7</v>
      </c>
      <c r="Q68" s="593">
        <v>17.3</v>
      </c>
      <c r="R68" s="594">
        <f t="shared" ref="R68:R69" si="26">SUM(O68:Q68)</f>
        <v>54.7</v>
      </c>
      <c r="S68" s="903">
        <v>2</v>
      </c>
      <c r="T68" s="595"/>
      <c r="U68" s="121"/>
      <c r="V68" s="588" t="s">
        <v>914</v>
      </c>
      <c r="W68" s="903" t="s">
        <v>314</v>
      </c>
      <c r="X68" s="903" t="s">
        <v>12</v>
      </c>
      <c r="Y68" s="589">
        <v>32.700000000000003</v>
      </c>
      <c r="Z68" s="903" t="s">
        <v>890</v>
      </c>
      <c r="AA68" s="903" t="s">
        <v>27</v>
      </c>
      <c r="AB68" s="903" t="s">
        <v>11</v>
      </c>
      <c r="AC68" s="903">
        <v>10</v>
      </c>
      <c r="AD68" s="588" t="s">
        <v>911</v>
      </c>
      <c r="AE68" s="903" t="s">
        <v>913</v>
      </c>
      <c r="AF68" s="903" t="s">
        <v>11</v>
      </c>
      <c r="AG68" s="589">
        <v>7.3</v>
      </c>
      <c r="AH68" s="903" t="s">
        <v>1365</v>
      </c>
      <c r="AI68" s="903" t="s">
        <v>76</v>
      </c>
      <c r="AJ68" s="903" t="s">
        <v>18</v>
      </c>
      <c r="AK68" s="903">
        <v>4.7</v>
      </c>
      <c r="AL68" s="588"/>
      <c r="AO68" s="589"/>
      <c r="AP68" s="588"/>
      <c r="AS68" s="589"/>
      <c r="AW68" s="589"/>
      <c r="BA68" s="590"/>
    </row>
    <row r="69" spans="1:53" s="903" customFormat="1">
      <c r="A69" s="903">
        <v>2017</v>
      </c>
      <c r="B69" s="154"/>
      <c r="C69" s="1026" t="s">
        <v>1364</v>
      </c>
      <c r="D69" s="1026"/>
      <c r="E69" s="903">
        <v>365</v>
      </c>
      <c r="F69" s="600"/>
      <c r="G69" s="596">
        <v>6</v>
      </c>
      <c r="I69" s="903">
        <v>9</v>
      </c>
      <c r="J69" s="598">
        <v>15</v>
      </c>
      <c r="K69" s="593">
        <f t="shared" si="22"/>
        <v>40</v>
      </c>
      <c r="L69" s="593">
        <f t="shared" si="23"/>
        <v>0</v>
      </c>
      <c r="M69" s="593">
        <f t="shared" si="24"/>
        <v>60</v>
      </c>
      <c r="N69" s="597">
        <f t="shared" si="25"/>
        <v>100</v>
      </c>
      <c r="O69" s="592">
        <v>32.700000000000003</v>
      </c>
      <c r="P69" s="593">
        <v>4.7</v>
      </c>
      <c r="Q69" s="593">
        <v>17.3</v>
      </c>
      <c r="R69" s="594">
        <f t="shared" si="26"/>
        <v>54.7</v>
      </c>
      <c r="S69" s="903">
        <v>2</v>
      </c>
      <c r="T69" s="595"/>
      <c r="U69" s="121"/>
      <c r="V69" s="588" t="s">
        <v>914</v>
      </c>
      <c r="W69" s="903" t="s">
        <v>314</v>
      </c>
      <c r="X69" s="903" t="s">
        <v>12</v>
      </c>
      <c r="Y69" s="589">
        <v>32.700000000000003</v>
      </c>
      <c r="Z69" s="903" t="s">
        <v>890</v>
      </c>
      <c r="AA69" s="903" t="s">
        <v>27</v>
      </c>
      <c r="AB69" s="903" t="s">
        <v>11</v>
      </c>
      <c r="AC69" s="903">
        <v>10</v>
      </c>
      <c r="AD69" s="588" t="s">
        <v>911</v>
      </c>
      <c r="AE69" s="903" t="s">
        <v>913</v>
      </c>
      <c r="AF69" s="903" t="s">
        <v>11</v>
      </c>
      <c r="AG69" s="589">
        <v>7.3</v>
      </c>
      <c r="AH69" s="903" t="s">
        <v>1365</v>
      </c>
      <c r="AI69" s="903" t="s">
        <v>76</v>
      </c>
      <c r="AJ69" s="903" t="s">
        <v>18</v>
      </c>
      <c r="AK69" s="903">
        <v>4.7</v>
      </c>
      <c r="AL69" s="588"/>
      <c r="AO69" s="589"/>
      <c r="AP69" s="588"/>
      <c r="AS69" s="589"/>
      <c r="AW69" s="589"/>
      <c r="BA69" s="590"/>
    </row>
    <row r="70" spans="1:53" s="946" customFormat="1">
      <c r="A70" s="946">
        <v>2018</v>
      </c>
      <c r="B70" s="154"/>
      <c r="C70" s="1026" t="s">
        <v>1364</v>
      </c>
      <c r="D70" s="1026"/>
      <c r="E70" s="946">
        <v>52</v>
      </c>
      <c r="F70" s="600"/>
      <c r="G70" s="596">
        <v>6</v>
      </c>
      <c r="I70" s="946">
        <v>9</v>
      </c>
      <c r="J70" s="598">
        <v>15</v>
      </c>
      <c r="K70" s="593">
        <f t="shared" ref="K70" si="27">G70/J70*100</f>
        <v>40</v>
      </c>
      <c r="L70" s="593">
        <f t="shared" ref="L70" si="28">H70/J70*100</f>
        <v>0</v>
      </c>
      <c r="M70" s="593">
        <f t="shared" ref="M70" si="29">I70/J70*100</f>
        <v>60</v>
      </c>
      <c r="N70" s="597">
        <f t="shared" ref="N70" si="30">SUM(K70:M70)</f>
        <v>100</v>
      </c>
      <c r="O70" s="592">
        <v>32.700000000000003</v>
      </c>
      <c r="P70" s="593">
        <v>4.7</v>
      </c>
      <c r="Q70" s="593">
        <v>17.3</v>
      </c>
      <c r="R70" s="594">
        <f t="shared" ref="R70:R71" si="31">SUM(O70:Q70)</f>
        <v>54.7</v>
      </c>
      <c r="S70" s="946">
        <v>2</v>
      </c>
      <c r="T70" s="595"/>
      <c r="U70" s="121"/>
      <c r="V70" s="588" t="s">
        <v>914</v>
      </c>
      <c r="W70" s="946" t="s">
        <v>314</v>
      </c>
      <c r="X70" s="946" t="s">
        <v>12</v>
      </c>
      <c r="Y70" s="589">
        <v>32.700000000000003</v>
      </c>
      <c r="Z70" s="946" t="s">
        <v>890</v>
      </c>
      <c r="AA70" s="946" t="s">
        <v>27</v>
      </c>
      <c r="AB70" s="946" t="s">
        <v>11</v>
      </c>
      <c r="AC70" s="946">
        <v>10</v>
      </c>
      <c r="AD70" s="588" t="s">
        <v>911</v>
      </c>
      <c r="AE70" s="946" t="s">
        <v>913</v>
      </c>
      <c r="AF70" s="946" t="s">
        <v>11</v>
      </c>
      <c r="AG70" s="589">
        <v>7.3</v>
      </c>
      <c r="AH70" s="946" t="s">
        <v>1365</v>
      </c>
      <c r="AI70" s="946" t="s">
        <v>76</v>
      </c>
      <c r="AJ70" s="946" t="s">
        <v>18</v>
      </c>
      <c r="AK70" s="946">
        <v>4.7</v>
      </c>
      <c r="AL70" s="588"/>
      <c r="AO70" s="589"/>
      <c r="AP70" s="588"/>
      <c r="AS70" s="589"/>
      <c r="AW70" s="589"/>
      <c r="BA70" s="590"/>
    </row>
    <row r="71" spans="1:53" s="945" customFormat="1">
      <c r="A71" s="945">
        <v>2018</v>
      </c>
      <c r="B71" s="335">
        <v>43153</v>
      </c>
      <c r="C71" s="1025" t="s">
        <v>1420</v>
      </c>
      <c r="D71" s="1025"/>
      <c r="E71" s="945">
        <v>313</v>
      </c>
      <c r="F71" s="945">
        <v>2</v>
      </c>
      <c r="G71" s="642">
        <v>6</v>
      </c>
      <c r="I71" s="945">
        <v>9</v>
      </c>
      <c r="J71" s="644">
        <v>15</v>
      </c>
      <c r="K71" s="640">
        <f t="shared" ref="K71" si="32">G71/J71*100</f>
        <v>40</v>
      </c>
      <c r="L71" s="640">
        <f t="shared" ref="L71" si="33">H71/J71*100</f>
        <v>0</v>
      </c>
      <c r="M71" s="640">
        <f t="shared" ref="M71" si="34">I71/J71*100</f>
        <v>60</v>
      </c>
      <c r="N71" s="643">
        <f t="shared" ref="N71" si="35">SUM(K71:M71)</f>
        <v>100</v>
      </c>
      <c r="O71" s="639">
        <v>32.700000000000003</v>
      </c>
      <c r="P71" s="640">
        <v>4.7</v>
      </c>
      <c r="Q71" s="640">
        <v>17.3</v>
      </c>
      <c r="R71" s="641">
        <f t="shared" si="31"/>
        <v>54.7</v>
      </c>
      <c r="S71" s="945">
        <v>2</v>
      </c>
      <c r="T71" s="487"/>
      <c r="U71" s="335">
        <v>43153</v>
      </c>
      <c r="V71" s="634" t="s">
        <v>914</v>
      </c>
      <c r="W71" s="945" t="s">
        <v>314</v>
      </c>
      <c r="X71" s="945" t="s">
        <v>12</v>
      </c>
      <c r="Y71" s="635">
        <v>32.700000000000003</v>
      </c>
      <c r="Z71" s="945" t="s">
        <v>890</v>
      </c>
      <c r="AA71" s="945" t="s">
        <v>27</v>
      </c>
      <c r="AB71" s="945" t="s">
        <v>11</v>
      </c>
      <c r="AC71" s="945">
        <v>10</v>
      </c>
      <c r="AD71" s="634" t="s">
        <v>911</v>
      </c>
      <c r="AE71" s="945" t="s">
        <v>913</v>
      </c>
      <c r="AF71" s="945" t="s">
        <v>11</v>
      </c>
      <c r="AG71" s="635">
        <v>7.3</v>
      </c>
      <c r="AH71" s="945" t="s">
        <v>1365</v>
      </c>
      <c r="AI71" s="945" t="s">
        <v>76</v>
      </c>
      <c r="AJ71" s="945" t="s">
        <v>18</v>
      </c>
      <c r="AK71" s="945">
        <v>4.7</v>
      </c>
      <c r="AL71" s="634"/>
      <c r="AO71" s="635"/>
      <c r="AP71" s="634"/>
      <c r="AS71" s="635"/>
      <c r="AW71" s="635"/>
      <c r="BA71" s="636"/>
    </row>
    <row r="72" spans="1:53" s="903" customFormat="1">
      <c r="B72" s="154"/>
      <c r="C72" s="904"/>
      <c r="D72" s="904"/>
      <c r="F72" s="600"/>
      <c r="J72" s="905"/>
      <c r="K72" s="593"/>
      <c r="L72" s="593"/>
      <c r="M72" s="593"/>
      <c r="N72" s="597"/>
      <c r="O72" s="593"/>
      <c r="P72" s="593"/>
      <c r="Q72" s="593"/>
      <c r="R72" s="597"/>
      <c r="T72" s="900"/>
      <c r="U72" s="121"/>
    </row>
    <row r="73" spans="1:53">
      <c r="B73" s="2"/>
      <c r="C73" s="2"/>
      <c r="D73" s="2"/>
      <c r="E73" s="2"/>
      <c r="F73" s="2"/>
      <c r="G73" s="2"/>
      <c r="H73" s="2"/>
      <c r="I73" s="2"/>
      <c r="J73" s="2"/>
      <c r="K73" s="2"/>
      <c r="L73" s="2"/>
      <c r="M73" s="2"/>
      <c r="N73" s="2"/>
    </row>
    <row r="74" spans="1:53">
      <c r="B74" s="2"/>
      <c r="C74" s="2"/>
      <c r="D74" s="2"/>
      <c r="E74" s="2"/>
      <c r="F74" s="2"/>
      <c r="G74" s="2"/>
      <c r="H74" s="2"/>
      <c r="I74" s="2"/>
      <c r="J74" s="2"/>
      <c r="K74" s="2"/>
      <c r="L74" s="2"/>
      <c r="M74" s="2"/>
      <c r="N74" s="2"/>
    </row>
    <row r="75" spans="1:53" s="2" customFormat="1" ht="18" customHeight="1">
      <c r="B75" s="22" t="s">
        <v>1278</v>
      </c>
    </row>
    <row r="76" spans="1:53" s="2" customFormat="1" ht="9" customHeight="1"/>
    <row r="77" spans="1:53" s="364" customFormat="1" ht="9" customHeight="1">
      <c r="A77" s="362"/>
      <c r="B77" s="363" t="s">
        <v>1229</v>
      </c>
      <c r="C77" s="363"/>
      <c r="D77" s="363"/>
      <c r="E77" s="363"/>
      <c r="F77" s="363"/>
      <c r="G77" s="363" t="s">
        <v>1230</v>
      </c>
      <c r="H77" s="363"/>
      <c r="I77" s="363"/>
      <c r="J77" s="363"/>
      <c r="K77" s="363"/>
      <c r="L77" s="363"/>
      <c r="M77" s="363"/>
      <c r="N77" s="363"/>
      <c r="R77" s="982" t="s">
        <v>1231</v>
      </c>
      <c r="S77" s="982"/>
      <c r="T77" s="982"/>
      <c r="U77" s="982"/>
      <c r="V77" s="982"/>
      <c r="W77" s="982"/>
      <c r="X77" s="365"/>
      <c r="Y77" s="365"/>
      <c r="AA77" s="365"/>
      <c r="AB77" s="365"/>
      <c r="AC77" s="365"/>
      <c r="AD77" s="365"/>
    </row>
    <row r="78" spans="1:53" s="369" customFormat="1" ht="9" customHeight="1">
      <c r="A78" s="366"/>
      <c r="B78" s="367" t="s">
        <v>1233</v>
      </c>
      <c r="C78" s="368"/>
      <c r="D78" s="368"/>
      <c r="E78" s="368"/>
      <c r="F78" s="368"/>
      <c r="G78" s="367" t="s">
        <v>1232</v>
      </c>
      <c r="H78" s="368"/>
      <c r="I78" s="368"/>
      <c r="J78" s="368"/>
      <c r="K78" s="368"/>
      <c r="L78" s="368"/>
      <c r="M78" s="368"/>
      <c r="N78" s="368"/>
      <c r="R78" s="370" t="s">
        <v>1234</v>
      </c>
      <c r="S78" s="371"/>
      <c r="T78" s="372"/>
      <c r="U78" s="372"/>
      <c r="V78" s="372"/>
      <c r="W78" s="370" t="s">
        <v>1235</v>
      </c>
      <c r="X78" s="372"/>
      <c r="Y78" s="372"/>
      <c r="AA78" s="372"/>
      <c r="AB78" s="372"/>
      <c r="AC78" s="372"/>
      <c r="AD78" s="372"/>
    </row>
    <row r="79" spans="1:53" s="351" customFormat="1" ht="12" customHeight="1">
      <c r="A79" s="373" t="s">
        <v>3</v>
      </c>
      <c r="B79" s="374" t="s">
        <v>8</v>
      </c>
      <c r="C79" s="374" t="s">
        <v>9</v>
      </c>
      <c r="D79" s="374" t="s">
        <v>10</v>
      </c>
      <c r="E79" s="375" t="s">
        <v>1209</v>
      </c>
      <c r="F79" s="374"/>
      <c r="G79" s="351" t="s">
        <v>3</v>
      </c>
      <c r="H79" s="983" t="s">
        <v>0</v>
      </c>
      <c r="I79" s="983"/>
      <c r="J79" s="983" t="s">
        <v>1</v>
      </c>
      <c r="K79" s="983"/>
      <c r="L79" s="983" t="s">
        <v>2</v>
      </c>
      <c r="M79" s="983"/>
      <c r="N79" s="984" t="s">
        <v>1209</v>
      </c>
      <c r="O79" s="984"/>
      <c r="P79" s="376"/>
      <c r="Q79" s="376"/>
      <c r="R79" s="377" t="s">
        <v>3</v>
      </c>
      <c r="S79" s="378" t="s">
        <v>136</v>
      </c>
      <c r="T79" s="376" t="s">
        <v>134</v>
      </c>
      <c r="U79" s="374" t="s">
        <v>135</v>
      </c>
      <c r="V79" s="376"/>
      <c r="W79" s="379" t="s">
        <v>26</v>
      </c>
    </row>
    <row r="80" spans="1:53" ht="9" customHeight="1">
      <c r="A80" s="1">
        <v>1990</v>
      </c>
      <c r="B80" s="8">
        <f>(K7*($E7/188))</f>
        <v>65.217391304347828</v>
      </c>
      <c r="C80" s="8">
        <f>(L7*($E7/188))</f>
        <v>34.782608695652172</v>
      </c>
      <c r="D80" s="8">
        <f>(M7*($E7/188))</f>
        <v>0</v>
      </c>
      <c r="E80" s="52">
        <f>B80+C80+D80</f>
        <v>100</v>
      </c>
      <c r="F80" s="12"/>
      <c r="G80" s="12">
        <v>1990</v>
      </c>
      <c r="H80" s="1001">
        <f>((O7/$R7*100*($E7/188)))</f>
        <v>63.937282229965156</v>
      </c>
      <c r="I80" s="1001"/>
      <c r="J80" s="1001">
        <f>((P7/$R7*100*($E7/188)))</f>
        <v>36.062717770034844</v>
      </c>
      <c r="K80" s="1001"/>
      <c r="L80" s="1001">
        <f>((Q7/$R7*100*($E7/188)))</f>
        <v>0</v>
      </c>
      <c r="M80" s="1001"/>
      <c r="N80" s="1011">
        <f>H80+J80+L80</f>
        <v>100</v>
      </c>
      <c r="O80" s="1011"/>
      <c r="P80" s="12"/>
      <c r="Q80" s="12"/>
      <c r="R80" s="12">
        <v>1990</v>
      </c>
      <c r="S80" s="8">
        <f>(O7*($E7/188))</f>
        <v>36.700000000000003</v>
      </c>
      <c r="T80" s="8">
        <f>(P7*($E7/188))</f>
        <v>20.7</v>
      </c>
      <c r="U80" s="8">
        <f>(Q7*($E7/188))</f>
        <v>0</v>
      </c>
      <c r="V80" s="12"/>
      <c r="W80" s="7">
        <f>S80+T80+U80</f>
        <v>57.400000000000006</v>
      </c>
      <c r="X80" s="68"/>
      <c r="Y80" s="229" t="s">
        <v>1221</v>
      </c>
      <c r="Z80" s="68"/>
    </row>
    <row r="81" spans="1:26" ht="9" customHeight="1">
      <c r="A81" s="1">
        <v>1991</v>
      </c>
      <c r="B81" s="8">
        <f>(K8*($E8/365))+(K9*($E9/365))</f>
        <v>62.203692674210849</v>
      </c>
      <c r="C81" s="8">
        <f>(L8*($E8/365))+(L9*($E9/365))</f>
        <v>37.796307325789158</v>
      </c>
      <c r="D81" s="8">
        <f>(M8*($E8/365))+(M9*($E9/365))</f>
        <v>0</v>
      </c>
      <c r="E81" s="52">
        <f>B81+C81+D81</f>
        <v>100</v>
      </c>
      <c r="F81" s="12"/>
      <c r="G81" s="12">
        <v>1991</v>
      </c>
      <c r="H81" s="1001">
        <f>(O8/$R8*100*($E8/365))+(O9/$R9*100*($E9/365))</f>
        <v>63.937282229965163</v>
      </c>
      <c r="I81" s="1001"/>
      <c r="J81" s="1001">
        <f>(P8/$R8*100*($E8/365))+(P9/$R9*100*($E9/365))</f>
        <v>36.062717770034844</v>
      </c>
      <c r="K81" s="1001"/>
      <c r="L81" s="1001">
        <f>(Q8/$R8*100*($E8/365))+(Q9/$R9*100*($E9/365))</f>
        <v>0</v>
      </c>
      <c r="M81" s="1001"/>
      <c r="N81" s="1011">
        <f>H81+J81+L81</f>
        <v>100</v>
      </c>
      <c r="O81" s="1011"/>
      <c r="P81" s="12"/>
      <c r="Q81" s="12"/>
      <c r="R81" s="12">
        <v>1991</v>
      </c>
      <c r="S81" s="8">
        <f>(O8*($E8/365))+(O9*($E9/365))</f>
        <v>36.700000000000003</v>
      </c>
      <c r="T81" s="8">
        <f>(P8*($E8/365))+(P9*($E9/365))</f>
        <v>20.700000000000003</v>
      </c>
      <c r="U81" s="8">
        <f>(Q8*($E8/365))+(Q9*($E9/365))</f>
        <v>0</v>
      </c>
      <c r="V81" s="12"/>
      <c r="W81" s="7">
        <f>S81+T81+U81</f>
        <v>57.400000000000006</v>
      </c>
      <c r="X81" s="68"/>
      <c r="Y81" s="68"/>
      <c r="Z81" s="68"/>
    </row>
    <row r="82" spans="1:26" ht="9" customHeight="1">
      <c r="A82" s="1">
        <v>1992</v>
      </c>
      <c r="B82" s="8">
        <f>(K10*($E10/366))+(K11*($E11/366))</f>
        <v>81.290092658588748</v>
      </c>
      <c r="C82" s="8">
        <f>(L10*($E10/366))+(L11*($E11/366))</f>
        <v>18.70990734141126</v>
      </c>
      <c r="D82" s="8">
        <f>(M10*($E10/366))+(M11*($E11/366))</f>
        <v>0</v>
      </c>
      <c r="E82" s="52">
        <f>B82+C82+D82</f>
        <v>100</v>
      </c>
      <c r="F82" s="12"/>
      <c r="G82" s="12">
        <v>1992</v>
      </c>
      <c r="H82" s="1001">
        <f>(O10/$R10*100*($E10/366))+(O11/$R11*100*($E11/366))</f>
        <v>82.756897241103559</v>
      </c>
      <c r="I82" s="1001"/>
      <c r="J82" s="1001">
        <f>(P10/$R10*100*($E10/366))+(P11/$R11*100*($E11/366))</f>
        <v>17.243102758896441</v>
      </c>
      <c r="K82" s="1001"/>
      <c r="L82" s="1001">
        <f>(Q10/$R10*100*($E10/366))+(Q11/$R11*100*($E11/366))</f>
        <v>0</v>
      </c>
      <c r="M82" s="1001"/>
      <c r="N82" s="1011">
        <f>H82+J82+L82</f>
        <v>100</v>
      </c>
      <c r="O82" s="1011"/>
      <c r="P82" s="12"/>
      <c r="Q82" s="12"/>
      <c r="R82" s="12">
        <v>1992</v>
      </c>
      <c r="S82" s="8">
        <f>(O10*($E10/366))+(O11*($E11/366))</f>
        <v>48.49398907103825</v>
      </c>
      <c r="T82" s="8">
        <f>(P10*($E10/366))+(P11*($E11/366))</f>
        <v>9.8975409836065573</v>
      </c>
      <c r="U82" s="8">
        <f>(Q10*($E10/366))+(Q11*($E11/366))</f>
        <v>0</v>
      </c>
      <c r="V82" s="12"/>
      <c r="W82" s="7">
        <f>S82+T82+U82</f>
        <v>58.391530054644804</v>
      </c>
    </row>
    <row r="83" spans="1:26" ht="9" customHeight="1">
      <c r="A83" s="1">
        <v>1993</v>
      </c>
      <c r="B83" s="8">
        <f>(K12*($E12/365))+(K13*($E13/365))+(K14*($E14/365))+(K15*($E15/365))</f>
        <v>100</v>
      </c>
      <c r="C83" s="8">
        <f>(L12*($E12/365))+(L13*($E13/365))+(L14*($E14/365))+(L15*($E15/365))</f>
        <v>0</v>
      </c>
      <c r="D83" s="8">
        <f>(M12*($E12/365))+(M13*($E13/365))+(M14*($E14/365))+(M15*($E15/365))</f>
        <v>0</v>
      </c>
      <c r="E83" s="52">
        <f t="shared" ref="E83:E102" si="36">B83+C83+D83</f>
        <v>100</v>
      </c>
      <c r="F83" s="12"/>
      <c r="G83" s="12">
        <v>1993</v>
      </c>
      <c r="H83" s="1001">
        <f>(O12/$R12*100*($E12/365))+(O13/$R13*100*($E13/365))+(O14/$R14*100*($E14/365))+(O15/$R15*100*($E15/365))</f>
        <v>100</v>
      </c>
      <c r="I83" s="1001"/>
      <c r="J83" s="1001">
        <f>(P12/$R12*100*($E12/365))+(P13/$R13*100*($E13/365))+(P14/$R14*100*($E14/365))+(P15/$R15*100*($E15/365))</f>
        <v>0</v>
      </c>
      <c r="K83" s="1001"/>
      <c r="L83" s="1001">
        <f>(Q12/$R12*100*($E12/365))+(Q13/$R13*100*($E13/365))+(Q14/$R14*100*($E14/365))+(Q15/$R15*100*($E15/365))</f>
        <v>0</v>
      </c>
      <c r="M83" s="1001"/>
      <c r="N83" s="1011">
        <f t="shared" ref="N83:N102" si="37">H83+J83+L83</f>
        <v>100</v>
      </c>
      <c r="O83" s="1011"/>
      <c r="P83" s="12"/>
      <c r="Q83" s="12"/>
      <c r="R83" s="12">
        <v>1993</v>
      </c>
      <c r="S83" s="8">
        <f>(O12*($E12/365))+(O13*($E13/365))+(O14*($E14/365))+(O15*($E15/365))</f>
        <v>52.642465753424666</v>
      </c>
      <c r="T83" s="8">
        <f>(P12*($E12/365))+(P13*($E13/365))+(P14*($E14/365))+(P15*($E15/365))</f>
        <v>0</v>
      </c>
      <c r="U83" s="8">
        <f>(Q12*($E12/365))+(Q13*($E13/365))+(Q14*($E14/365))+(Q15*($E15/365))</f>
        <v>0</v>
      </c>
      <c r="V83" s="12"/>
      <c r="W83" s="7">
        <f t="shared" ref="W83:W102" si="38">S83+T83+U83</f>
        <v>52.642465753424666</v>
      </c>
    </row>
    <row r="84" spans="1:26" ht="9" customHeight="1">
      <c r="A84" s="1">
        <v>1994</v>
      </c>
      <c r="B84" s="8">
        <f>(K16*($E16/365))+(K17*($E17/365))+(K18*($E18/365))</f>
        <v>49.284627092846264</v>
      </c>
      <c r="C84" s="8">
        <f>(L16*($E16/365))+(L17*($E17/365))+(L18*($E18/365))</f>
        <v>20.624048706240487</v>
      </c>
      <c r="D84" s="8">
        <f>(M16*($E16/365))+(M17*($E17/365))+(M18*($E18/365))</f>
        <v>30.091324200913242</v>
      </c>
      <c r="E84" s="52">
        <f t="shared" si="36"/>
        <v>100</v>
      </c>
      <c r="F84" s="12"/>
      <c r="G84" s="12">
        <v>1994</v>
      </c>
      <c r="H84" s="1001">
        <f>(O16/$R16*100*($E16/365))+(O17/$R17*100*($E17/365))+(O18/$R18*100*($E18/365))</f>
        <v>47.081333802262606</v>
      </c>
      <c r="I84" s="1001"/>
      <c r="J84" s="1001">
        <f>(P16/$R16*100*($E16/365))+(P17/$R17*100*($E17/365))+(P18/$R18*100*($E18/365))</f>
        <v>19.976657042815894</v>
      </c>
      <c r="K84" s="1001"/>
      <c r="L84" s="1001">
        <f>(Q16/$R16*100*($E16/365))+(Q17/$R17*100*($E17/365))+(Q18/$R18*100*($E18/365))</f>
        <v>32.942009154921493</v>
      </c>
      <c r="M84" s="1001"/>
      <c r="N84" s="1011">
        <f t="shared" si="37"/>
        <v>100</v>
      </c>
      <c r="O84" s="1011"/>
      <c r="P84" s="12"/>
      <c r="Q84" s="12"/>
      <c r="R84" s="12">
        <v>1994</v>
      </c>
      <c r="S84" s="8">
        <f>(O16*($E16/365))+(O17*($E17/365))+(O18*($E18/365))</f>
        <v>24.445205479452053</v>
      </c>
      <c r="T84" s="8">
        <f>(P16*($E16/365))+(P17*($E17/365))+(P18*($E18/365))</f>
        <v>8.9095890410958898</v>
      </c>
      <c r="U84" s="8">
        <f>(Q16*($E16/365))+(Q17*($E17/365))+(Q18*($E18/365))</f>
        <v>14.773424657534246</v>
      </c>
      <c r="V84" s="12"/>
      <c r="W84" s="7">
        <f t="shared" si="38"/>
        <v>48.12821917808219</v>
      </c>
    </row>
    <row r="85" spans="1:26" ht="9" customHeight="1">
      <c r="A85" s="1">
        <v>1995</v>
      </c>
      <c r="B85" s="8">
        <f>(K19*($E19/365))+(K20*($E20/365))</f>
        <v>77.777777777777786</v>
      </c>
      <c r="C85" s="8">
        <f>(L19*($E19/365))+(L20*($E20/365))</f>
        <v>0</v>
      </c>
      <c r="D85" s="8">
        <f>(M19*($E19/365))+(M20*($E20/365))</f>
        <v>22.222222222222221</v>
      </c>
      <c r="E85" s="52">
        <f t="shared" si="36"/>
        <v>100</v>
      </c>
      <c r="F85" s="12"/>
      <c r="G85" s="12">
        <v>1995</v>
      </c>
      <c r="H85" s="1001">
        <f>(O19/$R19*100*($E19/365))+(O20/$R20*100*($E20/365))</f>
        <v>85.164835164835168</v>
      </c>
      <c r="I85" s="1001"/>
      <c r="J85" s="1001">
        <f>(P19/$R19*100*($E19/365))+(P20/$R20*100*($E20/365))</f>
        <v>0</v>
      </c>
      <c r="K85" s="1001"/>
      <c r="L85" s="1001">
        <f>(Q19/$R19*100*($E19/365))+(Q20/$R20*100*($E20/365))</f>
        <v>14.835164835164836</v>
      </c>
      <c r="M85" s="1001"/>
      <c r="N85" s="1011">
        <f t="shared" si="37"/>
        <v>100</v>
      </c>
      <c r="O85" s="1011"/>
      <c r="P85" s="12"/>
      <c r="Q85" s="12"/>
      <c r="R85" s="12">
        <v>1995</v>
      </c>
      <c r="S85" s="8">
        <f>(O19*($E19/365))+(O20*($E20/365))</f>
        <v>46.5</v>
      </c>
      <c r="T85" s="8">
        <f>(P19*($E19/365))+(P20*($E20/365))</f>
        <v>0</v>
      </c>
      <c r="U85" s="8">
        <f>(Q19*($E19/365))+(Q20*($E20/365))</f>
        <v>8.1</v>
      </c>
      <c r="V85" s="12"/>
      <c r="W85" s="7">
        <f t="shared" si="38"/>
        <v>54.6</v>
      </c>
    </row>
    <row r="86" spans="1:26" ht="9" customHeight="1">
      <c r="A86" s="1">
        <v>1996</v>
      </c>
      <c r="B86" s="8">
        <f>(K21*($E21/366))+(K22*($E22/366))</f>
        <v>77.777777777777786</v>
      </c>
      <c r="C86" s="8">
        <f>(L21*($E21/366))+(L22*($E22/366))</f>
        <v>0</v>
      </c>
      <c r="D86" s="8">
        <f>(M21*($E21/366))+(M22*($E22/366))</f>
        <v>22.222222222222221</v>
      </c>
      <c r="E86" s="52">
        <f t="shared" si="36"/>
        <v>100</v>
      </c>
      <c r="F86" s="12"/>
      <c r="G86" s="12">
        <v>1996</v>
      </c>
      <c r="H86" s="1001">
        <f>(O21/$R21*100*($E21/366))+(O22/$R22*100*($E22/366))</f>
        <v>85.164835164835168</v>
      </c>
      <c r="I86" s="1001"/>
      <c r="J86" s="1001">
        <f>(P21/$R21*100*($E21/366))+(P22/$R22*100*($E22/366))</f>
        <v>0</v>
      </c>
      <c r="K86" s="1001"/>
      <c r="L86" s="1001">
        <f>(Q21/$R21*100*($E21/366))+(Q22/$R22*100*($E22/366))</f>
        <v>14.835164835164836</v>
      </c>
      <c r="M86" s="1001"/>
      <c r="N86" s="1011">
        <f t="shared" si="37"/>
        <v>100</v>
      </c>
      <c r="O86" s="1011"/>
      <c r="P86" s="12"/>
      <c r="Q86" s="12"/>
      <c r="R86" s="12">
        <v>1996</v>
      </c>
      <c r="S86" s="8">
        <f>(O21*($E21/366))+(O22*($E22/366))</f>
        <v>46.5</v>
      </c>
      <c r="T86" s="8">
        <f>(P21*($E21/366))+(P22*($E22/366))</f>
        <v>0</v>
      </c>
      <c r="U86" s="8">
        <f>(Q21*($E21/366))+(Q22*($E22/366))</f>
        <v>8.1</v>
      </c>
      <c r="V86" s="12"/>
      <c r="W86" s="7">
        <f t="shared" si="38"/>
        <v>54.6</v>
      </c>
    </row>
    <row r="87" spans="1:26" ht="9" customHeight="1">
      <c r="A87" s="1">
        <v>1997</v>
      </c>
      <c r="B87" s="8">
        <f>(K23*($E23/365))+(K24*($E24/365))</f>
        <v>77.777777777777786</v>
      </c>
      <c r="C87" s="8">
        <f>(L23*($E23/365))+(L24*($E24/365))</f>
        <v>0</v>
      </c>
      <c r="D87" s="8">
        <f>(M23*($E23/365))+(M24*($E24/365))</f>
        <v>22.222222222222221</v>
      </c>
      <c r="E87" s="52">
        <f t="shared" si="36"/>
        <v>100</v>
      </c>
      <c r="F87" s="12"/>
      <c r="G87" s="12">
        <v>1997</v>
      </c>
      <c r="H87" s="1001">
        <f>(O23/$R23*100*($E23/365))+(O24/$R24*100*($E24/365))</f>
        <v>85.164835164835168</v>
      </c>
      <c r="I87" s="1001"/>
      <c r="J87" s="1001">
        <f>(P23/$R23*100*($E23/365))+(P24/$R24*100*($E24/365))</f>
        <v>0</v>
      </c>
      <c r="K87" s="1001"/>
      <c r="L87" s="1001">
        <f>(Q23/$R23*100*($E23/365))+(Q24/$R24*100*($E24/365))</f>
        <v>14.835164835164836</v>
      </c>
      <c r="M87" s="1001"/>
      <c r="N87" s="1011">
        <f t="shared" si="37"/>
        <v>100</v>
      </c>
      <c r="O87" s="1011"/>
      <c r="P87" s="12"/>
      <c r="Q87" s="12"/>
      <c r="R87" s="12">
        <v>1997</v>
      </c>
      <c r="S87" s="8">
        <f>(O23*($E23/365))+(O24*($E24/365))</f>
        <v>46.5</v>
      </c>
      <c r="T87" s="8">
        <f>(P23*($E23/365))+(P24*($E24/365))</f>
        <v>0</v>
      </c>
      <c r="U87" s="8">
        <f>(Q23*($E23/365))+(Q24*($E24/365))</f>
        <v>8.1</v>
      </c>
      <c r="V87" s="12"/>
      <c r="W87" s="7">
        <f t="shared" si="38"/>
        <v>54.6</v>
      </c>
    </row>
    <row r="88" spans="1:26" ht="9" customHeight="1">
      <c r="A88" s="1">
        <v>1998</v>
      </c>
      <c r="B88" s="8">
        <f>(K25*($E25/365))+(K26*($E26/365))+(K27*($E27/365))+(K28*($E28/365))</f>
        <v>70.742770167427707</v>
      </c>
      <c r="C88" s="8">
        <f>(L25*($E25/365))+(L26*($E26/365))+(L27*($E27/365))+(L28*($E28/365))</f>
        <v>1.3150684931506849</v>
      </c>
      <c r="D88" s="8">
        <f>(M25*($E25/365))+(M26*($E26/365))+(M27*($E27/365))+(M28*($E28/365))</f>
        <v>23.741248097412477</v>
      </c>
      <c r="E88" s="52">
        <f t="shared" si="36"/>
        <v>95.799086757990878</v>
      </c>
      <c r="F88" s="12"/>
      <c r="G88" s="12">
        <v>1998</v>
      </c>
      <c r="H88" s="1001">
        <f>(O25/$R25*100*($E25/365))+(O26/$R26*100*($E26/365))+(O27/$R27*100*($E27/365))+(O28/$R28*100*($E28/365))</f>
        <v>82.887900433636176</v>
      </c>
      <c r="I88" s="1001"/>
      <c r="J88" s="1001">
        <f>(P25/$R25*100*($E25/365))+(P26/$R26*100*($E26/365))+(P27/$R27*100*($E27/365))+(P28/$R28*100*($E28/365))</f>
        <v>1.4140521431727795</v>
      </c>
      <c r="K88" s="1001"/>
      <c r="L88" s="1001">
        <f>(Q25/$R25*100*($E25/365))+(Q26/$R26*100*($E26/365))+(Q27/$R27*100*($E27/365))+(Q28/$R28*100*($E28/365))</f>
        <v>15.69804742319104</v>
      </c>
      <c r="M88" s="1001"/>
      <c r="N88" s="1011">
        <f t="shared" si="37"/>
        <v>100</v>
      </c>
      <c r="O88" s="1011"/>
      <c r="P88" s="12"/>
      <c r="Q88" s="12"/>
      <c r="R88" s="12">
        <v>1998</v>
      </c>
      <c r="S88" s="8">
        <f>(O25*($E25/365))+(O26*($E26/365))+(O27*($E27/365))+(O28*($E28/365))</f>
        <v>45.640821917808211</v>
      </c>
      <c r="T88" s="8">
        <f>(P25*($E25/365))+(P26*($E26/365))+(P27*($E27/365))+(P28*($E28/365))</f>
        <v>0.87671232876712324</v>
      </c>
      <c r="U88" s="8">
        <f>(Q25*($E25/365))+(Q26*($E26/365))+(Q27*($E27/365))+(Q28*($E28/365))</f>
        <v>8.731232876712328</v>
      </c>
      <c r="V88" s="12"/>
      <c r="W88" s="7">
        <f t="shared" si="38"/>
        <v>55.248767123287664</v>
      </c>
    </row>
    <row r="89" spans="1:26" ht="9" customHeight="1">
      <c r="A89" s="1">
        <v>1999</v>
      </c>
      <c r="B89" s="8">
        <f>(K29*($E29/365))+(K30*($E30/365))</f>
        <v>55.000000000000007</v>
      </c>
      <c r="C89" s="8">
        <f>(L29*($E29/365))+(L30*($E30/365))</f>
        <v>15</v>
      </c>
      <c r="D89" s="8">
        <f>(M29*($E29/365))+(M30*($E30/365))</f>
        <v>30</v>
      </c>
      <c r="E89" s="52">
        <f t="shared" si="36"/>
        <v>100</v>
      </c>
      <c r="F89" s="12"/>
      <c r="G89" s="12">
        <v>1999</v>
      </c>
      <c r="H89" s="1001">
        <f>(O29/$R29*100*($E29/365))+(O30/$R30*100*($E30/365))</f>
        <v>59.193548387096783</v>
      </c>
      <c r="I89" s="1001"/>
      <c r="J89" s="1001">
        <f>(P29/$R29*100*($E29/365))+(P30/$R30*100*($E30/365))</f>
        <v>16.129032258064516</v>
      </c>
      <c r="K89" s="1001"/>
      <c r="L89" s="1001">
        <f>(Q29/$R29*100*($E29/365))+(Q30/$R30*100*($E30/365))</f>
        <v>24.677419354838712</v>
      </c>
      <c r="M89" s="1001"/>
      <c r="N89" s="1011">
        <f t="shared" si="37"/>
        <v>100</v>
      </c>
      <c r="O89" s="1011"/>
      <c r="P89" s="12"/>
      <c r="Q89" s="12"/>
      <c r="R89" s="12">
        <v>1999</v>
      </c>
      <c r="S89" s="8">
        <f>(O29*($E29/365))+(O30*($E30/365))</f>
        <v>36.700000000000003</v>
      </c>
      <c r="T89" s="8">
        <f>(P29*($E29/365))+(P30*($E30/365))</f>
        <v>10</v>
      </c>
      <c r="U89" s="8">
        <f>(Q29*($E29/365))+(Q30*($E30/365))</f>
        <v>15.3</v>
      </c>
      <c r="V89" s="12"/>
      <c r="W89" s="7">
        <f t="shared" si="38"/>
        <v>62</v>
      </c>
    </row>
    <row r="90" spans="1:26" ht="9" customHeight="1">
      <c r="A90" s="1">
        <v>2000</v>
      </c>
      <c r="B90" s="8">
        <f>(K31*($E31/366))+(K32*($E32/366))</f>
        <v>55.000000000000007</v>
      </c>
      <c r="C90" s="8">
        <f>(L31*($E31/366))+(L32*($E32/366))</f>
        <v>15</v>
      </c>
      <c r="D90" s="8">
        <f>(M31*($E31/366))+(M32*($E32/366))</f>
        <v>30</v>
      </c>
      <c r="E90" s="52">
        <f t="shared" si="36"/>
        <v>100</v>
      </c>
      <c r="F90" s="12"/>
      <c r="G90" s="12">
        <v>2000</v>
      </c>
      <c r="H90" s="1001">
        <f>(O31/$R31*100*($E31/366))+(O32/$R32*100*($E32/366))</f>
        <v>59.193548387096783</v>
      </c>
      <c r="I90" s="1001"/>
      <c r="J90" s="1001">
        <f>(P31/$R31*100*($E31/366))+(P32/$R32*100*($E32/366))</f>
        <v>16.129032258064516</v>
      </c>
      <c r="K90" s="1001"/>
      <c r="L90" s="1001">
        <f>(Q31/$R31*100*($E31/366))+(Q32/$R32*100*($E32/366))</f>
        <v>24.677419354838712</v>
      </c>
      <c r="M90" s="1001"/>
      <c r="N90" s="1011">
        <f t="shared" si="37"/>
        <v>100</v>
      </c>
      <c r="O90" s="1011"/>
      <c r="P90" s="12"/>
      <c r="Q90" s="12"/>
      <c r="R90" s="12">
        <v>2000</v>
      </c>
      <c r="S90" s="8">
        <f>(O31*($E31/366))+(O32*($E32/366))</f>
        <v>36.700000000000003</v>
      </c>
      <c r="T90" s="8">
        <f>(P31*($E31/366))+(P32*($E32/366))</f>
        <v>10</v>
      </c>
      <c r="U90" s="8">
        <f>(Q31*($E31/366))+(Q32*($E32/366))</f>
        <v>15.3</v>
      </c>
      <c r="V90" s="12"/>
      <c r="W90" s="7">
        <f t="shared" si="38"/>
        <v>62</v>
      </c>
    </row>
    <row r="91" spans="1:26" ht="9" customHeight="1">
      <c r="A91" s="1">
        <v>2001</v>
      </c>
      <c r="B91" s="8">
        <f>(K33*($E33/365))+(K34*($E34/365))</f>
        <v>55.000000000000007</v>
      </c>
      <c r="C91" s="8">
        <f>(L33*($E33/365))+(L34*($E34/365))</f>
        <v>15</v>
      </c>
      <c r="D91" s="8">
        <f>(M33*($E33/365))+(M34*($E34/365))</f>
        <v>30</v>
      </c>
      <c r="E91" s="52">
        <f t="shared" si="36"/>
        <v>100</v>
      </c>
      <c r="F91" s="12"/>
      <c r="G91" s="12">
        <v>2001</v>
      </c>
      <c r="H91" s="1001">
        <f>(O33/$R33*100*($E33/365))+(O34/$R34*100*($E34/365))</f>
        <v>59.193548387096783</v>
      </c>
      <c r="I91" s="1001"/>
      <c r="J91" s="1001">
        <f>(P33/$R33*100*($E33/365))+(P34/$R34*100*($E34/365))</f>
        <v>16.129032258064516</v>
      </c>
      <c r="K91" s="1001"/>
      <c r="L91" s="1001">
        <f>(Q33/$R33*100*($E33/365))+(Q34/$R34*100*($E34/365))</f>
        <v>24.677419354838712</v>
      </c>
      <c r="M91" s="1001"/>
      <c r="N91" s="1011">
        <f t="shared" si="37"/>
        <v>100</v>
      </c>
      <c r="O91" s="1011"/>
      <c r="P91" s="12"/>
      <c r="Q91" s="12"/>
      <c r="R91" s="12">
        <v>2001</v>
      </c>
      <c r="S91" s="8">
        <f>(O33*($E33/365))+(O34*($E34/365))</f>
        <v>36.700000000000003</v>
      </c>
      <c r="T91" s="8">
        <f>(P33*($E33/365))+(P34*($E34/365))</f>
        <v>10</v>
      </c>
      <c r="U91" s="8">
        <f>(Q33*($E33/365))+(Q34*($E34/365))</f>
        <v>15.3</v>
      </c>
      <c r="V91" s="12"/>
      <c r="W91" s="7">
        <f t="shared" si="38"/>
        <v>62</v>
      </c>
    </row>
    <row r="92" spans="1:26" ht="9" customHeight="1">
      <c r="A92" s="1">
        <v>2002</v>
      </c>
      <c r="B92" s="8">
        <f>(K35*($E35/365))+(K36*($E36/365))</f>
        <v>50.43150684931507</v>
      </c>
      <c r="C92" s="8">
        <f>(L35*($E35/365))+(L36*($E36/365))</f>
        <v>23.349315068493148</v>
      </c>
      <c r="D92" s="8">
        <f>(M35*($E35/365))+(M36*($E36/365))</f>
        <v>26.219178082191778</v>
      </c>
      <c r="E92" s="52">
        <f t="shared" si="36"/>
        <v>100</v>
      </c>
      <c r="F92" s="12"/>
      <c r="G92" s="12">
        <v>2002</v>
      </c>
      <c r="H92" s="1001">
        <f>(O35/$R35*100*($E35/365))+(O36/$R36*100*($E36/365))</f>
        <v>54.157143342737697</v>
      </c>
      <c r="I92" s="1001"/>
      <c r="J92" s="1001">
        <f>(P35/$R35*100*($E35/365))+(P36/$R36*100*($E36/365))</f>
        <v>24.275468234814234</v>
      </c>
      <c r="K92" s="1001"/>
      <c r="L92" s="1001">
        <f>(Q35/$R35*100*($E35/365))+(Q36/$R36*100*($E36/365))</f>
        <v>21.567388422448079</v>
      </c>
      <c r="M92" s="1001"/>
      <c r="N92" s="1011">
        <f t="shared" si="37"/>
        <v>100.00000000000001</v>
      </c>
      <c r="O92" s="1011"/>
      <c r="P92" s="12"/>
      <c r="Q92" s="12"/>
      <c r="R92" s="12">
        <v>2002</v>
      </c>
      <c r="S92" s="8">
        <f>(O35*($E35/365))+(O36*($E36/365))</f>
        <v>33.335068493150686</v>
      </c>
      <c r="T92" s="8">
        <f>(P35*($E35/365))+(P36*($E36/365))</f>
        <v>14.032876712328768</v>
      </c>
      <c r="U92" s="8">
        <f>(Q35*($E35/365))+(Q36*($E36/365))</f>
        <v>13.371780821917808</v>
      </c>
      <c r="V92" s="12"/>
      <c r="W92" s="7">
        <f t="shared" si="38"/>
        <v>60.739726027397268</v>
      </c>
    </row>
    <row r="93" spans="1:26" ht="9" customHeight="1">
      <c r="A93" s="1">
        <v>2003</v>
      </c>
      <c r="B93" s="8">
        <f>(K37*($E37/365))+(K38*($E38/365))</f>
        <v>18.75</v>
      </c>
      <c r="C93" s="8">
        <f>(L37*($E37/365))+(L38*($E38/365))</f>
        <v>81.25</v>
      </c>
      <c r="D93" s="8">
        <f>(M37*($E37/365))+(M38*($E38/365))</f>
        <v>0</v>
      </c>
      <c r="E93" s="52">
        <f t="shared" si="36"/>
        <v>100</v>
      </c>
      <c r="F93" s="12"/>
      <c r="G93" s="12">
        <v>2003</v>
      </c>
      <c r="H93" s="1001">
        <f>(O37/$R37*100*($E37/365))+(O38/$R38*100*($E38/365))</f>
        <v>19.230769230769234</v>
      </c>
      <c r="I93" s="1001"/>
      <c r="J93" s="1001">
        <f>(P37/$R37*100*($E37/365))+(P38/$R38*100*($E38/365))</f>
        <v>80.769230769230774</v>
      </c>
      <c r="K93" s="1001"/>
      <c r="L93" s="1001">
        <f>(Q37/$R37*100*($E37/365))+(Q38/$R38*100*($E38/365))</f>
        <v>0</v>
      </c>
      <c r="M93" s="1001"/>
      <c r="N93" s="1011">
        <f t="shared" si="37"/>
        <v>100</v>
      </c>
      <c r="O93" s="1011"/>
      <c r="P93" s="12"/>
      <c r="Q93" s="12"/>
      <c r="R93" s="12">
        <v>2003</v>
      </c>
      <c r="S93" s="8">
        <f>(O37*($E37/365))+(O38*($E38/365))</f>
        <v>10</v>
      </c>
      <c r="T93" s="8">
        <f>(P37*($E37/365))+(P38*($E38/365))</f>
        <v>42</v>
      </c>
      <c r="U93" s="8">
        <f>(Q37*($E37/365))+(Q38*($E38/365))</f>
        <v>0</v>
      </c>
      <c r="V93" s="12"/>
      <c r="W93" s="7">
        <f t="shared" si="38"/>
        <v>52</v>
      </c>
    </row>
    <row r="94" spans="1:26" ht="9" customHeight="1">
      <c r="A94" s="1">
        <v>2004</v>
      </c>
      <c r="B94" s="8">
        <f>(K39*($E39/366))+(K40*($E40/366))</f>
        <v>18.75</v>
      </c>
      <c r="C94" s="8">
        <f>(L39*($E39/366))+(L40*($E40/366))</f>
        <v>81.25</v>
      </c>
      <c r="D94" s="8">
        <f>(M39*($E39/366))+(M40*($E40/366))</f>
        <v>0</v>
      </c>
      <c r="E94" s="52">
        <f t="shared" si="36"/>
        <v>100</v>
      </c>
      <c r="F94" s="12"/>
      <c r="G94" s="12">
        <v>2004</v>
      </c>
      <c r="H94" s="1001">
        <f>(O39/$R39*100*($E39/366))+(O40/$R40*100*($E40/366))</f>
        <v>19.230769230769234</v>
      </c>
      <c r="I94" s="1001"/>
      <c r="J94" s="1001">
        <f>(P39/$R39*100*($E39/366))+(P40/$R40*100*($E40/366))</f>
        <v>80.769230769230774</v>
      </c>
      <c r="K94" s="1001"/>
      <c r="L94" s="1001">
        <f>(Q39/$R39*100*($E39/366))+(Q40/$R40*100*($E40/366))</f>
        <v>0</v>
      </c>
      <c r="M94" s="1001"/>
      <c r="N94" s="1011">
        <f t="shared" si="37"/>
        <v>100</v>
      </c>
      <c r="O94" s="1011"/>
      <c r="P94" s="12"/>
      <c r="Q94" s="12"/>
      <c r="R94" s="12">
        <v>2004</v>
      </c>
      <c r="S94" s="8">
        <f>(O39*($E39/366))+(O40*($E40/366))</f>
        <v>10</v>
      </c>
      <c r="T94" s="8">
        <f>(P39*($E39/366))+(P40*($E40/366))</f>
        <v>42</v>
      </c>
      <c r="U94" s="8">
        <f>(Q39*($E39/366))+(Q40*($E40/366))</f>
        <v>0</v>
      </c>
      <c r="V94" s="12"/>
      <c r="W94" s="7">
        <f t="shared" si="38"/>
        <v>52</v>
      </c>
    </row>
    <row r="95" spans="1:26" ht="9" customHeight="1">
      <c r="A95" s="1">
        <v>2005</v>
      </c>
      <c r="B95" s="8">
        <f>(K41*($E41/365))+(K42*($E42/365))</f>
        <v>18.75</v>
      </c>
      <c r="C95" s="8">
        <f>(L41*($E41/365))+(L42*($E42/365))</f>
        <v>81.25</v>
      </c>
      <c r="D95" s="8">
        <f>(M41*($E41/365))+(M42*($E42/365))</f>
        <v>0</v>
      </c>
      <c r="E95" s="52">
        <f t="shared" si="36"/>
        <v>100</v>
      </c>
      <c r="F95" s="12"/>
      <c r="G95" s="12">
        <v>2005</v>
      </c>
      <c r="H95" s="1001">
        <f>(O41/$R41*100*($E41/365))+(O42/$R42*100*($E42/365))</f>
        <v>19.230769230769234</v>
      </c>
      <c r="I95" s="1001"/>
      <c r="J95" s="1001">
        <f>(P41/$R41*100*($E41/365))+(P42/$R42*100*($E42/365))</f>
        <v>80.769230769230774</v>
      </c>
      <c r="K95" s="1001"/>
      <c r="L95" s="1001">
        <f>(Q41/$R41*100*($E41/365))+(Q42/$R42*100*($E42/365))</f>
        <v>0</v>
      </c>
      <c r="M95" s="1001"/>
      <c r="N95" s="1011">
        <f t="shared" si="37"/>
        <v>100</v>
      </c>
      <c r="O95" s="1011"/>
      <c r="P95" s="12"/>
      <c r="Q95" s="12"/>
      <c r="R95" s="12">
        <v>2005</v>
      </c>
      <c r="S95" s="8">
        <f>(O41*($E41/365))+(O42*($E42/365))</f>
        <v>10</v>
      </c>
      <c r="T95" s="8">
        <f>(P41*($E41/365))+(P42*($E42/365))</f>
        <v>42</v>
      </c>
      <c r="U95" s="8">
        <f>(Q41*($E41/365))+(Q42*($E42/365))</f>
        <v>0</v>
      </c>
      <c r="V95" s="12"/>
      <c r="W95" s="7">
        <f t="shared" si="38"/>
        <v>52</v>
      </c>
    </row>
    <row r="96" spans="1:26" ht="9" customHeight="1">
      <c r="A96" s="1">
        <v>2006</v>
      </c>
      <c r="B96" s="8">
        <f>(K43*($E43/365))+(K44*($E44/365))+(K45*($E45/365))+(K46*($E46/365))</f>
        <v>23.304794520547944</v>
      </c>
      <c r="C96" s="8">
        <f>(L43*($E43/365))+(L44*($E44/365))+(L45*($E45/365))+(L46*($E46/365))</f>
        <v>38.458904109589042</v>
      </c>
      <c r="D96" s="8">
        <f>(M43*($E43/365))+(M44*($E44/365))+(M45*($E45/365))+(M46*($E46/365))</f>
        <v>34.092465753424662</v>
      </c>
      <c r="E96" s="52">
        <f t="shared" si="36"/>
        <v>95.856164383561648</v>
      </c>
      <c r="F96" s="12"/>
      <c r="G96" s="12">
        <v>2006</v>
      </c>
      <c r="H96" s="1001">
        <f>(O43/$R43*100*($E43/365))+(O44/$R44*100*($E44/365))+(O45/$R45*100*($E45/365))+(O46/$R46*100*($E46/365))</f>
        <v>31.944419101506075</v>
      </c>
      <c r="I96" s="1001"/>
      <c r="J96" s="1001">
        <f>(P43/$R43*100*($E43/365))+(P44/$R44*100*($E44/365))+(P45/$R45*100*($E45/365))+(P46/$R46*100*($E46/365))</f>
        <v>38.885041898740525</v>
      </c>
      <c r="K96" s="1001"/>
      <c r="L96" s="1001">
        <f>(Q43/$R43*100*($E43/365))+(Q44/$R44*100*($E44/365))+(Q45/$R45*100*($E45/365))+(Q46/$R46*100*($E46/365))</f>
        <v>29.170538999753393</v>
      </c>
      <c r="M96" s="1001"/>
      <c r="N96" s="1011">
        <f t="shared" si="37"/>
        <v>99.999999999999986</v>
      </c>
      <c r="O96" s="1011"/>
      <c r="P96" s="12"/>
      <c r="Q96" s="12"/>
      <c r="R96" s="12">
        <v>2006</v>
      </c>
      <c r="S96" s="8">
        <f>(O43*($E43/365))+(O44*($E44/365))+(O45*($E45/365))+(O46*($E46/365))</f>
        <v>16.61021917808219</v>
      </c>
      <c r="T96" s="8">
        <f>(P43*($E43/365))+(P44*($E44/365))+(P45*($E45/365))+(P46*($E46/365))</f>
        <v>17.172602739726024</v>
      </c>
      <c r="U96" s="8">
        <f>(Q43*($E43/365))+(Q44*($E44/365))+(Q45*($E45/365))+(Q46*($E46/365))</f>
        <v>16.528027397260274</v>
      </c>
      <c r="V96" s="12"/>
      <c r="W96" s="7">
        <f t="shared" si="38"/>
        <v>50.310849315068488</v>
      </c>
    </row>
    <row r="97" spans="1:23" ht="9" customHeight="1">
      <c r="A97" s="1">
        <v>2007</v>
      </c>
      <c r="B97" s="8">
        <f>(K47*($E47/365))+(K48*($E48/365))</f>
        <v>31.25</v>
      </c>
      <c r="C97" s="8">
        <f>(L47*($E47/365))+(L48*($E48/365))</f>
        <v>0</v>
      </c>
      <c r="D97" s="8">
        <f>(M47*($E47/365))+(M48*($E48/365))</f>
        <v>68.75</v>
      </c>
      <c r="E97" s="52">
        <f t="shared" si="36"/>
        <v>100</v>
      </c>
      <c r="F97" s="12"/>
      <c r="G97" s="12">
        <v>2007</v>
      </c>
      <c r="H97" s="1001">
        <f>(O47/$R47*100*($E47/365))+(O48/$R48*100*($E48/365))</f>
        <v>41.175432403812209</v>
      </c>
      <c r="I97" s="1001"/>
      <c r="J97" s="1001">
        <f>(P47/$R47*100*($E47/365))+(P48/$R48*100*($E48/365))</f>
        <v>0</v>
      </c>
      <c r="K97" s="1001"/>
      <c r="L97" s="1001">
        <f>(Q47/$R47*100*($E47/365))+(Q48/$R48*100*($E48/365))</f>
        <v>58.824567596187784</v>
      </c>
      <c r="M97" s="1001"/>
      <c r="N97" s="1011">
        <f t="shared" si="37"/>
        <v>100</v>
      </c>
      <c r="O97" s="1011"/>
      <c r="P97" s="12"/>
      <c r="Q97" s="12"/>
      <c r="R97" s="12">
        <v>2007</v>
      </c>
      <c r="S97" s="8">
        <f>(O47*($E47/365))+(O48*($E48/365))</f>
        <v>23.33</v>
      </c>
      <c r="T97" s="8">
        <f>(P47*($E47/365))+(P48*($E48/365))</f>
        <v>0</v>
      </c>
      <c r="U97" s="8">
        <f>(Q47*($E47/365))+(Q48*($E48/365))</f>
        <v>33.33</v>
      </c>
      <c r="V97" s="12"/>
      <c r="W97" s="7">
        <f t="shared" si="38"/>
        <v>56.66</v>
      </c>
    </row>
    <row r="98" spans="1:23" ht="9" customHeight="1">
      <c r="A98" s="1">
        <v>2008</v>
      </c>
      <c r="B98" s="8">
        <f>(K49*($E49/366))+(K50*($E50/366))</f>
        <v>31.25</v>
      </c>
      <c r="C98" s="8">
        <f>(L49*($E49/366))+(L50*($E50/366))</f>
        <v>0</v>
      </c>
      <c r="D98" s="8">
        <f>(M49*($E49/366))+(M50*($E50/366))</f>
        <v>68.75</v>
      </c>
      <c r="E98" s="52">
        <f t="shared" si="36"/>
        <v>100</v>
      </c>
      <c r="F98" s="12"/>
      <c r="G98" s="12">
        <v>2008</v>
      </c>
      <c r="H98" s="1001">
        <f>(O49/$R49*100*($E49/366))+(O50/$R50*100*($E50/366))</f>
        <v>41.175432403812209</v>
      </c>
      <c r="I98" s="1001"/>
      <c r="J98" s="1001">
        <f>(P49/$R49*100*($E49/366))+(P50/$R50*100*($E50/366))</f>
        <v>0</v>
      </c>
      <c r="K98" s="1001"/>
      <c r="L98" s="1001">
        <f>(Q49/$R49*100*($E49/366))+(Q50/$R50*100*($E50/366))</f>
        <v>58.824567596187784</v>
      </c>
      <c r="M98" s="1001"/>
      <c r="N98" s="1011">
        <f t="shared" si="37"/>
        <v>100</v>
      </c>
      <c r="O98" s="1011"/>
      <c r="P98" s="12"/>
      <c r="Q98" s="12"/>
      <c r="R98" s="12">
        <v>2008</v>
      </c>
      <c r="S98" s="8">
        <f>(O49*($E49/366))+(O50*($E50/366))</f>
        <v>23.33</v>
      </c>
      <c r="T98" s="8">
        <f>(P49*($E49/366))+(P50*($E50/366))</f>
        <v>0</v>
      </c>
      <c r="U98" s="8">
        <f>(Q49*($E49/366))+(Q50*($E50/366))</f>
        <v>33.33</v>
      </c>
      <c r="V98" s="12"/>
      <c r="W98" s="7">
        <f t="shared" si="38"/>
        <v>56.66</v>
      </c>
    </row>
    <row r="99" spans="1:23" ht="9" customHeight="1">
      <c r="A99" s="1">
        <v>2009</v>
      </c>
      <c r="B99" s="8">
        <f>(K51*($E51/365))+(K52*($E52/365))</f>
        <v>29.092465753424655</v>
      </c>
      <c r="C99" s="8">
        <f>(L51*($E51/365))+(L52*($E52/365))</f>
        <v>0</v>
      </c>
      <c r="D99" s="8">
        <f>(M51*($E51/365))+(M52*($E52/365))</f>
        <v>70.907534246575352</v>
      </c>
      <c r="E99" s="52">
        <f t="shared" si="36"/>
        <v>100</v>
      </c>
      <c r="F99" s="12"/>
      <c r="G99" s="12">
        <v>2009</v>
      </c>
      <c r="H99" s="1001">
        <f>(O51/$R51*100*($E51/365))+(O52/$R52*100*($E52/365))</f>
        <v>41.175432403812209</v>
      </c>
      <c r="I99" s="1001"/>
      <c r="J99" s="1001">
        <f>(P51/$R51*100*($E51/365))+(P52/$R52*100*($E52/365))</f>
        <v>0</v>
      </c>
      <c r="K99" s="1001"/>
      <c r="L99" s="1001">
        <f>(Q51/$R51*100*($E51/365))+(Q52/$R52*100*($E52/365))</f>
        <v>58.824567596187784</v>
      </c>
      <c r="M99" s="1001"/>
      <c r="N99" s="1011">
        <f t="shared" si="37"/>
        <v>100</v>
      </c>
      <c r="O99" s="1011"/>
      <c r="P99" s="12"/>
      <c r="Q99" s="12"/>
      <c r="R99" s="12">
        <v>2009</v>
      </c>
      <c r="S99" s="8">
        <f>(O51*($E51/365))+(O52*($E52/365))</f>
        <v>23.33</v>
      </c>
      <c r="T99" s="8">
        <f>(P51*($E51/365))+(P52*($E52/365))</f>
        <v>0</v>
      </c>
      <c r="U99" s="8">
        <f>(Q51*($E51/365))+(Q52*($E52/365))</f>
        <v>33.33</v>
      </c>
      <c r="V99" s="12"/>
      <c r="W99" s="7">
        <f t="shared" si="38"/>
        <v>56.66</v>
      </c>
    </row>
    <row r="100" spans="1:23" ht="9" customHeight="1">
      <c r="A100" s="1">
        <v>2010</v>
      </c>
      <c r="B100" s="8">
        <f>(K53*($E53/365))+(K54*($E54/365))</f>
        <v>35.447488584474883</v>
      </c>
      <c r="C100" s="8">
        <f>(L53*($E53/365))+(L54*($E54/365))</f>
        <v>25.716894977168952</v>
      </c>
      <c r="D100" s="8">
        <f>(M53*($E53/365))+(M54*($E54/365))</f>
        <v>38.835616438356162</v>
      </c>
      <c r="E100" s="52">
        <f t="shared" si="36"/>
        <v>100</v>
      </c>
      <c r="F100" s="12"/>
      <c r="G100" s="12">
        <v>2010</v>
      </c>
      <c r="H100" s="1001">
        <f>(O53/$R53*100*($E53/365))+(O54/$R54*100*($E54/365))</f>
        <v>43.297055450198371</v>
      </c>
      <c r="I100" s="1001"/>
      <c r="J100" s="1001">
        <f>(P53/$R53*100*($E53/365))+(P54/$R54*100*($E54/365))</f>
        <v>26.243099958898913</v>
      </c>
      <c r="K100" s="1001"/>
      <c r="L100" s="1001">
        <f>(Q53/$R53*100*($E53/365))+(Q54/$R54*100*($E54/365))</f>
        <v>30.459844590902716</v>
      </c>
      <c r="M100" s="1001"/>
      <c r="N100" s="1011">
        <f t="shared" si="37"/>
        <v>100</v>
      </c>
      <c r="O100" s="1011"/>
      <c r="P100" s="12"/>
      <c r="Q100" s="12"/>
      <c r="R100" s="12">
        <v>2010</v>
      </c>
      <c r="S100" s="8">
        <f>(O53*($E53/365))+(O54*($E54/365))</f>
        <v>23.653068493150684</v>
      </c>
      <c r="T100" s="8">
        <f>(P53*($E53/365))+(P54*($E54/365))</f>
        <v>13.819616438356165</v>
      </c>
      <c r="U100" s="8">
        <f>(Q53*($E53/365))+(Q54*($E54/365))</f>
        <v>17.258547945205478</v>
      </c>
      <c r="V100" s="12"/>
      <c r="W100" s="7">
        <f t="shared" si="38"/>
        <v>54.731232876712326</v>
      </c>
    </row>
    <row r="101" spans="1:23" ht="9" customHeight="1">
      <c r="A101" s="1">
        <v>2011</v>
      </c>
      <c r="B101" s="8">
        <f>(K55*($E55/365))+(K56*($E56/365))</f>
        <v>46.045662100456624</v>
      </c>
      <c r="C101" s="8">
        <f>(L55*($E55/365))+(L56*($E56/365))</f>
        <v>53.954337899543383</v>
      </c>
      <c r="D101" s="8">
        <f>(M55*($E55/365))+(M56*($E56/365))</f>
        <v>0</v>
      </c>
      <c r="E101" s="52">
        <f t="shared" si="36"/>
        <v>100</v>
      </c>
      <c r="F101" s="12"/>
      <c r="G101" s="12">
        <v>2011</v>
      </c>
      <c r="H101" s="1001">
        <f>(O55/$R55*100*($E55/365))+(O56/$R56*100*($E56/365))</f>
        <v>45.575389289783523</v>
      </c>
      <c r="I101" s="1001"/>
      <c r="J101" s="1001">
        <f>(P55/$R55*100*($E55/365))+(P56/$R56*100*($E56/365))</f>
        <v>54.424610710216498</v>
      </c>
      <c r="K101" s="1001"/>
      <c r="L101" s="1001">
        <f>(Q55/$R55*100*($E55/365))+(Q56/$R56*100*($E56/365))</f>
        <v>0</v>
      </c>
      <c r="M101" s="1001"/>
      <c r="N101" s="1011">
        <f t="shared" si="37"/>
        <v>100.00000000000003</v>
      </c>
      <c r="O101" s="1011"/>
      <c r="P101" s="12"/>
      <c r="Q101" s="12"/>
      <c r="R101" s="12">
        <v>2011</v>
      </c>
      <c r="S101" s="8">
        <f>(O55*($E55/365))+(O56*($E56/365))</f>
        <v>24</v>
      </c>
      <c r="T101" s="8">
        <f>(P55*($E55/365))+(P56*($E56/365))</f>
        <v>28.660000000000004</v>
      </c>
      <c r="U101" s="8">
        <f>(Q55*($E55/365))+(Q56*($E56/365))</f>
        <v>0</v>
      </c>
      <c r="V101" s="12"/>
      <c r="W101" s="7">
        <f t="shared" si="38"/>
        <v>52.660000000000004</v>
      </c>
    </row>
    <row r="102" spans="1:23" ht="9" customHeight="1">
      <c r="A102" s="1">
        <v>2012</v>
      </c>
      <c r="B102" s="8">
        <f>(K57*($E57/366))+(K58*($E58/366))</f>
        <v>10.273224043715848</v>
      </c>
      <c r="C102" s="8">
        <f>(L57*($E57/366))+(L58*($E58/366))</f>
        <v>15.409836065573771</v>
      </c>
      <c r="D102" s="8">
        <f>(M57*($E57/366))+(M58*($E58/366))</f>
        <v>74.316939890710387</v>
      </c>
      <c r="E102" s="52">
        <f t="shared" si="36"/>
        <v>100</v>
      </c>
      <c r="F102" s="12"/>
      <c r="G102" s="12">
        <v>2012</v>
      </c>
      <c r="H102" s="1001">
        <f>(O57/$R57*100*($E57/366))+(O58/$R58*100*($E58/366))</f>
        <v>11.705154626337842</v>
      </c>
      <c r="I102" s="1001"/>
      <c r="J102" s="1001">
        <f>(P57/$R57*100*($E57/366))+(P58/$R58*100*($E58/366))</f>
        <v>13.977905482951776</v>
      </c>
      <c r="K102" s="1001"/>
      <c r="L102" s="1001">
        <f>(Q57/$R57*100*($E57/366))+(Q58/$R58*100*($E58/366))</f>
        <v>74.316939890710387</v>
      </c>
      <c r="M102" s="1001"/>
      <c r="N102" s="1011">
        <f t="shared" si="37"/>
        <v>100</v>
      </c>
      <c r="O102" s="1011"/>
      <c r="P102" s="12"/>
      <c r="Q102" s="12"/>
      <c r="R102" s="12">
        <v>2012</v>
      </c>
      <c r="S102" s="8">
        <f>(O57*($E57/366))+(O58*($E58/366))</f>
        <v>6.1639344262295079</v>
      </c>
      <c r="T102" s="8">
        <f>(P57*($E57/366))+(P58*($E58/366))</f>
        <v>7.3607650273224046</v>
      </c>
      <c r="U102" s="8">
        <f>(Q57*($E57/366))+(Q58*($E58/366))</f>
        <v>41.09726775956284</v>
      </c>
      <c r="V102" s="12"/>
      <c r="W102" s="7">
        <f t="shared" si="38"/>
        <v>54.62196721311475</v>
      </c>
    </row>
    <row r="103" spans="1:23" ht="9" customHeight="1">
      <c r="A103" s="1">
        <v>2013</v>
      </c>
      <c r="B103" s="8">
        <f>(K59*($E59/365))+(K60*($E60/365))</f>
        <v>0</v>
      </c>
      <c r="C103" s="8">
        <f>(L59*($E59/365))+(L60*($E60/365))</f>
        <v>0</v>
      </c>
      <c r="D103" s="8">
        <f>(M59*($E59/365))+(M60*($E60/365))</f>
        <v>100</v>
      </c>
      <c r="E103" s="52">
        <f>B103+C103+D103</f>
        <v>100</v>
      </c>
      <c r="G103" s="12">
        <v>2013</v>
      </c>
      <c r="H103" s="1001">
        <f>(O59/$R59*100*($E59/365))+(O60/$R60*100*($E60/365))</f>
        <v>0</v>
      </c>
      <c r="I103" s="1001"/>
      <c r="J103" s="1001">
        <f>(P59/$R59*100*($E59/365))+(P60/$R60*100*($E60/365))</f>
        <v>0</v>
      </c>
      <c r="K103" s="1001"/>
      <c r="L103" s="1001">
        <f>(Q59/$R59*100*($E59/365))+(Q60/$R60*100*($E60/365))</f>
        <v>100</v>
      </c>
      <c r="M103" s="1001"/>
      <c r="N103" s="1011">
        <f>H103+J103+L103</f>
        <v>100</v>
      </c>
      <c r="O103" s="1011"/>
      <c r="R103" s="12">
        <v>2013</v>
      </c>
      <c r="S103" s="8">
        <f>(O59*($E59/365))+(O60*($E60/365))</f>
        <v>0</v>
      </c>
      <c r="T103" s="8">
        <f>(P59*($E59/365))+(P60*($E60/365))</f>
        <v>0</v>
      </c>
      <c r="U103" s="8">
        <f>(Q59*($E59/365))+(Q60*($E60/365))</f>
        <v>55.3</v>
      </c>
      <c r="V103" s="12"/>
      <c r="W103" s="7">
        <f t="shared" ref="W103:W108" si="39">S103+T103+U103</f>
        <v>55.3</v>
      </c>
    </row>
    <row r="104" spans="1:23" ht="9" customHeight="1">
      <c r="A104" s="1">
        <v>2014</v>
      </c>
      <c r="B104" s="8">
        <f>(K61*($E61/365))+(K62*($E62/365))</f>
        <v>0</v>
      </c>
      <c r="C104" s="8">
        <f>(L61*($E61/365))+(L62*($E62/365))</f>
        <v>0</v>
      </c>
      <c r="D104" s="8">
        <f>(M61*($E61/365))+(M62*($E62/365))</f>
        <v>100</v>
      </c>
      <c r="E104" s="52">
        <f>B104+C104+D104</f>
        <v>100</v>
      </c>
      <c r="G104" s="12">
        <v>2014</v>
      </c>
      <c r="H104" s="1001">
        <f>(O61/$R61*100*($E61/365))+(O62/$R62*100*($E62/365))</f>
        <v>0</v>
      </c>
      <c r="I104" s="1001"/>
      <c r="J104" s="1001">
        <f>(P61/$R61*100*($E61/365))+(P62/$R62*100*($E62/365))</f>
        <v>0</v>
      </c>
      <c r="K104" s="1001"/>
      <c r="L104" s="1001">
        <f>(Q61/$R61*100*($E61/365))+(Q62/$R62*100*($E62/365))</f>
        <v>100</v>
      </c>
      <c r="M104" s="1001"/>
      <c r="N104" s="1011">
        <f>H104+J104+L104</f>
        <v>100</v>
      </c>
      <c r="O104" s="1011"/>
      <c r="R104" s="12">
        <v>2014</v>
      </c>
      <c r="S104" s="8">
        <f>(O61*($E61/365))+(O62*($E62/365))</f>
        <v>0</v>
      </c>
      <c r="T104" s="8">
        <f>(P61*($E61/365))+(P62*($E62/365))</f>
        <v>0</v>
      </c>
      <c r="U104" s="8">
        <f>(Q61*($E61/365))+(Q62*($E62/365))</f>
        <v>55.3</v>
      </c>
      <c r="V104" s="12"/>
      <c r="W104" s="7">
        <f t="shared" si="39"/>
        <v>55.3</v>
      </c>
    </row>
    <row r="105" spans="1:23" s="756" customFormat="1" ht="9" customHeight="1">
      <c r="A105" s="756">
        <v>2015</v>
      </c>
      <c r="B105" s="750">
        <f>(K63*($E63/365))+(K64*($E64/365))</f>
        <v>0</v>
      </c>
      <c r="C105" s="750">
        <f>(L63*($E63/365))+(L64*($E64/365))</f>
        <v>0</v>
      </c>
      <c r="D105" s="750">
        <f>(M63*($E63/365))+(M64*($E64/365))</f>
        <v>100</v>
      </c>
      <c r="E105" s="52">
        <f>B105+C105+D105</f>
        <v>100</v>
      </c>
      <c r="G105" s="12">
        <v>2015</v>
      </c>
      <c r="H105" s="1001">
        <f>(O63/$R63*100*($E63/365))+(O64/$R64*100*($E64/365))</f>
        <v>0</v>
      </c>
      <c r="I105" s="1001"/>
      <c r="J105" s="1001">
        <f>(P63/$R63*100*($E63/365))+(P64/$R64*100*($E64/365))</f>
        <v>0</v>
      </c>
      <c r="K105" s="1001"/>
      <c r="L105" s="1001">
        <f>(Q63/$R63*100*($E63/365))+(Q64/$R64*100*($E64/365))</f>
        <v>100</v>
      </c>
      <c r="M105" s="1001"/>
      <c r="N105" s="1011">
        <f>H105+J105+L105</f>
        <v>100</v>
      </c>
      <c r="O105" s="1011"/>
      <c r="R105" s="12">
        <v>2015</v>
      </c>
      <c r="S105" s="750">
        <f>(O63*($E63/365))+(O64*($E64/365))</f>
        <v>0</v>
      </c>
      <c r="T105" s="750">
        <f>(P63*($E63/365))+(P64*($E64/365))</f>
        <v>0</v>
      </c>
      <c r="U105" s="750">
        <f>(Q63*($E63/365))+(Q64*($E64/365))</f>
        <v>55.3</v>
      </c>
      <c r="V105" s="12"/>
      <c r="W105" s="753">
        <f t="shared" si="39"/>
        <v>55.3</v>
      </c>
    </row>
    <row r="106" spans="1:23" s="856" customFormat="1" ht="9" customHeight="1">
      <c r="A106" s="874">
        <v>2016</v>
      </c>
      <c r="B106" s="869">
        <f>(K65*($E65/366))+(K66*($E66/366))+(K67*($E67/366))</f>
        <v>28.105646630236791</v>
      </c>
      <c r="C106" s="869">
        <f t="shared" ref="C106:D106" si="40">(L65*($E65/366))+(L66*($E66/366))+(L67*($E67/366))</f>
        <v>2.9326047358834244</v>
      </c>
      <c r="D106" s="869">
        <f t="shared" si="40"/>
        <v>68.961748633879779</v>
      </c>
      <c r="E106" s="52">
        <f>B106+C106+D106</f>
        <v>100</v>
      </c>
      <c r="F106" s="874"/>
      <c r="G106" s="12">
        <v>2016</v>
      </c>
      <c r="H106" s="1001">
        <f>(O65/$R65*100*($E65/366))+(O66/$R66*100*($E66/366))+(O67/$R67*100*($E67/366))</f>
        <v>46.387148979530679</v>
      </c>
      <c r="I106" s="1001"/>
      <c r="J106" s="1001">
        <f>(P65/$R65*100*($E65/366))+(P66/$R66*100*($E66/366))+(P67/$R67*100*($E67/366))</f>
        <v>6.6672660612781085</v>
      </c>
      <c r="K106" s="1001"/>
      <c r="L106" s="1001">
        <f>(Q65/$R65*100*($E65/366))+(Q66/$R66*100*($E66/366))+(Q67/$R67*100*($E67/366))</f>
        <v>46.945584959191216</v>
      </c>
      <c r="M106" s="1001"/>
      <c r="N106" s="1011">
        <f>H106+J106+L106</f>
        <v>100</v>
      </c>
      <c r="O106" s="1011"/>
      <c r="P106" s="874"/>
      <c r="Q106" s="874"/>
      <c r="R106" s="12">
        <v>2016</v>
      </c>
      <c r="S106" s="869">
        <f>(O65*($E65/366))+(O66*($E66/366))+(O67*($E67/366))</f>
        <v>25.373770491803278</v>
      </c>
      <c r="T106" s="869">
        <f>(P65*($E65/366))+(P66*($E66/366))+(P67*($E67/366))</f>
        <v>3.6469945355191258</v>
      </c>
      <c r="U106" s="869">
        <f>(Q65*($E65/366))+(Q66*($E66/366))+(Q67*($E67/367))</f>
        <v>25.797819419008054</v>
      </c>
      <c r="V106" s="12"/>
      <c r="W106" s="873">
        <f t="shared" si="39"/>
        <v>54.818584446330462</v>
      </c>
    </row>
    <row r="107" spans="1:23">
      <c r="A107" s="920">
        <v>2017</v>
      </c>
      <c r="B107" s="915">
        <f>(K68*($E68/365))+(K69*($E69/365))</f>
        <v>40</v>
      </c>
      <c r="C107" s="915">
        <f t="shared" ref="C107:D107" si="41">(L68*($E68/365))+(L69*($E69/365))</f>
        <v>0</v>
      </c>
      <c r="D107" s="915">
        <f t="shared" si="41"/>
        <v>60</v>
      </c>
      <c r="E107" s="52">
        <f>B107+C107+D107</f>
        <v>100</v>
      </c>
      <c r="F107" s="920"/>
      <c r="G107" s="12">
        <v>2017</v>
      </c>
      <c r="H107" s="1001">
        <f>(O68/$R68*100*($E68/365))+(O69/$R69*100*($E69/365))</f>
        <v>59.78062157221207</v>
      </c>
      <c r="I107" s="1001"/>
      <c r="J107" s="1001">
        <f>(P68/$R68*100*($E68/365))+(P69/$R69*100*($E69/365))</f>
        <v>8.592321755027422</v>
      </c>
      <c r="K107" s="1001"/>
      <c r="L107" s="1001">
        <f>(Q68/$R68*100*($E68/365))+(Q69/$R69*100*($E69/365))</f>
        <v>31.62705667276051</v>
      </c>
      <c r="M107" s="1001"/>
      <c r="N107" s="1011">
        <f>H107+J107+L107</f>
        <v>100</v>
      </c>
      <c r="O107" s="1011"/>
      <c r="P107" s="920"/>
      <c r="Q107" s="920"/>
      <c r="R107" s="12">
        <v>2017</v>
      </c>
      <c r="S107" s="915">
        <f>(O68*($E68/365))+(O69*($E69/365))</f>
        <v>32.700000000000003</v>
      </c>
      <c r="T107" s="915">
        <f t="shared" ref="T107:U107" si="42">(P68*($E68/365))+(P69*($E69/365))</f>
        <v>4.7</v>
      </c>
      <c r="U107" s="915">
        <f t="shared" si="42"/>
        <v>17.3</v>
      </c>
      <c r="V107" s="12"/>
      <c r="W107" s="917">
        <f t="shared" si="39"/>
        <v>54.7</v>
      </c>
    </row>
    <row r="108" spans="1:23">
      <c r="A108" s="950">
        <v>2018</v>
      </c>
      <c r="B108" s="947">
        <f>(K70*($E70/365))+(K71*($E71/365))</f>
        <v>40</v>
      </c>
      <c r="C108" s="947">
        <f>(L70*($E70/365))+(L71*($E71/365))</f>
        <v>0</v>
      </c>
      <c r="D108" s="947">
        <f>(M70*($E70/365))+(M71*($E71/365))</f>
        <v>60</v>
      </c>
      <c r="E108" s="52">
        <f t="shared" ref="E108" si="43">B108+C108+D108</f>
        <v>100</v>
      </c>
      <c r="F108" s="950"/>
      <c r="G108" s="12">
        <v>2018</v>
      </c>
      <c r="H108" s="1001">
        <f>(O70/$R70*100*($E70/365))+(O71/$R71*100*($E71/365))</f>
        <v>59.78062157221207</v>
      </c>
      <c r="I108" s="1001"/>
      <c r="J108" s="1001">
        <f>(P70/$R70*100*($E70/365))+(P71/$R71*100*($E71/365))</f>
        <v>8.592321755027422</v>
      </c>
      <c r="K108" s="1001"/>
      <c r="L108" s="1001">
        <f>(Q70/$R70*100*($E70/365))+(Q71/$R71*100*($E71/365))</f>
        <v>31.62705667276051</v>
      </c>
      <c r="M108" s="1001"/>
      <c r="N108" s="1011">
        <f t="shared" ref="N108" si="44">H108+J108+L108</f>
        <v>100</v>
      </c>
      <c r="O108" s="1011"/>
      <c r="P108" s="950"/>
      <c r="Q108" s="950"/>
      <c r="R108" s="12">
        <v>2018</v>
      </c>
      <c r="S108" s="947">
        <f>(O70*($E70/365))+(O71*($E71/365))</f>
        <v>32.700000000000003</v>
      </c>
      <c r="T108" s="947">
        <f>(P70*($E70/365))+(P71*($E71/365))</f>
        <v>4.7</v>
      </c>
      <c r="U108" s="947">
        <f>(Q70*($E70/365))+(Q71*($E71/365))</f>
        <v>17.3</v>
      </c>
      <c r="V108" s="12"/>
      <c r="W108" s="949">
        <f t="shared" si="39"/>
        <v>54.7</v>
      </c>
    </row>
    <row r="112" spans="1:23">
      <c r="B112" s="8"/>
      <c r="C112" s="8"/>
      <c r="D112" s="8"/>
    </row>
    <row r="113" spans="2:10">
      <c r="B113" s="8"/>
      <c r="C113" s="8"/>
      <c r="D113" s="8"/>
      <c r="H113" s="5"/>
      <c r="I113" s="5"/>
      <c r="J113" s="5"/>
    </row>
    <row r="114" spans="2:10">
      <c r="B114" s="8"/>
      <c r="C114" s="8"/>
      <c r="D114" s="8"/>
      <c r="H114" s="5"/>
      <c r="I114" s="5"/>
      <c r="J114" s="5"/>
    </row>
    <row r="115" spans="2:10">
      <c r="B115" s="8"/>
      <c r="C115" s="8"/>
      <c r="D115" s="8"/>
      <c r="H115" s="5"/>
      <c r="I115" s="5"/>
      <c r="J115" s="5"/>
    </row>
    <row r="116" spans="2:10">
      <c r="B116" s="8"/>
      <c r="C116" s="8"/>
      <c r="D116" s="8"/>
      <c r="H116" s="5"/>
      <c r="I116" s="5"/>
      <c r="J116" s="5"/>
    </row>
    <row r="117" spans="2:10">
      <c r="B117" s="8"/>
      <c r="C117" s="8"/>
      <c r="D117" s="8"/>
      <c r="H117" s="5"/>
      <c r="I117" s="5"/>
      <c r="J117" s="5"/>
    </row>
    <row r="118" spans="2:10">
      <c r="B118" s="8"/>
      <c r="C118" s="8"/>
      <c r="D118" s="8"/>
      <c r="H118" s="5"/>
      <c r="I118" s="5"/>
      <c r="J118" s="5"/>
    </row>
    <row r="119" spans="2:10">
      <c r="B119" s="8"/>
      <c r="C119" s="8"/>
      <c r="D119" s="8"/>
      <c r="H119" s="5"/>
      <c r="I119" s="5"/>
      <c r="J119" s="5"/>
    </row>
    <row r="120" spans="2:10">
      <c r="B120" s="8"/>
      <c r="C120" s="8"/>
      <c r="D120" s="8"/>
      <c r="H120" s="5"/>
      <c r="I120" s="5"/>
      <c r="J120" s="5"/>
    </row>
    <row r="121" spans="2:10">
      <c r="B121" s="8"/>
      <c r="C121" s="8"/>
      <c r="D121" s="8"/>
      <c r="H121" s="5"/>
      <c r="I121" s="5"/>
      <c r="J121" s="5"/>
    </row>
    <row r="122" spans="2:10">
      <c r="B122" s="8"/>
      <c r="C122" s="8"/>
      <c r="D122" s="8"/>
      <c r="H122" s="5"/>
      <c r="I122" s="5"/>
      <c r="J122" s="5"/>
    </row>
    <row r="123" spans="2:10">
      <c r="B123" s="8"/>
      <c r="C123" s="8"/>
      <c r="D123" s="8"/>
      <c r="H123" s="5"/>
      <c r="I123" s="5"/>
      <c r="J123" s="5"/>
    </row>
    <row r="124" spans="2:10">
      <c r="B124" s="8"/>
      <c r="C124" s="8"/>
      <c r="D124" s="8"/>
      <c r="H124" s="5"/>
      <c r="I124" s="5"/>
      <c r="J124" s="5"/>
    </row>
    <row r="125" spans="2:10">
      <c r="B125" s="8"/>
      <c r="C125" s="8"/>
      <c r="D125" s="8"/>
      <c r="H125" s="5"/>
      <c r="I125" s="5"/>
      <c r="J125" s="5"/>
    </row>
    <row r="126" spans="2:10">
      <c r="B126" s="8"/>
      <c r="C126" s="8"/>
      <c r="D126" s="8"/>
      <c r="H126" s="5"/>
      <c r="I126" s="5"/>
      <c r="J126" s="5"/>
    </row>
    <row r="127" spans="2:10">
      <c r="B127" s="8"/>
      <c r="C127" s="8"/>
      <c r="D127" s="8"/>
      <c r="H127" s="5"/>
      <c r="I127" s="5"/>
      <c r="J127" s="5"/>
    </row>
    <row r="128" spans="2:10">
      <c r="B128" s="8"/>
      <c r="C128" s="8"/>
      <c r="D128" s="8"/>
      <c r="H128" s="5"/>
      <c r="I128" s="5"/>
      <c r="J128" s="5"/>
    </row>
    <row r="129" spans="2:10">
      <c r="B129" s="8"/>
      <c r="C129" s="8"/>
      <c r="D129" s="8"/>
      <c r="H129" s="5"/>
      <c r="I129" s="5"/>
      <c r="J129" s="5"/>
    </row>
    <row r="130" spans="2:10">
      <c r="B130" s="8"/>
      <c r="C130" s="8"/>
      <c r="D130" s="8"/>
      <c r="H130" s="5"/>
      <c r="I130" s="5"/>
      <c r="J130" s="5"/>
    </row>
    <row r="131" spans="2:10">
      <c r="B131" s="8"/>
      <c r="C131" s="8"/>
      <c r="D131" s="8"/>
      <c r="H131" s="5"/>
      <c r="I131" s="5"/>
      <c r="J131" s="5"/>
    </row>
    <row r="132" spans="2:10">
      <c r="B132" s="8"/>
      <c r="C132" s="8"/>
      <c r="D132" s="8"/>
      <c r="H132" s="5"/>
      <c r="I132" s="5"/>
      <c r="J132" s="5"/>
    </row>
  </sheetData>
  <mergeCells count="208">
    <mergeCell ref="H108:I108"/>
    <mergeCell ref="J108:K108"/>
    <mergeCell ref="L108:M108"/>
    <mergeCell ref="N108:O108"/>
    <mergeCell ref="H81:I81"/>
    <mergeCell ref="J80:K80"/>
    <mergeCell ref="L80:M80"/>
    <mergeCell ref="H82:I82"/>
    <mergeCell ref="J82:K82"/>
    <mergeCell ref="L82:M82"/>
    <mergeCell ref="N82:O82"/>
    <mergeCell ref="H83:I83"/>
    <mergeCell ref="J83:K83"/>
    <mergeCell ref="L83:M83"/>
    <mergeCell ref="N83:O83"/>
    <mergeCell ref="L84:M84"/>
    <mergeCell ref="N84:O84"/>
    <mergeCell ref="H85:I85"/>
    <mergeCell ref="J85:K85"/>
    <mergeCell ref="L85:M85"/>
    <mergeCell ref="N85:O85"/>
    <mergeCell ref="H84:I84"/>
    <mergeCell ref="J84:K84"/>
    <mergeCell ref="H86:I86"/>
    <mergeCell ref="Z4:AC4"/>
    <mergeCell ref="AD4:AG4"/>
    <mergeCell ref="S4:S5"/>
    <mergeCell ref="T4:T5"/>
    <mergeCell ref="U4:U5"/>
    <mergeCell ref="V4:Y4"/>
    <mergeCell ref="AT4:AW4"/>
    <mergeCell ref="AX4:BA4"/>
    <mergeCell ref="H103:I103"/>
    <mergeCell ref="J103:K103"/>
    <mergeCell ref="L103:M103"/>
    <mergeCell ref="N103:O103"/>
    <mergeCell ref="AH4:AK4"/>
    <mergeCell ref="AL4:AO4"/>
    <mergeCell ref="AP4:AS4"/>
    <mergeCell ref="R77:W77"/>
    <mergeCell ref="J81:K81"/>
    <mergeCell ref="L81:M81"/>
    <mergeCell ref="N81:O81"/>
    <mergeCell ref="H79:I79"/>
    <mergeCell ref="J79:K79"/>
    <mergeCell ref="L79:M79"/>
    <mergeCell ref="N79:O79"/>
    <mergeCell ref="N80:O80"/>
    <mergeCell ref="G3:M3"/>
    <mergeCell ref="O3:Q3"/>
    <mergeCell ref="A4:A5"/>
    <mergeCell ref="B4:B5"/>
    <mergeCell ref="C4:D5"/>
    <mergeCell ref="E4:E5"/>
    <mergeCell ref="F4:F5"/>
    <mergeCell ref="G4:J4"/>
    <mergeCell ref="C9:D9"/>
    <mergeCell ref="C6:D6"/>
    <mergeCell ref="C7:D7"/>
    <mergeCell ref="K4:N4"/>
    <mergeCell ref="O4:R4"/>
    <mergeCell ref="C8:D8"/>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41:D41"/>
    <mergeCell ref="C42:D42"/>
    <mergeCell ref="C43:D43"/>
    <mergeCell ref="C47:D47"/>
    <mergeCell ref="C48:D48"/>
    <mergeCell ref="C49:D49"/>
    <mergeCell ref="C44:D44"/>
    <mergeCell ref="C46:D46"/>
    <mergeCell ref="C45:D45"/>
    <mergeCell ref="C50:D50"/>
    <mergeCell ref="C51:D51"/>
    <mergeCell ref="C55:D55"/>
    <mergeCell ref="C52:D52"/>
    <mergeCell ref="C53:D53"/>
    <mergeCell ref="C54:D54"/>
    <mergeCell ref="C57:D57"/>
    <mergeCell ref="C58:D58"/>
    <mergeCell ref="H80:I80"/>
    <mergeCell ref="C56:D56"/>
    <mergeCell ref="C59:D59"/>
    <mergeCell ref="C60:D60"/>
    <mergeCell ref="C61:D61"/>
    <mergeCell ref="C62:D62"/>
    <mergeCell ref="C63:D63"/>
    <mergeCell ref="C64:D64"/>
    <mergeCell ref="C65:D65"/>
    <mergeCell ref="C66:D66"/>
    <mergeCell ref="C67:D67"/>
    <mergeCell ref="C68:D68"/>
    <mergeCell ref="C69:D69"/>
    <mergeCell ref="C70:D70"/>
    <mergeCell ref="C71:D71"/>
    <mergeCell ref="J86:K86"/>
    <mergeCell ref="L86:M86"/>
    <mergeCell ref="N86:O86"/>
    <mergeCell ref="H87:I87"/>
    <mergeCell ref="J87:K87"/>
    <mergeCell ref="L87:M87"/>
    <mergeCell ref="N87:O87"/>
    <mergeCell ref="J89:K89"/>
    <mergeCell ref="N90:O90"/>
    <mergeCell ref="H91:I91"/>
    <mergeCell ref="J91:K91"/>
    <mergeCell ref="L91:M91"/>
    <mergeCell ref="N91:O91"/>
    <mergeCell ref="H88:I88"/>
    <mergeCell ref="J88:K88"/>
    <mergeCell ref="L88:M88"/>
    <mergeCell ref="N88:O88"/>
    <mergeCell ref="H89:I89"/>
    <mergeCell ref="N89:O89"/>
    <mergeCell ref="L89:M89"/>
    <mergeCell ref="H90:I90"/>
    <mergeCell ref="J90:K90"/>
    <mergeCell ref="L90:M90"/>
    <mergeCell ref="J102:K102"/>
    <mergeCell ref="L102:M102"/>
    <mergeCell ref="H98:I98"/>
    <mergeCell ref="J98:K98"/>
    <mergeCell ref="H100:I100"/>
    <mergeCell ref="J100:K100"/>
    <mergeCell ref="L92:M92"/>
    <mergeCell ref="L98:M98"/>
    <mergeCell ref="L101:M101"/>
    <mergeCell ref="H99:I99"/>
    <mergeCell ref="J99:K99"/>
    <mergeCell ref="L99:M99"/>
    <mergeCell ref="J92:K92"/>
    <mergeCell ref="H96:I96"/>
    <mergeCell ref="H97:I97"/>
    <mergeCell ref="H94:I94"/>
    <mergeCell ref="H101:I101"/>
    <mergeCell ref="J101:K101"/>
    <mergeCell ref="L95:M95"/>
    <mergeCell ref="L96:M96"/>
    <mergeCell ref="L94:M94"/>
    <mergeCell ref="H95:I95"/>
    <mergeCell ref="J95:K95"/>
    <mergeCell ref="L97:M97"/>
    <mergeCell ref="N92:O92"/>
    <mergeCell ref="H93:I93"/>
    <mergeCell ref="J93:K93"/>
    <mergeCell ref="L93:M93"/>
    <mergeCell ref="N93:O93"/>
    <mergeCell ref="H104:I104"/>
    <mergeCell ref="J104:K104"/>
    <mergeCell ref="H92:I92"/>
    <mergeCell ref="N101:O101"/>
    <mergeCell ref="N102:O102"/>
    <mergeCell ref="N98:O98"/>
    <mergeCell ref="N104:O104"/>
    <mergeCell ref="J97:K97"/>
    <mergeCell ref="L104:M104"/>
    <mergeCell ref="L100:M100"/>
    <mergeCell ref="N100:O100"/>
    <mergeCell ref="N95:O95"/>
    <mergeCell ref="J96:K96"/>
    <mergeCell ref="N99:O99"/>
    <mergeCell ref="N96:O96"/>
    <mergeCell ref="N97:O97"/>
    <mergeCell ref="N94:O94"/>
    <mergeCell ref="J94:K94"/>
    <mergeCell ref="H102:I102"/>
    <mergeCell ref="H107:I107"/>
    <mergeCell ref="J107:K107"/>
    <mergeCell ref="L107:M107"/>
    <mergeCell ref="N107:O107"/>
    <mergeCell ref="H106:I106"/>
    <mergeCell ref="J106:K106"/>
    <mergeCell ref="L106:M106"/>
    <mergeCell ref="N106:O106"/>
    <mergeCell ref="H105:I105"/>
    <mergeCell ref="J105:K105"/>
    <mergeCell ref="L105:M105"/>
    <mergeCell ref="N105:O10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A108"/>
  <sheetViews>
    <sheetView zoomScale="131" zoomScaleNormal="120" workbookViewId="0">
      <pane xSplit="1" ySplit="5" topLeftCell="B17" activePane="bottomRight" state="frozen"/>
      <selection pane="topRight" activeCell="B1" sqref="B1"/>
      <selection pane="bottomLeft" activeCell="A6" sqref="A6"/>
      <selection pane="bottomRight" activeCell="B88" sqref="B88"/>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147</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ht="9" customHeight="1">
      <c r="A6" s="208">
        <v>1993</v>
      </c>
      <c r="C6" s="1005" t="s">
        <v>1277</v>
      </c>
      <c r="D6" s="1005"/>
      <c r="E6" s="227">
        <v>11</v>
      </c>
      <c r="F6" s="219"/>
      <c r="G6" s="596"/>
      <c r="H6" s="669"/>
      <c r="I6" s="669"/>
      <c r="J6" s="598"/>
      <c r="K6" s="593"/>
      <c r="L6" s="593"/>
      <c r="M6" s="593"/>
      <c r="N6" s="597"/>
      <c r="O6" s="592"/>
      <c r="P6" s="593"/>
      <c r="Q6" s="593"/>
      <c r="R6" s="594"/>
      <c r="S6" s="669"/>
      <c r="T6" s="95">
        <v>33944</v>
      </c>
      <c r="V6" s="82"/>
      <c r="Y6" s="83"/>
      <c r="AD6" s="82"/>
      <c r="AG6" s="83"/>
      <c r="AL6" s="82"/>
      <c r="AO6" s="83"/>
      <c r="AP6" s="82"/>
      <c r="AS6" s="83"/>
      <c r="AW6" s="83"/>
      <c r="BA6" s="84"/>
    </row>
    <row r="7" spans="1:53" s="334" customFormat="1">
      <c r="A7" s="334">
        <v>1993</v>
      </c>
      <c r="B7" s="355">
        <v>33981</v>
      </c>
      <c r="C7" s="992" t="s">
        <v>867</v>
      </c>
      <c r="D7" s="992"/>
      <c r="E7" s="334">
        <v>354</v>
      </c>
      <c r="F7" s="334" t="s">
        <v>345</v>
      </c>
      <c r="G7" s="642">
        <v>6</v>
      </c>
      <c r="H7" s="670">
        <v>4</v>
      </c>
      <c r="I7" s="670">
        <v>6</v>
      </c>
      <c r="J7" s="644">
        <v>16</v>
      </c>
      <c r="K7" s="640">
        <f t="shared" ref="K7:K45" si="0">G7/J7*100</f>
        <v>37.5</v>
      </c>
      <c r="L7" s="640">
        <f t="shared" ref="L7:L45" si="1">H7/J7*100</f>
        <v>25</v>
      </c>
      <c r="M7" s="640">
        <f t="shared" ref="M7:M45" si="2">I7/J7*100</f>
        <v>37.5</v>
      </c>
      <c r="N7" s="643">
        <f>K7+L7+M7</f>
        <v>100</v>
      </c>
      <c r="O7" s="639">
        <v>24.5</v>
      </c>
      <c r="P7" s="640">
        <v>16.7</v>
      </c>
      <c r="Q7" s="640">
        <v>25.6</v>
      </c>
      <c r="R7" s="641">
        <f>O7+P7+Q7</f>
        <v>66.800000000000011</v>
      </c>
      <c r="S7" s="670">
        <v>3</v>
      </c>
      <c r="T7" s="342"/>
      <c r="U7" s="355">
        <v>33981</v>
      </c>
      <c r="V7" s="343" t="s">
        <v>874</v>
      </c>
      <c r="W7" s="334" t="s">
        <v>22</v>
      </c>
      <c r="X7" s="334" t="s">
        <v>11</v>
      </c>
      <c r="Y7" s="344">
        <v>24.5</v>
      </c>
      <c r="Z7" s="334" t="s">
        <v>875</v>
      </c>
      <c r="AA7" s="334" t="s">
        <v>17</v>
      </c>
      <c r="AB7" s="334" t="s">
        <v>18</v>
      </c>
      <c r="AC7" s="334">
        <v>16.7</v>
      </c>
      <c r="AD7" s="343" t="s">
        <v>876</v>
      </c>
      <c r="AE7" s="334" t="s">
        <v>98</v>
      </c>
      <c r="AF7" s="334" t="s">
        <v>12</v>
      </c>
      <c r="AG7" s="344">
        <v>15.6</v>
      </c>
      <c r="AH7" s="334" t="s">
        <v>877</v>
      </c>
      <c r="AI7" s="334" t="s">
        <v>218</v>
      </c>
      <c r="AJ7" s="334" t="s">
        <v>12</v>
      </c>
      <c r="AK7" s="334">
        <v>5.6</v>
      </c>
      <c r="AL7" s="343" t="s">
        <v>878</v>
      </c>
      <c r="AM7" s="334" t="s">
        <v>97</v>
      </c>
      <c r="AN7" s="334" t="s">
        <v>12</v>
      </c>
      <c r="AO7" s="344">
        <v>4.4000000000000004</v>
      </c>
      <c r="AP7" s="343"/>
      <c r="AS7" s="344"/>
      <c r="AW7" s="344"/>
      <c r="BA7" s="345"/>
    </row>
    <row r="8" spans="1:53" s="334" customFormat="1">
      <c r="A8" s="334">
        <v>1994</v>
      </c>
      <c r="C8" s="992" t="s">
        <v>867</v>
      </c>
      <c r="D8" s="992"/>
      <c r="E8" s="334">
        <v>87</v>
      </c>
      <c r="G8" s="642">
        <v>6</v>
      </c>
      <c r="H8" s="670">
        <v>4</v>
      </c>
      <c r="I8" s="670">
        <v>6</v>
      </c>
      <c r="J8" s="644">
        <v>16</v>
      </c>
      <c r="K8" s="640">
        <f t="shared" si="0"/>
        <v>37.5</v>
      </c>
      <c r="L8" s="640">
        <f t="shared" si="1"/>
        <v>25</v>
      </c>
      <c r="M8" s="640">
        <f t="shared" si="2"/>
        <v>37.5</v>
      </c>
      <c r="N8" s="643">
        <f t="shared" ref="N8:N51" si="3">K8+L8+M8</f>
        <v>100</v>
      </c>
      <c r="O8" s="639">
        <v>24.5</v>
      </c>
      <c r="P8" s="640">
        <v>16.7</v>
      </c>
      <c r="Q8" s="640">
        <v>25.6</v>
      </c>
      <c r="R8" s="641">
        <f t="shared" ref="R8:R51" si="4">O8+P8+Q8</f>
        <v>66.800000000000011</v>
      </c>
      <c r="S8" s="670">
        <v>3</v>
      </c>
      <c r="T8" s="342"/>
      <c r="V8" s="343" t="s">
        <v>874</v>
      </c>
      <c r="W8" s="334" t="s">
        <v>22</v>
      </c>
      <c r="X8" s="334" t="s">
        <v>11</v>
      </c>
      <c r="Y8" s="344">
        <v>24.5</v>
      </c>
      <c r="Z8" s="334" t="s">
        <v>875</v>
      </c>
      <c r="AA8" s="334" t="s">
        <v>17</v>
      </c>
      <c r="AB8" s="334" t="s">
        <v>18</v>
      </c>
      <c r="AC8" s="334">
        <v>16.7</v>
      </c>
      <c r="AD8" s="343" t="s">
        <v>876</v>
      </c>
      <c r="AE8" s="334" t="s">
        <v>98</v>
      </c>
      <c r="AF8" s="334" t="s">
        <v>12</v>
      </c>
      <c r="AG8" s="344">
        <v>15.6</v>
      </c>
      <c r="AH8" s="334" t="s">
        <v>877</v>
      </c>
      <c r="AI8" s="334" t="s">
        <v>218</v>
      </c>
      <c r="AJ8" s="334" t="s">
        <v>12</v>
      </c>
      <c r="AK8" s="334">
        <v>5.6</v>
      </c>
      <c r="AL8" s="343" t="s">
        <v>878</v>
      </c>
      <c r="AM8" s="334" t="s">
        <v>97</v>
      </c>
      <c r="AN8" s="334" t="s">
        <v>12</v>
      </c>
      <c r="AO8" s="344">
        <v>4.4000000000000004</v>
      </c>
      <c r="AP8" s="343"/>
      <c r="AS8" s="344"/>
      <c r="AW8" s="344"/>
      <c r="BA8" s="345"/>
    </row>
    <row r="9" spans="1:53" s="208" customFormat="1">
      <c r="A9" s="208">
        <v>1994</v>
      </c>
      <c r="B9" s="207">
        <v>34422</v>
      </c>
      <c r="C9" s="988" t="s">
        <v>868</v>
      </c>
      <c r="D9" s="988"/>
      <c r="E9" s="208">
        <f>365-E8</f>
        <v>278</v>
      </c>
      <c r="F9" s="208">
        <v>4</v>
      </c>
      <c r="G9" s="596">
        <v>8</v>
      </c>
      <c r="H9" s="669">
        <v>3</v>
      </c>
      <c r="I9" s="669">
        <v>4</v>
      </c>
      <c r="J9" s="598">
        <v>16</v>
      </c>
      <c r="K9" s="593">
        <f t="shared" si="0"/>
        <v>50</v>
      </c>
      <c r="L9" s="593">
        <f t="shared" si="1"/>
        <v>18.75</v>
      </c>
      <c r="M9" s="593">
        <f t="shared" si="2"/>
        <v>25</v>
      </c>
      <c r="N9" s="597">
        <f t="shared" si="3"/>
        <v>93.75</v>
      </c>
      <c r="O9" s="592">
        <v>24.5</v>
      </c>
      <c r="P9" s="593">
        <v>16.7</v>
      </c>
      <c r="Q9" s="593">
        <v>15.6</v>
      </c>
      <c r="R9" s="594">
        <f t="shared" si="4"/>
        <v>56.800000000000004</v>
      </c>
      <c r="S9" s="669">
        <v>2</v>
      </c>
      <c r="T9" s="95"/>
      <c r="U9" s="207">
        <v>34422</v>
      </c>
      <c r="V9" s="82" t="s">
        <v>874</v>
      </c>
      <c r="W9" s="208" t="s">
        <v>22</v>
      </c>
      <c r="X9" s="208" t="s">
        <v>11</v>
      </c>
      <c r="Y9" s="83">
        <v>24.5</v>
      </c>
      <c r="Z9" s="208" t="s">
        <v>875</v>
      </c>
      <c r="AA9" s="208" t="s">
        <v>17</v>
      </c>
      <c r="AB9" s="208" t="s">
        <v>18</v>
      </c>
      <c r="AC9" s="208">
        <v>16.7</v>
      </c>
      <c r="AD9" s="82" t="s">
        <v>876</v>
      </c>
      <c r="AE9" s="208" t="s">
        <v>98</v>
      </c>
      <c r="AF9" s="208" t="s">
        <v>12</v>
      </c>
      <c r="AG9" s="83">
        <v>15.6</v>
      </c>
      <c r="AL9" s="82"/>
      <c r="AO9" s="83"/>
      <c r="AP9" s="82"/>
      <c r="AS9" s="83"/>
      <c r="AW9" s="83"/>
      <c r="BA9" s="84"/>
    </row>
    <row r="10" spans="1:53" s="208" customFormat="1">
      <c r="A10" s="208">
        <v>1995</v>
      </c>
      <c r="C10" s="988" t="s">
        <v>868</v>
      </c>
      <c r="D10" s="988"/>
      <c r="E10" s="208">
        <v>0</v>
      </c>
      <c r="G10" s="596">
        <v>8</v>
      </c>
      <c r="H10" s="669">
        <v>3</v>
      </c>
      <c r="I10" s="669">
        <v>4</v>
      </c>
      <c r="J10" s="598">
        <v>16</v>
      </c>
      <c r="K10" s="593">
        <f t="shared" si="0"/>
        <v>50</v>
      </c>
      <c r="L10" s="593">
        <f t="shared" si="1"/>
        <v>18.75</v>
      </c>
      <c r="M10" s="593">
        <f t="shared" si="2"/>
        <v>25</v>
      </c>
      <c r="N10" s="597">
        <f t="shared" si="3"/>
        <v>93.75</v>
      </c>
      <c r="O10" s="592">
        <v>24.5</v>
      </c>
      <c r="P10" s="593">
        <v>16.7</v>
      </c>
      <c r="Q10" s="593">
        <v>15.6</v>
      </c>
      <c r="R10" s="594">
        <f t="shared" si="4"/>
        <v>56.800000000000004</v>
      </c>
      <c r="S10" s="669">
        <v>2</v>
      </c>
      <c r="T10" s="95"/>
      <c r="V10" s="82" t="s">
        <v>874</v>
      </c>
      <c r="W10" s="208" t="s">
        <v>22</v>
      </c>
      <c r="X10" s="208" t="s">
        <v>11</v>
      </c>
      <c r="Y10" s="83">
        <v>24.5</v>
      </c>
      <c r="Z10" s="208" t="s">
        <v>875</v>
      </c>
      <c r="AA10" s="208" t="s">
        <v>17</v>
      </c>
      <c r="AB10" s="208" t="s">
        <v>18</v>
      </c>
      <c r="AC10" s="208">
        <v>16.7</v>
      </c>
      <c r="AD10" s="82" t="s">
        <v>876</v>
      </c>
      <c r="AE10" s="208" t="s">
        <v>98</v>
      </c>
      <c r="AF10" s="208" t="s">
        <v>12</v>
      </c>
      <c r="AG10" s="83">
        <v>15.6</v>
      </c>
      <c r="AL10" s="82"/>
      <c r="AO10" s="83"/>
      <c r="AP10" s="82"/>
      <c r="AS10" s="83"/>
      <c r="AW10" s="83"/>
      <c r="BA10" s="84"/>
    </row>
    <row r="11" spans="1:53" s="208" customFormat="1">
      <c r="A11" s="208">
        <v>1995</v>
      </c>
      <c r="C11" s="988" t="s">
        <v>868</v>
      </c>
      <c r="D11" s="988"/>
      <c r="E11" s="208">
        <v>365</v>
      </c>
      <c r="G11" s="596">
        <v>8</v>
      </c>
      <c r="H11" s="669">
        <v>3</v>
      </c>
      <c r="I11" s="669">
        <v>4</v>
      </c>
      <c r="J11" s="598">
        <v>16</v>
      </c>
      <c r="K11" s="593">
        <f t="shared" si="0"/>
        <v>50</v>
      </c>
      <c r="L11" s="593">
        <f t="shared" si="1"/>
        <v>18.75</v>
      </c>
      <c r="M11" s="593">
        <f t="shared" si="2"/>
        <v>25</v>
      </c>
      <c r="N11" s="597">
        <f t="shared" si="3"/>
        <v>93.75</v>
      </c>
      <c r="O11" s="592">
        <v>24.5</v>
      </c>
      <c r="P11" s="593">
        <v>16.7</v>
      </c>
      <c r="Q11" s="593">
        <v>15.6</v>
      </c>
      <c r="R11" s="594">
        <f t="shared" si="4"/>
        <v>56.800000000000004</v>
      </c>
      <c r="S11" s="669">
        <v>2</v>
      </c>
      <c r="T11" s="95"/>
      <c r="V11" s="82" t="s">
        <v>874</v>
      </c>
      <c r="W11" s="208" t="s">
        <v>22</v>
      </c>
      <c r="X11" s="208" t="s">
        <v>11</v>
      </c>
      <c r="Y11" s="83">
        <v>24.5</v>
      </c>
      <c r="Z11" s="208" t="s">
        <v>875</v>
      </c>
      <c r="AA11" s="208" t="s">
        <v>17</v>
      </c>
      <c r="AB11" s="208" t="s">
        <v>18</v>
      </c>
      <c r="AC11" s="208">
        <v>16.7</v>
      </c>
      <c r="AD11" s="82" t="s">
        <v>876</v>
      </c>
      <c r="AE11" s="208" t="s">
        <v>98</v>
      </c>
      <c r="AF11" s="208" t="s">
        <v>12</v>
      </c>
      <c r="AG11" s="83">
        <v>15.6</v>
      </c>
      <c r="AL11" s="82"/>
      <c r="AO11" s="83"/>
      <c r="AP11" s="82"/>
      <c r="AS11" s="83"/>
      <c r="AW11" s="83"/>
      <c r="BA11" s="84"/>
    </row>
    <row r="12" spans="1:53" s="208" customFormat="1">
      <c r="A12" s="208">
        <v>1996</v>
      </c>
      <c r="C12" s="988" t="s">
        <v>868</v>
      </c>
      <c r="D12" s="988"/>
      <c r="E12" s="208">
        <v>37</v>
      </c>
      <c r="G12" s="596">
        <v>8</v>
      </c>
      <c r="H12" s="669">
        <v>3</v>
      </c>
      <c r="I12" s="669">
        <v>4</v>
      </c>
      <c r="J12" s="598">
        <v>16</v>
      </c>
      <c r="K12" s="593">
        <f t="shared" si="0"/>
        <v>50</v>
      </c>
      <c r="L12" s="593">
        <f t="shared" si="1"/>
        <v>18.75</v>
      </c>
      <c r="M12" s="593">
        <f t="shared" si="2"/>
        <v>25</v>
      </c>
      <c r="N12" s="597">
        <f t="shared" si="3"/>
        <v>93.75</v>
      </c>
      <c r="O12" s="592">
        <v>24.5</v>
      </c>
      <c r="P12" s="593">
        <v>16.7</v>
      </c>
      <c r="Q12" s="593">
        <v>15.6</v>
      </c>
      <c r="R12" s="594">
        <f t="shared" si="4"/>
        <v>56.800000000000004</v>
      </c>
      <c r="S12" s="669">
        <v>2</v>
      </c>
      <c r="T12" s="95"/>
      <c r="V12" s="82" t="s">
        <v>874</v>
      </c>
      <c r="W12" s="208" t="s">
        <v>22</v>
      </c>
      <c r="X12" s="208" t="s">
        <v>11</v>
      </c>
      <c r="Y12" s="83">
        <v>24.5</v>
      </c>
      <c r="Z12" s="208" t="s">
        <v>875</v>
      </c>
      <c r="AA12" s="208" t="s">
        <v>17</v>
      </c>
      <c r="AB12" s="208" t="s">
        <v>18</v>
      </c>
      <c r="AC12" s="208">
        <v>16.7</v>
      </c>
      <c r="AD12" s="82" t="s">
        <v>876</v>
      </c>
      <c r="AE12" s="208" t="s">
        <v>98</v>
      </c>
      <c r="AF12" s="208" t="s">
        <v>12</v>
      </c>
      <c r="AG12" s="83">
        <v>15.6</v>
      </c>
      <c r="AL12" s="82"/>
      <c r="AO12" s="83"/>
      <c r="AP12" s="82"/>
      <c r="AS12" s="83"/>
      <c r="AW12" s="83"/>
      <c r="BA12" s="84"/>
    </row>
    <row r="13" spans="1:53" s="334" customFormat="1">
      <c r="A13" s="334">
        <v>1996</v>
      </c>
      <c r="B13" s="355">
        <v>35102</v>
      </c>
      <c r="C13" s="992" t="s">
        <v>869</v>
      </c>
      <c r="D13" s="992"/>
      <c r="E13" s="334">
        <f>366-E12</f>
        <v>329</v>
      </c>
      <c r="F13" s="334">
        <v>4</v>
      </c>
      <c r="G13" s="642">
        <v>9</v>
      </c>
      <c r="H13" s="670">
        <v>6</v>
      </c>
      <c r="I13" s="670"/>
      <c r="J13" s="644">
        <v>18</v>
      </c>
      <c r="K13" s="640">
        <f t="shared" si="0"/>
        <v>50</v>
      </c>
      <c r="L13" s="640">
        <f t="shared" si="1"/>
        <v>33.333333333333329</v>
      </c>
      <c r="M13" s="640">
        <f t="shared" si="2"/>
        <v>0</v>
      </c>
      <c r="N13" s="643">
        <f t="shared" si="3"/>
        <v>83.333333333333329</v>
      </c>
      <c r="O13" s="639">
        <v>24.5</v>
      </c>
      <c r="P13" s="640">
        <v>16.7</v>
      </c>
      <c r="Q13" s="640"/>
      <c r="R13" s="641">
        <f t="shared" si="4"/>
        <v>41.2</v>
      </c>
      <c r="S13" s="670">
        <v>5</v>
      </c>
      <c r="T13" s="342"/>
      <c r="U13" s="355">
        <v>35102</v>
      </c>
      <c r="V13" s="343" t="s">
        <v>874</v>
      </c>
      <c r="W13" s="334" t="s">
        <v>22</v>
      </c>
      <c r="X13" s="334" t="s">
        <v>11</v>
      </c>
      <c r="Y13" s="344">
        <v>24.5</v>
      </c>
      <c r="Z13" s="334" t="s">
        <v>875</v>
      </c>
      <c r="AA13" s="334" t="s">
        <v>17</v>
      </c>
      <c r="AB13" s="334" t="s">
        <v>18</v>
      </c>
      <c r="AC13" s="334">
        <v>16.7</v>
      </c>
      <c r="AD13" s="343"/>
      <c r="AG13" s="344"/>
      <c r="AL13" s="343"/>
      <c r="AO13" s="344"/>
      <c r="AP13" s="343"/>
      <c r="AS13" s="344"/>
      <c r="AW13" s="344"/>
      <c r="BA13" s="345"/>
    </row>
    <row r="14" spans="1:53" s="334" customFormat="1">
      <c r="A14" s="334">
        <v>1997</v>
      </c>
      <c r="C14" s="992" t="s">
        <v>869</v>
      </c>
      <c r="D14" s="992"/>
      <c r="E14" s="334">
        <v>57</v>
      </c>
      <c r="G14" s="642">
        <v>9</v>
      </c>
      <c r="H14" s="670">
        <v>6</v>
      </c>
      <c r="I14" s="670"/>
      <c r="J14" s="644">
        <v>18</v>
      </c>
      <c r="K14" s="640">
        <f t="shared" si="0"/>
        <v>50</v>
      </c>
      <c r="L14" s="640">
        <f t="shared" si="1"/>
        <v>33.333333333333329</v>
      </c>
      <c r="M14" s="640">
        <f t="shared" si="2"/>
        <v>0</v>
      </c>
      <c r="N14" s="643">
        <f t="shared" si="3"/>
        <v>83.333333333333329</v>
      </c>
      <c r="O14" s="639">
        <v>24.5</v>
      </c>
      <c r="P14" s="640">
        <v>16.7</v>
      </c>
      <c r="Q14" s="640"/>
      <c r="R14" s="641">
        <f t="shared" si="4"/>
        <v>41.2</v>
      </c>
      <c r="S14" s="670">
        <v>5</v>
      </c>
      <c r="T14" s="342">
        <v>35379</v>
      </c>
      <c r="V14" s="343" t="s">
        <v>874</v>
      </c>
      <c r="W14" s="334" t="s">
        <v>22</v>
      </c>
      <c r="X14" s="334" t="s">
        <v>11</v>
      </c>
      <c r="Y14" s="344">
        <v>24.5</v>
      </c>
      <c r="Z14" s="334" t="s">
        <v>875</v>
      </c>
      <c r="AA14" s="334" t="s">
        <v>17</v>
      </c>
      <c r="AB14" s="334" t="s">
        <v>18</v>
      </c>
      <c r="AC14" s="334">
        <v>16.7</v>
      </c>
      <c r="AD14" s="343"/>
      <c r="AG14" s="344"/>
      <c r="AL14" s="343"/>
      <c r="AO14" s="344"/>
      <c r="AP14" s="343"/>
      <c r="AS14" s="344"/>
      <c r="AW14" s="344"/>
      <c r="BA14" s="345"/>
    </row>
    <row r="15" spans="1:53" s="208" customFormat="1">
      <c r="A15" s="208">
        <v>1997</v>
      </c>
      <c r="B15" s="207">
        <v>35488</v>
      </c>
      <c r="C15" s="988" t="s">
        <v>870</v>
      </c>
      <c r="D15" s="988"/>
      <c r="E15" s="208">
        <f>365-E14</f>
        <v>308</v>
      </c>
      <c r="F15" s="208">
        <v>1</v>
      </c>
      <c r="G15" s="596">
        <v>8</v>
      </c>
      <c r="H15" s="669"/>
      <c r="I15" s="669">
        <v>10</v>
      </c>
      <c r="J15" s="598">
        <v>19</v>
      </c>
      <c r="K15" s="593">
        <f t="shared" si="0"/>
        <v>42.105263157894733</v>
      </c>
      <c r="L15" s="593">
        <f t="shared" si="1"/>
        <v>0</v>
      </c>
      <c r="M15" s="593">
        <f t="shared" si="2"/>
        <v>52.631578947368418</v>
      </c>
      <c r="N15" s="597">
        <f t="shared" si="3"/>
        <v>94.73684210526315</v>
      </c>
      <c r="O15" s="592">
        <v>27.8</v>
      </c>
      <c r="P15" s="593"/>
      <c r="Q15" s="593">
        <v>26.7</v>
      </c>
      <c r="R15" s="594">
        <f t="shared" si="4"/>
        <v>54.5</v>
      </c>
      <c r="S15" s="669">
        <v>2</v>
      </c>
      <c r="T15" s="95"/>
      <c r="U15" s="207">
        <v>35488</v>
      </c>
      <c r="V15" s="82" t="s">
        <v>874</v>
      </c>
      <c r="W15" s="208" t="s">
        <v>22</v>
      </c>
      <c r="X15" s="208" t="s">
        <v>11</v>
      </c>
      <c r="Y15" s="83">
        <v>27.8</v>
      </c>
      <c r="Z15" s="208" t="s">
        <v>879</v>
      </c>
      <c r="AA15" s="208" t="s">
        <v>880</v>
      </c>
      <c r="AB15" s="208" t="s">
        <v>12</v>
      </c>
      <c r="AC15" s="208">
        <v>21.1</v>
      </c>
      <c r="AD15" s="82" t="s">
        <v>881</v>
      </c>
      <c r="AE15" s="208" t="s">
        <v>882</v>
      </c>
      <c r="AF15" s="208" t="s">
        <v>12</v>
      </c>
      <c r="AG15" s="83">
        <v>5.6</v>
      </c>
      <c r="AL15" s="82"/>
      <c r="AO15" s="83"/>
      <c r="AP15" s="82"/>
      <c r="AS15" s="83"/>
      <c r="AW15" s="83"/>
      <c r="BA15" s="84"/>
    </row>
    <row r="16" spans="1:53" s="208" customFormat="1">
      <c r="A16" s="208">
        <v>1998</v>
      </c>
      <c r="C16" s="988" t="s">
        <v>870</v>
      </c>
      <c r="D16" s="988"/>
      <c r="E16" s="208">
        <v>0</v>
      </c>
      <c r="G16" s="596">
        <v>8</v>
      </c>
      <c r="H16" s="669"/>
      <c r="I16" s="669">
        <v>10</v>
      </c>
      <c r="J16" s="598">
        <v>19</v>
      </c>
      <c r="K16" s="593">
        <f t="shared" si="0"/>
        <v>42.105263157894733</v>
      </c>
      <c r="L16" s="593">
        <f t="shared" si="1"/>
        <v>0</v>
      </c>
      <c r="M16" s="593">
        <f t="shared" si="2"/>
        <v>52.631578947368418</v>
      </c>
      <c r="N16" s="597">
        <f t="shared" si="3"/>
        <v>94.73684210526315</v>
      </c>
      <c r="O16" s="592">
        <v>27.8</v>
      </c>
      <c r="P16" s="593"/>
      <c r="Q16" s="593">
        <v>26.7</v>
      </c>
      <c r="R16" s="594">
        <f t="shared" si="4"/>
        <v>54.5</v>
      </c>
      <c r="S16" s="669">
        <v>2</v>
      </c>
      <c r="T16" s="95"/>
      <c r="V16" s="82" t="s">
        <v>874</v>
      </c>
      <c r="W16" s="208" t="s">
        <v>22</v>
      </c>
      <c r="X16" s="208" t="s">
        <v>11</v>
      </c>
      <c r="Y16" s="83">
        <v>27.8</v>
      </c>
      <c r="Z16" s="208" t="s">
        <v>879</v>
      </c>
      <c r="AA16" s="208" t="s">
        <v>880</v>
      </c>
      <c r="AB16" s="208" t="s">
        <v>12</v>
      </c>
      <c r="AC16" s="208">
        <v>21.1</v>
      </c>
      <c r="AD16" s="82" t="s">
        <v>881</v>
      </c>
      <c r="AE16" s="208" t="s">
        <v>882</v>
      </c>
      <c r="AF16" s="208" t="s">
        <v>12</v>
      </c>
      <c r="AG16" s="83">
        <v>5.6</v>
      </c>
      <c r="AL16" s="82"/>
      <c r="AO16" s="83"/>
      <c r="AP16" s="82"/>
      <c r="AS16" s="83"/>
      <c r="AW16" s="83"/>
      <c r="BA16" s="84"/>
    </row>
    <row r="17" spans="1:53" s="208" customFormat="1">
      <c r="A17" s="208">
        <v>1998</v>
      </c>
      <c r="C17" s="988" t="s">
        <v>870</v>
      </c>
      <c r="D17" s="988"/>
      <c r="E17" s="208">
        <v>365</v>
      </c>
      <c r="G17" s="596">
        <v>8</v>
      </c>
      <c r="H17" s="669"/>
      <c r="I17" s="669">
        <v>10</v>
      </c>
      <c r="J17" s="598">
        <v>19</v>
      </c>
      <c r="K17" s="593">
        <f t="shared" si="0"/>
        <v>42.105263157894733</v>
      </c>
      <c r="L17" s="593">
        <f t="shared" si="1"/>
        <v>0</v>
      </c>
      <c r="M17" s="593">
        <f t="shared" si="2"/>
        <v>52.631578947368418</v>
      </c>
      <c r="N17" s="597">
        <f t="shared" si="3"/>
        <v>94.73684210526315</v>
      </c>
      <c r="O17" s="592">
        <v>27.8</v>
      </c>
      <c r="P17" s="593"/>
      <c r="Q17" s="593">
        <v>26.7</v>
      </c>
      <c r="R17" s="594">
        <f t="shared" si="4"/>
        <v>54.5</v>
      </c>
      <c r="S17" s="669">
        <v>2</v>
      </c>
      <c r="T17" s="95"/>
      <c r="V17" s="82" t="s">
        <v>874</v>
      </c>
      <c r="W17" s="208" t="s">
        <v>22</v>
      </c>
      <c r="X17" s="208" t="s">
        <v>11</v>
      </c>
      <c r="Y17" s="83">
        <v>27.8</v>
      </c>
      <c r="Z17" s="208" t="s">
        <v>879</v>
      </c>
      <c r="AA17" s="208" t="s">
        <v>880</v>
      </c>
      <c r="AB17" s="208" t="s">
        <v>12</v>
      </c>
      <c r="AC17" s="208">
        <v>21.1</v>
      </c>
      <c r="AD17" s="82" t="s">
        <v>881</v>
      </c>
      <c r="AE17" s="208" t="s">
        <v>882</v>
      </c>
      <c r="AF17" s="208" t="s">
        <v>12</v>
      </c>
      <c r="AG17" s="83">
        <v>5.6</v>
      </c>
      <c r="AL17" s="82"/>
      <c r="AO17" s="83"/>
      <c r="AP17" s="82"/>
      <c r="AS17" s="83"/>
      <c r="AW17" s="83"/>
      <c r="BA17" s="84"/>
    </row>
    <row r="18" spans="1:53" s="208" customFormat="1">
      <c r="A18" s="208">
        <v>1999</v>
      </c>
      <c r="C18" s="988" t="s">
        <v>870</v>
      </c>
      <c r="D18" s="988"/>
      <c r="E18" s="208">
        <v>0</v>
      </c>
      <c r="G18" s="596">
        <v>8</v>
      </c>
      <c r="H18" s="669"/>
      <c r="I18" s="669">
        <v>10</v>
      </c>
      <c r="J18" s="598">
        <v>19</v>
      </c>
      <c r="K18" s="593">
        <f t="shared" si="0"/>
        <v>42.105263157894733</v>
      </c>
      <c r="L18" s="593">
        <f t="shared" si="1"/>
        <v>0</v>
      </c>
      <c r="M18" s="593">
        <f t="shared" si="2"/>
        <v>52.631578947368418</v>
      </c>
      <c r="N18" s="597">
        <f t="shared" si="3"/>
        <v>94.73684210526315</v>
      </c>
      <c r="O18" s="592">
        <v>27.8</v>
      </c>
      <c r="P18" s="593"/>
      <c r="Q18" s="593">
        <v>26.7</v>
      </c>
      <c r="R18" s="594">
        <f t="shared" si="4"/>
        <v>54.5</v>
      </c>
      <c r="S18" s="669">
        <v>2</v>
      </c>
      <c r="T18" s="95"/>
      <c r="V18" s="82" t="s">
        <v>874</v>
      </c>
      <c r="W18" s="208" t="s">
        <v>22</v>
      </c>
      <c r="X18" s="208" t="s">
        <v>11</v>
      </c>
      <c r="Y18" s="83">
        <v>27.8</v>
      </c>
      <c r="Z18" s="208" t="s">
        <v>879</v>
      </c>
      <c r="AA18" s="208" t="s">
        <v>880</v>
      </c>
      <c r="AB18" s="208" t="s">
        <v>12</v>
      </c>
      <c r="AC18" s="208">
        <v>21.1</v>
      </c>
      <c r="AD18" s="82" t="s">
        <v>881</v>
      </c>
      <c r="AE18" s="208" t="s">
        <v>882</v>
      </c>
      <c r="AF18" s="208" t="s">
        <v>12</v>
      </c>
      <c r="AG18" s="83">
        <v>5.6</v>
      </c>
      <c r="AL18" s="82"/>
      <c r="AO18" s="83"/>
      <c r="AP18" s="82"/>
      <c r="AS18" s="83"/>
      <c r="AW18" s="83"/>
      <c r="BA18" s="84"/>
    </row>
    <row r="19" spans="1:53" s="208" customFormat="1">
      <c r="A19" s="208">
        <v>1999</v>
      </c>
      <c r="C19" s="988" t="s">
        <v>870</v>
      </c>
      <c r="D19" s="988"/>
      <c r="E19" s="208">
        <v>365</v>
      </c>
      <c r="G19" s="596">
        <v>8</v>
      </c>
      <c r="H19" s="669"/>
      <c r="I19" s="669">
        <v>10</v>
      </c>
      <c r="J19" s="598">
        <v>19</v>
      </c>
      <c r="K19" s="593">
        <f t="shared" si="0"/>
        <v>42.105263157894733</v>
      </c>
      <c r="L19" s="593">
        <f t="shared" si="1"/>
        <v>0</v>
      </c>
      <c r="M19" s="593">
        <f t="shared" si="2"/>
        <v>52.631578947368418</v>
      </c>
      <c r="N19" s="597">
        <f t="shared" si="3"/>
        <v>94.73684210526315</v>
      </c>
      <c r="O19" s="592">
        <v>27.8</v>
      </c>
      <c r="P19" s="593"/>
      <c r="Q19" s="593">
        <v>26.7</v>
      </c>
      <c r="R19" s="594">
        <f t="shared" si="4"/>
        <v>54.5</v>
      </c>
      <c r="S19" s="669">
        <v>2</v>
      </c>
      <c r="T19" s="95"/>
      <c r="V19" s="82" t="s">
        <v>874</v>
      </c>
      <c r="W19" s="208" t="s">
        <v>22</v>
      </c>
      <c r="X19" s="208" t="s">
        <v>11</v>
      </c>
      <c r="Y19" s="83">
        <v>27.8</v>
      </c>
      <c r="Z19" s="208" t="s">
        <v>879</v>
      </c>
      <c r="AA19" s="208" t="s">
        <v>880</v>
      </c>
      <c r="AB19" s="208" t="s">
        <v>12</v>
      </c>
      <c r="AC19" s="208">
        <v>21.1</v>
      </c>
      <c r="AD19" s="82" t="s">
        <v>881</v>
      </c>
      <c r="AE19" s="208" t="s">
        <v>882</v>
      </c>
      <c r="AF19" s="208" t="s">
        <v>12</v>
      </c>
      <c r="AG19" s="83">
        <v>5.6</v>
      </c>
      <c r="AL19" s="82"/>
      <c r="AO19" s="83"/>
      <c r="AP19" s="82"/>
      <c r="AS19" s="83"/>
      <c r="AW19" s="83"/>
      <c r="BA19" s="84"/>
    </row>
    <row r="20" spans="1:53" s="208" customFormat="1">
      <c r="A20" s="208">
        <v>2000</v>
      </c>
      <c r="C20" s="988" t="s">
        <v>870</v>
      </c>
      <c r="D20" s="988"/>
      <c r="E20" s="208">
        <v>158</v>
      </c>
      <c r="G20" s="596">
        <v>8</v>
      </c>
      <c r="H20" s="669"/>
      <c r="I20" s="669">
        <v>10</v>
      </c>
      <c r="J20" s="598">
        <v>19</v>
      </c>
      <c r="K20" s="593">
        <f t="shared" si="0"/>
        <v>42.105263157894733</v>
      </c>
      <c r="L20" s="593">
        <f t="shared" si="1"/>
        <v>0</v>
      </c>
      <c r="M20" s="593">
        <f t="shared" si="2"/>
        <v>52.631578947368418</v>
      </c>
      <c r="N20" s="597">
        <f t="shared" si="3"/>
        <v>94.73684210526315</v>
      </c>
      <c r="O20" s="592">
        <v>27.8</v>
      </c>
      <c r="P20" s="593"/>
      <c r="Q20" s="593">
        <v>26.7</v>
      </c>
      <c r="R20" s="594">
        <f t="shared" si="4"/>
        <v>54.5</v>
      </c>
      <c r="S20" s="669">
        <v>2</v>
      </c>
      <c r="T20" s="95"/>
      <c r="V20" s="82" t="s">
        <v>874</v>
      </c>
      <c r="W20" s="208" t="s">
        <v>22</v>
      </c>
      <c r="X20" s="208" t="s">
        <v>11</v>
      </c>
      <c r="Y20" s="83">
        <v>27.8</v>
      </c>
      <c r="Z20" s="208" t="s">
        <v>879</v>
      </c>
      <c r="AA20" s="208" t="s">
        <v>880</v>
      </c>
      <c r="AB20" s="208" t="s">
        <v>12</v>
      </c>
      <c r="AC20" s="208">
        <v>21.1</v>
      </c>
      <c r="AD20" s="82" t="s">
        <v>881</v>
      </c>
      <c r="AE20" s="208" t="s">
        <v>882</v>
      </c>
      <c r="AF20" s="208" t="s">
        <v>12</v>
      </c>
      <c r="AG20" s="83">
        <v>5.6</v>
      </c>
      <c r="AL20" s="82"/>
      <c r="AO20" s="83"/>
      <c r="AP20" s="82"/>
      <c r="AS20" s="83"/>
      <c r="AW20" s="83"/>
      <c r="BA20" s="84"/>
    </row>
    <row r="21" spans="1:53" s="334" customFormat="1">
      <c r="A21" s="334">
        <v>2000</v>
      </c>
      <c r="B21" s="355">
        <v>36684</v>
      </c>
      <c r="C21" s="992" t="s">
        <v>872</v>
      </c>
      <c r="D21" s="992"/>
      <c r="E21" s="334">
        <v>176</v>
      </c>
      <c r="F21" s="334">
        <v>5</v>
      </c>
      <c r="G21" s="642"/>
      <c r="H21" s="670">
        <v>3</v>
      </c>
      <c r="I21" s="670">
        <v>10</v>
      </c>
      <c r="J21" s="644">
        <v>17</v>
      </c>
      <c r="K21" s="640">
        <f t="shared" si="0"/>
        <v>0</v>
      </c>
      <c r="L21" s="640">
        <f t="shared" si="1"/>
        <v>17.647058823529413</v>
      </c>
      <c r="M21" s="640">
        <f t="shared" si="2"/>
        <v>58.82352941176471</v>
      </c>
      <c r="N21" s="643">
        <f t="shared" si="3"/>
        <v>76.470588235294116</v>
      </c>
      <c r="O21" s="639"/>
      <c r="P21" s="640">
        <v>11.1</v>
      </c>
      <c r="Q21" s="640">
        <v>38.9</v>
      </c>
      <c r="R21" s="641">
        <f t="shared" si="4"/>
        <v>50</v>
      </c>
      <c r="S21" s="670">
        <v>5</v>
      </c>
      <c r="T21" s="342"/>
      <c r="U21" s="355">
        <v>36684</v>
      </c>
      <c r="V21" s="343" t="s">
        <v>879</v>
      </c>
      <c r="W21" s="334" t="s">
        <v>880</v>
      </c>
      <c r="X21" s="334" t="s">
        <v>12</v>
      </c>
      <c r="Y21" s="344">
        <v>21.1</v>
      </c>
      <c r="Z21" s="343" t="s">
        <v>878</v>
      </c>
      <c r="AA21" s="334" t="s">
        <v>97</v>
      </c>
      <c r="AB21" s="334" t="s">
        <v>12</v>
      </c>
      <c r="AC21" s="334">
        <v>17.8</v>
      </c>
      <c r="AD21" s="343" t="s">
        <v>875</v>
      </c>
      <c r="AE21" s="334" t="s">
        <v>17</v>
      </c>
      <c r="AF21" s="334" t="s">
        <v>18</v>
      </c>
      <c r="AG21" s="344">
        <v>11.1</v>
      </c>
      <c r="AL21" s="343"/>
      <c r="AO21" s="344"/>
      <c r="AP21" s="343"/>
      <c r="AS21" s="344"/>
      <c r="AW21" s="344"/>
      <c r="BA21" s="345"/>
    </row>
    <row r="22" spans="1:53" s="208" customFormat="1">
      <c r="A22" s="208">
        <v>2000</v>
      </c>
      <c r="B22" s="207">
        <v>36860</v>
      </c>
      <c r="C22" s="988" t="s">
        <v>1223</v>
      </c>
      <c r="D22" s="988"/>
      <c r="E22" s="208">
        <f>366-E21-E20</f>
        <v>32</v>
      </c>
      <c r="F22" s="208">
        <v>1</v>
      </c>
      <c r="G22" s="596">
        <v>10</v>
      </c>
      <c r="H22" s="669"/>
      <c r="I22" s="669">
        <v>6</v>
      </c>
      <c r="J22" s="598">
        <v>16</v>
      </c>
      <c r="K22" s="593">
        <f t="shared" si="0"/>
        <v>62.5</v>
      </c>
      <c r="L22" s="593">
        <f t="shared" si="1"/>
        <v>0</v>
      </c>
      <c r="M22" s="593">
        <f t="shared" si="2"/>
        <v>37.5</v>
      </c>
      <c r="N22" s="597">
        <f t="shared" si="3"/>
        <v>100</v>
      </c>
      <c r="O22" s="592">
        <v>37.799999999999997</v>
      </c>
      <c r="P22" s="593"/>
      <c r="Q22" s="593">
        <v>22.2</v>
      </c>
      <c r="R22" s="594">
        <f t="shared" si="4"/>
        <v>60</v>
      </c>
      <c r="S22" s="669">
        <v>2</v>
      </c>
      <c r="T22" s="95">
        <v>36814</v>
      </c>
      <c r="U22" s="207">
        <v>36860</v>
      </c>
      <c r="V22" s="82" t="s">
        <v>874</v>
      </c>
      <c r="W22" s="208" t="s">
        <v>22</v>
      </c>
      <c r="X22" s="208" t="s">
        <v>11</v>
      </c>
      <c r="Y22" s="83">
        <v>37.799999999999997</v>
      </c>
      <c r="Z22" s="82" t="s">
        <v>876</v>
      </c>
      <c r="AA22" s="208" t="s">
        <v>98</v>
      </c>
      <c r="AB22" s="208" t="s">
        <v>12</v>
      </c>
      <c r="AC22" s="208">
        <v>12.2</v>
      </c>
      <c r="AD22" s="82" t="s">
        <v>887</v>
      </c>
      <c r="AE22" s="208" t="s">
        <v>888</v>
      </c>
      <c r="AF22" s="208" t="s">
        <v>12</v>
      </c>
      <c r="AG22" s="83">
        <v>10</v>
      </c>
      <c r="AL22" s="82"/>
      <c r="AO22" s="83"/>
      <c r="AP22" s="82"/>
      <c r="AS22" s="83"/>
      <c r="AW22" s="83"/>
      <c r="BA22" s="84"/>
    </row>
    <row r="23" spans="1:53" s="208" customFormat="1">
      <c r="A23" s="208">
        <v>2001</v>
      </c>
      <c r="C23" s="988" t="s">
        <v>1223</v>
      </c>
      <c r="D23" s="988"/>
      <c r="E23" s="208">
        <v>0</v>
      </c>
      <c r="G23" s="596">
        <v>10</v>
      </c>
      <c r="H23" s="669"/>
      <c r="I23" s="669">
        <v>6</v>
      </c>
      <c r="J23" s="598">
        <v>16</v>
      </c>
      <c r="K23" s="593">
        <f t="shared" si="0"/>
        <v>62.5</v>
      </c>
      <c r="L23" s="593">
        <f t="shared" si="1"/>
        <v>0</v>
      </c>
      <c r="M23" s="593">
        <f t="shared" si="2"/>
        <v>37.5</v>
      </c>
      <c r="N23" s="597">
        <f t="shared" si="3"/>
        <v>100</v>
      </c>
      <c r="O23" s="592">
        <v>37.799999999999997</v>
      </c>
      <c r="P23" s="593"/>
      <c r="Q23" s="593">
        <v>22.2</v>
      </c>
      <c r="R23" s="594">
        <f t="shared" si="4"/>
        <v>60</v>
      </c>
      <c r="S23" s="669">
        <v>2</v>
      </c>
      <c r="T23" s="95"/>
      <c r="V23" s="82" t="s">
        <v>874</v>
      </c>
      <c r="W23" s="208" t="s">
        <v>22</v>
      </c>
      <c r="X23" s="208" t="s">
        <v>11</v>
      </c>
      <c r="Y23" s="83">
        <v>37.799999999999997</v>
      </c>
      <c r="Z23" s="82" t="s">
        <v>876</v>
      </c>
      <c r="AA23" s="208" t="s">
        <v>98</v>
      </c>
      <c r="AB23" s="208" t="s">
        <v>12</v>
      </c>
      <c r="AC23" s="208">
        <v>12.2</v>
      </c>
      <c r="AD23" s="82" t="s">
        <v>887</v>
      </c>
      <c r="AE23" s="208" t="s">
        <v>888</v>
      </c>
      <c r="AF23" s="208" t="s">
        <v>12</v>
      </c>
      <c r="AG23" s="83">
        <v>10</v>
      </c>
      <c r="AL23" s="82"/>
      <c r="AO23" s="83"/>
      <c r="AP23" s="82"/>
      <c r="AS23" s="83"/>
      <c r="AW23" s="83"/>
      <c r="BA23" s="84"/>
    </row>
    <row r="24" spans="1:53" s="208" customFormat="1">
      <c r="A24" s="208">
        <v>2001</v>
      </c>
      <c r="C24" s="988" t="s">
        <v>1223</v>
      </c>
      <c r="D24" s="988"/>
      <c r="E24" s="208">
        <v>365</v>
      </c>
      <c r="G24" s="596">
        <v>10</v>
      </c>
      <c r="H24" s="669"/>
      <c r="I24" s="669">
        <v>6</v>
      </c>
      <c r="J24" s="598">
        <v>16</v>
      </c>
      <c r="K24" s="593">
        <f t="shared" si="0"/>
        <v>62.5</v>
      </c>
      <c r="L24" s="593">
        <f t="shared" si="1"/>
        <v>0</v>
      </c>
      <c r="M24" s="593">
        <f t="shared" si="2"/>
        <v>37.5</v>
      </c>
      <c r="N24" s="597">
        <f t="shared" si="3"/>
        <v>100</v>
      </c>
      <c r="O24" s="592">
        <v>37.799999999999997</v>
      </c>
      <c r="P24" s="593"/>
      <c r="Q24" s="593">
        <v>22.2</v>
      </c>
      <c r="R24" s="594">
        <f t="shared" si="4"/>
        <v>60</v>
      </c>
      <c r="S24" s="669">
        <v>2</v>
      </c>
      <c r="T24" s="95"/>
      <c r="V24" s="82" t="s">
        <v>874</v>
      </c>
      <c r="W24" s="208" t="s">
        <v>22</v>
      </c>
      <c r="X24" s="208" t="s">
        <v>11</v>
      </c>
      <c r="Y24" s="83">
        <v>37.799999999999997</v>
      </c>
      <c r="Z24" s="82" t="s">
        <v>876</v>
      </c>
      <c r="AA24" s="208" t="s">
        <v>98</v>
      </c>
      <c r="AB24" s="208" t="s">
        <v>12</v>
      </c>
      <c r="AC24" s="208">
        <v>12.2</v>
      </c>
      <c r="AD24" s="82" t="s">
        <v>887</v>
      </c>
      <c r="AE24" s="208" t="s">
        <v>888</v>
      </c>
      <c r="AF24" s="208" t="s">
        <v>12</v>
      </c>
      <c r="AG24" s="83">
        <v>10</v>
      </c>
      <c r="AL24" s="82"/>
      <c r="AO24" s="83"/>
      <c r="AP24" s="82"/>
      <c r="AS24" s="83"/>
      <c r="AW24" s="83"/>
      <c r="BA24" s="84"/>
    </row>
    <row r="25" spans="1:53" s="227" customFormat="1">
      <c r="A25" s="227">
        <v>2002</v>
      </c>
      <c r="C25" s="988" t="s">
        <v>1223</v>
      </c>
      <c r="D25" s="988"/>
      <c r="E25" s="227">
        <v>23</v>
      </c>
      <c r="G25" s="596">
        <v>10</v>
      </c>
      <c r="H25" s="669"/>
      <c r="I25" s="669">
        <v>6</v>
      </c>
      <c r="J25" s="598">
        <v>16</v>
      </c>
      <c r="K25" s="593">
        <f>G25/J25*100</f>
        <v>62.5</v>
      </c>
      <c r="L25" s="593">
        <f>H25/J25*100</f>
        <v>0</v>
      </c>
      <c r="M25" s="593">
        <f>I25/J25*100</f>
        <v>37.5</v>
      </c>
      <c r="N25" s="597">
        <f>K25+L25+M25</f>
        <v>100</v>
      </c>
      <c r="O25" s="592">
        <v>37.799999999999997</v>
      </c>
      <c r="P25" s="593"/>
      <c r="Q25" s="593">
        <v>22.2</v>
      </c>
      <c r="R25" s="594">
        <f>O25+P25+Q25</f>
        <v>60</v>
      </c>
      <c r="S25" s="669">
        <v>2</v>
      </c>
      <c r="T25" s="95"/>
      <c r="V25" s="82" t="s">
        <v>874</v>
      </c>
      <c r="W25" s="227" t="s">
        <v>22</v>
      </c>
      <c r="X25" s="227" t="s">
        <v>11</v>
      </c>
      <c r="Y25" s="83">
        <v>37.799999999999997</v>
      </c>
      <c r="Z25" s="82" t="s">
        <v>876</v>
      </c>
      <c r="AA25" s="227" t="s">
        <v>98</v>
      </c>
      <c r="AB25" s="227" t="s">
        <v>12</v>
      </c>
      <c r="AC25" s="227">
        <v>12.2</v>
      </c>
      <c r="AD25" s="82" t="s">
        <v>887</v>
      </c>
      <c r="AE25" s="227" t="s">
        <v>888</v>
      </c>
      <c r="AF25" s="227" t="s">
        <v>12</v>
      </c>
      <c r="AG25" s="83">
        <v>10</v>
      </c>
      <c r="AL25" s="82"/>
      <c r="AO25" s="83"/>
      <c r="AP25" s="82"/>
      <c r="AS25" s="83"/>
      <c r="AW25" s="83"/>
      <c r="BA25" s="84"/>
    </row>
    <row r="26" spans="1:53" s="208" customFormat="1">
      <c r="A26" s="208">
        <v>2002</v>
      </c>
      <c r="B26" s="149">
        <v>37280</v>
      </c>
      <c r="C26" s="988" t="s">
        <v>1223</v>
      </c>
      <c r="D26" s="988"/>
      <c r="E26" s="208">
        <v>329</v>
      </c>
      <c r="F26" s="150">
        <v>0</v>
      </c>
      <c r="G26" s="596">
        <v>9</v>
      </c>
      <c r="H26" s="669"/>
      <c r="I26" s="669">
        <v>6</v>
      </c>
      <c r="J26" s="598">
        <v>16</v>
      </c>
      <c r="K26" s="593">
        <f t="shared" si="0"/>
        <v>56.25</v>
      </c>
      <c r="L26" s="593">
        <f t="shared" si="1"/>
        <v>0</v>
      </c>
      <c r="M26" s="593">
        <f t="shared" si="2"/>
        <v>37.5</v>
      </c>
      <c r="N26" s="597">
        <f t="shared" si="3"/>
        <v>93.75</v>
      </c>
      <c r="O26" s="592">
        <v>37.799999999999997</v>
      </c>
      <c r="P26" s="593"/>
      <c r="Q26" s="593">
        <v>22.2</v>
      </c>
      <c r="R26" s="594">
        <f t="shared" si="4"/>
        <v>60</v>
      </c>
      <c r="S26" s="669">
        <v>2</v>
      </c>
      <c r="T26" s="95"/>
      <c r="V26" s="82" t="s">
        <v>874</v>
      </c>
      <c r="W26" s="208" t="s">
        <v>22</v>
      </c>
      <c r="X26" s="208" t="s">
        <v>11</v>
      </c>
      <c r="Y26" s="83">
        <v>37.799999999999997</v>
      </c>
      <c r="Z26" s="82" t="s">
        <v>876</v>
      </c>
      <c r="AA26" s="208" t="s">
        <v>98</v>
      </c>
      <c r="AB26" s="208" t="s">
        <v>12</v>
      </c>
      <c r="AC26" s="208">
        <v>12.2</v>
      </c>
      <c r="AD26" s="82" t="s">
        <v>887</v>
      </c>
      <c r="AE26" s="208" t="s">
        <v>888</v>
      </c>
      <c r="AF26" s="208" t="s">
        <v>12</v>
      </c>
      <c r="AG26" s="83">
        <v>10</v>
      </c>
      <c r="AL26" s="82"/>
      <c r="AO26" s="83"/>
      <c r="AP26" s="82"/>
      <c r="AS26" s="83"/>
      <c r="AW26" s="83"/>
      <c r="BA26" s="84"/>
    </row>
    <row r="27" spans="1:53" s="334" customFormat="1">
      <c r="A27" s="334">
        <v>2002</v>
      </c>
      <c r="B27" s="355">
        <v>37609</v>
      </c>
      <c r="C27" s="992" t="s">
        <v>871</v>
      </c>
      <c r="D27" s="992"/>
      <c r="E27" s="334">
        <v>13</v>
      </c>
      <c r="F27" s="334">
        <v>2</v>
      </c>
      <c r="G27" s="642">
        <v>10</v>
      </c>
      <c r="H27" s="670"/>
      <c r="I27" s="670">
        <v>7</v>
      </c>
      <c r="J27" s="644">
        <v>17</v>
      </c>
      <c r="K27" s="640">
        <f t="shared" si="0"/>
        <v>58.82352941176471</v>
      </c>
      <c r="L27" s="640">
        <f t="shared" si="1"/>
        <v>0</v>
      </c>
      <c r="M27" s="640">
        <f t="shared" si="2"/>
        <v>41.17647058823529</v>
      </c>
      <c r="N27" s="643">
        <f t="shared" si="3"/>
        <v>100</v>
      </c>
      <c r="O27" s="639">
        <v>37.799999999999997</v>
      </c>
      <c r="P27" s="640"/>
      <c r="Q27" s="640">
        <v>26.6</v>
      </c>
      <c r="R27" s="641">
        <f t="shared" si="4"/>
        <v>64.400000000000006</v>
      </c>
      <c r="S27" s="670">
        <v>3</v>
      </c>
      <c r="T27" s="342"/>
      <c r="U27" s="355">
        <v>37609</v>
      </c>
      <c r="V27" s="343" t="s">
        <v>874</v>
      </c>
      <c r="W27" s="334" t="s">
        <v>22</v>
      </c>
      <c r="X27" s="334" t="s">
        <v>11</v>
      </c>
      <c r="Y27" s="344">
        <v>37.799999999999997</v>
      </c>
      <c r="Z27" s="343" t="s">
        <v>876</v>
      </c>
      <c r="AA27" s="334" t="s">
        <v>98</v>
      </c>
      <c r="AB27" s="334" t="s">
        <v>12</v>
      </c>
      <c r="AC27" s="334">
        <v>12.2</v>
      </c>
      <c r="AD27" s="343" t="s">
        <v>887</v>
      </c>
      <c r="AE27" s="334" t="s">
        <v>888</v>
      </c>
      <c r="AF27" s="334" t="s">
        <v>12</v>
      </c>
      <c r="AG27" s="344">
        <v>10</v>
      </c>
      <c r="AH27" s="343" t="s">
        <v>881</v>
      </c>
      <c r="AI27" s="334" t="s">
        <v>882</v>
      </c>
      <c r="AJ27" s="334" t="s">
        <v>12</v>
      </c>
      <c r="AK27" s="334">
        <v>4.4000000000000004</v>
      </c>
      <c r="AL27" s="343"/>
      <c r="AO27" s="344"/>
      <c r="AP27" s="343"/>
      <c r="AS27" s="344"/>
      <c r="AW27" s="344"/>
      <c r="BA27" s="345"/>
    </row>
    <row r="28" spans="1:53" s="334" customFormat="1">
      <c r="A28" s="334">
        <v>2003</v>
      </c>
      <c r="C28" s="992" t="s">
        <v>871</v>
      </c>
      <c r="D28" s="992"/>
      <c r="E28" s="334">
        <v>0</v>
      </c>
      <c r="G28" s="642">
        <v>10</v>
      </c>
      <c r="H28" s="670"/>
      <c r="I28" s="670">
        <v>7</v>
      </c>
      <c r="J28" s="644">
        <v>17</v>
      </c>
      <c r="K28" s="640">
        <f t="shared" si="0"/>
        <v>58.82352941176471</v>
      </c>
      <c r="L28" s="640">
        <f t="shared" si="1"/>
        <v>0</v>
      </c>
      <c r="M28" s="640">
        <f t="shared" si="2"/>
        <v>41.17647058823529</v>
      </c>
      <c r="N28" s="643">
        <f t="shared" si="3"/>
        <v>100</v>
      </c>
      <c r="O28" s="639">
        <v>37.799999999999997</v>
      </c>
      <c r="P28" s="640"/>
      <c r="Q28" s="640">
        <v>26.6</v>
      </c>
      <c r="R28" s="641">
        <f t="shared" si="4"/>
        <v>64.400000000000006</v>
      </c>
      <c r="S28" s="670">
        <v>3</v>
      </c>
      <c r="T28" s="342"/>
      <c r="V28" s="343" t="s">
        <v>874</v>
      </c>
      <c r="W28" s="334" t="s">
        <v>22</v>
      </c>
      <c r="X28" s="334" t="s">
        <v>11</v>
      </c>
      <c r="Y28" s="344">
        <v>37.799999999999997</v>
      </c>
      <c r="Z28" s="343" t="s">
        <v>876</v>
      </c>
      <c r="AA28" s="334" t="s">
        <v>98</v>
      </c>
      <c r="AB28" s="334" t="s">
        <v>12</v>
      </c>
      <c r="AC28" s="334">
        <v>12.2</v>
      </c>
      <c r="AD28" s="343" t="s">
        <v>887</v>
      </c>
      <c r="AE28" s="334" t="s">
        <v>888</v>
      </c>
      <c r="AF28" s="334" t="s">
        <v>12</v>
      </c>
      <c r="AG28" s="344">
        <v>10</v>
      </c>
      <c r="AH28" s="343" t="s">
        <v>881</v>
      </c>
      <c r="AI28" s="334" t="s">
        <v>882</v>
      </c>
      <c r="AJ28" s="334" t="s">
        <v>12</v>
      </c>
      <c r="AK28" s="334">
        <v>4.4000000000000004</v>
      </c>
      <c r="AL28" s="343"/>
      <c r="AO28" s="344"/>
      <c r="AP28" s="343"/>
      <c r="AS28" s="344"/>
      <c r="AW28" s="344"/>
      <c r="BA28" s="345"/>
    </row>
    <row r="29" spans="1:53" s="334" customFormat="1">
      <c r="A29" s="334">
        <v>2003</v>
      </c>
      <c r="C29" s="992" t="s">
        <v>871</v>
      </c>
      <c r="D29" s="992"/>
      <c r="E29" s="334">
        <v>365</v>
      </c>
      <c r="G29" s="642">
        <v>10</v>
      </c>
      <c r="H29" s="670"/>
      <c r="I29" s="670">
        <v>7</v>
      </c>
      <c r="J29" s="644">
        <v>17</v>
      </c>
      <c r="K29" s="640">
        <f t="shared" si="0"/>
        <v>58.82352941176471</v>
      </c>
      <c r="L29" s="640">
        <f t="shared" si="1"/>
        <v>0</v>
      </c>
      <c r="M29" s="640">
        <f t="shared" si="2"/>
        <v>41.17647058823529</v>
      </c>
      <c r="N29" s="643">
        <f t="shared" si="3"/>
        <v>100</v>
      </c>
      <c r="O29" s="639">
        <v>37.799999999999997</v>
      </c>
      <c r="P29" s="640"/>
      <c r="Q29" s="640">
        <v>26.6</v>
      </c>
      <c r="R29" s="641">
        <f t="shared" si="4"/>
        <v>64.400000000000006</v>
      </c>
      <c r="S29" s="670">
        <v>3</v>
      </c>
      <c r="T29" s="342"/>
      <c r="V29" s="343" t="s">
        <v>874</v>
      </c>
      <c r="W29" s="334" t="s">
        <v>22</v>
      </c>
      <c r="X29" s="334" t="s">
        <v>11</v>
      </c>
      <c r="Y29" s="344">
        <v>37.799999999999997</v>
      </c>
      <c r="Z29" s="343" t="s">
        <v>876</v>
      </c>
      <c r="AA29" s="334" t="s">
        <v>98</v>
      </c>
      <c r="AB29" s="334" t="s">
        <v>12</v>
      </c>
      <c r="AC29" s="334">
        <v>12.2</v>
      </c>
      <c r="AD29" s="343" t="s">
        <v>887</v>
      </c>
      <c r="AE29" s="334" t="s">
        <v>888</v>
      </c>
      <c r="AF29" s="334" t="s">
        <v>12</v>
      </c>
      <c r="AG29" s="344">
        <v>10</v>
      </c>
      <c r="AH29" s="343" t="s">
        <v>881</v>
      </c>
      <c r="AI29" s="334" t="s">
        <v>882</v>
      </c>
      <c r="AJ29" s="334" t="s">
        <v>12</v>
      </c>
      <c r="AK29" s="334">
        <v>4.4000000000000004</v>
      </c>
      <c r="AL29" s="343"/>
      <c r="AO29" s="344"/>
      <c r="AP29" s="343"/>
      <c r="AS29" s="344"/>
      <c r="AW29" s="344"/>
      <c r="BA29" s="345"/>
    </row>
    <row r="30" spans="1:53" s="334" customFormat="1">
      <c r="A30" s="334">
        <v>2004</v>
      </c>
      <c r="C30" s="992" t="s">
        <v>871</v>
      </c>
      <c r="D30" s="992"/>
      <c r="E30" s="334">
        <v>110</v>
      </c>
      <c r="G30" s="642">
        <v>10</v>
      </c>
      <c r="H30" s="670"/>
      <c r="I30" s="670">
        <v>7</v>
      </c>
      <c r="J30" s="644">
        <v>17</v>
      </c>
      <c r="K30" s="640">
        <f t="shared" si="0"/>
        <v>58.82352941176471</v>
      </c>
      <c r="L30" s="640">
        <f t="shared" si="1"/>
        <v>0</v>
      </c>
      <c r="M30" s="640">
        <f t="shared" si="2"/>
        <v>41.17647058823529</v>
      </c>
      <c r="N30" s="643">
        <f t="shared" si="3"/>
        <v>100</v>
      </c>
      <c r="O30" s="639">
        <v>37.799999999999997</v>
      </c>
      <c r="P30" s="640"/>
      <c r="Q30" s="640">
        <v>26.6</v>
      </c>
      <c r="R30" s="641">
        <f t="shared" si="4"/>
        <v>64.400000000000006</v>
      </c>
      <c r="S30" s="670">
        <v>3</v>
      </c>
      <c r="T30" s="342"/>
      <c r="V30" s="343" t="s">
        <v>874</v>
      </c>
      <c r="W30" s="334" t="s">
        <v>22</v>
      </c>
      <c r="X30" s="334" t="s">
        <v>11</v>
      </c>
      <c r="Y30" s="344">
        <v>37.799999999999997</v>
      </c>
      <c r="Z30" s="343" t="s">
        <v>876</v>
      </c>
      <c r="AA30" s="334" t="s">
        <v>98</v>
      </c>
      <c r="AB30" s="334" t="s">
        <v>12</v>
      </c>
      <c r="AC30" s="334">
        <v>12.2</v>
      </c>
      <c r="AD30" s="343" t="s">
        <v>887</v>
      </c>
      <c r="AE30" s="334" t="s">
        <v>888</v>
      </c>
      <c r="AF30" s="334" t="s">
        <v>12</v>
      </c>
      <c r="AG30" s="344">
        <v>10</v>
      </c>
      <c r="AH30" s="343" t="s">
        <v>881</v>
      </c>
      <c r="AI30" s="334" t="s">
        <v>882</v>
      </c>
      <c r="AJ30" s="334" t="s">
        <v>12</v>
      </c>
      <c r="AK30" s="334">
        <v>4.4000000000000004</v>
      </c>
      <c r="AL30" s="343"/>
      <c r="AO30" s="344"/>
      <c r="AP30" s="343"/>
      <c r="AS30" s="344"/>
      <c r="AW30" s="344"/>
      <c r="BA30" s="345"/>
    </row>
    <row r="31" spans="1:53" s="208" customFormat="1">
      <c r="A31" s="208">
        <v>2004</v>
      </c>
      <c r="B31" s="207">
        <v>38097</v>
      </c>
      <c r="C31" s="988" t="s">
        <v>873</v>
      </c>
      <c r="D31" s="988"/>
      <c r="E31" s="208">
        <v>227</v>
      </c>
      <c r="F31" s="208">
        <v>4</v>
      </c>
      <c r="G31" s="596">
        <v>13</v>
      </c>
      <c r="H31" s="669"/>
      <c r="I31" s="669">
        <v>4</v>
      </c>
      <c r="J31" s="598">
        <v>17</v>
      </c>
      <c r="K31" s="593">
        <f t="shared" si="0"/>
        <v>76.470588235294116</v>
      </c>
      <c r="L31" s="593">
        <f t="shared" si="1"/>
        <v>0</v>
      </c>
      <c r="M31" s="593">
        <f t="shared" si="2"/>
        <v>23.52941176470588</v>
      </c>
      <c r="N31" s="597">
        <f t="shared" si="3"/>
        <v>100</v>
      </c>
      <c r="O31" s="592">
        <v>37.799999999999997</v>
      </c>
      <c r="P31" s="593"/>
      <c r="Q31" s="593">
        <v>16.600000000000001</v>
      </c>
      <c r="R31" s="594">
        <f t="shared" si="4"/>
        <v>54.4</v>
      </c>
      <c r="S31" s="669">
        <v>2</v>
      </c>
      <c r="T31" s="95"/>
      <c r="U31" s="207">
        <v>38097</v>
      </c>
      <c r="V31" s="82" t="s">
        <v>874</v>
      </c>
      <c r="W31" s="208" t="s">
        <v>22</v>
      </c>
      <c r="X31" s="208" t="s">
        <v>11</v>
      </c>
      <c r="Y31" s="83">
        <v>37.799999999999997</v>
      </c>
      <c r="Z31" s="82" t="s">
        <v>876</v>
      </c>
      <c r="AA31" s="208" t="s">
        <v>98</v>
      </c>
      <c r="AB31" s="208" t="s">
        <v>12</v>
      </c>
      <c r="AC31" s="208">
        <v>12.2</v>
      </c>
      <c r="AD31" s="82" t="s">
        <v>881</v>
      </c>
      <c r="AE31" s="208" t="s">
        <v>882</v>
      </c>
      <c r="AF31" s="208" t="s">
        <v>12</v>
      </c>
      <c r="AG31" s="83">
        <v>4.4000000000000004</v>
      </c>
      <c r="AL31" s="82"/>
      <c r="AO31" s="83"/>
      <c r="AP31" s="82"/>
      <c r="AS31" s="83"/>
      <c r="AW31" s="83"/>
      <c r="BA31" s="84"/>
    </row>
    <row r="32" spans="1:53" s="334" customFormat="1">
      <c r="A32" s="334">
        <v>2004</v>
      </c>
      <c r="B32" s="355">
        <v>38324</v>
      </c>
      <c r="C32" s="992" t="s">
        <v>1225</v>
      </c>
      <c r="D32" s="992"/>
      <c r="E32" s="334">
        <f>366-E31-E30</f>
        <v>29</v>
      </c>
      <c r="F32" s="334">
        <v>1</v>
      </c>
      <c r="G32" s="642"/>
      <c r="H32" s="670">
        <v>4</v>
      </c>
      <c r="I32" s="670">
        <v>13</v>
      </c>
      <c r="J32" s="644">
        <v>17</v>
      </c>
      <c r="K32" s="640">
        <f t="shared" si="0"/>
        <v>0</v>
      </c>
      <c r="L32" s="640">
        <f t="shared" si="1"/>
        <v>23.52941176470588</v>
      </c>
      <c r="M32" s="640">
        <f t="shared" si="2"/>
        <v>76.470588235294116</v>
      </c>
      <c r="N32" s="643">
        <f t="shared" si="3"/>
        <v>100</v>
      </c>
      <c r="O32" s="639"/>
      <c r="P32" s="640">
        <v>10</v>
      </c>
      <c r="Q32" s="640">
        <v>44.4</v>
      </c>
      <c r="R32" s="641">
        <f t="shared" si="4"/>
        <v>54.4</v>
      </c>
      <c r="S32" s="670">
        <v>2</v>
      </c>
      <c r="T32" s="342">
        <v>38263</v>
      </c>
      <c r="U32" s="355">
        <v>38324</v>
      </c>
      <c r="V32" s="343" t="s">
        <v>878</v>
      </c>
      <c r="W32" s="334" t="s">
        <v>97</v>
      </c>
      <c r="X32" s="334" t="s">
        <v>12</v>
      </c>
      <c r="Y32" s="344">
        <v>32.200000000000003</v>
      </c>
      <c r="Z32" s="334" t="s">
        <v>883</v>
      </c>
      <c r="AA32" s="334" t="s">
        <v>82</v>
      </c>
      <c r="AB32" s="334" t="s">
        <v>18</v>
      </c>
      <c r="AC32" s="334">
        <v>10</v>
      </c>
      <c r="AD32" s="343" t="s">
        <v>879</v>
      </c>
      <c r="AE32" s="334" t="s">
        <v>880</v>
      </c>
      <c r="AF32" s="334" t="s">
        <v>12</v>
      </c>
      <c r="AG32" s="344">
        <v>7.8</v>
      </c>
      <c r="AH32" s="343" t="s">
        <v>881</v>
      </c>
      <c r="AI32" s="334" t="s">
        <v>882</v>
      </c>
      <c r="AJ32" s="334" t="s">
        <v>12</v>
      </c>
      <c r="AK32" s="334">
        <v>4.4000000000000004</v>
      </c>
      <c r="AL32" s="343"/>
      <c r="AO32" s="344"/>
      <c r="AP32" s="343"/>
      <c r="AS32" s="344"/>
      <c r="AW32" s="344"/>
      <c r="BA32" s="345"/>
    </row>
    <row r="33" spans="1:53" s="334" customFormat="1">
      <c r="A33" s="334">
        <v>2005</v>
      </c>
      <c r="B33" s="358"/>
      <c r="C33" s="992" t="s">
        <v>1225</v>
      </c>
      <c r="D33" s="992"/>
      <c r="E33" s="334">
        <v>353</v>
      </c>
      <c r="G33" s="642"/>
      <c r="H33" s="670">
        <v>4</v>
      </c>
      <c r="I33" s="670">
        <v>13</v>
      </c>
      <c r="J33" s="644">
        <v>17</v>
      </c>
      <c r="K33" s="640">
        <f t="shared" si="0"/>
        <v>0</v>
      </c>
      <c r="L33" s="640">
        <f t="shared" si="1"/>
        <v>23.52941176470588</v>
      </c>
      <c r="M33" s="640">
        <f t="shared" si="2"/>
        <v>76.470588235294116</v>
      </c>
      <c r="N33" s="643">
        <f t="shared" si="3"/>
        <v>100</v>
      </c>
      <c r="O33" s="639"/>
      <c r="P33" s="640">
        <v>10</v>
      </c>
      <c r="Q33" s="640">
        <v>44.4</v>
      </c>
      <c r="R33" s="641">
        <f t="shared" si="4"/>
        <v>54.4</v>
      </c>
      <c r="S33" s="670">
        <v>2</v>
      </c>
      <c r="T33" s="342"/>
      <c r="V33" s="343" t="s">
        <v>878</v>
      </c>
      <c r="W33" s="334" t="s">
        <v>97</v>
      </c>
      <c r="X33" s="334" t="s">
        <v>12</v>
      </c>
      <c r="Y33" s="344">
        <v>32.200000000000003</v>
      </c>
      <c r="Z33" s="334" t="s">
        <v>883</v>
      </c>
      <c r="AA33" s="334" t="s">
        <v>82</v>
      </c>
      <c r="AB33" s="334" t="s">
        <v>18</v>
      </c>
      <c r="AC33" s="334">
        <v>10</v>
      </c>
      <c r="AD33" s="343" t="s">
        <v>879</v>
      </c>
      <c r="AE33" s="334" t="s">
        <v>880</v>
      </c>
      <c r="AF33" s="334" t="s">
        <v>12</v>
      </c>
      <c r="AG33" s="344">
        <v>7.8</v>
      </c>
      <c r="AH33" s="343" t="s">
        <v>881</v>
      </c>
      <c r="AI33" s="334" t="s">
        <v>882</v>
      </c>
      <c r="AJ33" s="334" t="s">
        <v>12</v>
      </c>
      <c r="AK33" s="334">
        <v>4.4000000000000004</v>
      </c>
      <c r="AL33" s="343"/>
      <c r="AO33" s="344"/>
      <c r="AP33" s="343"/>
      <c r="AS33" s="344"/>
      <c r="AW33" s="344"/>
      <c r="BA33" s="345"/>
    </row>
    <row r="34" spans="1:53" s="334" customFormat="1">
      <c r="A34" s="334">
        <v>2005</v>
      </c>
      <c r="B34" s="440">
        <v>38706</v>
      </c>
      <c r="C34" s="992" t="s">
        <v>1225</v>
      </c>
      <c r="D34" s="992"/>
      <c r="E34" s="334">
        <f>365-E33</f>
        <v>12</v>
      </c>
      <c r="F34" s="441">
        <v>0</v>
      </c>
      <c r="G34" s="642"/>
      <c r="H34" s="670">
        <v>4</v>
      </c>
      <c r="I34" s="670">
        <v>14</v>
      </c>
      <c r="J34" s="644">
        <v>18</v>
      </c>
      <c r="K34" s="640">
        <f t="shared" si="0"/>
        <v>0</v>
      </c>
      <c r="L34" s="640">
        <f t="shared" si="1"/>
        <v>22.222222222222221</v>
      </c>
      <c r="M34" s="640">
        <f t="shared" si="2"/>
        <v>77.777777777777786</v>
      </c>
      <c r="N34" s="643">
        <f t="shared" si="3"/>
        <v>100</v>
      </c>
      <c r="O34" s="639"/>
      <c r="P34" s="640">
        <v>10</v>
      </c>
      <c r="Q34" s="640">
        <v>44.4</v>
      </c>
      <c r="R34" s="641">
        <f t="shared" si="4"/>
        <v>54.4</v>
      </c>
      <c r="S34" s="670">
        <v>2</v>
      </c>
      <c r="T34" s="342"/>
      <c r="V34" s="343" t="s">
        <v>878</v>
      </c>
      <c r="W34" s="334" t="s">
        <v>97</v>
      </c>
      <c r="X34" s="334" t="s">
        <v>12</v>
      </c>
      <c r="Y34" s="344">
        <v>32.200000000000003</v>
      </c>
      <c r="Z34" s="334" t="s">
        <v>883</v>
      </c>
      <c r="AA34" s="334" t="s">
        <v>82</v>
      </c>
      <c r="AB34" s="334" t="s">
        <v>18</v>
      </c>
      <c r="AC34" s="334">
        <v>10</v>
      </c>
      <c r="AD34" s="343" t="s">
        <v>879</v>
      </c>
      <c r="AE34" s="334" t="s">
        <v>880</v>
      </c>
      <c r="AF34" s="334" t="s">
        <v>12</v>
      </c>
      <c r="AG34" s="344">
        <v>7.8</v>
      </c>
      <c r="AH34" s="343" t="s">
        <v>881</v>
      </c>
      <c r="AI34" s="334" t="s">
        <v>882</v>
      </c>
      <c r="AJ34" s="334" t="s">
        <v>12</v>
      </c>
      <c r="AK34" s="334">
        <v>4.4000000000000004</v>
      </c>
      <c r="AL34" s="343"/>
      <c r="AO34" s="344"/>
      <c r="AP34" s="343"/>
      <c r="AS34" s="344"/>
      <c r="AW34" s="344"/>
      <c r="BA34" s="345"/>
    </row>
    <row r="35" spans="1:53" s="334" customFormat="1">
      <c r="A35" s="334">
        <v>2006</v>
      </c>
      <c r="B35" s="358"/>
      <c r="C35" s="992" t="s">
        <v>1225</v>
      </c>
      <c r="D35" s="992"/>
      <c r="E35" s="334">
        <v>79</v>
      </c>
      <c r="G35" s="642"/>
      <c r="H35" s="670">
        <v>4</v>
      </c>
      <c r="I35" s="670">
        <v>14</v>
      </c>
      <c r="J35" s="644">
        <v>18</v>
      </c>
      <c r="K35" s="640">
        <f t="shared" si="0"/>
        <v>0</v>
      </c>
      <c r="L35" s="640">
        <f t="shared" si="1"/>
        <v>22.222222222222221</v>
      </c>
      <c r="M35" s="640">
        <f t="shared" si="2"/>
        <v>77.777777777777786</v>
      </c>
      <c r="N35" s="643">
        <f t="shared" si="3"/>
        <v>100</v>
      </c>
      <c r="O35" s="639"/>
      <c r="P35" s="640">
        <v>10</v>
      </c>
      <c r="Q35" s="640">
        <v>44.4</v>
      </c>
      <c r="R35" s="641">
        <f t="shared" si="4"/>
        <v>54.4</v>
      </c>
      <c r="S35" s="670">
        <v>2</v>
      </c>
      <c r="T35" s="342"/>
      <c r="V35" s="343" t="s">
        <v>878</v>
      </c>
      <c r="W35" s="334" t="s">
        <v>97</v>
      </c>
      <c r="X35" s="334" t="s">
        <v>12</v>
      </c>
      <c r="Y35" s="344">
        <v>32.200000000000003</v>
      </c>
      <c r="Z35" s="334" t="s">
        <v>883</v>
      </c>
      <c r="AA35" s="334" t="s">
        <v>82</v>
      </c>
      <c r="AB35" s="334" t="s">
        <v>18</v>
      </c>
      <c r="AC35" s="334">
        <v>10</v>
      </c>
      <c r="AD35" s="343" t="s">
        <v>879</v>
      </c>
      <c r="AE35" s="334" t="s">
        <v>880</v>
      </c>
      <c r="AF35" s="334" t="s">
        <v>12</v>
      </c>
      <c r="AG35" s="344">
        <v>7.8</v>
      </c>
      <c r="AH35" s="343" t="s">
        <v>881</v>
      </c>
      <c r="AI35" s="334" t="s">
        <v>882</v>
      </c>
      <c r="AJ35" s="334" t="s">
        <v>12</v>
      </c>
      <c r="AK35" s="334">
        <v>4.4000000000000004</v>
      </c>
      <c r="AL35" s="343"/>
      <c r="AO35" s="344"/>
      <c r="AP35" s="343"/>
      <c r="AS35" s="344"/>
      <c r="AW35" s="344"/>
      <c r="BA35" s="345"/>
    </row>
    <row r="36" spans="1:53" s="334" customFormat="1">
      <c r="A36" s="334">
        <v>2006</v>
      </c>
      <c r="B36" s="440">
        <v>38797</v>
      </c>
      <c r="C36" s="992" t="s">
        <v>1225</v>
      </c>
      <c r="D36" s="992"/>
      <c r="E36" s="334">
        <v>267</v>
      </c>
      <c r="F36" s="441">
        <v>0</v>
      </c>
      <c r="G36" s="642"/>
      <c r="H36" s="670">
        <v>4</v>
      </c>
      <c r="I36" s="670">
        <v>13</v>
      </c>
      <c r="J36" s="644">
        <v>17</v>
      </c>
      <c r="K36" s="640">
        <f>G36/J36*100</f>
        <v>0</v>
      </c>
      <c r="L36" s="640">
        <f>H36/J36*100</f>
        <v>23.52941176470588</v>
      </c>
      <c r="M36" s="640">
        <f>I36/J36*100</f>
        <v>76.470588235294116</v>
      </c>
      <c r="N36" s="643">
        <f t="shared" si="3"/>
        <v>100</v>
      </c>
      <c r="O36" s="639"/>
      <c r="P36" s="640">
        <v>10</v>
      </c>
      <c r="Q36" s="640">
        <v>44.4</v>
      </c>
      <c r="R36" s="641">
        <f t="shared" si="4"/>
        <v>54.4</v>
      </c>
      <c r="S36" s="670">
        <v>2</v>
      </c>
      <c r="T36" s="342"/>
      <c r="V36" s="343" t="s">
        <v>878</v>
      </c>
      <c r="W36" s="334" t="s">
        <v>97</v>
      </c>
      <c r="X36" s="334" t="s">
        <v>12</v>
      </c>
      <c r="Y36" s="344">
        <v>32.200000000000003</v>
      </c>
      <c r="Z36" s="334" t="s">
        <v>883</v>
      </c>
      <c r="AA36" s="334" t="s">
        <v>82</v>
      </c>
      <c r="AB36" s="334" t="s">
        <v>18</v>
      </c>
      <c r="AC36" s="334">
        <v>10</v>
      </c>
      <c r="AD36" s="343" t="s">
        <v>879</v>
      </c>
      <c r="AE36" s="334" t="s">
        <v>880</v>
      </c>
      <c r="AF36" s="334" t="s">
        <v>12</v>
      </c>
      <c r="AG36" s="344">
        <v>7.8</v>
      </c>
      <c r="AH36" s="343" t="s">
        <v>881</v>
      </c>
      <c r="AI36" s="334" t="s">
        <v>882</v>
      </c>
      <c r="AJ36" s="334" t="s">
        <v>12</v>
      </c>
      <c r="AK36" s="334">
        <v>4.4000000000000004</v>
      </c>
      <c r="AL36" s="343"/>
      <c r="AO36" s="344"/>
      <c r="AP36" s="343"/>
      <c r="AS36" s="344"/>
      <c r="AW36" s="344"/>
      <c r="BA36" s="345"/>
    </row>
    <row r="37" spans="1:53" s="334" customFormat="1">
      <c r="A37" s="334">
        <v>2006</v>
      </c>
      <c r="B37" s="440">
        <v>39064</v>
      </c>
      <c r="C37" s="992" t="s">
        <v>1225</v>
      </c>
      <c r="D37" s="992"/>
      <c r="E37" s="334">
        <f>365-E36-E35</f>
        <v>19</v>
      </c>
      <c r="F37" s="441">
        <v>0</v>
      </c>
      <c r="G37" s="642"/>
      <c r="H37" s="670">
        <v>3</v>
      </c>
      <c r="I37" s="670">
        <v>14</v>
      </c>
      <c r="J37" s="644">
        <v>17</v>
      </c>
      <c r="K37" s="640">
        <f t="shared" si="0"/>
        <v>0</v>
      </c>
      <c r="L37" s="640">
        <f t="shared" si="1"/>
        <v>17.647058823529413</v>
      </c>
      <c r="M37" s="640">
        <f t="shared" si="2"/>
        <v>82.35294117647058</v>
      </c>
      <c r="N37" s="643">
        <f t="shared" si="3"/>
        <v>100</v>
      </c>
      <c r="O37" s="639"/>
      <c r="P37" s="640">
        <v>10</v>
      </c>
      <c r="Q37" s="640">
        <v>44.4</v>
      </c>
      <c r="R37" s="641">
        <f t="shared" si="4"/>
        <v>54.4</v>
      </c>
      <c r="S37" s="670">
        <v>2</v>
      </c>
      <c r="T37" s="342"/>
      <c r="V37" s="343" t="s">
        <v>878</v>
      </c>
      <c r="W37" s="334" t="s">
        <v>97</v>
      </c>
      <c r="X37" s="334" t="s">
        <v>12</v>
      </c>
      <c r="Y37" s="344">
        <v>32.200000000000003</v>
      </c>
      <c r="Z37" s="334" t="s">
        <v>883</v>
      </c>
      <c r="AA37" s="334" t="s">
        <v>82</v>
      </c>
      <c r="AB37" s="334" t="s">
        <v>18</v>
      </c>
      <c r="AC37" s="334">
        <v>10</v>
      </c>
      <c r="AD37" s="343" t="s">
        <v>879</v>
      </c>
      <c r="AE37" s="334" t="s">
        <v>880</v>
      </c>
      <c r="AF37" s="334" t="s">
        <v>12</v>
      </c>
      <c r="AG37" s="344">
        <v>7.8</v>
      </c>
      <c r="AH37" s="343" t="s">
        <v>881</v>
      </c>
      <c r="AI37" s="334" t="s">
        <v>882</v>
      </c>
      <c r="AJ37" s="334" t="s">
        <v>12</v>
      </c>
      <c r="AK37" s="334">
        <v>4.4000000000000004</v>
      </c>
      <c r="AL37" s="343"/>
      <c r="AO37" s="344"/>
      <c r="AP37" s="343"/>
      <c r="AS37" s="344"/>
      <c r="AW37" s="344"/>
      <c r="BA37" s="345"/>
    </row>
    <row r="38" spans="1:53" s="334" customFormat="1">
      <c r="A38" s="334">
        <v>2007</v>
      </c>
      <c r="B38" s="358"/>
      <c r="C38" s="992" t="s">
        <v>1225</v>
      </c>
      <c r="D38" s="992"/>
      <c r="E38" s="334">
        <v>0</v>
      </c>
      <c r="G38" s="642"/>
      <c r="H38" s="670">
        <v>3</v>
      </c>
      <c r="I38" s="670">
        <v>14</v>
      </c>
      <c r="J38" s="644">
        <v>17</v>
      </c>
      <c r="K38" s="640">
        <f t="shared" si="0"/>
        <v>0</v>
      </c>
      <c r="L38" s="640">
        <f t="shared" si="1"/>
        <v>17.647058823529413</v>
      </c>
      <c r="M38" s="640">
        <f t="shared" si="2"/>
        <v>82.35294117647058</v>
      </c>
      <c r="N38" s="643">
        <f t="shared" si="3"/>
        <v>100</v>
      </c>
      <c r="O38" s="639"/>
      <c r="P38" s="640">
        <v>10</v>
      </c>
      <c r="Q38" s="640">
        <v>44.4</v>
      </c>
      <c r="R38" s="641">
        <f t="shared" si="4"/>
        <v>54.4</v>
      </c>
      <c r="S38" s="670">
        <v>2</v>
      </c>
      <c r="T38" s="342"/>
      <c r="V38" s="343" t="s">
        <v>878</v>
      </c>
      <c r="W38" s="334" t="s">
        <v>97</v>
      </c>
      <c r="X38" s="334" t="s">
        <v>12</v>
      </c>
      <c r="Y38" s="344">
        <v>32.200000000000003</v>
      </c>
      <c r="Z38" s="334" t="s">
        <v>883</v>
      </c>
      <c r="AA38" s="334" t="s">
        <v>82</v>
      </c>
      <c r="AB38" s="334" t="s">
        <v>18</v>
      </c>
      <c r="AC38" s="334">
        <v>10</v>
      </c>
      <c r="AD38" s="343" t="s">
        <v>879</v>
      </c>
      <c r="AE38" s="334" t="s">
        <v>880</v>
      </c>
      <c r="AF38" s="334" t="s">
        <v>12</v>
      </c>
      <c r="AG38" s="344">
        <v>7.8</v>
      </c>
      <c r="AH38" s="343" t="s">
        <v>881</v>
      </c>
      <c r="AI38" s="334" t="s">
        <v>882</v>
      </c>
      <c r="AJ38" s="334" t="s">
        <v>12</v>
      </c>
      <c r="AK38" s="334">
        <v>4.4000000000000004</v>
      </c>
      <c r="AL38" s="343"/>
      <c r="AO38" s="344"/>
      <c r="AP38" s="343"/>
      <c r="AS38" s="344"/>
      <c r="AW38" s="344"/>
      <c r="BA38" s="345"/>
    </row>
    <row r="39" spans="1:53" s="334" customFormat="1">
      <c r="A39" s="334">
        <v>2007</v>
      </c>
      <c r="B39" s="358"/>
      <c r="C39" s="992" t="s">
        <v>1225</v>
      </c>
      <c r="D39" s="992"/>
      <c r="E39" s="334">
        <v>365</v>
      </c>
      <c r="G39" s="642"/>
      <c r="H39" s="670">
        <v>3</v>
      </c>
      <c r="I39" s="670">
        <v>14</v>
      </c>
      <c r="J39" s="644">
        <v>17</v>
      </c>
      <c r="K39" s="640">
        <f t="shared" si="0"/>
        <v>0</v>
      </c>
      <c r="L39" s="640">
        <f t="shared" si="1"/>
        <v>17.647058823529413</v>
      </c>
      <c r="M39" s="640">
        <f t="shared" si="2"/>
        <v>82.35294117647058</v>
      </c>
      <c r="N39" s="643">
        <f t="shared" si="3"/>
        <v>100</v>
      </c>
      <c r="O39" s="639"/>
      <c r="P39" s="640">
        <v>10</v>
      </c>
      <c r="Q39" s="640">
        <v>44.4</v>
      </c>
      <c r="R39" s="641">
        <f t="shared" si="4"/>
        <v>54.4</v>
      </c>
      <c r="S39" s="670">
        <v>2</v>
      </c>
      <c r="T39" s="342"/>
      <c r="V39" s="343" t="s">
        <v>878</v>
      </c>
      <c r="W39" s="334" t="s">
        <v>97</v>
      </c>
      <c r="X39" s="334" t="s">
        <v>12</v>
      </c>
      <c r="Y39" s="344">
        <v>32.200000000000003</v>
      </c>
      <c r="Z39" s="334" t="s">
        <v>883</v>
      </c>
      <c r="AA39" s="334" t="s">
        <v>82</v>
      </c>
      <c r="AB39" s="334" t="s">
        <v>18</v>
      </c>
      <c r="AC39" s="334">
        <v>10</v>
      </c>
      <c r="AD39" s="343" t="s">
        <v>879</v>
      </c>
      <c r="AE39" s="334" t="s">
        <v>880</v>
      </c>
      <c r="AF39" s="334" t="s">
        <v>12</v>
      </c>
      <c r="AG39" s="344">
        <v>7.8</v>
      </c>
      <c r="AH39" s="343" t="s">
        <v>881</v>
      </c>
      <c r="AI39" s="334" t="s">
        <v>882</v>
      </c>
      <c r="AJ39" s="334" t="s">
        <v>12</v>
      </c>
      <c r="AK39" s="334">
        <v>4.4000000000000004</v>
      </c>
      <c r="AL39" s="343"/>
      <c r="AO39" s="344"/>
      <c r="AP39" s="343"/>
      <c r="AS39" s="344"/>
      <c r="AW39" s="344"/>
      <c r="BA39" s="345"/>
    </row>
    <row r="40" spans="1:53" s="334" customFormat="1">
      <c r="A40" s="334">
        <v>2008</v>
      </c>
      <c r="B40" s="358"/>
      <c r="C40" s="992" t="s">
        <v>1225</v>
      </c>
      <c r="D40" s="992"/>
      <c r="E40" s="334">
        <v>325</v>
      </c>
      <c r="G40" s="642"/>
      <c r="H40" s="670">
        <v>3</v>
      </c>
      <c r="I40" s="670">
        <v>14</v>
      </c>
      <c r="J40" s="644">
        <v>17</v>
      </c>
      <c r="K40" s="640">
        <f t="shared" si="0"/>
        <v>0</v>
      </c>
      <c r="L40" s="640">
        <f t="shared" si="1"/>
        <v>17.647058823529413</v>
      </c>
      <c r="M40" s="640">
        <f t="shared" si="2"/>
        <v>82.35294117647058</v>
      </c>
      <c r="N40" s="643">
        <f t="shared" si="3"/>
        <v>100</v>
      </c>
      <c r="O40" s="639"/>
      <c r="P40" s="640">
        <v>10</v>
      </c>
      <c r="Q40" s="640">
        <v>44.4</v>
      </c>
      <c r="R40" s="641">
        <f t="shared" si="4"/>
        <v>54.4</v>
      </c>
      <c r="S40" s="670">
        <v>2</v>
      </c>
      <c r="T40" s="342"/>
      <c r="V40" s="343" t="s">
        <v>878</v>
      </c>
      <c r="W40" s="334" t="s">
        <v>97</v>
      </c>
      <c r="X40" s="334" t="s">
        <v>12</v>
      </c>
      <c r="Y40" s="344">
        <v>32.200000000000003</v>
      </c>
      <c r="Z40" s="334" t="s">
        <v>883</v>
      </c>
      <c r="AA40" s="334" t="s">
        <v>82</v>
      </c>
      <c r="AB40" s="334" t="s">
        <v>18</v>
      </c>
      <c r="AC40" s="334">
        <v>10</v>
      </c>
      <c r="AD40" s="343" t="s">
        <v>879</v>
      </c>
      <c r="AE40" s="334" t="s">
        <v>880</v>
      </c>
      <c r="AF40" s="334" t="s">
        <v>12</v>
      </c>
      <c r="AG40" s="344">
        <v>7.8</v>
      </c>
      <c r="AH40" s="343" t="s">
        <v>881</v>
      </c>
      <c r="AI40" s="334" t="s">
        <v>882</v>
      </c>
      <c r="AJ40" s="334" t="s">
        <v>12</v>
      </c>
      <c r="AK40" s="334">
        <v>4.4000000000000004</v>
      </c>
      <c r="AL40" s="343"/>
      <c r="AO40" s="344"/>
      <c r="AP40" s="343"/>
      <c r="AS40" s="344"/>
      <c r="AW40" s="344"/>
      <c r="BA40" s="345"/>
    </row>
    <row r="41" spans="1:53" s="227" customFormat="1">
      <c r="A41" s="227">
        <v>2008</v>
      </c>
      <c r="B41" s="121">
        <v>39773</v>
      </c>
      <c r="C41" s="988" t="s">
        <v>884</v>
      </c>
      <c r="D41" s="988"/>
      <c r="E41" s="227">
        <f>366-E40</f>
        <v>41</v>
      </c>
      <c r="F41" s="227">
        <v>1</v>
      </c>
      <c r="G41" s="596">
        <v>6</v>
      </c>
      <c r="H41" s="669"/>
      <c r="I41" s="669">
        <v>13</v>
      </c>
      <c r="J41" s="598">
        <v>19</v>
      </c>
      <c r="K41" s="593">
        <f t="shared" si="0"/>
        <v>31.578947368421051</v>
      </c>
      <c r="L41" s="593">
        <f t="shared" si="1"/>
        <v>0</v>
      </c>
      <c r="M41" s="593">
        <f t="shared" si="2"/>
        <v>68.421052631578945</v>
      </c>
      <c r="N41" s="597">
        <f t="shared" si="3"/>
        <v>100</v>
      </c>
      <c r="O41" s="592">
        <v>15.6</v>
      </c>
      <c r="P41" s="593"/>
      <c r="Q41" s="593">
        <v>40</v>
      </c>
      <c r="R41" s="594">
        <f t="shared" si="4"/>
        <v>55.6</v>
      </c>
      <c r="S41" s="669">
        <v>2</v>
      </c>
      <c r="T41" s="95">
        <v>39712</v>
      </c>
      <c r="U41" s="121">
        <v>39773</v>
      </c>
      <c r="V41" s="82" t="s">
        <v>102</v>
      </c>
      <c r="W41" s="227" t="s">
        <v>98</v>
      </c>
      <c r="X41" s="227" t="s">
        <v>12</v>
      </c>
      <c r="Y41" s="83">
        <v>32.200000000000003</v>
      </c>
      <c r="Z41" s="227" t="s">
        <v>885</v>
      </c>
      <c r="AA41" s="227" t="s">
        <v>107</v>
      </c>
      <c r="AB41" s="227" t="s">
        <v>11</v>
      </c>
      <c r="AC41" s="227">
        <v>10</v>
      </c>
      <c r="AD41" s="82" t="s">
        <v>881</v>
      </c>
      <c r="AE41" s="227" t="s">
        <v>882</v>
      </c>
      <c r="AF41" s="227" t="s">
        <v>12</v>
      </c>
      <c r="AG41" s="83">
        <v>7.8</v>
      </c>
      <c r="AH41" s="82" t="s">
        <v>874</v>
      </c>
      <c r="AI41" s="227" t="s">
        <v>22</v>
      </c>
      <c r="AJ41" s="227" t="s">
        <v>11</v>
      </c>
      <c r="AK41" s="227">
        <v>5.6</v>
      </c>
      <c r="AL41" s="82"/>
      <c r="AO41" s="83"/>
      <c r="AP41" s="82"/>
      <c r="AS41" s="83"/>
      <c r="AW41" s="83"/>
      <c r="BA41" s="84"/>
    </row>
    <row r="42" spans="1:53" s="227" customFormat="1">
      <c r="A42" s="227">
        <v>2009</v>
      </c>
      <c r="B42" s="122"/>
      <c r="C42" s="988" t="s">
        <v>884</v>
      </c>
      <c r="D42" s="988"/>
      <c r="E42" s="227">
        <v>0</v>
      </c>
      <c r="G42" s="596">
        <v>6</v>
      </c>
      <c r="H42" s="669"/>
      <c r="I42" s="669">
        <v>13</v>
      </c>
      <c r="J42" s="598">
        <v>19</v>
      </c>
      <c r="K42" s="593">
        <f t="shared" si="0"/>
        <v>31.578947368421051</v>
      </c>
      <c r="L42" s="593">
        <f t="shared" si="1"/>
        <v>0</v>
      </c>
      <c r="M42" s="593">
        <f t="shared" si="2"/>
        <v>68.421052631578945</v>
      </c>
      <c r="N42" s="597">
        <f t="shared" si="3"/>
        <v>100</v>
      </c>
      <c r="O42" s="592">
        <v>15.6</v>
      </c>
      <c r="P42" s="593"/>
      <c r="Q42" s="593">
        <v>40</v>
      </c>
      <c r="R42" s="594">
        <f t="shared" si="4"/>
        <v>55.6</v>
      </c>
      <c r="S42" s="669">
        <v>2</v>
      </c>
      <c r="T42" s="95"/>
      <c r="V42" s="82" t="s">
        <v>102</v>
      </c>
      <c r="W42" s="227" t="s">
        <v>98</v>
      </c>
      <c r="X42" s="227" t="s">
        <v>12</v>
      </c>
      <c r="Y42" s="83">
        <v>32.200000000000003</v>
      </c>
      <c r="Z42" s="227" t="s">
        <v>885</v>
      </c>
      <c r="AA42" s="227" t="s">
        <v>107</v>
      </c>
      <c r="AB42" s="227" t="s">
        <v>11</v>
      </c>
      <c r="AC42" s="227">
        <v>10</v>
      </c>
      <c r="AD42" s="82" t="s">
        <v>881</v>
      </c>
      <c r="AE42" s="227" t="s">
        <v>882</v>
      </c>
      <c r="AF42" s="227" t="s">
        <v>12</v>
      </c>
      <c r="AG42" s="83">
        <v>7.8</v>
      </c>
      <c r="AH42" s="82" t="s">
        <v>874</v>
      </c>
      <c r="AI42" s="227" t="s">
        <v>22</v>
      </c>
      <c r="AJ42" s="227" t="s">
        <v>11</v>
      </c>
      <c r="AK42" s="227">
        <v>5.6</v>
      </c>
      <c r="AL42" s="82"/>
      <c r="AO42" s="83"/>
      <c r="AP42" s="82"/>
      <c r="AS42" s="83"/>
      <c r="AW42" s="83"/>
      <c r="BA42" s="84"/>
    </row>
    <row r="43" spans="1:53" s="227" customFormat="1">
      <c r="A43" s="227">
        <v>2009</v>
      </c>
      <c r="B43" s="122"/>
      <c r="C43" s="988" t="s">
        <v>884</v>
      </c>
      <c r="D43" s="988"/>
      <c r="E43" s="227">
        <v>365</v>
      </c>
      <c r="G43" s="596">
        <v>6</v>
      </c>
      <c r="H43" s="669"/>
      <c r="I43" s="669">
        <v>13</v>
      </c>
      <c r="J43" s="598">
        <v>19</v>
      </c>
      <c r="K43" s="593">
        <f t="shared" si="0"/>
        <v>31.578947368421051</v>
      </c>
      <c r="L43" s="593">
        <f t="shared" si="1"/>
        <v>0</v>
      </c>
      <c r="M43" s="593">
        <f t="shared" si="2"/>
        <v>68.421052631578945</v>
      </c>
      <c r="N43" s="597">
        <f t="shared" si="3"/>
        <v>100</v>
      </c>
      <c r="O43" s="592">
        <v>15.6</v>
      </c>
      <c r="P43" s="593"/>
      <c r="Q43" s="593">
        <v>40</v>
      </c>
      <c r="R43" s="594">
        <f t="shared" si="4"/>
        <v>55.6</v>
      </c>
      <c r="S43" s="669">
        <v>2</v>
      </c>
      <c r="T43" s="95"/>
      <c r="V43" s="82" t="s">
        <v>102</v>
      </c>
      <c r="W43" s="227" t="s">
        <v>98</v>
      </c>
      <c r="X43" s="227" t="s">
        <v>12</v>
      </c>
      <c r="Y43" s="83">
        <v>32.200000000000003</v>
      </c>
      <c r="Z43" s="227" t="s">
        <v>885</v>
      </c>
      <c r="AA43" s="227" t="s">
        <v>107</v>
      </c>
      <c r="AB43" s="227" t="s">
        <v>11</v>
      </c>
      <c r="AC43" s="227">
        <v>10</v>
      </c>
      <c r="AD43" s="82" t="s">
        <v>881</v>
      </c>
      <c r="AE43" s="227" t="s">
        <v>882</v>
      </c>
      <c r="AF43" s="227" t="s">
        <v>12</v>
      </c>
      <c r="AG43" s="83">
        <v>7.8</v>
      </c>
      <c r="AH43" s="82" t="s">
        <v>874</v>
      </c>
      <c r="AI43" s="227" t="s">
        <v>22</v>
      </c>
      <c r="AJ43" s="227" t="s">
        <v>11</v>
      </c>
      <c r="AK43" s="227">
        <v>5.6</v>
      </c>
      <c r="AL43" s="82"/>
      <c r="AO43" s="83"/>
      <c r="AP43" s="82"/>
      <c r="AS43" s="83"/>
      <c r="AW43" s="83"/>
      <c r="BA43" s="84"/>
    </row>
    <row r="44" spans="1:53" s="227" customFormat="1">
      <c r="A44" s="227">
        <v>2010</v>
      </c>
      <c r="B44" s="122"/>
      <c r="C44" s="988" t="s">
        <v>884</v>
      </c>
      <c r="D44" s="988"/>
      <c r="E44" s="227">
        <v>0</v>
      </c>
      <c r="G44" s="596">
        <v>6</v>
      </c>
      <c r="H44" s="669"/>
      <c r="I44" s="669">
        <v>13</v>
      </c>
      <c r="J44" s="598">
        <v>19</v>
      </c>
      <c r="K44" s="593">
        <f t="shared" si="0"/>
        <v>31.578947368421051</v>
      </c>
      <c r="L44" s="593">
        <f t="shared" si="1"/>
        <v>0</v>
      </c>
      <c r="M44" s="593">
        <f t="shared" si="2"/>
        <v>68.421052631578945</v>
      </c>
      <c r="N44" s="597">
        <f t="shared" si="3"/>
        <v>100</v>
      </c>
      <c r="O44" s="592">
        <v>15.6</v>
      </c>
      <c r="P44" s="593"/>
      <c r="Q44" s="593">
        <v>40</v>
      </c>
      <c r="R44" s="594">
        <f t="shared" si="4"/>
        <v>55.6</v>
      </c>
      <c r="S44" s="669">
        <v>2</v>
      </c>
      <c r="T44" s="95"/>
      <c r="V44" s="82" t="s">
        <v>102</v>
      </c>
      <c r="W44" s="227" t="s">
        <v>98</v>
      </c>
      <c r="X44" s="227" t="s">
        <v>12</v>
      </c>
      <c r="Y44" s="83">
        <v>32.200000000000003</v>
      </c>
      <c r="Z44" s="227" t="s">
        <v>885</v>
      </c>
      <c r="AA44" s="227" t="s">
        <v>107</v>
      </c>
      <c r="AB44" s="227" t="s">
        <v>11</v>
      </c>
      <c r="AC44" s="227">
        <v>10</v>
      </c>
      <c r="AD44" s="82" t="s">
        <v>881</v>
      </c>
      <c r="AE44" s="227" t="s">
        <v>882</v>
      </c>
      <c r="AF44" s="227" t="s">
        <v>12</v>
      </c>
      <c r="AG44" s="83">
        <v>7.8</v>
      </c>
      <c r="AH44" s="82" t="s">
        <v>874</v>
      </c>
      <c r="AI44" s="227" t="s">
        <v>22</v>
      </c>
      <c r="AJ44" s="227" t="s">
        <v>11</v>
      </c>
      <c r="AK44" s="227">
        <v>5.6</v>
      </c>
      <c r="AL44" s="82"/>
      <c r="AO44" s="83"/>
      <c r="AP44" s="82"/>
      <c r="AS44" s="83"/>
      <c r="AW44" s="83"/>
      <c r="BA44" s="84"/>
    </row>
    <row r="45" spans="1:53" s="227" customFormat="1">
      <c r="A45" s="227">
        <v>2010</v>
      </c>
      <c r="B45" s="122"/>
      <c r="C45" s="988" t="s">
        <v>884</v>
      </c>
      <c r="D45" s="988"/>
      <c r="E45" s="227">
        <v>365</v>
      </c>
      <c r="G45" s="596">
        <v>6</v>
      </c>
      <c r="H45" s="669"/>
      <c r="I45" s="669">
        <v>13</v>
      </c>
      <c r="J45" s="598">
        <v>19</v>
      </c>
      <c r="K45" s="593">
        <f t="shared" si="0"/>
        <v>31.578947368421051</v>
      </c>
      <c r="L45" s="593">
        <f t="shared" si="1"/>
        <v>0</v>
      </c>
      <c r="M45" s="593">
        <f t="shared" si="2"/>
        <v>68.421052631578945</v>
      </c>
      <c r="N45" s="597">
        <f t="shared" si="3"/>
        <v>100</v>
      </c>
      <c r="O45" s="592">
        <v>15.6</v>
      </c>
      <c r="P45" s="593"/>
      <c r="Q45" s="593">
        <v>40</v>
      </c>
      <c r="R45" s="594">
        <f t="shared" si="4"/>
        <v>55.6</v>
      </c>
      <c r="S45" s="669">
        <v>2</v>
      </c>
      <c r="T45" s="95"/>
      <c r="V45" s="82" t="s">
        <v>102</v>
      </c>
      <c r="W45" s="227" t="s">
        <v>98</v>
      </c>
      <c r="X45" s="227" t="s">
        <v>12</v>
      </c>
      <c r="Y45" s="83">
        <v>32.200000000000003</v>
      </c>
      <c r="Z45" s="227" t="s">
        <v>885</v>
      </c>
      <c r="AA45" s="227" t="s">
        <v>107</v>
      </c>
      <c r="AB45" s="227" t="s">
        <v>11</v>
      </c>
      <c r="AC45" s="227">
        <v>10</v>
      </c>
      <c r="AD45" s="82" t="s">
        <v>881</v>
      </c>
      <c r="AE45" s="227" t="s">
        <v>882</v>
      </c>
      <c r="AF45" s="227" t="s">
        <v>12</v>
      </c>
      <c r="AG45" s="83">
        <v>7.8</v>
      </c>
      <c r="AH45" s="82" t="s">
        <v>874</v>
      </c>
      <c r="AI45" s="227" t="s">
        <v>22</v>
      </c>
      <c r="AJ45" s="227" t="s">
        <v>11</v>
      </c>
      <c r="AK45" s="227">
        <v>5.6</v>
      </c>
      <c r="AL45" s="82"/>
      <c r="AO45" s="83"/>
      <c r="AP45" s="82"/>
      <c r="AS45" s="83"/>
      <c r="AW45" s="83"/>
      <c r="BA45" s="84"/>
    </row>
    <row r="46" spans="1:53" s="227" customFormat="1">
      <c r="A46" s="227">
        <v>2011</v>
      </c>
      <c r="B46" s="122"/>
      <c r="C46" s="988" t="s">
        <v>884</v>
      </c>
      <c r="D46" s="988"/>
      <c r="E46" s="227">
        <v>176</v>
      </c>
      <c r="G46" s="596">
        <v>6</v>
      </c>
      <c r="H46" s="669"/>
      <c r="I46" s="669">
        <v>13</v>
      </c>
      <c r="J46" s="598">
        <v>19</v>
      </c>
      <c r="K46" s="593">
        <f t="shared" ref="K46:K51" si="5">G46/J46*100</f>
        <v>31.578947368421051</v>
      </c>
      <c r="L46" s="593">
        <f t="shared" ref="L46:L51" si="6">H46/J46*100</f>
        <v>0</v>
      </c>
      <c r="M46" s="593">
        <f t="shared" ref="M46:M51" si="7">I46/J46*100</f>
        <v>68.421052631578945</v>
      </c>
      <c r="N46" s="597">
        <f t="shared" si="3"/>
        <v>100</v>
      </c>
      <c r="O46" s="592">
        <v>15.6</v>
      </c>
      <c r="P46" s="593"/>
      <c r="Q46" s="593">
        <v>40</v>
      </c>
      <c r="R46" s="594">
        <f t="shared" si="4"/>
        <v>55.6</v>
      </c>
      <c r="S46" s="669">
        <v>2</v>
      </c>
      <c r="T46" s="95"/>
      <c r="V46" s="82" t="s">
        <v>102</v>
      </c>
      <c r="W46" s="227" t="s">
        <v>98</v>
      </c>
      <c r="X46" s="227" t="s">
        <v>12</v>
      </c>
      <c r="Y46" s="83">
        <v>32.200000000000003</v>
      </c>
      <c r="Z46" s="227" t="s">
        <v>885</v>
      </c>
      <c r="AA46" s="227" t="s">
        <v>107</v>
      </c>
      <c r="AB46" s="227" t="s">
        <v>11</v>
      </c>
      <c r="AC46" s="227">
        <v>10</v>
      </c>
      <c r="AD46" s="82" t="s">
        <v>881</v>
      </c>
      <c r="AE46" s="227" t="s">
        <v>882</v>
      </c>
      <c r="AF46" s="227" t="s">
        <v>12</v>
      </c>
      <c r="AG46" s="83">
        <v>7.8</v>
      </c>
      <c r="AH46" s="82" t="s">
        <v>874</v>
      </c>
      <c r="AI46" s="227" t="s">
        <v>22</v>
      </c>
      <c r="AJ46" s="227" t="s">
        <v>11</v>
      </c>
      <c r="AK46" s="227">
        <v>5.6</v>
      </c>
      <c r="AL46" s="82"/>
      <c r="AO46" s="83"/>
      <c r="AP46" s="82"/>
      <c r="AS46" s="83"/>
      <c r="AW46" s="83"/>
      <c r="BA46" s="84"/>
    </row>
    <row r="47" spans="1:53" s="227" customFormat="1">
      <c r="A47" s="227">
        <v>2011</v>
      </c>
      <c r="B47" s="154">
        <v>40720</v>
      </c>
      <c r="C47" s="988" t="s">
        <v>884</v>
      </c>
      <c r="D47" s="988"/>
      <c r="E47" s="227">
        <v>15</v>
      </c>
      <c r="F47" s="150">
        <v>0</v>
      </c>
      <c r="G47" s="596">
        <v>5</v>
      </c>
      <c r="H47" s="669"/>
      <c r="I47" s="669">
        <v>13</v>
      </c>
      <c r="J47" s="598">
        <v>18</v>
      </c>
      <c r="K47" s="593">
        <f t="shared" si="5"/>
        <v>27.777777777777779</v>
      </c>
      <c r="L47" s="593">
        <f t="shared" si="6"/>
        <v>0</v>
      </c>
      <c r="M47" s="593">
        <f t="shared" si="7"/>
        <v>72.222222222222214</v>
      </c>
      <c r="N47" s="597">
        <f t="shared" si="3"/>
        <v>100</v>
      </c>
      <c r="O47" s="592">
        <v>15.6</v>
      </c>
      <c r="P47" s="593"/>
      <c r="Q47" s="593">
        <v>40</v>
      </c>
      <c r="R47" s="594">
        <f t="shared" si="4"/>
        <v>55.6</v>
      </c>
      <c r="S47" s="669">
        <v>2</v>
      </c>
      <c r="T47" s="95"/>
      <c r="V47" s="82" t="s">
        <v>102</v>
      </c>
      <c r="W47" s="227" t="s">
        <v>98</v>
      </c>
      <c r="X47" s="227" t="s">
        <v>12</v>
      </c>
      <c r="Y47" s="83">
        <v>32.200000000000003</v>
      </c>
      <c r="Z47" s="227" t="s">
        <v>885</v>
      </c>
      <c r="AA47" s="227" t="s">
        <v>107</v>
      </c>
      <c r="AB47" s="227" t="s">
        <v>11</v>
      </c>
      <c r="AC47" s="227">
        <v>10</v>
      </c>
      <c r="AD47" s="82" t="s">
        <v>881</v>
      </c>
      <c r="AE47" s="227" t="s">
        <v>882</v>
      </c>
      <c r="AF47" s="227" t="s">
        <v>12</v>
      </c>
      <c r="AG47" s="83">
        <v>7.8</v>
      </c>
      <c r="AH47" s="82" t="s">
        <v>874</v>
      </c>
      <c r="AI47" s="227" t="s">
        <v>22</v>
      </c>
      <c r="AJ47" s="227" t="s">
        <v>11</v>
      </c>
      <c r="AK47" s="227">
        <v>5.6</v>
      </c>
      <c r="AL47" s="82"/>
      <c r="AO47" s="83"/>
      <c r="AP47" s="82"/>
      <c r="AS47" s="83"/>
      <c r="AW47" s="83"/>
      <c r="BA47" s="84"/>
    </row>
    <row r="48" spans="1:53" s="334" customFormat="1">
      <c r="A48" s="334">
        <v>2011</v>
      </c>
      <c r="B48" s="335">
        <v>40735</v>
      </c>
      <c r="C48" s="992" t="s">
        <v>886</v>
      </c>
      <c r="D48" s="992"/>
      <c r="E48" s="334">
        <v>53</v>
      </c>
      <c r="F48" s="334">
        <v>4</v>
      </c>
      <c r="G48" s="642">
        <v>2</v>
      </c>
      <c r="H48" s="670"/>
      <c r="I48" s="670">
        <v>13</v>
      </c>
      <c r="J48" s="644">
        <v>15</v>
      </c>
      <c r="K48" s="640">
        <f t="shared" si="5"/>
        <v>13.333333333333334</v>
      </c>
      <c r="L48" s="640">
        <f t="shared" si="6"/>
        <v>0</v>
      </c>
      <c r="M48" s="640">
        <f t="shared" si="7"/>
        <v>86.666666666666671</v>
      </c>
      <c r="N48" s="643">
        <f t="shared" si="3"/>
        <v>100</v>
      </c>
      <c r="O48" s="639">
        <v>5.6</v>
      </c>
      <c r="P48" s="640"/>
      <c r="Q48" s="640">
        <v>40</v>
      </c>
      <c r="R48" s="641">
        <f t="shared" si="4"/>
        <v>45.6</v>
      </c>
      <c r="S48" s="670">
        <v>5</v>
      </c>
      <c r="T48" s="342"/>
      <c r="U48" s="335">
        <v>40735</v>
      </c>
      <c r="V48" s="343" t="s">
        <v>102</v>
      </c>
      <c r="W48" s="334" t="s">
        <v>98</v>
      </c>
      <c r="X48" s="334" t="s">
        <v>12</v>
      </c>
      <c r="Y48" s="344">
        <v>32.200000000000003</v>
      </c>
      <c r="Z48" s="343" t="s">
        <v>881</v>
      </c>
      <c r="AA48" s="334" t="s">
        <v>882</v>
      </c>
      <c r="AB48" s="334" t="s">
        <v>12</v>
      </c>
      <c r="AC48" s="344">
        <v>7.8</v>
      </c>
      <c r="AD48" s="343" t="s">
        <v>874</v>
      </c>
      <c r="AE48" s="334" t="s">
        <v>22</v>
      </c>
      <c r="AF48" s="334" t="s">
        <v>11</v>
      </c>
      <c r="AG48" s="344">
        <v>5.6</v>
      </c>
      <c r="AH48" s="343"/>
      <c r="AL48" s="343"/>
      <c r="AO48" s="344"/>
      <c r="AP48" s="343"/>
      <c r="AS48" s="344"/>
      <c r="AW48" s="344"/>
      <c r="BA48" s="345"/>
    </row>
    <row r="49" spans="1:53" s="334" customFormat="1">
      <c r="A49" s="334">
        <v>2011</v>
      </c>
      <c r="B49" s="440">
        <v>40788</v>
      </c>
      <c r="C49" s="992" t="s">
        <v>886</v>
      </c>
      <c r="D49" s="992"/>
      <c r="E49" s="334">
        <f>365-E48-E47-E46</f>
        <v>121</v>
      </c>
      <c r="F49" s="441">
        <v>0</v>
      </c>
      <c r="G49" s="642">
        <v>1</v>
      </c>
      <c r="H49" s="670"/>
      <c r="I49" s="670">
        <v>13</v>
      </c>
      <c r="J49" s="644">
        <v>14</v>
      </c>
      <c r="K49" s="640">
        <f t="shared" si="5"/>
        <v>7.1428571428571423</v>
      </c>
      <c r="L49" s="640">
        <f t="shared" si="6"/>
        <v>0</v>
      </c>
      <c r="M49" s="640">
        <f t="shared" si="7"/>
        <v>92.857142857142861</v>
      </c>
      <c r="N49" s="643">
        <f t="shared" si="3"/>
        <v>100</v>
      </c>
      <c r="O49" s="639">
        <v>5.6</v>
      </c>
      <c r="P49" s="640"/>
      <c r="Q49" s="640">
        <v>40</v>
      </c>
      <c r="R49" s="641">
        <f t="shared" si="4"/>
        <v>45.6</v>
      </c>
      <c r="S49" s="670">
        <v>5</v>
      </c>
      <c r="T49" s="342">
        <v>40881</v>
      </c>
      <c r="V49" s="343" t="s">
        <v>102</v>
      </c>
      <c r="W49" s="334" t="s">
        <v>98</v>
      </c>
      <c r="X49" s="334" t="s">
        <v>12</v>
      </c>
      <c r="Y49" s="344">
        <v>32.200000000000003</v>
      </c>
      <c r="Z49" s="343" t="s">
        <v>881</v>
      </c>
      <c r="AA49" s="334" t="s">
        <v>882</v>
      </c>
      <c r="AB49" s="334" t="s">
        <v>12</v>
      </c>
      <c r="AC49" s="344">
        <v>7.8</v>
      </c>
      <c r="AD49" s="343" t="s">
        <v>874</v>
      </c>
      <c r="AE49" s="334" t="s">
        <v>22</v>
      </c>
      <c r="AF49" s="334" t="s">
        <v>11</v>
      </c>
      <c r="AG49" s="344">
        <v>5.6</v>
      </c>
      <c r="AL49" s="343"/>
      <c r="AO49" s="344"/>
      <c r="AP49" s="343"/>
      <c r="AS49" s="344"/>
      <c r="AW49" s="344"/>
      <c r="BA49" s="345"/>
    </row>
    <row r="50" spans="1:53" s="334" customFormat="1">
      <c r="A50" s="334">
        <v>2012</v>
      </c>
      <c r="B50" s="468"/>
      <c r="C50" s="992" t="s">
        <v>886</v>
      </c>
      <c r="D50" s="992"/>
      <c r="E50" s="334">
        <v>40</v>
      </c>
      <c r="G50" s="642">
        <v>1</v>
      </c>
      <c r="H50" s="670"/>
      <c r="I50" s="670">
        <v>13</v>
      </c>
      <c r="J50" s="644">
        <v>14</v>
      </c>
      <c r="K50" s="640">
        <f t="shared" si="5"/>
        <v>7.1428571428571423</v>
      </c>
      <c r="L50" s="640">
        <f t="shared" si="6"/>
        <v>0</v>
      </c>
      <c r="M50" s="640">
        <f t="shared" si="7"/>
        <v>92.857142857142861</v>
      </c>
      <c r="N50" s="643">
        <f t="shared" si="3"/>
        <v>100</v>
      </c>
      <c r="O50" s="639">
        <v>5.6</v>
      </c>
      <c r="P50" s="640"/>
      <c r="Q50" s="640">
        <v>40</v>
      </c>
      <c r="R50" s="641">
        <f t="shared" si="4"/>
        <v>45.6</v>
      </c>
      <c r="S50" s="670">
        <v>5</v>
      </c>
      <c r="T50" s="342"/>
      <c r="V50" s="343" t="s">
        <v>102</v>
      </c>
      <c r="W50" s="334" t="s">
        <v>98</v>
      </c>
      <c r="X50" s="334" t="s">
        <v>12</v>
      </c>
      <c r="Y50" s="344">
        <v>32.200000000000003</v>
      </c>
      <c r="Z50" s="343" t="s">
        <v>881</v>
      </c>
      <c r="AA50" s="334" t="s">
        <v>882</v>
      </c>
      <c r="AB50" s="334" t="s">
        <v>12</v>
      </c>
      <c r="AC50" s="344">
        <v>7.8</v>
      </c>
      <c r="AD50" s="343" t="s">
        <v>874</v>
      </c>
      <c r="AE50" s="334" t="s">
        <v>22</v>
      </c>
      <c r="AF50" s="334" t="s">
        <v>11</v>
      </c>
      <c r="AG50" s="344">
        <v>5.6</v>
      </c>
      <c r="AL50" s="343"/>
      <c r="AO50" s="344"/>
      <c r="AP50" s="343"/>
      <c r="AS50" s="344"/>
      <c r="AW50" s="344"/>
      <c r="BA50" s="345"/>
    </row>
    <row r="51" spans="1:53" s="227" customFormat="1">
      <c r="A51" s="227">
        <v>2012</v>
      </c>
      <c r="B51" s="121">
        <v>40949</v>
      </c>
      <c r="C51" s="988" t="s">
        <v>1224</v>
      </c>
      <c r="D51" s="988"/>
      <c r="E51" s="227">
        <f>366-E50</f>
        <v>326</v>
      </c>
      <c r="F51" s="227">
        <v>1</v>
      </c>
      <c r="G51" s="596">
        <v>2</v>
      </c>
      <c r="H51" s="669">
        <v>2</v>
      </c>
      <c r="I51" s="669">
        <v>9</v>
      </c>
      <c r="J51" s="598">
        <v>13</v>
      </c>
      <c r="K51" s="593">
        <f t="shared" si="5"/>
        <v>15.384615384615385</v>
      </c>
      <c r="L51" s="593">
        <f t="shared" si="6"/>
        <v>15.384615384615385</v>
      </c>
      <c r="M51" s="593">
        <f t="shared" si="7"/>
        <v>69.230769230769226</v>
      </c>
      <c r="N51" s="597">
        <f t="shared" si="3"/>
        <v>100</v>
      </c>
      <c r="O51" s="592">
        <v>8.9</v>
      </c>
      <c r="P51" s="593">
        <v>4.4000000000000004</v>
      </c>
      <c r="Q51" s="593">
        <v>42.3</v>
      </c>
      <c r="R51" s="594">
        <f t="shared" si="4"/>
        <v>55.599999999999994</v>
      </c>
      <c r="S51" s="669">
        <v>3</v>
      </c>
      <c r="T51" s="95"/>
      <c r="U51" s="121">
        <v>40949</v>
      </c>
      <c r="V51" s="82" t="s">
        <v>878</v>
      </c>
      <c r="W51" s="227" t="s">
        <v>97</v>
      </c>
      <c r="X51" s="227" t="s">
        <v>12</v>
      </c>
      <c r="Y51" s="83">
        <v>28.9</v>
      </c>
      <c r="Z51" s="227" t="s">
        <v>566</v>
      </c>
      <c r="AA51" s="227" t="s">
        <v>316</v>
      </c>
      <c r="AB51" s="227" t="s">
        <v>11</v>
      </c>
      <c r="AC51" s="227">
        <v>8.9</v>
      </c>
      <c r="AD51" s="82" t="s">
        <v>881</v>
      </c>
      <c r="AE51" s="227" t="s">
        <v>882</v>
      </c>
      <c r="AF51" s="227" t="s">
        <v>12</v>
      </c>
      <c r="AG51" s="83">
        <v>6.7</v>
      </c>
      <c r="AH51" s="227" t="s">
        <v>879</v>
      </c>
      <c r="AI51" s="227" t="s">
        <v>880</v>
      </c>
      <c r="AJ51" s="227" t="s">
        <v>12</v>
      </c>
      <c r="AK51" s="227">
        <v>6.7</v>
      </c>
      <c r="AL51" s="82" t="s">
        <v>883</v>
      </c>
      <c r="AM51" s="227" t="s">
        <v>82</v>
      </c>
      <c r="AN51" s="227" t="s">
        <v>18</v>
      </c>
      <c r="AO51" s="83">
        <v>4.4000000000000004</v>
      </c>
      <c r="AP51" s="82"/>
      <c r="AS51" s="83"/>
      <c r="AW51" s="83"/>
      <c r="BA51" s="84"/>
    </row>
    <row r="52" spans="1:53" s="317" customFormat="1">
      <c r="A52" s="317">
        <v>2013</v>
      </c>
      <c r="B52" s="121"/>
      <c r="C52" s="988" t="s">
        <v>1224</v>
      </c>
      <c r="D52" s="988"/>
      <c r="E52" s="317">
        <v>31</v>
      </c>
      <c r="G52" s="596">
        <v>2</v>
      </c>
      <c r="H52" s="669">
        <v>2</v>
      </c>
      <c r="I52" s="669">
        <v>9</v>
      </c>
      <c r="J52" s="598">
        <v>13</v>
      </c>
      <c r="K52" s="593">
        <f t="shared" ref="K52:K59" si="8">G52/J52*100</f>
        <v>15.384615384615385</v>
      </c>
      <c r="L52" s="593">
        <f t="shared" ref="L52:L59" si="9">H52/J52*100</f>
        <v>15.384615384615385</v>
      </c>
      <c r="M52" s="593">
        <f t="shared" ref="M52:M59" si="10">I52/J52*100</f>
        <v>69.230769230769226</v>
      </c>
      <c r="N52" s="597">
        <f>K52+L52+M52</f>
        <v>100</v>
      </c>
      <c r="O52" s="592">
        <v>8.9</v>
      </c>
      <c r="P52" s="593">
        <v>4.4000000000000004</v>
      </c>
      <c r="Q52" s="593">
        <v>42.3</v>
      </c>
      <c r="R52" s="594">
        <f t="shared" ref="R52:R59" si="11">O52+P52+Q52</f>
        <v>55.599999999999994</v>
      </c>
      <c r="S52" s="669">
        <v>3</v>
      </c>
      <c r="T52" s="95"/>
      <c r="U52" s="121"/>
      <c r="V52" s="82" t="s">
        <v>878</v>
      </c>
      <c r="W52" s="317" t="s">
        <v>97</v>
      </c>
      <c r="X52" s="317" t="s">
        <v>12</v>
      </c>
      <c r="Y52" s="83">
        <v>28.9</v>
      </c>
      <c r="Z52" s="317" t="s">
        <v>566</v>
      </c>
      <c r="AA52" s="317" t="s">
        <v>316</v>
      </c>
      <c r="AB52" s="317" t="s">
        <v>11</v>
      </c>
      <c r="AC52" s="317">
        <v>8.9</v>
      </c>
      <c r="AD52" s="82" t="s">
        <v>881</v>
      </c>
      <c r="AE52" s="317" t="s">
        <v>882</v>
      </c>
      <c r="AF52" s="317" t="s">
        <v>12</v>
      </c>
      <c r="AG52" s="83">
        <v>6.7</v>
      </c>
      <c r="AH52" s="317" t="s">
        <v>879</v>
      </c>
      <c r="AI52" s="317" t="s">
        <v>880</v>
      </c>
      <c r="AJ52" s="317" t="s">
        <v>12</v>
      </c>
      <c r="AK52" s="317">
        <v>6.7</v>
      </c>
      <c r="AL52" s="82" t="s">
        <v>883</v>
      </c>
      <c r="AM52" s="317" t="s">
        <v>82</v>
      </c>
      <c r="AN52" s="317" t="s">
        <v>18</v>
      </c>
      <c r="AO52" s="83">
        <v>4.4000000000000004</v>
      </c>
      <c r="AP52" s="82"/>
      <c r="AS52" s="83"/>
      <c r="AW52" s="83"/>
      <c r="BA52" s="84"/>
    </row>
    <row r="53" spans="1:53" s="334" customFormat="1">
      <c r="A53" s="334">
        <v>2013</v>
      </c>
      <c r="B53" s="361">
        <v>41306</v>
      </c>
      <c r="C53" s="992" t="s">
        <v>1282</v>
      </c>
      <c r="D53" s="992"/>
      <c r="E53" s="334">
        <v>47</v>
      </c>
      <c r="F53" s="334">
        <v>4</v>
      </c>
      <c r="G53" s="642"/>
      <c r="H53" s="670">
        <v>2</v>
      </c>
      <c r="I53" s="670">
        <v>9</v>
      </c>
      <c r="J53" s="644">
        <v>11</v>
      </c>
      <c r="K53" s="640">
        <f t="shared" si="8"/>
        <v>0</v>
      </c>
      <c r="L53" s="640">
        <f t="shared" si="9"/>
        <v>18.181818181818183</v>
      </c>
      <c r="M53" s="640">
        <f t="shared" si="10"/>
        <v>81.818181818181827</v>
      </c>
      <c r="N53" s="643">
        <f>K52+L52+M52</f>
        <v>100</v>
      </c>
      <c r="O53" s="639"/>
      <c r="P53" s="640">
        <v>4.4000000000000004</v>
      </c>
      <c r="Q53" s="640">
        <v>41.2</v>
      </c>
      <c r="R53" s="641">
        <f t="shared" si="11"/>
        <v>45.6</v>
      </c>
      <c r="S53" s="670">
        <v>5</v>
      </c>
      <c r="T53" s="342"/>
      <c r="U53" s="355">
        <v>41306</v>
      </c>
      <c r="V53" s="343" t="s">
        <v>878</v>
      </c>
      <c r="W53" s="334" t="s">
        <v>97</v>
      </c>
      <c r="X53" s="334" t="s">
        <v>12</v>
      </c>
      <c r="Y53" s="344">
        <v>28.9</v>
      </c>
      <c r="Z53" s="334" t="s">
        <v>881</v>
      </c>
      <c r="AA53" s="334" t="s">
        <v>882</v>
      </c>
      <c r="AB53" s="334" t="s">
        <v>12</v>
      </c>
      <c r="AC53" s="334">
        <v>5.6</v>
      </c>
      <c r="AD53" s="343" t="s">
        <v>879</v>
      </c>
      <c r="AE53" s="334" t="s">
        <v>880</v>
      </c>
      <c r="AF53" s="334" t="s">
        <v>12</v>
      </c>
      <c r="AG53" s="344">
        <v>6.7</v>
      </c>
      <c r="AH53" s="343" t="s">
        <v>883</v>
      </c>
      <c r="AI53" s="334" t="s">
        <v>82</v>
      </c>
      <c r="AJ53" s="334" t="s">
        <v>18</v>
      </c>
      <c r="AK53" s="334">
        <v>4.4000000000000004</v>
      </c>
      <c r="AL53" s="343"/>
      <c r="AO53" s="344"/>
      <c r="AP53" s="343"/>
      <c r="AS53" s="344"/>
      <c r="AW53" s="344"/>
      <c r="BA53" s="345"/>
    </row>
    <row r="54" spans="1:53" s="329" customFormat="1">
      <c r="A54" s="329">
        <v>2013</v>
      </c>
      <c r="B54" s="121">
        <v>41353</v>
      </c>
      <c r="C54" s="988" t="s">
        <v>1269</v>
      </c>
      <c r="D54" s="988"/>
      <c r="E54" s="329">
        <v>245</v>
      </c>
      <c r="F54" s="329">
        <v>5</v>
      </c>
      <c r="G54" s="596">
        <v>3</v>
      </c>
      <c r="H54" s="669"/>
      <c r="I54" s="669">
        <v>11</v>
      </c>
      <c r="J54" s="598">
        <v>14</v>
      </c>
      <c r="K54" s="593">
        <f t="shared" si="8"/>
        <v>21.428571428571427</v>
      </c>
      <c r="L54" s="593">
        <f t="shared" si="9"/>
        <v>0</v>
      </c>
      <c r="M54" s="593">
        <f t="shared" si="10"/>
        <v>78.571428571428569</v>
      </c>
      <c r="N54" s="597">
        <f>K53+L53+M53</f>
        <v>100.00000000000001</v>
      </c>
      <c r="O54" s="592">
        <v>7.8</v>
      </c>
      <c r="P54" s="593"/>
      <c r="Q54" s="593">
        <v>46.7</v>
      </c>
      <c r="R54" s="594">
        <f t="shared" si="11"/>
        <v>54.5</v>
      </c>
      <c r="S54" s="669">
        <v>2</v>
      </c>
      <c r="T54" s="95"/>
      <c r="U54" s="121">
        <v>41353</v>
      </c>
      <c r="V54" s="82" t="s">
        <v>96</v>
      </c>
      <c r="W54" s="329" t="s">
        <v>1042</v>
      </c>
      <c r="X54" s="329" t="s">
        <v>12</v>
      </c>
      <c r="Y54" s="83">
        <v>30</v>
      </c>
      <c r="Z54" s="82" t="s">
        <v>102</v>
      </c>
      <c r="AA54" s="329" t="s">
        <v>98</v>
      </c>
      <c r="AB54" s="329" t="s">
        <v>12</v>
      </c>
      <c r="AC54" s="83">
        <v>11.1</v>
      </c>
      <c r="AD54" s="82" t="s">
        <v>566</v>
      </c>
      <c r="AE54" s="329" t="s">
        <v>316</v>
      </c>
      <c r="AF54" s="329" t="s">
        <v>11</v>
      </c>
      <c r="AG54" s="83">
        <v>7.8</v>
      </c>
      <c r="AH54" s="82" t="s">
        <v>881</v>
      </c>
      <c r="AI54" s="329" t="s">
        <v>882</v>
      </c>
      <c r="AJ54" s="329" t="s">
        <v>12</v>
      </c>
      <c r="AK54" s="329">
        <v>5.6</v>
      </c>
      <c r="AL54" s="82"/>
      <c r="AO54" s="83"/>
      <c r="AP54" s="82"/>
      <c r="AS54" s="83"/>
      <c r="AW54" s="83"/>
      <c r="BA54" s="84"/>
    </row>
    <row r="55" spans="1:53" s="329" customFormat="1">
      <c r="A55" s="329">
        <v>2013</v>
      </c>
      <c r="B55" s="154">
        <v>41598</v>
      </c>
      <c r="C55" s="988" t="s">
        <v>1269</v>
      </c>
      <c r="D55" s="988"/>
      <c r="E55" s="329">
        <v>5</v>
      </c>
      <c r="F55" s="150">
        <v>0</v>
      </c>
      <c r="G55" s="596">
        <v>3</v>
      </c>
      <c r="H55" s="669"/>
      <c r="I55" s="669">
        <v>10</v>
      </c>
      <c r="J55" s="598">
        <v>13</v>
      </c>
      <c r="K55" s="593">
        <f t="shared" si="8"/>
        <v>23.076923076923077</v>
      </c>
      <c r="L55" s="593">
        <f t="shared" si="9"/>
        <v>0</v>
      </c>
      <c r="M55" s="593">
        <f t="shared" si="10"/>
        <v>76.923076923076934</v>
      </c>
      <c r="N55" s="597">
        <f>K54+L54+M54</f>
        <v>100</v>
      </c>
      <c r="O55" s="592">
        <v>7.8</v>
      </c>
      <c r="P55" s="593"/>
      <c r="Q55" s="593">
        <v>46.7</v>
      </c>
      <c r="R55" s="594">
        <f t="shared" si="11"/>
        <v>54.5</v>
      </c>
      <c r="S55" s="669">
        <v>2</v>
      </c>
      <c r="T55" s="95"/>
      <c r="U55" s="121"/>
      <c r="V55" s="82" t="s">
        <v>96</v>
      </c>
      <c r="W55" s="329" t="s">
        <v>1042</v>
      </c>
      <c r="X55" s="329" t="s">
        <v>12</v>
      </c>
      <c r="Y55" s="83">
        <v>30</v>
      </c>
      <c r="Z55" s="82" t="s">
        <v>102</v>
      </c>
      <c r="AA55" s="329" t="s">
        <v>98</v>
      </c>
      <c r="AB55" s="329" t="s">
        <v>12</v>
      </c>
      <c r="AC55" s="83">
        <v>11.1</v>
      </c>
      <c r="AD55" s="82" t="s">
        <v>566</v>
      </c>
      <c r="AE55" s="329" t="s">
        <v>316</v>
      </c>
      <c r="AF55" s="329" t="s">
        <v>11</v>
      </c>
      <c r="AG55" s="83">
        <v>7.8</v>
      </c>
      <c r="AH55" s="82" t="s">
        <v>881</v>
      </c>
      <c r="AI55" s="329" t="s">
        <v>882</v>
      </c>
      <c r="AJ55" s="329" t="s">
        <v>12</v>
      </c>
      <c r="AK55" s="329">
        <v>5.6</v>
      </c>
      <c r="AL55" s="82"/>
      <c r="AO55" s="83"/>
      <c r="AP55" s="82"/>
      <c r="AS55" s="83"/>
      <c r="AW55" s="83"/>
      <c r="BA55" s="84"/>
    </row>
    <row r="56" spans="1:53" s="329" customFormat="1">
      <c r="A56" s="329">
        <v>2013</v>
      </c>
      <c r="B56" s="154">
        <v>41603</v>
      </c>
      <c r="C56" s="988" t="s">
        <v>1269</v>
      </c>
      <c r="D56" s="988"/>
      <c r="E56" s="329">
        <f>365-E55-E54-E53-E52</f>
        <v>37</v>
      </c>
      <c r="F56" s="150">
        <v>0</v>
      </c>
      <c r="G56" s="596">
        <v>3</v>
      </c>
      <c r="H56" s="669"/>
      <c r="I56" s="669">
        <v>9</v>
      </c>
      <c r="J56" s="598">
        <v>12</v>
      </c>
      <c r="K56" s="593">
        <f t="shared" si="8"/>
        <v>25</v>
      </c>
      <c r="L56" s="593">
        <f t="shared" si="9"/>
        <v>0</v>
      </c>
      <c r="M56" s="593">
        <f t="shared" si="10"/>
        <v>75</v>
      </c>
      <c r="N56" s="597">
        <f>K55+L55+M55</f>
        <v>100.00000000000001</v>
      </c>
      <c r="O56" s="592">
        <v>7.8</v>
      </c>
      <c r="P56" s="593"/>
      <c r="Q56" s="593">
        <v>46.7</v>
      </c>
      <c r="R56" s="594">
        <f t="shared" si="11"/>
        <v>54.5</v>
      </c>
      <c r="S56" s="669">
        <v>2</v>
      </c>
      <c r="T56" s="95"/>
      <c r="U56" s="121"/>
      <c r="V56" s="82" t="s">
        <v>96</v>
      </c>
      <c r="W56" s="329" t="s">
        <v>1042</v>
      </c>
      <c r="X56" s="329" t="s">
        <v>12</v>
      </c>
      <c r="Y56" s="83">
        <v>30</v>
      </c>
      <c r="Z56" s="82" t="s">
        <v>102</v>
      </c>
      <c r="AA56" s="329" t="s">
        <v>98</v>
      </c>
      <c r="AB56" s="329" t="s">
        <v>12</v>
      </c>
      <c r="AC56" s="83">
        <v>11.1</v>
      </c>
      <c r="AD56" s="82" t="s">
        <v>566</v>
      </c>
      <c r="AE56" s="329" t="s">
        <v>316</v>
      </c>
      <c r="AF56" s="329" t="s">
        <v>11</v>
      </c>
      <c r="AG56" s="83">
        <v>7.8</v>
      </c>
      <c r="AH56" s="82" t="s">
        <v>881</v>
      </c>
      <c r="AI56" s="329" t="s">
        <v>882</v>
      </c>
      <c r="AJ56" s="329" t="s">
        <v>12</v>
      </c>
      <c r="AK56" s="329">
        <v>5.6</v>
      </c>
      <c r="AL56" s="82"/>
      <c r="AO56" s="83"/>
      <c r="AP56" s="82"/>
      <c r="AS56" s="83"/>
      <c r="AW56" s="83"/>
      <c r="BA56" s="84"/>
    </row>
    <row r="57" spans="1:53" s="656" customFormat="1">
      <c r="A57" s="656">
        <v>2014</v>
      </c>
      <c r="B57" s="154"/>
      <c r="C57" s="988" t="s">
        <v>1269</v>
      </c>
      <c r="D57" s="988"/>
      <c r="E57" s="656">
        <v>192</v>
      </c>
      <c r="F57" s="600"/>
      <c r="G57" s="596">
        <v>3</v>
      </c>
      <c r="H57" s="669"/>
      <c r="I57" s="669">
        <v>9</v>
      </c>
      <c r="J57" s="598">
        <v>12</v>
      </c>
      <c r="K57" s="593">
        <f t="shared" si="8"/>
        <v>25</v>
      </c>
      <c r="L57" s="593">
        <f t="shared" si="9"/>
        <v>0</v>
      </c>
      <c r="M57" s="593">
        <f t="shared" si="10"/>
        <v>75</v>
      </c>
      <c r="N57" s="597">
        <f t="shared" ref="N57:N59" si="12">K56+L56+M56</f>
        <v>100</v>
      </c>
      <c r="O57" s="592">
        <v>7.8</v>
      </c>
      <c r="P57" s="593"/>
      <c r="Q57" s="593">
        <v>46.7</v>
      </c>
      <c r="R57" s="594">
        <f t="shared" si="11"/>
        <v>54.5</v>
      </c>
      <c r="S57" s="669">
        <v>2</v>
      </c>
      <c r="T57" s="595"/>
      <c r="U57" s="121"/>
      <c r="V57" s="588" t="s">
        <v>96</v>
      </c>
      <c r="W57" s="669" t="s">
        <v>1042</v>
      </c>
      <c r="X57" s="669" t="s">
        <v>12</v>
      </c>
      <c r="Y57" s="589">
        <v>30</v>
      </c>
      <c r="Z57" s="588" t="s">
        <v>102</v>
      </c>
      <c r="AA57" s="669" t="s">
        <v>98</v>
      </c>
      <c r="AB57" s="669" t="s">
        <v>12</v>
      </c>
      <c r="AC57" s="589">
        <v>11.1</v>
      </c>
      <c r="AD57" s="588" t="s">
        <v>566</v>
      </c>
      <c r="AE57" s="669" t="s">
        <v>316</v>
      </c>
      <c r="AF57" s="669" t="s">
        <v>11</v>
      </c>
      <c r="AG57" s="589">
        <v>7.8</v>
      </c>
      <c r="AH57" s="588" t="s">
        <v>881</v>
      </c>
      <c r="AI57" s="669" t="s">
        <v>882</v>
      </c>
      <c r="AJ57" s="669" t="s">
        <v>12</v>
      </c>
      <c r="AK57" s="669">
        <v>5.6</v>
      </c>
      <c r="AL57" s="588"/>
      <c r="AO57" s="589"/>
      <c r="AP57" s="588"/>
      <c r="AS57" s="589"/>
      <c r="AW57" s="589"/>
      <c r="BA57" s="590"/>
    </row>
    <row r="58" spans="1:53" s="669" customFormat="1">
      <c r="A58" s="669">
        <v>2014</v>
      </c>
      <c r="B58" s="154">
        <v>41832</v>
      </c>
      <c r="C58" s="988" t="s">
        <v>1269</v>
      </c>
      <c r="D58" s="988"/>
      <c r="E58" s="669">
        <v>68</v>
      </c>
      <c r="F58" s="600">
        <v>0</v>
      </c>
      <c r="G58" s="596">
        <v>7</v>
      </c>
      <c r="I58" s="669">
        <v>6</v>
      </c>
      <c r="J58" s="598">
        <v>13</v>
      </c>
      <c r="K58" s="593">
        <f t="shared" si="8"/>
        <v>53.846153846153847</v>
      </c>
      <c r="L58" s="593">
        <f t="shared" si="9"/>
        <v>0</v>
      </c>
      <c r="M58" s="593">
        <f t="shared" si="10"/>
        <v>46.153846153846153</v>
      </c>
      <c r="N58" s="597">
        <f t="shared" si="12"/>
        <v>100</v>
      </c>
      <c r="O58" s="592">
        <v>18.899999999999999</v>
      </c>
      <c r="P58" s="593"/>
      <c r="Q58" s="593">
        <v>32.299999999999997</v>
      </c>
      <c r="R58" s="594">
        <f t="shared" si="11"/>
        <v>51.199999999999996</v>
      </c>
      <c r="S58" s="669">
        <v>2</v>
      </c>
      <c r="T58" s="595"/>
      <c r="U58" s="121"/>
      <c r="V58" s="588" t="s">
        <v>1321</v>
      </c>
      <c r="W58" s="669" t="s">
        <v>905</v>
      </c>
      <c r="X58" s="669" t="s">
        <v>11</v>
      </c>
      <c r="Y58" s="589">
        <v>11.1</v>
      </c>
      <c r="Z58" s="588" t="s">
        <v>96</v>
      </c>
      <c r="AA58" s="669" t="s">
        <v>1042</v>
      </c>
      <c r="AB58" s="669" t="s">
        <v>12</v>
      </c>
      <c r="AC58" s="589">
        <v>15.5</v>
      </c>
      <c r="AD58" s="588" t="s">
        <v>102</v>
      </c>
      <c r="AE58" s="669" t="s">
        <v>98</v>
      </c>
      <c r="AF58" s="669" t="s">
        <v>12</v>
      </c>
      <c r="AG58" s="589">
        <v>11.1</v>
      </c>
      <c r="AH58" s="588" t="s">
        <v>566</v>
      </c>
      <c r="AI58" s="669" t="s">
        <v>22</v>
      </c>
      <c r="AJ58" s="669" t="s">
        <v>11</v>
      </c>
      <c r="AK58" s="669">
        <v>7.8</v>
      </c>
      <c r="AL58" s="588" t="s">
        <v>881</v>
      </c>
      <c r="AM58" s="669" t="s">
        <v>882</v>
      </c>
      <c r="AN58" s="669" t="s">
        <v>12</v>
      </c>
      <c r="AO58" s="589">
        <v>5.6</v>
      </c>
      <c r="AP58" s="588"/>
      <c r="AS58" s="589"/>
      <c r="AW58" s="589"/>
      <c r="BA58" s="590"/>
    </row>
    <row r="59" spans="1:53" s="670" customFormat="1">
      <c r="A59" s="670">
        <v>2014</v>
      </c>
      <c r="B59" s="361">
        <v>41900</v>
      </c>
      <c r="C59" s="992" t="s">
        <v>1322</v>
      </c>
      <c r="D59" s="992"/>
      <c r="E59" s="670">
        <v>105</v>
      </c>
      <c r="F59" s="670">
        <v>1</v>
      </c>
      <c r="G59" s="642">
        <v>10</v>
      </c>
      <c r="I59" s="670">
        <v>7</v>
      </c>
      <c r="J59" s="644">
        <v>17</v>
      </c>
      <c r="K59" s="640">
        <f t="shared" si="8"/>
        <v>58.82352941176471</v>
      </c>
      <c r="L59" s="640">
        <f t="shared" si="9"/>
        <v>0</v>
      </c>
      <c r="M59" s="640">
        <f t="shared" si="10"/>
        <v>41.17647058823529</v>
      </c>
      <c r="N59" s="643">
        <f t="shared" si="12"/>
        <v>100</v>
      </c>
      <c r="O59" s="639">
        <v>40</v>
      </c>
      <c r="P59" s="640"/>
      <c r="Q59" s="640">
        <v>17.8</v>
      </c>
      <c r="R59" s="641">
        <f t="shared" si="11"/>
        <v>57.8</v>
      </c>
      <c r="S59" s="670">
        <v>3</v>
      </c>
      <c r="T59" s="487">
        <v>41833</v>
      </c>
      <c r="U59" s="664">
        <v>41900</v>
      </c>
      <c r="V59" s="634" t="s">
        <v>1323</v>
      </c>
      <c r="W59" s="670" t="s">
        <v>906</v>
      </c>
      <c r="X59" s="670" t="s">
        <v>11</v>
      </c>
      <c r="Y59" s="635">
        <v>40</v>
      </c>
      <c r="Z59" s="670" t="s">
        <v>881</v>
      </c>
      <c r="AA59" s="670" t="s">
        <v>882</v>
      </c>
      <c r="AB59" s="670" t="s">
        <v>12</v>
      </c>
      <c r="AC59" s="670">
        <v>11.1</v>
      </c>
      <c r="AD59" s="634" t="s">
        <v>102</v>
      </c>
      <c r="AE59" s="670" t="s">
        <v>98</v>
      </c>
      <c r="AF59" s="670" t="s">
        <v>12</v>
      </c>
      <c r="AG59" s="635">
        <v>6.7</v>
      </c>
      <c r="AH59" s="634"/>
      <c r="AL59" s="634"/>
      <c r="AO59" s="635"/>
      <c r="AP59" s="634"/>
      <c r="AS59" s="635"/>
      <c r="AW59" s="635"/>
      <c r="BA59" s="636"/>
    </row>
    <row r="60" spans="1:53" s="752" customFormat="1">
      <c r="A60" s="752">
        <v>2015</v>
      </c>
      <c r="B60" s="361"/>
      <c r="C60" s="992" t="s">
        <v>1322</v>
      </c>
      <c r="D60" s="992"/>
      <c r="E60" s="752">
        <v>0</v>
      </c>
      <c r="G60" s="642">
        <v>10</v>
      </c>
      <c r="I60" s="752">
        <v>7</v>
      </c>
      <c r="J60" s="644">
        <v>17</v>
      </c>
      <c r="K60" s="640">
        <f t="shared" ref="K60:K63" si="13">G60/J60*100</f>
        <v>58.82352941176471</v>
      </c>
      <c r="L60" s="640">
        <f t="shared" ref="L60:L63" si="14">H60/J60*100</f>
        <v>0</v>
      </c>
      <c r="M60" s="640">
        <f t="shared" ref="M60:M63" si="15">I60/J60*100</f>
        <v>41.17647058823529</v>
      </c>
      <c r="N60" s="643">
        <f t="shared" ref="N60:N63" si="16">K59+L59+M59</f>
        <v>100</v>
      </c>
      <c r="O60" s="639">
        <v>40</v>
      </c>
      <c r="P60" s="640"/>
      <c r="Q60" s="640">
        <v>17.8</v>
      </c>
      <c r="R60" s="641">
        <f t="shared" ref="R60:R61" si="17">O60+P60+Q60</f>
        <v>57.8</v>
      </c>
      <c r="S60" s="752">
        <v>3</v>
      </c>
      <c r="T60" s="487"/>
      <c r="U60" s="749"/>
      <c r="V60" s="634" t="s">
        <v>1323</v>
      </c>
      <c r="W60" s="752" t="s">
        <v>906</v>
      </c>
      <c r="X60" s="752" t="s">
        <v>11</v>
      </c>
      <c r="Y60" s="635">
        <v>40</v>
      </c>
      <c r="Z60" s="752" t="s">
        <v>881</v>
      </c>
      <c r="AA60" s="752" t="s">
        <v>882</v>
      </c>
      <c r="AB60" s="752" t="s">
        <v>12</v>
      </c>
      <c r="AC60" s="752">
        <v>11.1</v>
      </c>
      <c r="AD60" s="634" t="s">
        <v>102</v>
      </c>
      <c r="AE60" s="752" t="s">
        <v>98</v>
      </c>
      <c r="AF60" s="752" t="s">
        <v>12</v>
      </c>
      <c r="AG60" s="635">
        <v>6.7</v>
      </c>
      <c r="AH60" s="634"/>
      <c r="AL60" s="634"/>
      <c r="AO60" s="635"/>
      <c r="AP60" s="634"/>
      <c r="AS60" s="635"/>
      <c r="AW60" s="635"/>
      <c r="BA60" s="636"/>
    </row>
    <row r="61" spans="1:53" s="752" customFormat="1">
      <c r="A61" s="752">
        <v>2015</v>
      </c>
      <c r="B61" s="361"/>
      <c r="C61" s="992" t="s">
        <v>1322</v>
      </c>
      <c r="D61" s="992"/>
      <c r="E61" s="752">
        <v>365</v>
      </c>
      <c r="G61" s="642">
        <v>10</v>
      </c>
      <c r="I61" s="752">
        <v>7</v>
      </c>
      <c r="J61" s="644">
        <v>17</v>
      </c>
      <c r="K61" s="640">
        <f t="shared" si="13"/>
        <v>58.82352941176471</v>
      </c>
      <c r="L61" s="640">
        <f t="shared" si="14"/>
        <v>0</v>
      </c>
      <c r="M61" s="640">
        <f t="shared" si="15"/>
        <v>41.17647058823529</v>
      </c>
      <c r="N61" s="643">
        <f t="shared" si="16"/>
        <v>100</v>
      </c>
      <c r="O61" s="639">
        <v>40</v>
      </c>
      <c r="P61" s="640"/>
      <c r="Q61" s="640">
        <v>17.8</v>
      </c>
      <c r="R61" s="641">
        <f t="shared" si="17"/>
        <v>57.8</v>
      </c>
      <c r="S61" s="752">
        <v>3</v>
      </c>
      <c r="T61" s="487"/>
      <c r="U61" s="749"/>
      <c r="V61" s="634" t="s">
        <v>1323</v>
      </c>
      <c r="W61" s="752" t="s">
        <v>906</v>
      </c>
      <c r="X61" s="752" t="s">
        <v>11</v>
      </c>
      <c r="Y61" s="635">
        <v>40</v>
      </c>
      <c r="Z61" s="752" t="s">
        <v>881</v>
      </c>
      <c r="AA61" s="752" t="s">
        <v>882</v>
      </c>
      <c r="AB61" s="752" t="s">
        <v>12</v>
      </c>
      <c r="AC61" s="752">
        <v>11.1</v>
      </c>
      <c r="AD61" s="634" t="s">
        <v>102</v>
      </c>
      <c r="AE61" s="752" t="s">
        <v>98</v>
      </c>
      <c r="AF61" s="752" t="s">
        <v>12</v>
      </c>
      <c r="AG61" s="635">
        <v>6.7</v>
      </c>
      <c r="AH61" s="634"/>
      <c r="AL61" s="634"/>
      <c r="AO61" s="635"/>
      <c r="AP61" s="634"/>
      <c r="AS61" s="635"/>
      <c r="AW61" s="635"/>
      <c r="BA61" s="636"/>
    </row>
    <row r="62" spans="1:53" s="848" customFormat="1">
      <c r="A62" s="848">
        <v>2016</v>
      </c>
      <c r="B62" s="361"/>
      <c r="C62" s="992" t="s">
        <v>1322</v>
      </c>
      <c r="D62" s="992"/>
      <c r="E62" s="848">
        <v>0</v>
      </c>
      <c r="G62" s="642">
        <v>10</v>
      </c>
      <c r="I62" s="848">
        <v>7</v>
      </c>
      <c r="J62" s="644">
        <v>17</v>
      </c>
      <c r="K62" s="640">
        <f t="shared" si="13"/>
        <v>58.82352941176471</v>
      </c>
      <c r="L62" s="640">
        <f t="shared" si="14"/>
        <v>0</v>
      </c>
      <c r="M62" s="640">
        <f t="shared" si="15"/>
        <v>41.17647058823529</v>
      </c>
      <c r="N62" s="643">
        <f t="shared" si="16"/>
        <v>100</v>
      </c>
      <c r="O62" s="639">
        <v>40</v>
      </c>
      <c r="P62" s="640"/>
      <c r="Q62" s="640">
        <v>17.8</v>
      </c>
      <c r="R62" s="641">
        <f t="shared" ref="R62:R63" si="18">O62+P62+Q62</f>
        <v>57.8</v>
      </c>
      <c r="S62" s="848">
        <v>3</v>
      </c>
      <c r="T62" s="487"/>
      <c r="U62" s="847"/>
      <c r="V62" s="634" t="s">
        <v>1323</v>
      </c>
      <c r="W62" s="848" t="s">
        <v>906</v>
      </c>
      <c r="X62" s="848" t="s">
        <v>11</v>
      </c>
      <c r="Y62" s="635">
        <v>40</v>
      </c>
      <c r="Z62" s="848" t="s">
        <v>881</v>
      </c>
      <c r="AA62" s="848" t="s">
        <v>882</v>
      </c>
      <c r="AB62" s="848" t="s">
        <v>12</v>
      </c>
      <c r="AC62" s="848">
        <v>11.1</v>
      </c>
      <c r="AD62" s="634" t="s">
        <v>102</v>
      </c>
      <c r="AE62" s="848" t="s">
        <v>98</v>
      </c>
      <c r="AF62" s="848" t="s">
        <v>12</v>
      </c>
      <c r="AG62" s="635">
        <v>6.7</v>
      </c>
      <c r="AH62" s="634"/>
      <c r="AL62" s="634"/>
      <c r="AO62" s="635"/>
      <c r="AP62" s="634"/>
      <c r="AS62" s="635"/>
      <c r="AW62" s="635"/>
      <c r="BA62" s="636"/>
    </row>
    <row r="63" spans="1:53" s="848" customFormat="1">
      <c r="A63" s="848">
        <v>2016</v>
      </c>
      <c r="B63" s="361"/>
      <c r="C63" s="992" t="s">
        <v>1322</v>
      </c>
      <c r="D63" s="992"/>
      <c r="E63" s="848">
        <v>366</v>
      </c>
      <c r="G63" s="642">
        <v>10</v>
      </c>
      <c r="I63" s="848">
        <v>7</v>
      </c>
      <c r="J63" s="644">
        <v>17</v>
      </c>
      <c r="K63" s="640">
        <f t="shared" si="13"/>
        <v>58.82352941176471</v>
      </c>
      <c r="L63" s="640">
        <f t="shared" si="14"/>
        <v>0</v>
      </c>
      <c r="M63" s="640">
        <f t="shared" si="15"/>
        <v>41.17647058823529</v>
      </c>
      <c r="N63" s="643">
        <f t="shared" si="16"/>
        <v>100</v>
      </c>
      <c r="O63" s="639">
        <v>40</v>
      </c>
      <c r="P63" s="640"/>
      <c r="Q63" s="640">
        <v>17.8</v>
      </c>
      <c r="R63" s="641">
        <f t="shared" si="18"/>
        <v>57.8</v>
      </c>
      <c r="S63" s="848">
        <v>3</v>
      </c>
      <c r="T63" s="487"/>
      <c r="U63" s="847"/>
      <c r="V63" s="634" t="s">
        <v>1323</v>
      </c>
      <c r="W63" s="848" t="s">
        <v>906</v>
      </c>
      <c r="X63" s="848" t="s">
        <v>11</v>
      </c>
      <c r="Y63" s="635">
        <v>40</v>
      </c>
      <c r="Z63" s="848" t="s">
        <v>881</v>
      </c>
      <c r="AA63" s="848" t="s">
        <v>882</v>
      </c>
      <c r="AB63" s="848" t="s">
        <v>12</v>
      </c>
      <c r="AC63" s="848">
        <v>11.1</v>
      </c>
      <c r="AD63" s="634" t="s">
        <v>102</v>
      </c>
      <c r="AE63" s="848" t="s">
        <v>98</v>
      </c>
      <c r="AF63" s="848" t="s">
        <v>12</v>
      </c>
      <c r="AG63" s="635">
        <v>6.7</v>
      </c>
      <c r="AH63" s="634"/>
      <c r="AL63" s="634"/>
      <c r="AO63" s="635"/>
      <c r="AP63" s="634"/>
      <c r="AS63" s="635"/>
      <c r="AW63" s="635"/>
      <c r="BA63" s="636"/>
    </row>
    <row r="64" spans="1:53" s="902" customFormat="1">
      <c r="A64" s="902">
        <v>2017</v>
      </c>
      <c r="B64" s="361"/>
      <c r="C64" s="992" t="s">
        <v>1322</v>
      </c>
      <c r="D64" s="992"/>
      <c r="E64" s="902">
        <v>0</v>
      </c>
      <c r="G64" s="642">
        <v>10</v>
      </c>
      <c r="I64" s="902">
        <v>7</v>
      </c>
      <c r="J64" s="644">
        <v>17</v>
      </c>
      <c r="K64" s="640">
        <f t="shared" ref="K64:K65" si="19">G64/J64*100</f>
        <v>58.82352941176471</v>
      </c>
      <c r="L64" s="640">
        <f t="shared" ref="L64:L65" si="20">H64/J64*100</f>
        <v>0</v>
      </c>
      <c r="M64" s="640">
        <f t="shared" ref="M64:M65" si="21">I64/J64*100</f>
        <v>41.17647058823529</v>
      </c>
      <c r="N64" s="643">
        <f t="shared" ref="N64:N65" si="22">K63+L63+M63</f>
        <v>100</v>
      </c>
      <c r="O64" s="639">
        <v>40</v>
      </c>
      <c r="P64" s="640"/>
      <c r="Q64" s="640">
        <v>17.8</v>
      </c>
      <c r="R64" s="641">
        <f t="shared" ref="R64:R65" si="23">O64+P64+Q64</f>
        <v>57.8</v>
      </c>
      <c r="S64" s="902">
        <v>3</v>
      </c>
      <c r="T64" s="487"/>
      <c r="U64" s="901"/>
      <c r="V64" s="634" t="s">
        <v>1323</v>
      </c>
      <c r="W64" s="902" t="s">
        <v>906</v>
      </c>
      <c r="X64" s="902" t="s">
        <v>11</v>
      </c>
      <c r="Y64" s="635">
        <v>40</v>
      </c>
      <c r="Z64" s="902" t="s">
        <v>881</v>
      </c>
      <c r="AA64" s="902" t="s">
        <v>882</v>
      </c>
      <c r="AB64" s="902" t="s">
        <v>12</v>
      </c>
      <c r="AC64" s="902">
        <v>11.1</v>
      </c>
      <c r="AD64" s="634" t="s">
        <v>102</v>
      </c>
      <c r="AE64" s="902" t="s">
        <v>98</v>
      </c>
      <c r="AF64" s="902" t="s">
        <v>12</v>
      </c>
      <c r="AG64" s="635">
        <v>6.7</v>
      </c>
      <c r="AH64" s="634"/>
      <c r="AL64" s="634"/>
      <c r="AO64" s="635"/>
      <c r="AP64" s="634"/>
      <c r="AS64" s="635"/>
      <c r="AW64" s="635"/>
      <c r="BA64" s="636"/>
    </row>
    <row r="65" spans="1:53" s="902" customFormat="1">
      <c r="A65" s="902">
        <v>2017</v>
      </c>
      <c r="B65" s="361"/>
      <c r="C65" s="992" t="s">
        <v>1322</v>
      </c>
      <c r="D65" s="992"/>
      <c r="E65" s="902">
        <v>365</v>
      </c>
      <c r="G65" s="642">
        <v>10</v>
      </c>
      <c r="I65" s="902">
        <v>7</v>
      </c>
      <c r="J65" s="644">
        <v>17</v>
      </c>
      <c r="K65" s="640">
        <f t="shared" si="19"/>
        <v>58.82352941176471</v>
      </c>
      <c r="L65" s="640">
        <f t="shared" si="20"/>
        <v>0</v>
      </c>
      <c r="M65" s="640">
        <f t="shared" si="21"/>
        <v>41.17647058823529</v>
      </c>
      <c r="N65" s="643">
        <f t="shared" si="22"/>
        <v>100</v>
      </c>
      <c r="O65" s="639">
        <v>40</v>
      </c>
      <c r="P65" s="640"/>
      <c r="Q65" s="640">
        <v>17.8</v>
      </c>
      <c r="R65" s="641">
        <f t="shared" si="23"/>
        <v>57.8</v>
      </c>
      <c r="S65" s="902">
        <v>3</v>
      </c>
      <c r="T65" s="487"/>
      <c r="U65" s="901"/>
      <c r="V65" s="634" t="s">
        <v>1323</v>
      </c>
      <c r="W65" s="902" t="s">
        <v>906</v>
      </c>
      <c r="X65" s="902" t="s">
        <v>11</v>
      </c>
      <c r="Y65" s="635">
        <v>40</v>
      </c>
      <c r="Z65" s="902" t="s">
        <v>881</v>
      </c>
      <c r="AA65" s="902" t="s">
        <v>882</v>
      </c>
      <c r="AB65" s="902" t="s">
        <v>12</v>
      </c>
      <c r="AC65" s="902">
        <v>11.1</v>
      </c>
      <c r="AD65" s="634" t="s">
        <v>102</v>
      </c>
      <c r="AE65" s="902" t="s">
        <v>98</v>
      </c>
      <c r="AF65" s="902" t="s">
        <v>12</v>
      </c>
      <c r="AG65" s="635">
        <v>6.7</v>
      </c>
      <c r="AH65" s="634"/>
      <c r="AL65" s="634"/>
      <c r="AO65" s="635"/>
      <c r="AP65" s="634"/>
      <c r="AS65" s="635"/>
      <c r="AW65" s="635"/>
      <c r="BA65" s="636"/>
    </row>
    <row r="66" spans="1:53" s="945" customFormat="1">
      <c r="A66" s="945">
        <v>2018</v>
      </c>
      <c r="B66" s="361"/>
      <c r="C66" s="992" t="s">
        <v>1322</v>
      </c>
      <c r="D66" s="992"/>
      <c r="E66" s="945">
        <v>255</v>
      </c>
      <c r="G66" s="642">
        <v>10</v>
      </c>
      <c r="I66" s="945">
        <v>7</v>
      </c>
      <c r="J66" s="644">
        <v>17</v>
      </c>
      <c r="K66" s="640">
        <f t="shared" ref="K66" si="24">G66/J66*100</f>
        <v>58.82352941176471</v>
      </c>
      <c r="L66" s="640">
        <f t="shared" ref="L66" si="25">H66/J66*100</f>
        <v>0</v>
      </c>
      <c r="M66" s="640">
        <f t="shared" ref="M66" si="26">I66/J66*100</f>
        <v>41.17647058823529</v>
      </c>
      <c r="N66" s="643">
        <f t="shared" ref="N66" si="27">K65+L65+M65</f>
        <v>100</v>
      </c>
      <c r="O66" s="639">
        <v>40</v>
      </c>
      <c r="P66" s="640"/>
      <c r="Q66" s="640">
        <v>17.8</v>
      </c>
      <c r="R66" s="641">
        <f t="shared" ref="R66:R67" si="28">O66+P66+Q66</f>
        <v>57.8</v>
      </c>
      <c r="S66" s="945">
        <v>3</v>
      </c>
      <c r="T66" s="487"/>
      <c r="U66" s="944"/>
      <c r="V66" s="634" t="s">
        <v>1323</v>
      </c>
      <c r="W66" s="945" t="s">
        <v>906</v>
      </c>
      <c r="X66" s="945" t="s">
        <v>11</v>
      </c>
      <c r="Y66" s="635">
        <v>40</v>
      </c>
      <c r="Z66" s="945" t="s">
        <v>881</v>
      </c>
      <c r="AA66" s="945" t="s">
        <v>882</v>
      </c>
      <c r="AB66" s="945" t="s">
        <v>12</v>
      </c>
      <c r="AC66" s="945">
        <v>11.1</v>
      </c>
      <c r="AD66" s="634" t="s">
        <v>102</v>
      </c>
      <c r="AE66" s="945" t="s">
        <v>98</v>
      </c>
      <c r="AF66" s="945" t="s">
        <v>12</v>
      </c>
      <c r="AG66" s="635">
        <v>6.7</v>
      </c>
      <c r="AH66" s="634"/>
      <c r="AL66" s="634"/>
      <c r="AO66" s="635"/>
      <c r="AP66" s="634"/>
      <c r="AS66" s="635"/>
      <c r="AW66" s="635"/>
      <c r="BA66" s="636"/>
    </row>
    <row r="67" spans="1:53" s="946" customFormat="1">
      <c r="A67" s="946">
        <v>2018</v>
      </c>
      <c r="B67" s="121">
        <v>43356</v>
      </c>
      <c r="C67" s="988" t="s">
        <v>1421</v>
      </c>
      <c r="D67" s="988"/>
      <c r="E67" s="946">
        <v>110</v>
      </c>
      <c r="F67" s="946">
        <v>1</v>
      </c>
      <c r="G67" s="596">
        <v>7</v>
      </c>
      <c r="H67" s="946">
        <v>5</v>
      </c>
      <c r="I67" s="946">
        <v>5</v>
      </c>
      <c r="J67" s="598">
        <v>17</v>
      </c>
      <c r="K67" s="593">
        <f>G67/J67*100</f>
        <v>41.17647058823529</v>
      </c>
      <c r="L67" s="593">
        <f>H67/J67*100</f>
        <v>29.411764705882355</v>
      </c>
      <c r="M67" s="593">
        <f>I67/J67*100</f>
        <v>29.411764705882355</v>
      </c>
      <c r="N67" s="597">
        <f>K66+L66+M66</f>
        <v>100</v>
      </c>
      <c r="O67" s="592">
        <v>16.7</v>
      </c>
      <c r="P67" s="593">
        <v>14.4</v>
      </c>
      <c r="Q67" s="593">
        <v>16.7</v>
      </c>
      <c r="R67" s="594">
        <f t="shared" si="28"/>
        <v>47.8</v>
      </c>
      <c r="S67" s="946">
        <v>5</v>
      </c>
      <c r="T67" s="595">
        <v>43254</v>
      </c>
      <c r="U67" s="121">
        <v>43356</v>
      </c>
      <c r="V67" s="588" t="s">
        <v>1422</v>
      </c>
      <c r="W67" s="954" t="s">
        <v>912</v>
      </c>
      <c r="X67" s="946" t="s">
        <v>18</v>
      </c>
      <c r="Y67" s="589">
        <v>14.2</v>
      </c>
      <c r="Z67" s="588" t="s">
        <v>102</v>
      </c>
      <c r="AA67" s="946" t="s">
        <v>98</v>
      </c>
      <c r="AB67" s="946" t="s">
        <v>12</v>
      </c>
      <c r="AC67" s="589">
        <v>11.1</v>
      </c>
      <c r="AD67" s="588" t="s">
        <v>1323</v>
      </c>
      <c r="AE67" s="946" t="s">
        <v>906</v>
      </c>
      <c r="AF67" s="946" t="s">
        <v>11</v>
      </c>
      <c r="AG67" s="589">
        <v>11.1</v>
      </c>
      <c r="AH67" s="588" t="s">
        <v>1321</v>
      </c>
      <c r="AI67" s="946" t="s">
        <v>905</v>
      </c>
      <c r="AJ67" s="946" t="s">
        <v>11</v>
      </c>
      <c r="AK67" s="946">
        <v>5.6</v>
      </c>
      <c r="AL67" s="588" t="s">
        <v>881</v>
      </c>
      <c r="AM67" s="946" t="s">
        <v>882</v>
      </c>
      <c r="AN67" s="946" t="s">
        <v>12</v>
      </c>
      <c r="AO67" s="946">
        <v>5.6</v>
      </c>
      <c r="AP67" s="588"/>
      <c r="AS67" s="589"/>
      <c r="AW67" s="589"/>
      <c r="BA67" s="590"/>
    </row>
    <row r="68" spans="1:53">
      <c r="B68" s="2"/>
      <c r="C68" s="2"/>
      <c r="D68" s="2"/>
      <c r="E68" s="2"/>
      <c r="F68" s="2"/>
      <c r="G68" s="2"/>
      <c r="H68" s="2"/>
      <c r="I68" s="2"/>
      <c r="J68" s="2"/>
      <c r="K68" s="2"/>
      <c r="L68" s="2"/>
      <c r="M68" s="2"/>
      <c r="N68" s="2"/>
    </row>
    <row r="69" spans="1:53">
      <c r="B69" s="2"/>
      <c r="C69" s="2"/>
      <c r="D69" s="2"/>
      <c r="E69" s="2"/>
      <c r="F69" s="2"/>
      <c r="G69" s="2"/>
      <c r="H69" s="2"/>
      <c r="I69" s="2"/>
      <c r="J69" s="2"/>
      <c r="K69" s="2"/>
      <c r="L69" s="2"/>
      <c r="M69" s="2"/>
      <c r="N69" s="2"/>
    </row>
    <row r="70" spans="1:53" s="2" customFormat="1" ht="18" customHeight="1">
      <c r="B70" s="22" t="s">
        <v>1278</v>
      </c>
    </row>
    <row r="71" spans="1:53" s="2" customFormat="1" ht="9" customHeight="1"/>
    <row r="72" spans="1:53" s="364" customFormat="1" ht="9" customHeight="1">
      <c r="A72" s="362"/>
      <c r="B72" s="363" t="s">
        <v>1229</v>
      </c>
      <c r="C72" s="363"/>
      <c r="D72" s="363"/>
      <c r="E72" s="363"/>
      <c r="F72" s="363"/>
      <c r="G72" s="363" t="s">
        <v>1230</v>
      </c>
      <c r="H72" s="363"/>
      <c r="I72" s="363"/>
      <c r="J72" s="363"/>
      <c r="K72" s="363"/>
      <c r="L72" s="363"/>
      <c r="M72" s="363"/>
      <c r="N72" s="363"/>
      <c r="R72" s="982" t="s">
        <v>1231</v>
      </c>
      <c r="S72" s="982"/>
      <c r="T72" s="982"/>
      <c r="U72" s="982"/>
      <c r="V72" s="982"/>
      <c r="W72" s="982"/>
      <c r="X72" s="365"/>
      <c r="Y72" s="365"/>
      <c r="AA72" s="365"/>
      <c r="AB72" s="365"/>
      <c r="AC72" s="365"/>
      <c r="AD72" s="365"/>
    </row>
    <row r="73" spans="1:53" s="369" customFormat="1" ht="9" customHeight="1">
      <c r="A73" s="366"/>
      <c r="B73" s="367" t="s">
        <v>1233</v>
      </c>
      <c r="C73" s="368"/>
      <c r="D73" s="368"/>
      <c r="E73" s="368"/>
      <c r="F73" s="368"/>
      <c r="G73" s="367" t="s">
        <v>1232</v>
      </c>
      <c r="H73" s="368"/>
      <c r="I73" s="368"/>
      <c r="J73" s="368"/>
      <c r="K73" s="368"/>
      <c r="L73" s="368"/>
      <c r="M73" s="368"/>
      <c r="N73" s="368"/>
      <c r="R73" s="370" t="s">
        <v>1234</v>
      </c>
      <c r="S73" s="371"/>
      <c r="T73" s="372"/>
      <c r="U73" s="372"/>
      <c r="V73" s="372"/>
      <c r="W73" s="370" t="s">
        <v>1235</v>
      </c>
      <c r="X73" s="372"/>
      <c r="Y73" s="372"/>
      <c r="AA73" s="372"/>
      <c r="AB73" s="372"/>
      <c r="AC73" s="372"/>
      <c r="AD73" s="372"/>
    </row>
    <row r="74" spans="1:53" s="351" customFormat="1" ht="12" customHeight="1">
      <c r="A74" s="373" t="s">
        <v>3</v>
      </c>
      <c r="B74" s="374" t="s">
        <v>8</v>
      </c>
      <c r="C74" s="374" t="s">
        <v>9</v>
      </c>
      <c r="D74" s="374" t="s">
        <v>10</v>
      </c>
      <c r="E74" s="375" t="s">
        <v>1209</v>
      </c>
      <c r="F74" s="374"/>
      <c r="G74" s="351" t="s">
        <v>3</v>
      </c>
      <c r="H74" s="983" t="s">
        <v>0</v>
      </c>
      <c r="I74" s="983"/>
      <c r="J74" s="983" t="s">
        <v>1</v>
      </c>
      <c r="K74" s="983"/>
      <c r="L74" s="983" t="s">
        <v>2</v>
      </c>
      <c r="M74" s="983"/>
      <c r="N74" s="984" t="s">
        <v>1209</v>
      </c>
      <c r="O74" s="984"/>
      <c r="P74" s="376"/>
      <c r="Q74" s="376"/>
      <c r="R74" s="377" t="s">
        <v>3</v>
      </c>
      <c r="S74" s="378" t="s">
        <v>136</v>
      </c>
      <c r="T74" s="376" t="s">
        <v>134</v>
      </c>
      <c r="U74" s="374" t="s">
        <v>135</v>
      </c>
      <c r="V74" s="376"/>
      <c r="W74" s="379" t="s">
        <v>26</v>
      </c>
    </row>
    <row r="75" spans="1:53" s="16" customFormat="1" ht="9" customHeight="1">
      <c r="A75" s="44">
        <v>1990</v>
      </c>
      <c r="B75" s="196"/>
      <c r="C75" s="196"/>
      <c r="D75" s="196"/>
      <c r="E75" s="232"/>
      <c r="F75" s="196"/>
      <c r="G75" s="197">
        <v>1990</v>
      </c>
      <c r="H75" s="1039"/>
      <c r="I75" s="1039"/>
      <c r="J75" s="1039"/>
      <c r="K75" s="1039"/>
      <c r="L75" s="1039"/>
      <c r="M75" s="1039"/>
      <c r="N75" s="1038"/>
      <c r="O75" s="1038"/>
      <c r="P75" s="197"/>
      <c r="Q75" s="197"/>
      <c r="R75" s="234">
        <v>1990</v>
      </c>
      <c r="S75" s="197"/>
      <c r="T75" s="197"/>
      <c r="U75" s="196"/>
      <c r="V75" s="197"/>
      <c r="W75" s="198"/>
    </row>
    <row r="76" spans="1:53" s="16" customFormat="1" ht="9" customHeight="1">
      <c r="A76" s="44">
        <v>1991</v>
      </c>
      <c r="B76" s="196"/>
      <c r="C76" s="196"/>
      <c r="D76" s="196"/>
      <c r="E76" s="232"/>
      <c r="F76" s="196"/>
      <c r="G76" s="197">
        <v>1991</v>
      </c>
      <c r="H76" s="1037"/>
      <c r="I76" s="1037"/>
      <c r="J76" s="1037"/>
      <c r="K76" s="1037"/>
      <c r="L76" s="1037"/>
      <c r="M76" s="1037"/>
      <c r="N76" s="1004"/>
      <c r="O76" s="1004"/>
      <c r="P76" s="197"/>
      <c r="Q76" s="197"/>
      <c r="R76" s="234">
        <v>1991</v>
      </c>
      <c r="S76" s="197"/>
      <c r="T76" s="197"/>
      <c r="U76" s="196"/>
      <c r="V76" s="197"/>
      <c r="W76" s="198"/>
    </row>
    <row r="77" spans="1:53" s="16" customFormat="1" ht="9" customHeight="1">
      <c r="A77" s="44">
        <v>1992</v>
      </c>
      <c r="B77" s="196"/>
      <c r="C77" s="196"/>
      <c r="D77" s="196"/>
      <c r="E77" s="232"/>
      <c r="F77" s="196"/>
      <c r="G77" s="197">
        <v>1992</v>
      </c>
      <c r="H77" s="1037"/>
      <c r="I77" s="1037"/>
      <c r="J77" s="1037"/>
      <c r="K77" s="1037"/>
      <c r="L77" s="1037"/>
      <c r="M77" s="1037"/>
      <c r="N77" s="1004"/>
      <c r="O77" s="1004"/>
      <c r="P77" s="197"/>
      <c r="Q77" s="197"/>
      <c r="R77" s="234">
        <v>1992</v>
      </c>
      <c r="S77" s="197"/>
      <c r="T77" s="197"/>
      <c r="U77" s="196"/>
      <c r="V77" s="197"/>
      <c r="W77" s="198"/>
    </row>
    <row r="78" spans="1:53" ht="9" customHeight="1">
      <c r="A78" s="1">
        <v>1993</v>
      </c>
      <c r="B78" s="8">
        <f>(K7*($E7/354))</f>
        <v>37.5</v>
      </c>
      <c r="C78" s="8">
        <f>(L7*($E7/354))</f>
        <v>25</v>
      </c>
      <c r="D78" s="8">
        <f>(M7*($E7/354))</f>
        <v>37.5</v>
      </c>
      <c r="E78" s="52">
        <f>B78+C78+D78</f>
        <v>100</v>
      </c>
      <c r="F78" s="12"/>
      <c r="G78" s="12">
        <v>1993</v>
      </c>
      <c r="H78" s="1001">
        <f>(O7/$R7*100*($E7/354))</f>
        <v>36.676646706586816</v>
      </c>
      <c r="I78" s="1001"/>
      <c r="J78" s="1001">
        <f>(P7/$R7*100*($E7/354))</f>
        <v>24.999999999999993</v>
      </c>
      <c r="K78" s="1001"/>
      <c r="L78" s="1001">
        <f>(Q7/$R7*100*($E7/354))</f>
        <v>38.32335329341317</v>
      </c>
      <c r="M78" s="1001"/>
      <c r="N78" s="1001">
        <f>H78+J78+L78</f>
        <v>99.999999999999972</v>
      </c>
      <c r="O78" s="1001"/>
      <c r="P78" s="12"/>
      <c r="Q78" s="12"/>
      <c r="R78" s="12">
        <v>1993</v>
      </c>
      <c r="S78" s="8">
        <f>(O7*($E7/354))</f>
        <v>24.5</v>
      </c>
      <c r="T78" s="8">
        <f>(P7*($E7/354))</f>
        <v>16.7</v>
      </c>
      <c r="U78" s="8">
        <f>(Q7*($E7/354))</f>
        <v>25.6</v>
      </c>
      <c r="V78" s="12"/>
      <c r="W78" s="7">
        <f>S78+T78+U78</f>
        <v>66.800000000000011</v>
      </c>
      <c r="X78" s="66"/>
      <c r="Y78" s="233" t="s">
        <v>1226</v>
      </c>
      <c r="Z78" s="66"/>
      <c r="AA78" s="66"/>
      <c r="AB78" s="66"/>
    </row>
    <row r="79" spans="1:53" ht="9" customHeight="1">
      <c r="A79" s="1">
        <v>1994</v>
      </c>
      <c r="B79" s="8">
        <f>(K8*($E8/365))+(K9*($E9/365))</f>
        <v>47.020547945205479</v>
      </c>
      <c r="C79" s="8">
        <f>(L8*($E8/365))+(L9*($E9/365))</f>
        <v>20.239726027397261</v>
      </c>
      <c r="D79" s="8">
        <f>(M8*($E8/365))+(M9*($E9/365))</f>
        <v>27.979452054794521</v>
      </c>
      <c r="E79" s="52">
        <f t="shared" ref="E79:E97" si="29">B79+C79+D79</f>
        <v>95.239726027397253</v>
      </c>
      <c r="F79" s="12"/>
      <c r="G79" s="12">
        <v>1994</v>
      </c>
      <c r="H79" s="1001">
        <f>(O8/$R8*100*($E8/365))+(O9/$R9*100*($E9/365))</f>
        <v>41.594699853620938</v>
      </c>
      <c r="I79" s="1001"/>
      <c r="J79" s="1001">
        <f>(P8/$R8*100*($E8/365))+(P9/$R9*100*($E9/365))</f>
        <v>28.352305614508964</v>
      </c>
      <c r="K79" s="1001"/>
      <c r="L79" s="1001">
        <f>(Q8/$R8*100*($E8/365))+(Q9/$R9*100*($E9/365))</f>
        <v>30.05299453187008</v>
      </c>
      <c r="M79" s="1001"/>
      <c r="N79" s="1001">
        <f t="shared" ref="N79:N97" si="30">H79+J79+L79</f>
        <v>99.999999999999986</v>
      </c>
      <c r="O79" s="1001"/>
      <c r="P79" s="12"/>
      <c r="Q79" s="12"/>
      <c r="R79" s="12">
        <v>1994</v>
      </c>
      <c r="S79" s="8">
        <f>(O8*($E8/365))+(O9*($E9/365))</f>
        <v>24.5</v>
      </c>
      <c r="T79" s="8">
        <f>(P8*($E8/365))+(P9*($E9/365))</f>
        <v>16.7</v>
      </c>
      <c r="U79" s="8">
        <f>(Q8*($E8/365))+(Q9*($E9/365))</f>
        <v>17.983561643835614</v>
      </c>
      <c r="V79" s="12"/>
      <c r="W79" s="7">
        <f t="shared" ref="W79:W97" si="31">S79+T79+U79</f>
        <v>59.183561643835617</v>
      </c>
    </row>
    <row r="80" spans="1:53" ht="9" customHeight="1">
      <c r="A80" s="1">
        <v>1995</v>
      </c>
      <c r="B80" s="8">
        <f>(K10*($E10/365))+(K11*($E11/365))</f>
        <v>50</v>
      </c>
      <c r="C80" s="8">
        <f>(L10*($E10/365))+(L11*($E11/365))</f>
        <v>18.75</v>
      </c>
      <c r="D80" s="8">
        <f>(M10*($E10/365))+(M11*($E11/365))</f>
        <v>25</v>
      </c>
      <c r="E80" s="52">
        <f t="shared" si="29"/>
        <v>93.75</v>
      </c>
      <c r="F80" s="12"/>
      <c r="G80" s="12">
        <v>1995</v>
      </c>
      <c r="H80" s="1001">
        <f>(O10/$R10*100*($E10/365))+(O11/$R11*100*($E11/365))</f>
        <v>43.133802816901408</v>
      </c>
      <c r="I80" s="1001"/>
      <c r="J80" s="1001">
        <f>(P10/$R10*100*($E10/365))+(P11/$R11*100*($E11/365))</f>
        <v>29.401408450704221</v>
      </c>
      <c r="K80" s="1001"/>
      <c r="L80" s="1001">
        <f>(Q10/$R10*100*($E10/365))+(Q11/$R11*100*($E11/365))</f>
        <v>27.464788732394364</v>
      </c>
      <c r="M80" s="1001"/>
      <c r="N80" s="1001">
        <f t="shared" si="30"/>
        <v>100</v>
      </c>
      <c r="O80" s="1001"/>
      <c r="P80" s="12"/>
      <c r="Q80" s="12"/>
      <c r="R80" s="12">
        <v>1995</v>
      </c>
      <c r="S80" s="8">
        <f>(O10*($E10/365))+(O11*($E11/365))</f>
        <v>24.5</v>
      </c>
      <c r="T80" s="8">
        <f>(P10*($E10/365))+(P11*($E11/365))</f>
        <v>16.7</v>
      </c>
      <c r="U80" s="8">
        <f>(Q10*($E10/365))+(Q11*($E11/365))</f>
        <v>15.6</v>
      </c>
      <c r="V80" s="12"/>
      <c r="W80" s="7">
        <f t="shared" si="31"/>
        <v>56.800000000000004</v>
      </c>
    </row>
    <row r="81" spans="1:23" ht="9" customHeight="1">
      <c r="A81" s="1">
        <v>1996</v>
      </c>
      <c r="B81" s="8">
        <f>(K12*($E12/366))+(K13*($E13/366))</f>
        <v>50</v>
      </c>
      <c r="C81" s="8">
        <f>(L12*($E12/366))+(L13*($E13/366))</f>
        <v>31.859061930783238</v>
      </c>
      <c r="D81" s="8">
        <f>(M12*($E12/366))+(M13*($E13/366))</f>
        <v>2.527322404371585</v>
      </c>
      <c r="E81" s="52">
        <f t="shared" si="29"/>
        <v>84.38638433515483</v>
      </c>
      <c r="F81" s="12"/>
      <c r="G81" s="12">
        <v>1996</v>
      </c>
      <c r="H81" s="1001">
        <f>(O12/$R12*100*($E12/366))+(O13/$R13*100*($E13/366))</f>
        <v>57.814948340368481</v>
      </c>
      <c r="I81" s="1001"/>
      <c r="J81" s="1001">
        <f>(P12/$R12*100*($E12/366))+(P13/$R13*100*($E13/366))</f>
        <v>39.408556623843005</v>
      </c>
      <c r="K81" s="1001"/>
      <c r="L81" s="1001">
        <f>(Q12/$R12*100*($E12/366))+(Q13/$R13*100*($E13/366))</f>
        <v>2.7764950357885012</v>
      </c>
      <c r="M81" s="1001"/>
      <c r="N81" s="1001">
        <f t="shared" si="30"/>
        <v>99.999999999999986</v>
      </c>
      <c r="O81" s="1001"/>
      <c r="P81" s="12"/>
      <c r="Q81" s="12"/>
      <c r="R81" s="12">
        <v>1996</v>
      </c>
      <c r="S81" s="8">
        <f>(O12*($E12/366))+(O13*($E13/366))</f>
        <v>24.5</v>
      </c>
      <c r="T81" s="8">
        <f>(P12*($E12/366))+(P13*($E13/366))</f>
        <v>16.7</v>
      </c>
      <c r="U81" s="8">
        <f>(Q12*($E12/366))+(Q13*($E13/366))</f>
        <v>1.5770491803278688</v>
      </c>
      <c r="V81" s="12"/>
      <c r="W81" s="7">
        <f t="shared" si="31"/>
        <v>42.777049180327872</v>
      </c>
    </row>
    <row r="82" spans="1:23" ht="9" customHeight="1">
      <c r="A82" s="1">
        <v>1997</v>
      </c>
      <c r="B82" s="8">
        <f>(K14*($E14/365))+(K15*($E15/365))</f>
        <v>43.3381398702235</v>
      </c>
      <c r="C82" s="8">
        <f>(L14*($E14/365))+(L15*($E15/365))</f>
        <v>5.205479452054794</v>
      </c>
      <c r="D82" s="8">
        <f>(M14*($E14/365))+(M15*($E15/365))</f>
        <v>44.412400865176636</v>
      </c>
      <c r="E82" s="52">
        <f t="shared" si="29"/>
        <v>92.956020187454925</v>
      </c>
      <c r="F82" s="12"/>
      <c r="G82" s="12">
        <v>1997</v>
      </c>
      <c r="H82" s="1001">
        <f>(O14/$R14*100*($E14/365))+(O15/$R15*100*($E15/365))</f>
        <v>52.329832314710991</v>
      </c>
      <c r="I82" s="1001"/>
      <c r="J82" s="1001">
        <f>(P14/$R14*100*($E14/365))+(P15/$R15*100*($E15/365))</f>
        <v>6.3299640909695425</v>
      </c>
      <c r="K82" s="1001"/>
      <c r="L82" s="1001">
        <f>(Q14/$R14*100*($E14/365))+(Q15/$R15*100*($E15/365))</f>
        <v>41.340203594319462</v>
      </c>
      <c r="M82" s="1001"/>
      <c r="N82" s="1001">
        <f t="shared" si="30"/>
        <v>100</v>
      </c>
      <c r="O82" s="1001"/>
      <c r="P82" s="12"/>
      <c r="Q82" s="12"/>
      <c r="R82" s="12">
        <v>1997</v>
      </c>
      <c r="S82" s="8">
        <f>(O14*($E14/365))+(O15*($E15/365))</f>
        <v>27.284657534246573</v>
      </c>
      <c r="T82" s="8">
        <f>(P14*($E14/365))+(P15*($E15/365))</f>
        <v>2.6079452054794521</v>
      </c>
      <c r="U82" s="8">
        <f>(Q14*($E14/365))+(Q15*($E15/365))</f>
        <v>22.53041095890411</v>
      </c>
      <c r="V82" s="12"/>
      <c r="W82" s="7">
        <f t="shared" si="31"/>
        <v>52.423013698630136</v>
      </c>
    </row>
    <row r="83" spans="1:23" ht="9" customHeight="1">
      <c r="A83" s="1">
        <v>1998</v>
      </c>
      <c r="B83" s="8">
        <f>(K16*($E16/365))+(K17*($E17/365))</f>
        <v>42.105263157894733</v>
      </c>
      <c r="C83" s="8">
        <f>(L16*($E16/365))+(L17*($E17/365))</f>
        <v>0</v>
      </c>
      <c r="D83" s="8">
        <f>(M16*($E16/365))+(M17*($E17/365))</f>
        <v>52.631578947368418</v>
      </c>
      <c r="E83" s="52">
        <f t="shared" si="29"/>
        <v>94.73684210526315</v>
      </c>
      <c r="F83" s="12"/>
      <c r="G83" s="12">
        <v>1998</v>
      </c>
      <c r="H83" s="1001">
        <f>(O16/$R16*100*($E16/365))+(O17/$R17*100*($E17/365))</f>
        <v>51.009174311926607</v>
      </c>
      <c r="I83" s="1001"/>
      <c r="J83" s="1001">
        <f>(P16/$R16*100*($E16/365))+(P17/$R17*100*($E17/365))</f>
        <v>0</v>
      </c>
      <c r="K83" s="1001"/>
      <c r="L83" s="1001">
        <f>(Q16/$R16*100*($E16/365))+(Q17/$R17*100*($E17/365))</f>
        <v>48.990825688073393</v>
      </c>
      <c r="M83" s="1001"/>
      <c r="N83" s="1001">
        <f t="shared" si="30"/>
        <v>100</v>
      </c>
      <c r="O83" s="1001"/>
      <c r="P83" s="12"/>
      <c r="Q83" s="12"/>
      <c r="R83" s="12">
        <v>1998</v>
      </c>
      <c r="S83" s="8">
        <f>(O16*($E16/365))+(O17*($E17/365))</f>
        <v>27.8</v>
      </c>
      <c r="T83" s="8">
        <f>(P16*($E16/365))+(P17*($E17/365))</f>
        <v>0</v>
      </c>
      <c r="U83" s="8">
        <f>(Q16*($E16/365))+(Q17*($E17/365))</f>
        <v>26.7</v>
      </c>
      <c r="V83" s="12"/>
      <c r="W83" s="7">
        <f t="shared" si="31"/>
        <v>54.5</v>
      </c>
    </row>
    <row r="84" spans="1:23" ht="9" customHeight="1">
      <c r="A84" s="1">
        <v>1999</v>
      </c>
      <c r="B84" s="8">
        <f>(K18*($E18/365))+(K19*($E19/365))</f>
        <v>42.105263157894733</v>
      </c>
      <c r="C84" s="8">
        <f>(L18*($E18/365))+(L19*($E19/365))</f>
        <v>0</v>
      </c>
      <c r="D84" s="8">
        <f>(M18*($E18/365))+(M19*($E19/365))</f>
        <v>52.631578947368418</v>
      </c>
      <c r="E84" s="52">
        <f t="shared" si="29"/>
        <v>94.73684210526315</v>
      </c>
      <c r="F84" s="12"/>
      <c r="G84" s="12">
        <v>1999</v>
      </c>
      <c r="H84" s="1001">
        <f>(O18/$R18*100*($E18/365))+(O19/$R19*100*($E19/365))</f>
        <v>51.009174311926607</v>
      </c>
      <c r="I84" s="1001"/>
      <c r="J84" s="1001">
        <f>(P18/$R18*100*($E18/365))+(P19/$R19*100*($E19/365))</f>
        <v>0</v>
      </c>
      <c r="K84" s="1001"/>
      <c r="L84" s="1001">
        <f>(Q18/$R18*100*($E18/365))+(Q19/$R19*100*($E19/365))</f>
        <v>48.990825688073393</v>
      </c>
      <c r="M84" s="1001"/>
      <c r="N84" s="1001">
        <f t="shared" si="30"/>
        <v>100</v>
      </c>
      <c r="O84" s="1001"/>
      <c r="P84" s="12"/>
      <c r="Q84" s="12"/>
      <c r="R84" s="12">
        <v>1999</v>
      </c>
      <c r="S84" s="8">
        <f>(O18*($E18/365))+(O19*($E19/365))</f>
        <v>27.8</v>
      </c>
      <c r="T84" s="8">
        <f>(P18*($E18/365))+(P19*($E19/365))</f>
        <v>0</v>
      </c>
      <c r="U84" s="8">
        <f>(Q18*($E18/365))+(Q19*($E19/365))</f>
        <v>26.7</v>
      </c>
      <c r="V84" s="12"/>
      <c r="W84" s="7">
        <f t="shared" si="31"/>
        <v>54.5</v>
      </c>
    </row>
    <row r="85" spans="1:23" ht="9" customHeight="1">
      <c r="A85" s="1">
        <v>2000</v>
      </c>
      <c r="B85" s="8">
        <f>(K20*($E20/366))+(K21*($E21/366))+(K22*($E22/366))</f>
        <v>23.641069887834337</v>
      </c>
      <c r="C85" s="8">
        <f>(L20*($E20/366))+(L21*($E21/366))+(L22*($E22/366))</f>
        <v>8.486017357762778</v>
      </c>
      <c r="D85" s="8">
        <f>(M20*($E20/366))+(M21*($E21/366))+(M22*($E22/366))</f>
        <v>54.286149317362842</v>
      </c>
      <c r="E85" s="52">
        <f t="shared" si="29"/>
        <v>86.413236562959952</v>
      </c>
      <c r="F85" s="12"/>
      <c r="G85" s="12">
        <v>2000</v>
      </c>
      <c r="H85" s="1001">
        <f>(O20/$R20*100*($E20/366))+(O21/$R21*100*($E21/366))+(O22/$R22*100*($E22/366))</f>
        <v>27.528550659247003</v>
      </c>
      <c r="I85" s="1001"/>
      <c r="J85" s="1001">
        <f>(P20/$R20*100*($E20/366))+(P21/$R21*100*($E21/366))+(P22/$R22*100*($E22/366))</f>
        <v>10.675409836065572</v>
      </c>
      <c r="K85" s="1001"/>
      <c r="L85" s="1001">
        <f>(Q20/$R20*100*($E20/366))+(Q21/$R21*100*($E21/366))+(Q22/$R22*100*($E22/366))</f>
        <v>61.796039504687414</v>
      </c>
      <c r="M85" s="1001"/>
      <c r="N85" s="1001">
        <f t="shared" si="30"/>
        <v>99.999999999999986</v>
      </c>
      <c r="O85" s="1001"/>
      <c r="P85" s="12"/>
      <c r="Q85" s="12"/>
      <c r="R85" s="12">
        <v>2000</v>
      </c>
      <c r="S85" s="8">
        <f>(O20*($E20/366))+(O21*($E21/366))+(O22*($E22/366))</f>
        <v>15.306010928961749</v>
      </c>
      <c r="T85" s="8">
        <f>(P20*($E20/366))+(P21*($E21/366))+(P22*($E22/366))</f>
        <v>5.3377049180327862</v>
      </c>
      <c r="U85" s="8">
        <f>(Q20*($E20/366))+(Q21*($E21/366))+(Q22*($E22/366))</f>
        <v>32.173224043715841</v>
      </c>
      <c r="V85" s="12"/>
      <c r="W85" s="7">
        <f t="shared" si="31"/>
        <v>52.816939890710373</v>
      </c>
    </row>
    <row r="86" spans="1:23" ht="9" customHeight="1">
      <c r="A86" s="1">
        <v>2001</v>
      </c>
      <c r="B86" s="8">
        <f>(K23*($E23/365))+(K24*($E24/365))</f>
        <v>62.5</v>
      </c>
      <c r="C86" s="8">
        <f>(L23*($E23/365))+(L24*($E24/365))</f>
        <v>0</v>
      </c>
      <c r="D86" s="8">
        <f>(M23*($E23/365))+(M24*($E24/365))</f>
        <v>37.5</v>
      </c>
      <c r="E86" s="52">
        <f t="shared" si="29"/>
        <v>100</v>
      </c>
      <c r="F86" s="12"/>
      <c r="G86" s="12">
        <v>2001</v>
      </c>
      <c r="H86" s="1001">
        <f>(O23/$R23*100*($E23/365))+(O24/$R24*100*($E24/365))</f>
        <v>63</v>
      </c>
      <c r="I86" s="1001"/>
      <c r="J86" s="1001">
        <f>(P23/$R23*100*($E23/365))+(P24/$R24*100*($E24/365))</f>
        <v>0</v>
      </c>
      <c r="K86" s="1001"/>
      <c r="L86" s="1001">
        <f>(Q23/$R23*100*($E23/365))+(Q24/$R24*100*($E24/365))</f>
        <v>37</v>
      </c>
      <c r="M86" s="1001"/>
      <c r="N86" s="1001">
        <f t="shared" si="30"/>
        <v>100</v>
      </c>
      <c r="O86" s="1001"/>
      <c r="P86" s="12"/>
      <c r="Q86" s="12"/>
      <c r="R86" s="12">
        <v>2001</v>
      </c>
      <c r="S86" s="8">
        <f>(O23*($E23/365))+(O24*($E24/365))</f>
        <v>37.799999999999997</v>
      </c>
      <c r="T86" s="8">
        <f>(P23*($E23/365))+(P24*($E24/365))</f>
        <v>0</v>
      </c>
      <c r="U86" s="8">
        <f>(Q23*($E23/365))+(Q24*($E24/365))</f>
        <v>22.2</v>
      </c>
      <c r="V86" s="12"/>
      <c r="W86" s="7">
        <f t="shared" si="31"/>
        <v>60</v>
      </c>
    </row>
    <row r="87" spans="1:23" ht="9" customHeight="1">
      <c r="A87" s="1">
        <v>2002</v>
      </c>
      <c r="B87" s="8">
        <f>(K25*($E25/365))+(K26*($E26/365))+(K27*($E27/365))</f>
        <v>56.735495568090251</v>
      </c>
      <c r="C87" s="8">
        <f>(L25*($E25/365))+(L26*($E26/365))+(L27*($E27/365))</f>
        <v>0</v>
      </c>
      <c r="D87" s="8">
        <f>(M25*($E25/365))+(M26*($E26/365))+(M27*($E27/365))</f>
        <v>37.63094278807413</v>
      </c>
      <c r="E87" s="52">
        <f t="shared" si="29"/>
        <v>94.36643835616438</v>
      </c>
      <c r="F87" s="12"/>
      <c r="G87" s="12">
        <v>2002</v>
      </c>
      <c r="H87" s="1001">
        <f>(O25/$R25*100*($E25/365))+(O26/$R26*100*($E26/365))+(O27/$R27*100*($E27/365))</f>
        <v>62.84669446098868</v>
      </c>
      <c r="I87" s="1001"/>
      <c r="J87" s="1001">
        <f>(P25/$R25*100*($E25/365))+(P26/$R26*100*($E26/365))+(P27/$R27*100*($E27/365))</f>
        <v>0</v>
      </c>
      <c r="K87" s="1001"/>
      <c r="L87" s="1001">
        <f>(Q25/$R25*100*($E25/365))+(Q26/$R26*100*($E26/365))+(Q27/$R27*100*($E27/365))</f>
        <v>37.153305539011313</v>
      </c>
      <c r="M87" s="1001"/>
      <c r="N87" s="1001">
        <f t="shared" si="30"/>
        <v>100</v>
      </c>
      <c r="O87" s="1001"/>
      <c r="P87" s="12"/>
      <c r="Q87" s="12"/>
      <c r="R87" s="12">
        <v>2002</v>
      </c>
      <c r="S87" s="8">
        <f>(O25*($E25/365))+(O26*($E26/365))+(O27*($E27/365))</f>
        <v>37.799999999999997</v>
      </c>
      <c r="T87" s="8">
        <f>(P25*($E25/365))+(P26*($E26/365))+(P27*($E27/365))</f>
        <v>0</v>
      </c>
      <c r="U87" s="8">
        <f>(Q25*($E25/365))+(Q26*($E26/365))+(Q27*($E27/365))</f>
        <v>22.35671232876712</v>
      </c>
      <c r="V87" s="12"/>
      <c r="W87" s="7">
        <f t="shared" si="31"/>
        <v>60.156712328767114</v>
      </c>
    </row>
    <row r="88" spans="1:23" ht="9" customHeight="1">
      <c r="A88" s="1">
        <v>2003</v>
      </c>
      <c r="B88" s="8">
        <f>(K28*($E28/365))+(K29*($E29/365))</f>
        <v>58.82352941176471</v>
      </c>
      <c r="C88" s="8">
        <f>(L28*($E28/365))+(L29*($E29/365))</f>
        <v>0</v>
      </c>
      <c r="D88" s="8">
        <f>(M28*($E28/365))+(M29*($E29/365))</f>
        <v>41.17647058823529</v>
      </c>
      <c r="E88" s="52">
        <f t="shared" si="29"/>
        <v>100</v>
      </c>
      <c r="F88" s="12"/>
      <c r="G88" s="12">
        <v>2003</v>
      </c>
      <c r="H88" s="1001">
        <f>(O28/$R28*100*($E28/365))+(O29/$R29*100*($E29/365))</f>
        <v>58.695652173913039</v>
      </c>
      <c r="I88" s="1001"/>
      <c r="J88" s="1001">
        <f>(P28/$R28*100*($E28/365))+(P29/$R29*100*($E29/365))</f>
        <v>0</v>
      </c>
      <c r="K88" s="1001"/>
      <c r="L88" s="1001">
        <f>(Q28/$R28*100*($E28/365))+(Q29/$R29*100*($E29/365))</f>
        <v>41.304347826086953</v>
      </c>
      <c r="M88" s="1001"/>
      <c r="N88" s="1001">
        <f t="shared" si="30"/>
        <v>100</v>
      </c>
      <c r="O88" s="1001"/>
      <c r="P88" s="12"/>
      <c r="Q88" s="12"/>
      <c r="R88" s="12">
        <v>2003</v>
      </c>
      <c r="S88" s="8">
        <f>(O28*($E28/365))+(O29*($E29/365))</f>
        <v>37.799999999999997</v>
      </c>
      <c r="T88" s="8">
        <f>(P28*($E28/365))+(P29*($E29/365))</f>
        <v>0</v>
      </c>
      <c r="U88" s="8">
        <f>(Q28*($E28/365))+(Q29*($E29/365))</f>
        <v>26.6</v>
      </c>
      <c r="V88" s="12"/>
      <c r="W88" s="7">
        <f t="shared" si="31"/>
        <v>64.400000000000006</v>
      </c>
    </row>
    <row r="89" spans="1:23" ht="9" customHeight="1">
      <c r="A89" s="1">
        <v>2004</v>
      </c>
      <c r="B89" s="8">
        <f>(K30*($E30/366))+(K31*($E31/366))+(K32*($E32/366))</f>
        <v>65.107682417229185</v>
      </c>
      <c r="C89" s="8">
        <f>(L30*($E30/366))+(L31*($E31/366))+(L32*($E32/366))</f>
        <v>1.8643522982963676</v>
      </c>
      <c r="D89" s="8">
        <f>(M30*($E30/366))+(M31*($E31/366))+(M32*($E32/366))</f>
        <v>33.027965284474448</v>
      </c>
      <c r="E89" s="52">
        <f t="shared" si="29"/>
        <v>100</v>
      </c>
      <c r="F89" s="12"/>
      <c r="G89" s="12">
        <v>2004</v>
      </c>
      <c r="H89" s="1001">
        <f>(O30/$R30*100*($E30/366))+(O31/$R31*100*($E31/366))+(O32/$R32*100*($E32/366))</f>
        <v>60.736840174416166</v>
      </c>
      <c r="I89" s="1001"/>
      <c r="J89" s="1001">
        <f>(P30/$R30*100*($E30/366))+(P31/$R31*100*($E31/366))+(P32/$R32*100*($E32/366))</f>
        <v>1.4565252330440375</v>
      </c>
      <c r="K89" s="1001"/>
      <c r="L89" s="1001">
        <f>(Q30/$R30*100*($E30/366))+(Q31/$R31*100*($E31/366))+(Q32/$R32*100*($E32/366))</f>
        <v>37.806634592539794</v>
      </c>
      <c r="M89" s="1001"/>
      <c r="N89" s="1001">
        <f t="shared" si="30"/>
        <v>100</v>
      </c>
      <c r="O89" s="1001"/>
      <c r="P89" s="12"/>
      <c r="Q89" s="12"/>
      <c r="R89" s="12">
        <v>2004</v>
      </c>
      <c r="S89" s="8">
        <f>(O30*($E30/366))+(O31*($E31/366))+(O32*($E32/366))</f>
        <v>34.804918032786887</v>
      </c>
      <c r="T89" s="8">
        <f>(P30*($E30/366))+(P31*($E31/366))+(P32*($E32/366))</f>
        <v>0.79234972677595628</v>
      </c>
      <c r="U89" s="8">
        <f>(Q30*($E30/366))+(Q31*($E31/366))+(Q32*($E32/366))</f>
        <v>21.808196721311479</v>
      </c>
      <c r="V89" s="12"/>
      <c r="W89" s="7">
        <f t="shared" si="31"/>
        <v>57.405464480874315</v>
      </c>
    </row>
    <row r="90" spans="1:23" ht="9" customHeight="1">
      <c r="A90" s="1">
        <v>2005</v>
      </c>
      <c r="B90" s="8">
        <f>(K33*($E33/365))+(K34*($E34/365))</f>
        <v>0</v>
      </c>
      <c r="C90" s="8">
        <f>(L33*($E33/365))+(L34*($E34/365))</f>
        <v>23.486435670158471</v>
      </c>
      <c r="D90" s="8">
        <f>(M33*($E33/365))+(M34*($E34/365))</f>
        <v>76.513564329841515</v>
      </c>
      <c r="E90" s="52">
        <f t="shared" si="29"/>
        <v>99.999999999999986</v>
      </c>
      <c r="F90" s="12"/>
      <c r="G90" s="12">
        <v>2005</v>
      </c>
      <c r="H90" s="1001">
        <f>(O33/$R33*100*($E33/365))+(O34/$R34*100*($E34/365))</f>
        <v>0</v>
      </c>
      <c r="I90" s="1001"/>
      <c r="J90" s="1001">
        <f>(P33/$R33*100*($E33/365))+(P34/$R34*100*($E34/365))</f>
        <v>18.382352941176471</v>
      </c>
      <c r="K90" s="1001"/>
      <c r="L90" s="1001">
        <f>(Q33/$R33*100*($E33/365))+(Q34/$R34*100*($E34/365))</f>
        <v>81.617647058823522</v>
      </c>
      <c r="M90" s="1001"/>
      <c r="N90" s="1001">
        <f t="shared" si="30"/>
        <v>100</v>
      </c>
      <c r="O90" s="1001"/>
      <c r="P90" s="12"/>
      <c r="Q90" s="12"/>
      <c r="R90" s="12">
        <v>2005</v>
      </c>
      <c r="S90" s="8">
        <f>(O33*($E33/365))+(O34*($E34/365))</f>
        <v>0</v>
      </c>
      <c r="T90" s="8">
        <f>(P33*($E33/365))+(P34*($E34/365))</f>
        <v>10</v>
      </c>
      <c r="U90" s="8">
        <f>(Q33*($E33/365))+(Q34*($E34/365))</f>
        <v>44.4</v>
      </c>
      <c r="V90" s="12"/>
      <c r="W90" s="7">
        <f t="shared" si="31"/>
        <v>54.4</v>
      </c>
    </row>
    <row r="91" spans="1:23" ht="9" customHeight="1">
      <c r="A91" s="1">
        <v>2006</v>
      </c>
      <c r="B91" s="8">
        <f>(K35*($E35/365))+(K36*($E36/365))+(K37*($E37/365))</f>
        <v>0</v>
      </c>
      <c r="C91" s="8">
        <f>(L35*($E35/365))+(L36*($E36/365))+(L37*($E37/365))</f>
        <v>22.940281135285161</v>
      </c>
      <c r="D91" s="8">
        <f>(M35*($E35/365))+(M36*($E36/365))+(M37*($E37/365))</f>
        <v>77.059718864714839</v>
      </c>
      <c r="E91" s="52">
        <f t="shared" si="29"/>
        <v>100</v>
      </c>
      <c r="F91" s="12"/>
      <c r="G91" s="12">
        <v>2006</v>
      </c>
      <c r="H91" s="1001">
        <f>(O35/$R35*100*($E35/365))+(O36/$R36*100*($E36/365))+(O37/$R37*100*($E37/365))</f>
        <v>0</v>
      </c>
      <c r="I91" s="1001"/>
      <c r="J91" s="1001">
        <f>(P35/$R35*100*($E35/365))+(P36/$R36*100*($E36/365))+(P37/$R37*100*($E37/365))</f>
        <v>18.382352941176471</v>
      </c>
      <c r="K91" s="1001"/>
      <c r="L91" s="1001">
        <f>(Q35/$R35*100*($E35/365))+(Q36/$R36*100*($E36/365))+(Q37/$R37*100*($E37/365))</f>
        <v>81.617647058823522</v>
      </c>
      <c r="M91" s="1001"/>
      <c r="N91" s="1001">
        <f t="shared" si="30"/>
        <v>100</v>
      </c>
      <c r="O91" s="1001"/>
      <c r="P91" s="12"/>
      <c r="Q91" s="12"/>
      <c r="R91" s="12">
        <v>2006</v>
      </c>
      <c r="S91" s="8">
        <f>(O35*($E35/365))+(O36*($E36/365))+(O37*($E37/365))</f>
        <v>0</v>
      </c>
      <c r="T91" s="8">
        <f>(P35*($E35/365))+(P36*($E36/365))+(P37*($E37/365))</f>
        <v>10</v>
      </c>
      <c r="U91" s="8">
        <f>(Q35*($E35/365))+(Q36*($E36/365))+(Q37*($E37/365))</f>
        <v>44.4</v>
      </c>
      <c r="V91" s="12"/>
      <c r="W91" s="7">
        <f t="shared" si="31"/>
        <v>54.4</v>
      </c>
    </row>
    <row r="92" spans="1:23" ht="9" customHeight="1">
      <c r="A92" s="1">
        <v>2007</v>
      </c>
      <c r="B92" s="8">
        <f>(K38*($E38/365))+(K39*($E39/365))</f>
        <v>0</v>
      </c>
      <c r="C92" s="8">
        <f>(L38*($E38/365))+(L39*($E39/365))</f>
        <v>17.647058823529413</v>
      </c>
      <c r="D92" s="8">
        <f>(M38*($E38/365))+(M39*($E39/365))</f>
        <v>82.35294117647058</v>
      </c>
      <c r="E92" s="52">
        <f t="shared" si="29"/>
        <v>100</v>
      </c>
      <c r="F92" s="12"/>
      <c r="G92" s="12">
        <v>2007</v>
      </c>
      <c r="H92" s="1001">
        <f>(O38/$R38*100*($E38/365))+(O39/$R39*100*($E39/365))</f>
        <v>0</v>
      </c>
      <c r="I92" s="1001"/>
      <c r="J92" s="1001">
        <f>(P38/$R38*100*($E38/365))+(P39/$R39*100*($E39/365))</f>
        <v>18.382352941176471</v>
      </c>
      <c r="K92" s="1001"/>
      <c r="L92" s="1001">
        <f>(Q38/$R38*100*($E38/365))+(Q39/$R39*100*($E39/365))</f>
        <v>81.617647058823522</v>
      </c>
      <c r="M92" s="1001"/>
      <c r="N92" s="1001">
        <f t="shared" si="30"/>
        <v>100</v>
      </c>
      <c r="O92" s="1001"/>
      <c r="P92" s="12"/>
      <c r="Q92" s="12"/>
      <c r="R92" s="12">
        <v>2007</v>
      </c>
      <c r="S92" s="8">
        <f>(O38*($E38/365))+(O39*($E39/365))</f>
        <v>0</v>
      </c>
      <c r="T92" s="8">
        <f>(P38*($E38/365))+(P39*($E39/365))</f>
        <v>10</v>
      </c>
      <c r="U92" s="8">
        <f>(Q38*($E38/365))+(Q39*($E39/365))</f>
        <v>44.4</v>
      </c>
      <c r="V92" s="12"/>
      <c r="W92" s="7">
        <f t="shared" si="31"/>
        <v>54.4</v>
      </c>
    </row>
    <row r="93" spans="1:23" ht="9" customHeight="1">
      <c r="A93" s="1">
        <v>2008</v>
      </c>
      <c r="B93" s="8">
        <f>(K40*($E40/366))+(K41*($E41/366))</f>
        <v>3.5375323554788611</v>
      </c>
      <c r="C93" s="8">
        <f>(L40*($E40/366))+(L41*($E41/366))</f>
        <v>15.670202507232402</v>
      </c>
      <c r="D93" s="8">
        <f>(M40*($E40/366))+(M41*($E41/366))</f>
        <v>80.792265137288723</v>
      </c>
      <c r="E93" s="52">
        <f t="shared" si="29"/>
        <v>99.999999999999986</v>
      </c>
      <c r="F93" s="12"/>
      <c r="G93" s="12">
        <v>2008</v>
      </c>
      <c r="H93" s="1001">
        <f>(O40/$R40*100*($E40/366))+(O41/$R41*100*($E41/366))</f>
        <v>3.1430593230333761</v>
      </c>
      <c r="I93" s="1001"/>
      <c r="J93" s="1001">
        <f>(P40/$R40*100*($E40/366))+(P41/$R41*100*($E41/366))</f>
        <v>16.323127611700418</v>
      </c>
      <c r="K93" s="1001"/>
      <c r="L93" s="1001">
        <f>(Q40/$R40*100*($E40/366))+(Q41/$R41*100*($E41/366))</f>
        <v>80.533813065266202</v>
      </c>
      <c r="M93" s="1001"/>
      <c r="N93" s="1001">
        <f t="shared" si="30"/>
        <v>100</v>
      </c>
      <c r="O93" s="1001"/>
      <c r="P93" s="12"/>
      <c r="Q93" s="12"/>
      <c r="R93" s="12">
        <v>2008</v>
      </c>
      <c r="S93" s="8">
        <f>(O40*($E40/366))+(O41*($E41/366))</f>
        <v>1.7475409836065574</v>
      </c>
      <c r="T93" s="8">
        <f>(P40*($E40/366))+(P41*($E41/366))</f>
        <v>8.8797814207650276</v>
      </c>
      <c r="U93" s="8">
        <f>(Q40*($E40/366))+(Q41*($E41/366))</f>
        <v>43.907103825136609</v>
      </c>
      <c r="V93" s="12"/>
      <c r="W93" s="7">
        <f t="shared" si="31"/>
        <v>54.534426229508192</v>
      </c>
    </row>
    <row r="94" spans="1:23" ht="9" customHeight="1">
      <c r="A94" s="1">
        <v>2009</v>
      </c>
      <c r="B94" s="8">
        <f>(K42*($E42/365))+(K43*($E43/365))</f>
        <v>31.578947368421051</v>
      </c>
      <c r="C94" s="8">
        <f>(L42*($E42/365))+(L43*($E43/365))</f>
        <v>0</v>
      </c>
      <c r="D94" s="8">
        <f>(M42*($E42/365))+(M43*($E43/365))</f>
        <v>68.421052631578945</v>
      </c>
      <c r="E94" s="52">
        <f t="shared" si="29"/>
        <v>100</v>
      </c>
      <c r="F94" s="12"/>
      <c r="G94" s="12">
        <v>2009</v>
      </c>
      <c r="H94" s="1001">
        <f>(O42/$R42*100*($E42/365))+(O43/$R43*100*($E43/365))</f>
        <v>28.057553956834528</v>
      </c>
      <c r="I94" s="1001"/>
      <c r="J94" s="1001">
        <f>(P42/$R42*100*($E42/365))+(P43/$R43*100*($E43/365))</f>
        <v>0</v>
      </c>
      <c r="K94" s="1001"/>
      <c r="L94" s="1001">
        <f>(Q42/$R42*100*($E42/365))+(Q43/$R43*100*($E43/365))</f>
        <v>71.942446043165461</v>
      </c>
      <c r="M94" s="1001"/>
      <c r="N94" s="1001">
        <f t="shared" si="30"/>
        <v>99.999999999999986</v>
      </c>
      <c r="O94" s="1001"/>
      <c r="P94" s="12"/>
      <c r="Q94" s="12"/>
      <c r="R94" s="12">
        <v>2009</v>
      </c>
      <c r="S94" s="8">
        <f>(O42*($E42/365))+(O43*($E43/365))</f>
        <v>15.6</v>
      </c>
      <c r="T94" s="8">
        <f>(P42*($E42/365))+(P43*($E43/365))</f>
        <v>0</v>
      </c>
      <c r="U94" s="8">
        <f>(Q42*($E42/365))+(Q43*($E43/365))</f>
        <v>40</v>
      </c>
      <c r="V94" s="12"/>
      <c r="W94" s="7">
        <f t="shared" si="31"/>
        <v>55.6</v>
      </c>
    </row>
    <row r="95" spans="1:23" ht="9" customHeight="1">
      <c r="A95" s="1">
        <v>2010</v>
      </c>
      <c r="B95" s="8">
        <f>(K44*($E44/365))+(K45*($E45/365))</f>
        <v>31.578947368421051</v>
      </c>
      <c r="C95" s="8">
        <f>(L44*($E44/365))+(L45*($E45/365))</f>
        <v>0</v>
      </c>
      <c r="D95" s="8">
        <f>(M44*($E44/365))+(M45*($E45/365))</f>
        <v>68.421052631578945</v>
      </c>
      <c r="E95" s="52">
        <f t="shared" si="29"/>
        <v>100</v>
      </c>
      <c r="F95" s="12"/>
      <c r="G95" s="12">
        <v>2010</v>
      </c>
      <c r="H95" s="1001">
        <f>(O44/$R44*100*($E44/365))+(O45/$R45*100*($E45/365))</f>
        <v>28.057553956834528</v>
      </c>
      <c r="I95" s="1001"/>
      <c r="J95" s="1001">
        <f>(P44/$R44*100*($E44/365))+(P45/$R45*100*($E45/365))</f>
        <v>0</v>
      </c>
      <c r="K95" s="1001"/>
      <c r="L95" s="1001">
        <f>(Q44/$R44*100*($E44/365))+(Q45/$R45*100*($E45/365))</f>
        <v>71.942446043165461</v>
      </c>
      <c r="M95" s="1001"/>
      <c r="N95" s="1001">
        <f t="shared" si="30"/>
        <v>99.999999999999986</v>
      </c>
      <c r="O95" s="1001"/>
      <c r="P95" s="12"/>
      <c r="Q95" s="12"/>
      <c r="R95" s="12">
        <v>2010</v>
      </c>
      <c r="S95" s="8">
        <f>(O44*($E44/365))+(O45*($E45/365))</f>
        <v>15.6</v>
      </c>
      <c r="T95" s="8">
        <f>(P44*($E44/365))+(P45*($E45/365))</f>
        <v>0</v>
      </c>
      <c r="U95" s="8">
        <f>(Q44*($E44/365))+(Q45*($E45/365))</f>
        <v>40</v>
      </c>
      <c r="V95" s="12"/>
      <c r="W95" s="7">
        <f t="shared" si="31"/>
        <v>55.6</v>
      </c>
    </row>
    <row r="96" spans="1:23" ht="9" customHeight="1">
      <c r="A96" s="1">
        <v>2011</v>
      </c>
      <c r="B96" s="8">
        <f>(K46*($E46/365))+(K47*($E47/365))+(K48*($E48/365))+(K49*($E49/365))</f>
        <v>20.672640505373021</v>
      </c>
      <c r="C96" s="8">
        <f>(L46*($E46/365))+(L47*($E47/365))+(L48*($E48/365))+(L49*($E49/365))</f>
        <v>0</v>
      </c>
      <c r="D96" s="8">
        <f>(M46*($E46/365))+(M47*($E47/365))+(M48*($E48/365))+(M49*($E49/365))</f>
        <v>79.327359494626975</v>
      </c>
      <c r="E96" s="52">
        <f t="shared" si="29"/>
        <v>100</v>
      </c>
      <c r="F96" s="12"/>
      <c r="G96" s="12">
        <v>2011</v>
      </c>
      <c r="H96" s="1001">
        <f>(O46/$R46*100*($E46/365))+(O47/$R47*100*($E47/365))+(O48/$R48*100*($E48/365))+(O49/$R49*100*($E49/365))</f>
        <v>20.53653400279056</v>
      </c>
      <c r="I96" s="1001"/>
      <c r="J96" s="1001">
        <f>(P46/$R46*100*($E46/365))+(P47/$R47*100*($E47/365))+(P48/$R48*100*($E48/365))+(P49/$R49*100*($E49/365))</f>
        <v>0</v>
      </c>
      <c r="K96" s="1001"/>
      <c r="L96" s="1001">
        <f>(Q46/$R46*100*($E46/365))+(Q47/$R47*100*($E47/365))+(Q48/$R48*100*($E48/365))+(Q49/$R49*100*($E49/365))</f>
        <v>79.46346599720944</v>
      </c>
      <c r="M96" s="1001"/>
      <c r="N96" s="1001">
        <f t="shared" si="30"/>
        <v>100</v>
      </c>
      <c r="O96" s="1001"/>
      <c r="P96" s="12"/>
      <c r="Q96" s="12"/>
      <c r="R96" s="12">
        <v>2011</v>
      </c>
      <c r="S96" s="8">
        <f>(O46*($E46/365))+(O47*($E47/365))+(O48*($E48/365))+(O49*($E49/365))</f>
        <v>10.832876712328767</v>
      </c>
      <c r="T96" s="8">
        <f>(P46*($E46/365))+(P47*($E47/365))+(P48*($E48/365))+(P49*($E49/365))</f>
        <v>0</v>
      </c>
      <c r="U96" s="8">
        <f>(Q46*($E46/365))+(Q47*($E47/365))+(Q48*($E48/365))+(Q49*($E49/365))</f>
        <v>40</v>
      </c>
      <c r="V96" s="12"/>
      <c r="W96" s="7">
        <f t="shared" si="31"/>
        <v>50.832876712328769</v>
      </c>
    </row>
    <row r="97" spans="1:23" ht="9" customHeight="1">
      <c r="A97" s="1">
        <v>2012</v>
      </c>
      <c r="B97" s="8">
        <f>(K50*($E50/366))+(K51*($E51/366))</f>
        <v>14.483876778958745</v>
      </c>
      <c r="C97" s="8">
        <f>(L50*($E50/366))+(L51*($E51/366))</f>
        <v>13.703236654056326</v>
      </c>
      <c r="D97" s="8">
        <f>(M50*($E50/366))+(M51*($E51/366))</f>
        <v>71.812886566984915</v>
      </c>
      <c r="E97" s="52">
        <f t="shared" si="29"/>
        <v>99.999999999999986</v>
      </c>
      <c r="F97" s="12"/>
      <c r="G97" s="12">
        <v>2012</v>
      </c>
      <c r="H97" s="1001">
        <f>(O50/$R50*100*($E50/366))+(O51/$R51*100*($E51/366))</f>
        <v>15.599927305782643</v>
      </c>
      <c r="I97" s="1001"/>
      <c r="J97" s="1001">
        <f>(P50/$R50*100*($E50/366))+(P51/$R51*100*($E51/366))</f>
        <v>7.0487871997483982</v>
      </c>
      <c r="K97" s="1001"/>
      <c r="L97" s="1001">
        <f>(Q50/$R50*100*($E50/366))+(Q51/$R51*100*($E51/366))</f>
        <v>77.351285494468968</v>
      </c>
      <c r="M97" s="1001"/>
      <c r="N97" s="1001">
        <f t="shared" si="30"/>
        <v>100</v>
      </c>
      <c r="O97" s="1001"/>
      <c r="P97" s="12"/>
      <c r="Q97" s="12"/>
      <c r="R97" s="12">
        <v>2012</v>
      </c>
      <c r="S97" s="8">
        <f>(O50*($E50/366))+(O51*($E51/366))</f>
        <v>8.5393442622950833</v>
      </c>
      <c r="T97" s="8">
        <f>(P50*($E50/366))+(P51*($E51/366))</f>
        <v>3.9191256830601096</v>
      </c>
      <c r="U97" s="8">
        <f>(Q50*($E50/366))+(Q51*($E51/366))</f>
        <v>42.048633879781413</v>
      </c>
      <c r="V97" s="12"/>
      <c r="W97" s="7">
        <f t="shared" si="31"/>
        <v>54.507103825136603</v>
      </c>
    </row>
    <row r="98" spans="1:23" s="12" customFormat="1" ht="9" customHeight="1">
      <c r="A98" s="1">
        <v>2013</v>
      </c>
      <c r="B98" s="8">
        <f>(K52*($E52/365))+(K53*($E53/365))+(K54*($E54/365))+(K55*($E55/365))+(K56*($E56/365))</f>
        <v>18.540569020021074</v>
      </c>
      <c r="C98" s="8">
        <f>(L52*($E52/365))+(L53*($E53/365))+(L54*($E54/365))+(L55*($E55/365))+(L56*($E56/365))</f>
        <v>3.6478589903247438</v>
      </c>
      <c r="D98" s="8">
        <f>(M52*($E52/365))+(M53*($E53/365))+(M54*($E54/365))+(M55*($E55/365))+(M56*($E56/365))</f>
        <v>77.811571989654183</v>
      </c>
      <c r="E98" s="52">
        <f>B98+C98+D98</f>
        <v>100</v>
      </c>
      <c r="G98" s="12">
        <v>2013</v>
      </c>
      <c r="H98" s="1001">
        <f>(O52/$R52*100*($E52/365))+(O53/$R53*100*($E53/365))+(O54/$R54*100*($E54/365))+(O55/$R55*100*($E55/365))+(O56/$R56*100*($E56/365))</f>
        <v>12.613002622911099</v>
      </c>
      <c r="I98" s="1001"/>
      <c r="J98" s="1001">
        <f>(P52/$R52*100*($E52/365))+(P53/$R53*100*($E53/365))+(P54/$R54*100*($E54/365))+(P55/$R55*100*($E55/365))+(P56/$R56*100*($E56/365))</f>
        <v>1.9146096244849831</v>
      </c>
      <c r="K98" s="1001"/>
      <c r="L98" s="1001">
        <f>(Q52/$R52*100*($E52/365))+(Q53/$R53*100*($E53/365))+(Q54/$R54*100*($E54/365))+(Q55/$R55*100*($E55/365))+(Q56/$R56*100*($E56/365))</f>
        <v>85.472387752603936</v>
      </c>
      <c r="M98" s="1001"/>
      <c r="N98" s="1001">
        <f>H98+J98+L98</f>
        <v>100.00000000000001</v>
      </c>
      <c r="O98" s="1001"/>
      <c r="R98" s="12">
        <v>2013</v>
      </c>
      <c r="S98" s="8">
        <f>(O52*($E52/365))+(O53*($E53/365))+(O54*($E54/365))+(O55*($E55/365))+(O56*($E56/365))</f>
        <v>6.8890410958904109</v>
      </c>
      <c r="T98" s="8">
        <f>(P52*($E52/365))+(P53*($E53/365))+(P54*($E54/365))+(P55*($E55/365))+(P56*($E56/365))</f>
        <v>0.94027397260273982</v>
      </c>
      <c r="U98" s="8">
        <f>(Q52*($E52/365))+(Q53*($E53/365))+(Q54*($E54/365))+(Q55*($E55/365))+(Q56*($E56/365))</f>
        <v>45.618082191780822</v>
      </c>
      <c r="W98" s="7">
        <f>S98+T98+U98</f>
        <v>53.447397260273974</v>
      </c>
    </row>
    <row r="99" spans="1:23" s="12" customFormat="1" ht="9" customHeight="1">
      <c r="A99" s="1">
        <v>2014</v>
      </c>
      <c r="B99" s="667">
        <f>(K57*($E57/365))+(K58*($E58/365))+(K59*($E59/365))</f>
        <v>40.104134382941794</v>
      </c>
      <c r="C99" s="667">
        <f>(L57*($E57/365))+(L58*($E58/365))+(L59*($E59/365))</f>
        <v>0</v>
      </c>
      <c r="D99" s="667">
        <f>(M57*($E57/365))+(M58*($E58/365))+(M59*($E59/365))</f>
        <v>59.895865617058199</v>
      </c>
      <c r="E99" s="52">
        <f>B99+C99+D99</f>
        <v>100</v>
      </c>
      <c r="G99" s="12">
        <v>2014</v>
      </c>
      <c r="H99" s="1001">
        <f>(O57/$R57*100*($E57/365))+(O58/$R58*100*($E58/365))+(O59/$R59*100*($E59/365))</f>
        <v>34.313649710728903</v>
      </c>
      <c r="I99" s="1001"/>
      <c r="J99" s="1001">
        <f>(P57/$R57*100*($E57/365))+(P58/$R58*100*($E58/365))+(P59/$R59*100*($E59/365))</f>
        <v>0</v>
      </c>
      <c r="K99" s="1001"/>
      <c r="L99" s="1001">
        <f>(Q57/$R57*100*($E57/365))+(Q58/$R58*100*($E58/365))+(Q59/$R59*100*($E59/365))</f>
        <v>65.68635028927109</v>
      </c>
      <c r="M99" s="1001"/>
      <c r="N99" s="1001">
        <f>H99+J99+L99</f>
        <v>100</v>
      </c>
      <c r="O99" s="1001"/>
      <c r="R99" s="12">
        <v>2014</v>
      </c>
      <c r="S99" s="667">
        <f>(O57*($E57/365))+(O58*($E58/365))+(O59*($E59/365))</f>
        <v>19.13095890410959</v>
      </c>
      <c r="T99" s="667">
        <f>(P57*($E57/365))+(P58*($E58/365))+(P59*($E59/365))</f>
        <v>0</v>
      </c>
      <c r="U99" s="667">
        <f>(Q57*($E57/365))+(Q58*($E58/365))+(Q59*($E59/365))</f>
        <v>35.70356164383562</v>
      </c>
      <c r="W99" s="673">
        <f>S99+T99+U99</f>
        <v>54.83452054794521</v>
      </c>
    </row>
    <row r="100" spans="1:23" s="12" customFormat="1" ht="9" customHeight="1">
      <c r="A100" s="756">
        <v>2015</v>
      </c>
      <c r="B100" s="750">
        <f>(K60*($E60/365))+(K61*($E61/365))</f>
        <v>58.82352941176471</v>
      </c>
      <c r="C100" s="750">
        <f>(L60*($E60/365))+(L61*($E61/365))</f>
        <v>0</v>
      </c>
      <c r="D100" s="750">
        <f>(M60*($E60/365))+(M61*($E61/365))</f>
        <v>41.17647058823529</v>
      </c>
      <c r="E100" s="52">
        <f>B100+C100+D100</f>
        <v>100</v>
      </c>
      <c r="G100" s="12">
        <v>2015</v>
      </c>
      <c r="H100" s="1001">
        <f>(O60/$R60*100*($E60/365))+(O61/$R61*100*($E61/365))</f>
        <v>69.20415224913495</v>
      </c>
      <c r="I100" s="1001"/>
      <c r="J100" s="1001">
        <f>(P60/$R60*100*($E60/365))+(P61/$R61*100*($E61/365))</f>
        <v>0</v>
      </c>
      <c r="K100" s="1001"/>
      <c r="L100" s="1001">
        <f>(Q60/$R60*100*($E60/365))+(Q61/$R61*100*($E61/365))</f>
        <v>30.79584775086505</v>
      </c>
      <c r="M100" s="1001"/>
      <c r="N100" s="1001">
        <f>H100+J100+L100</f>
        <v>100</v>
      </c>
      <c r="O100" s="1001"/>
      <c r="R100" s="12">
        <v>2015</v>
      </c>
      <c r="S100" s="750">
        <f>(O60*($E60/365))+(O61*($E61/365))</f>
        <v>40</v>
      </c>
      <c r="T100" s="750">
        <f>(P60*($E60/365))+(P61*($E61/365))</f>
        <v>0</v>
      </c>
      <c r="U100" s="750">
        <f>(Q60*($E60/365))+(Q61*($E61/365))</f>
        <v>17.8</v>
      </c>
      <c r="W100" s="753">
        <f>S100+T100+U100</f>
        <v>57.8</v>
      </c>
    </row>
    <row r="101" spans="1:23" s="12" customFormat="1" ht="9" customHeight="1">
      <c r="A101" s="853">
        <v>2016</v>
      </c>
      <c r="B101" s="850">
        <f>(K62*($E62/366))+(K63*($E63/366))</f>
        <v>58.82352941176471</v>
      </c>
      <c r="C101" s="850">
        <f>(L62*($E62/366))+(L63*($E63/366))</f>
        <v>0</v>
      </c>
      <c r="D101" s="850">
        <f>(M62*($E62/366))+(M63*($E63/366))</f>
        <v>41.17647058823529</v>
      </c>
      <c r="E101" s="52">
        <f t="shared" ref="E101" si="32">B101+C101+D101</f>
        <v>100</v>
      </c>
      <c r="G101" s="12">
        <v>2016</v>
      </c>
      <c r="H101" s="1001">
        <f>(O62/$R62*100*($E62/366))+(O63/$R63*100*($E63/366))</f>
        <v>69.20415224913495</v>
      </c>
      <c r="I101" s="1001"/>
      <c r="J101" s="1001">
        <f>(P62/$R62*100*($E62/366))+(P63/$R63*100*($E63/366))</f>
        <v>0</v>
      </c>
      <c r="K101" s="1001"/>
      <c r="L101" s="1001">
        <f>(Q62/$R62*100*($E62/366))+(Q63/$R63*100*($E63/366))</f>
        <v>30.79584775086505</v>
      </c>
      <c r="M101" s="1001"/>
      <c r="N101" s="1001">
        <f t="shared" ref="N101" si="33">H101+J101+L101</f>
        <v>100</v>
      </c>
      <c r="O101" s="1001"/>
      <c r="R101" s="12">
        <v>2016</v>
      </c>
      <c r="S101" s="850">
        <f>(O62*($E62/366))+(O63*($E63/366))</f>
        <v>40</v>
      </c>
      <c r="T101" s="850">
        <f>(P62*($E62/366))+(P63*($E63/366))</f>
        <v>0</v>
      </c>
      <c r="U101" s="850">
        <f>(Q62*($E62/366))+(Q63*($E63/366))</f>
        <v>17.8</v>
      </c>
      <c r="W101" s="852">
        <f t="shared" ref="W101" si="34">S101+T101+U101</f>
        <v>57.8</v>
      </c>
    </row>
    <row r="102" spans="1:23" s="674" customFormat="1">
      <c r="A102" s="920">
        <v>2017</v>
      </c>
      <c r="B102" s="915">
        <f>(K64*($E64/365))+(K65*($E65/365))</f>
        <v>58.82352941176471</v>
      </c>
      <c r="C102" s="915">
        <f t="shared" ref="C102:D102" si="35">(L64*($E64/365))+(L65*($E65/365))</f>
        <v>0</v>
      </c>
      <c r="D102" s="915">
        <f t="shared" si="35"/>
        <v>41.17647058823529</v>
      </c>
      <c r="E102" s="52">
        <f t="shared" ref="E102" si="36">B102+C102+D102</f>
        <v>100</v>
      </c>
      <c r="F102" s="12"/>
      <c r="G102" s="12">
        <v>2017</v>
      </c>
      <c r="H102" s="1001">
        <f>(O64/$R64*100*($E64/365))+(O65/$R65*100*($E65/365))</f>
        <v>69.20415224913495</v>
      </c>
      <c r="I102" s="1001"/>
      <c r="J102" s="1001">
        <f>(P64/$R64*100*($E64/365))+(P65/$R65*100*($E65/365))</f>
        <v>0</v>
      </c>
      <c r="K102" s="1001"/>
      <c r="L102" s="1001">
        <f>(Q64/$R64*100*($E64/365))+(Q65/$R65*100*($E65/365))</f>
        <v>30.79584775086505</v>
      </c>
      <c r="M102" s="1001"/>
      <c r="N102" s="1001">
        <f t="shared" ref="N102" si="37">H102+J102+L102</f>
        <v>100</v>
      </c>
      <c r="O102" s="1001"/>
      <c r="P102" s="12"/>
      <c r="Q102" s="12"/>
      <c r="R102" s="12">
        <v>2017</v>
      </c>
      <c r="S102" s="915">
        <f>(O64*($E64/365))+(O65*($E65/365))</f>
        <v>40</v>
      </c>
      <c r="T102" s="915">
        <f t="shared" ref="T102:U102" si="38">(P64*($E64/365))+(P65*($E65/365))</f>
        <v>0</v>
      </c>
      <c r="U102" s="915">
        <f t="shared" si="38"/>
        <v>17.8</v>
      </c>
      <c r="V102" s="12"/>
      <c r="W102" s="917">
        <f t="shared" ref="W102" si="39">S102+T102+U102</f>
        <v>57.8</v>
      </c>
    </row>
    <row r="103" spans="1:23" s="674" customFormat="1">
      <c r="A103" s="950">
        <v>2018</v>
      </c>
      <c r="B103" s="947">
        <f>(K66*($E66/365))+(K67*($E67/365))</f>
        <v>53.505237711522966</v>
      </c>
      <c r="C103" s="947">
        <f>(L66*($E66/365))+(L67*($E67/365))</f>
        <v>8.8638195004029008</v>
      </c>
      <c r="D103" s="947">
        <f>(M66*($E66/365))+(M67*($E67/365))</f>
        <v>37.630942788074137</v>
      </c>
      <c r="E103" s="52">
        <f t="shared" ref="E103" si="40">B103+C103+D103</f>
        <v>100</v>
      </c>
      <c r="F103" s="12"/>
      <c r="G103" s="12">
        <v>2018</v>
      </c>
      <c r="H103" s="1001">
        <f>(O66/$R66*100*($E66/365))+(O67/$R67*100*($E67/365))</f>
        <v>58.877137144764482</v>
      </c>
      <c r="I103" s="1001"/>
      <c r="J103" s="1001">
        <f>(P66/$R66*100*($E66/365))+(P67/$R67*100*($E67/365))</f>
        <v>9.078924743508912</v>
      </c>
      <c r="K103" s="1001"/>
      <c r="L103" s="1001">
        <f>(Q66/$R66*100*($E66/365))+(Q67/$R67*100*($E67/365))</f>
        <v>32.043938111726604</v>
      </c>
      <c r="M103" s="1001"/>
      <c r="N103" s="1001">
        <f t="shared" ref="N103" si="41">H103+J103+L103</f>
        <v>100</v>
      </c>
      <c r="O103" s="1001"/>
      <c r="P103" s="12"/>
      <c r="Q103" s="12"/>
      <c r="R103" s="12">
        <v>2018</v>
      </c>
      <c r="S103" s="947">
        <f>(O66*($E66/365))+(O67*($E67/365))</f>
        <v>32.978082191780821</v>
      </c>
      <c r="T103" s="947">
        <f>(P66*($E66/365))+(P67*($E67/365))</f>
        <v>4.3397260273972602</v>
      </c>
      <c r="U103" s="947">
        <f>(Q66*($E66/365))+(Q67*($E67/365))</f>
        <v>17.468493150684932</v>
      </c>
      <c r="V103" s="12"/>
      <c r="W103" s="949">
        <f t="shared" ref="W103" si="42">S103+T103+U103</f>
        <v>54.786301369863011</v>
      </c>
    </row>
    <row r="104" spans="1:23" s="674" customFormat="1"/>
    <row r="105" spans="1:23" s="674" customFormat="1"/>
    <row r="106" spans="1:23" s="674" customFormat="1"/>
    <row r="107" spans="1:23" s="674" customFormat="1">
      <c r="A107" s="1"/>
      <c r="B107" s="1"/>
      <c r="C107" s="1"/>
      <c r="D107" s="1"/>
      <c r="E107" s="1"/>
      <c r="F107" s="1"/>
      <c r="G107" s="1"/>
      <c r="H107" s="1"/>
      <c r="I107" s="1"/>
      <c r="J107" s="1"/>
      <c r="K107" s="1"/>
      <c r="L107" s="1"/>
      <c r="M107" s="1"/>
      <c r="N107" s="1"/>
      <c r="O107" s="1"/>
      <c r="P107" s="1"/>
      <c r="Q107" s="1"/>
      <c r="R107" s="1"/>
      <c r="S107" s="1"/>
      <c r="T107" s="1"/>
      <c r="U107" s="1"/>
      <c r="V107" s="1"/>
      <c r="W107" s="1"/>
    </row>
    <row r="108" spans="1:23" s="674" customFormat="1">
      <c r="A108" s="1"/>
      <c r="B108" s="1"/>
      <c r="C108" s="1"/>
      <c r="D108" s="1"/>
      <c r="E108" s="1"/>
      <c r="F108" s="1"/>
      <c r="G108" s="1"/>
      <c r="H108" s="1"/>
      <c r="I108" s="1"/>
      <c r="J108" s="1"/>
      <c r="K108" s="1"/>
      <c r="L108" s="1"/>
      <c r="M108" s="1"/>
      <c r="N108" s="1"/>
      <c r="O108" s="1"/>
      <c r="P108" s="1"/>
      <c r="Q108" s="1"/>
      <c r="R108" s="1"/>
      <c r="S108" s="1"/>
      <c r="T108" s="1"/>
      <c r="U108" s="1"/>
      <c r="V108" s="1"/>
      <c r="W108" s="1"/>
    </row>
  </sheetData>
  <mergeCells count="204">
    <mergeCell ref="H103:I103"/>
    <mergeCell ref="J103:K103"/>
    <mergeCell ref="L103:M103"/>
    <mergeCell ref="N103:O103"/>
    <mergeCell ref="N82:O82"/>
    <mergeCell ref="N79:O79"/>
    <mergeCell ref="N80:O80"/>
    <mergeCell ref="N89:O89"/>
    <mergeCell ref="N90:O90"/>
    <mergeCell ref="N87:O87"/>
    <mergeCell ref="N97:O97"/>
    <mergeCell ref="H89:I89"/>
    <mergeCell ref="H90:I90"/>
    <mergeCell ref="H91:I91"/>
    <mergeCell ref="H92:I92"/>
    <mergeCell ref="H93:I93"/>
    <mergeCell ref="H94:I94"/>
    <mergeCell ref="H95:I95"/>
    <mergeCell ref="L97:M97"/>
    <mergeCell ref="L91:M91"/>
    <mergeCell ref="L92:M92"/>
    <mergeCell ref="L93:M93"/>
    <mergeCell ref="L94:M94"/>
    <mergeCell ref="L95:M95"/>
    <mergeCell ref="N78:O78"/>
    <mergeCell ref="L78:M78"/>
    <mergeCell ref="H75:I75"/>
    <mergeCell ref="N88:O88"/>
    <mergeCell ref="N85:O85"/>
    <mergeCell ref="N86:O86"/>
    <mergeCell ref="L84:M84"/>
    <mergeCell ref="J78:K78"/>
    <mergeCell ref="J79:K79"/>
    <mergeCell ref="J80:K80"/>
    <mergeCell ref="J81:K81"/>
    <mergeCell ref="J82:K82"/>
    <mergeCell ref="J83:K83"/>
    <mergeCell ref="J84:K84"/>
    <mergeCell ref="J85:K85"/>
    <mergeCell ref="H85:I85"/>
    <mergeCell ref="H86:I86"/>
    <mergeCell ref="H87:I87"/>
    <mergeCell ref="H88:I88"/>
    <mergeCell ref="H78:I78"/>
    <mergeCell ref="H79:I79"/>
    <mergeCell ref="H80:I80"/>
    <mergeCell ref="H81:I81"/>
    <mergeCell ref="H82:I82"/>
    <mergeCell ref="AT4:AW4"/>
    <mergeCell ref="AX4:BA4"/>
    <mergeCell ref="H98:I98"/>
    <mergeCell ref="J98:K98"/>
    <mergeCell ref="L98:M98"/>
    <mergeCell ref="N98:O98"/>
    <mergeCell ref="AP4:AS4"/>
    <mergeCell ref="S4:S5"/>
    <mergeCell ref="T4:T5"/>
    <mergeCell ref="U4:U5"/>
    <mergeCell ref="V4:Y4"/>
    <mergeCell ref="AH4:AK4"/>
    <mergeCell ref="AD4:AG4"/>
    <mergeCell ref="AL4:AO4"/>
    <mergeCell ref="Z4:AC4"/>
    <mergeCell ref="N83:O83"/>
    <mergeCell ref="N84:O84"/>
    <mergeCell ref="N81:O81"/>
    <mergeCell ref="N95:O95"/>
    <mergeCell ref="N96:O96"/>
    <mergeCell ref="N93:O93"/>
    <mergeCell ref="N94:O94"/>
    <mergeCell ref="N91:O91"/>
    <mergeCell ref="N92:O92"/>
    <mergeCell ref="G3:M3"/>
    <mergeCell ref="O3:Q3"/>
    <mergeCell ref="N75:O75"/>
    <mergeCell ref="H77:I77"/>
    <mergeCell ref="J75:K75"/>
    <mergeCell ref="J76:K76"/>
    <mergeCell ref="J77:K77"/>
    <mergeCell ref="L75:M75"/>
    <mergeCell ref="N76:O76"/>
    <mergeCell ref="N77:O77"/>
    <mergeCell ref="O4:R4"/>
    <mergeCell ref="H74:I74"/>
    <mergeCell ref="J74:K74"/>
    <mergeCell ref="L74:M74"/>
    <mergeCell ref="N74:O74"/>
    <mergeCell ref="H76:I76"/>
    <mergeCell ref="L77:M77"/>
    <mergeCell ref="R72:W72"/>
    <mergeCell ref="A4:A5"/>
    <mergeCell ref="B4:B5"/>
    <mergeCell ref="C4:D5"/>
    <mergeCell ref="E4:E5"/>
    <mergeCell ref="F4:F5"/>
    <mergeCell ref="L76:M76"/>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36:D36"/>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46:D46"/>
    <mergeCell ref="C47:D47"/>
    <mergeCell ref="H83:I83"/>
    <mergeCell ref="H84:I84"/>
    <mergeCell ref="C62:D62"/>
    <mergeCell ref="C63:D63"/>
    <mergeCell ref="C64:D64"/>
    <mergeCell ref="C65:D65"/>
    <mergeCell ref="C60:D60"/>
    <mergeCell ref="C61:D61"/>
    <mergeCell ref="C66:D66"/>
    <mergeCell ref="C67:D67"/>
    <mergeCell ref="L96:M96"/>
    <mergeCell ref="L85:M85"/>
    <mergeCell ref="L79:M79"/>
    <mergeCell ref="L86:M86"/>
    <mergeCell ref="L87:M87"/>
    <mergeCell ref="L88:M88"/>
    <mergeCell ref="L89:M89"/>
    <mergeCell ref="L90:M90"/>
    <mergeCell ref="L80:M80"/>
    <mergeCell ref="L83:M83"/>
    <mergeCell ref="L81:M81"/>
    <mergeCell ref="L82:M82"/>
    <mergeCell ref="J97:K97"/>
    <mergeCell ref="H102:I102"/>
    <mergeCell ref="J102:K102"/>
    <mergeCell ref="J86:K86"/>
    <mergeCell ref="J87:K87"/>
    <mergeCell ref="J88:K88"/>
    <mergeCell ref="J89:K89"/>
    <mergeCell ref="J90:K90"/>
    <mergeCell ref="J91:K91"/>
    <mergeCell ref="J92:K92"/>
    <mergeCell ref="J93:K93"/>
    <mergeCell ref="J94:K94"/>
    <mergeCell ref="J96:K96"/>
    <mergeCell ref="J95:K95"/>
    <mergeCell ref="H96:I96"/>
    <mergeCell ref="H97:I97"/>
    <mergeCell ref="L102:M102"/>
    <mergeCell ref="N102:O102"/>
    <mergeCell ref="N100:O100"/>
    <mergeCell ref="H99:I99"/>
    <mergeCell ref="J99:K99"/>
    <mergeCell ref="L99:M99"/>
    <mergeCell ref="N99:O99"/>
    <mergeCell ref="H100:I100"/>
    <mergeCell ref="J100:K100"/>
    <mergeCell ref="L100:M100"/>
    <mergeCell ref="H101:I101"/>
    <mergeCell ref="J101:K101"/>
    <mergeCell ref="L101:M101"/>
    <mergeCell ref="N101:O10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A155"/>
  <sheetViews>
    <sheetView zoomScale="120" zoomScaleNormal="120" workbookViewId="0">
      <pane xSplit="1" ySplit="5" topLeftCell="B73" activePane="bottomRight" state="frozen"/>
      <selection pane="topRight" activeCell="B1" sqref="B1"/>
      <selection pane="bottomLeft" activeCell="A6" sqref="A6"/>
      <selection pane="bottomRight" activeCell="W155" sqref="W155"/>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67</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08" customFormat="1">
      <c r="A6" s="102">
        <v>1977</v>
      </c>
      <c r="B6" s="207"/>
      <c r="C6" s="1040" t="s">
        <v>1277</v>
      </c>
      <c r="D6" s="1040"/>
      <c r="E6" s="208">
        <v>185</v>
      </c>
      <c r="G6" s="123"/>
      <c r="J6" s="134"/>
      <c r="K6" s="92"/>
      <c r="L6" s="92"/>
      <c r="M6" s="92"/>
      <c r="N6" s="125"/>
      <c r="O6" s="91"/>
      <c r="P6" s="92"/>
      <c r="Q6" s="92"/>
      <c r="R6" s="93"/>
      <c r="T6" s="81"/>
      <c r="V6" s="82"/>
      <c r="Y6" s="83"/>
      <c r="AD6" s="82"/>
      <c r="AG6" s="83"/>
      <c r="AL6" s="82"/>
      <c r="AO6" s="83"/>
      <c r="AP6" s="82"/>
      <c r="AS6" s="83"/>
      <c r="AW6" s="83"/>
      <c r="BA6" s="84"/>
    </row>
    <row r="7" spans="1:53" s="334" customFormat="1">
      <c r="A7" s="386">
        <v>1977</v>
      </c>
      <c r="B7" s="355">
        <v>28311</v>
      </c>
      <c r="C7" s="992" t="s">
        <v>848</v>
      </c>
      <c r="D7" s="992"/>
      <c r="E7" s="334">
        <f>365-E6</f>
        <v>180</v>
      </c>
      <c r="F7" s="334" t="s">
        <v>345</v>
      </c>
      <c r="G7" s="419"/>
      <c r="H7" s="334">
        <v>19</v>
      </c>
      <c r="J7" s="435">
        <v>20</v>
      </c>
      <c r="K7" s="384">
        <f>G7/$J7*100</f>
        <v>0</v>
      </c>
      <c r="L7" s="384">
        <f>H7/$J7*100</f>
        <v>95</v>
      </c>
      <c r="M7" s="384">
        <f>I7/$J7*100</f>
        <v>0</v>
      </c>
      <c r="N7" s="421">
        <f>K7+L7+M7</f>
        <v>95</v>
      </c>
      <c r="O7" s="383"/>
      <c r="P7" s="384">
        <v>47.1</v>
      </c>
      <c r="Q7" s="384"/>
      <c r="R7" s="385">
        <f>O7+P7+Q7</f>
        <v>47.1</v>
      </c>
      <c r="S7" s="334">
        <v>4</v>
      </c>
      <c r="T7" s="342">
        <v>28291</v>
      </c>
      <c r="U7" s="355">
        <v>28311</v>
      </c>
      <c r="V7" s="343" t="s">
        <v>484</v>
      </c>
      <c r="W7" s="334" t="s">
        <v>74</v>
      </c>
      <c r="X7" s="334" t="s">
        <v>18</v>
      </c>
      <c r="Y7" s="344">
        <v>47.1</v>
      </c>
      <c r="AD7" s="343"/>
      <c r="AG7" s="344"/>
      <c r="AL7" s="343"/>
      <c r="AO7" s="344"/>
      <c r="AP7" s="343"/>
      <c r="AS7" s="344"/>
      <c r="AW7" s="344"/>
      <c r="BA7" s="345"/>
    </row>
    <row r="8" spans="1:53" s="334" customFormat="1">
      <c r="A8" s="386">
        <v>1978</v>
      </c>
      <c r="B8" s="355"/>
      <c r="C8" s="992" t="s">
        <v>848</v>
      </c>
      <c r="D8" s="992"/>
      <c r="E8" s="334">
        <v>0</v>
      </c>
      <c r="G8" s="419"/>
      <c r="H8" s="334">
        <v>19</v>
      </c>
      <c r="J8" s="435">
        <v>20</v>
      </c>
      <c r="K8" s="384">
        <f t="shared" ref="K8:M23" si="0">G8/$J8*100</f>
        <v>0</v>
      </c>
      <c r="L8" s="384">
        <f t="shared" si="0"/>
        <v>95</v>
      </c>
      <c r="M8" s="384">
        <f t="shared" si="0"/>
        <v>0</v>
      </c>
      <c r="N8" s="421">
        <f t="shared" ref="N8:N71" si="1">K8+L8+M8</f>
        <v>95</v>
      </c>
      <c r="O8" s="383"/>
      <c r="P8" s="384">
        <v>47.1</v>
      </c>
      <c r="Q8" s="384"/>
      <c r="R8" s="385">
        <f t="shared" ref="R8:R71" si="2">O8+P8+Q8</f>
        <v>47.1</v>
      </c>
      <c r="S8" s="334">
        <v>4</v>
      </c>
      <c r="T8" s="357"/>
      <c r="V8" s="343" t="s">
        <v>484</v>
      </c>
      <c r="W8" s="334" t="s">
        <v>74</v>
      </c>
      <c r="X8" s="334" t="s">
        <v>18</v>
      </c>
      <c r="Y8" s="344">
        <v>47.1</v>
      </c>
      <c r="AD8" s="343"/>
      <c r="AG8" s="344"/>
      <c r="AL8" s="343"/>
      <c r="AO8" s="344"/>
      <c r="AP8" s="343"/>
      <c r="AS8" s="344"/>
      <c r="AW8" s="344"/>
      <c r="BA8" s="345"/>
    </row>
    <row r="9" spans="1:53" s="334" customFormat="1">
      <c r="A9" s="386">
        <v>1978</v>
      </c>
      <c r="B9" s="355"/>
      <c r="C9" s="992" t="s">
        <v>848</v>
      </c>
      <c r="D9" s="992"/>
      <c r="E9" s="334">
        <v>365</v>
      </c>
      <c r="G9" s="419"/>
      <c r="H9" s="334">
        <v>19</v>
      </c>
      <c r="J9" s="435">
        <v>20</v>
      </c>
      <c r="K9" s="384">
        <f t="shared" si="0"/>
        <v>0</v>
      </c>
      <c r="L9" s="384">
        <f t="shared" si="0"/>
        <v>95</v>
      </c>
      <c r="M9" s="384">
        <f t="shared" si="0"/>
        <v>0</v>
      </c>
      <c r="N9" s="421">
        <f t="shared" si="1"/>
        <v>95</v>
      </c>
      <c r="O9" s="383"/>
      <c r="P9" s="384">
        <v>47.1</v>
      </c>
      <c r="Q9" s="384"/>
      <c r="R9" s="385">
        <f t="shared" si="2"/>
        <v>47.1</v>
      </c>
      <c r="S9" s="334">
        <v>4</v>
      </c>
      <c r="T9" s="357"/>
      <c r="V9" s="343" t="s">
        <v>484</v>
      </c>
      <c r="W9" s="334" t="s">
        <v>74</v>
      </c>
      <c r="X9" s="334" t="s">
        <v>18</v>
      </c>
      <c r="Y9" s="344">
        <v>47.1</v>
      </c>
      <c r="AD9" s="343"/>
      <c r="AG9" s="344"/>
      <c r="AL9" s="343"/>
      <c r="AO9" s="344"/>
      <c r="AP9" s="343"/>
      <c r="AS9" s="344"/>
      <c r="AW9" s="344"/>
      <c r="BA9" s="345"/>
    </row>
    <row r="10" spans="1:53" s="334" customFormat="1">
      <c r="A10" s="386">
        <v>1979</v>
      </c>
      <c r="B10" s="355"/>
      <c r="C10" s="992" t="s">
        <v>848</v>
      </c>
      <c r="D10" s="992"/>
      <c r="E10" s="334">
        <v>95</v>
      </c>
      <c r="G10" s="419"/>
      <c r="H10" s="334">
        <v>19</v>
      </c>
      <c r="J10" s="435">
        <v>20</v>
      </c>
      <c r="K10" s="384">
        <f t="shared" si="0"/>
        <v>0</v>
      </c>
      <c r="L10" s="384">
        <f t="shared" si="0"/>
        <v>95</v>
      </c>
      <c r="M10" s="384">
        <f t="shared" si="0"/>
        <v>0</v>
      </c>
      <c r="N10" s="421">
        <f t="shared" si="1"/>
        <v>95</v>
      </c>
      <c r="O10" s="383"/>
      <c r="P10" s="384">
        <v>47.1</v>
      </c>
      <c r="Q10" s="384"/>
      <c r="R10" s="385">
        <f t="shared" si="2"/>
        <v>47.1</v>
      </c>
      <c r="S10" s="334">
        <v>4</v>
      </c>
      <c r="T10" s="357"/>
      <c r="V10" s="343" t="s">
        <v>484</v>
      </c>
      <c r="W10" s="334" t="s">
        <v>74</v>
      </c>
      <c r="X10" s="334" t="s">
        <v>18</v>
      </c>
      <c r="Y10" s="344">
        <v>47.1</v>
      </c>
      <c r="AD10" s="343"/>
      <c r="AG10" s="344"/>
      <c r="AL10" s="343"/>
      <c r="AO10" s="344"/>
      <c r="AP10" s="343"/>
      <c r="AS10" s="344"/>
      <c r="AW10" s="344"/>
      <c r="BA10" s="345"/>
    </row>
    <row r="11" spans="1:53" s="208" customFormat="1">
      <c r="A11" s="102">
        <v>1979</v>
      </c>
      <c r="B11" s="207">
        <v>28951</v>
      </c>
      <c r="C11" s="988" t="s">
        <v>849</v>
      </c>
      <c r="D11" s="988"/>
      <c r="E11" s="208">
        <f>365-E10</f>
        <v>270</v>
      </c>
      <c r="F11" s="208">
        <v>1</v>
      </c>
      <c r="G11" s="123"/>
      <c r="H11" s="208">
        <v>22</v>
      </c>
      <c r="J11" s="134">
        <v>24</v>
      </c>
      <c r="K11" s="92">
        <f t="shared" si="0"/>
        <v>0</v>
      </c>
      <c r="L11" s="92">
        <f t="shared" si="0"/>
        <v>91.666666666666657</v>
      </c>
      <c r="M11" s="92">
        <f t="shared" si="0"/>
        <v>0</v>
      </c>
      <c r="N11" s="125">
        <f t="shared" si="1"/>
        <v>91.666666666666657</v>
      </c>
      <c r="O11" s="91"/>
      <c r="P11" s="92">
        <v>48</v>
      </c>
      <c r="Q11" s="92"/>
      <c r="R11" s="93">
        <f t="shared" si="2"/>
        <v>48</v>
      </c>
      <c r="S11" s="208">
        <v>4</v>
      </c>
      <c r="T11" s="95">
        <v>28915</v>
      </c>
      <c r="U11" s="207">
        <v>28951</v>
      </c>
      <c r="V11" s="82" t="s">
        <v>484</v>
      </c>
      <c r="W11" s="208" t="s">
        <v>74</v>
      </c>
      <c r="X11" s="208" t="s">
        <v>18</v>
      </c>
      <c r="Y11" s="83">
        <v>48</v>
      </c>
      <c r="AD11" s="82"/>
      <c r="AG11" s="83"/>
      <c r="AL11" s="82"/>
      <c r="AO11" s="83"/>
      <c r="AP11" s="82"/>
      <c r="AS11" s="83"/>
      <c r="AW11" s="83"/>
      <c r="BA11" s="84"/>
    </row>
    <row r="12" spans="1:53" s="208" customFormat="1">
      <c r="A12" s="102">
        <v>1980</v>
      </c>
      <c r="B12" s="207"/>
      <c r="C12" s="988" t="s">
        <v>849</v>
      </c>
      <c r="D12" s="988"/>
      <c r="E12" s="208">
        <v>0</v>
      </c>
      <c r="G12" s="123"/>
      <c r="H12" s="208">
        <v>22</v>
      </c>
      <c r="J12" s="134">
        <v>24</v>
      </c>
      <c r="K12" s="92">
        <f t="shared" si="0"/>
        <v>0</v>
      </c>
      <c r="L12" s="92">
        <f t="shared" si="0"/>
        <v>91.666666666666657</v>
      </c>
      <c r="M12" s="92">
        <f t="shared" si="0"/>
        <v>0</v>
      </c>
      <c r="N12" s="125">
        <f t="shared" si="1"/>
        <v>91.666666666666657</v>
      </c>
      <c r="O12" s="91"/>
      <c r="P12" s="92">
        <v>48</v>
      </c>
      <c r="Q12" s="92"/>
      <c r="R12" s="93">
        <f t="shared" si="2"/>
        <v>48</v>
      </c>
      <c r="S12" s="208">
        <v>4</v>
      </c>
      <c r="T12" s="81"/>
      <c r="V12" s="82" t="s">
        <v>484</v>
      </c>
      <c r="W12" s="208" t="s">
        <v>74</v>
      </c>
      <c r="X12" s="208" t="s">
        <v>18</v>
      </c>
      <c r="Y12" s="83">
        <v>48</v>
      </c>
      <c r="AD12" s="82"/>
      <c r="AG12" s="83"/>
      <c r="AL12" s="82"/>
      <c r="AO12" s="83"/>
      <c r="AP12" s="82"/>
      <c r="AS12" s="83"/>
      <c r="AW12" s="83"/>
      <c r="BA12" s="84"/>
    </row>
    <row r="13" spans="1:53" s="208" customFormat="1">
      <c r="A13" s="102">
        <v>1980</v>
      </c>
      <c r="B13" s="207"/>
      <c r="C13" s="988" t="s">
        <v>849</v>
      </c>
      <c r="D13" s="988"/>
      <c r="E13" s="208">
        <v>366</v>
      </c>
      <c r="G13" s="123"/>
      <c r="H13" s="208">
        <v>22</v>
      </c>
      <c r="J13" s="134">
        <v>24</v>
      </c>
      <c r="K13" s="92">
        <f t="shared" si="0"/>
        <v>0</v>
      </c>
      <c r="L13" s="92">
        <f t="shared" si="0"/>
        <v>91.666666666666657</v>
      </c>
      <c r="M13" s="92">
        <f t="shared" si="0"/>
        <v>0</v>
      </c>
      <c r="N13" s="125">
        <f t="shared" si="1"/>
        <v>91.666666666666657</v>
      </c>
      <c r="O13" s="91"/>
      <c r="P13" s="92">
        <v>48</v>
      </c>
      <c r="Q13" s="92"/>
      <c r="R13" s="93">
        <f t="shared" si="2"/>
        <v>48</v>
      </c>
      <c r="S13" s="208">
        <v>4</v>
      </c>
      <c r="T13" s="81"/>
      <c r="V13" s="82" t="s">
        <v>484</v>
      </c>
      <c r="W13" s="208" t="s">
        <v>74</v>
      </c>
      <c r="X13" s="208" t="s">
        <v>18</v>
      </c>
      <c r="Y13" s="83">
        <v>48</v>
      </c>
      <c r="AD13" s="82"/>
      <c r="AG13" s="83"/>
      <c r="AL13" s="82"/>
      <c r="AO13" s="83"/>
      <c r="AP13" s="82"/>
      <c r="AS13" s="83"/>
      <c r="AW13" s="83"/>
      <c r="BA13" s="84"/>
    </row>
    <row r="14" spans="1:53" s="208" customFormat="1">
      <c r="A14" s="102">
        <v>1981</v>
      </c>
      <c r="B14" s="207"/>
      <c r="C14" s="988" t="s">
        <v>849</v>
      </c>
      <c r="D14" s="988"/>
      <c r="E14" s="208">
        <v>57</v>
      </c>
      <c r="G14" s="123"/>
      <c r="H14" s="208">
        <v>22</v>
      </c>
      <c r="J14" s="134">
        <v>24</v>
      </c>
      <c r="K14" s="92">
        <f t="shared" si="0"/>
        <v>0</v>
      </c>
      <c r="L14" s="92">
        <f t="shared" si="0"/>
        <v>91.666666666666657</v>
      </c>
      <c r="M14" s="92">
        <f t="shared" si="0"/>
        <v>0</v>
      </c>
      <c r="N14" s="125">
        <f t="shared" si="1"/>
        <v>91.666666666666657</v>
      </c>
      <c r="O14" s="91"/>
      <c r="P14" s="92">
        <v>48</v>
      </c>
      <c r="Q14" s="92"/>
      <c r="R14" s="93">
        <f t="shared" si="2"/>
        <v>48</v>
      </c>
      <c r="S14" s="208">
        <v>4</v>
      </c>
      <c r="T14" s="81"/>
      <c r="V14" s="82" t="s">
        <v>484</v>
      </c>
      <c r="W14" s="208" t="s">
        <v>74</v>
      </c>
      <c r="X14" s="208" t="s">
        <v>18</v>
      </c>
      <c r="Y14" s="83">
        <v>48</v>
      </c>
      <c r="AD14" s="82"/>
      <c r="AG14" s="83"/>
      <c r="AL14" s="82"/>
      <c r="AO14" s="83"/>
      <c r="AP14" s="82"/>
      <c r="AS14" s="83"/>
      <c r="AW14" s="83"/>
      <c r="BA14" s="84"/>
    </row>
    <row r="15" spans="1:53" s="334" customFormat="1">
      <c r="A15" s="386">
        <v>1981</v>
      </c>
      <c r="B15" s="355">
        <v>29644</v>
      </c>
      <c r="C15" s="992" t="s">
        <v>850</v>
      </c>
      <c r="D15" s="992"/>
      <c r="E15" s="334">
        <v>308</v>
      </c>
      <c r="F15" s="334">
        <v>2</v>
      </c>
      <c r="G15" s="419"/>
      <c r="H15" s="334">
        <v>16</v>
      </c>
      <c r="J15" s="435">
        <v>16</v>
      </c>
      <c r="K15" s="384">
        <f t="shared" si="0"/>
        <v>0</v>
      </c>
      <c r="L15" s="384">
        <f t="shared" si="0"/>
        <v>100</v>
      </c>
      <c r="M15" s="384">
        <f t="shared" si="0"/>
        <v>0</v>
      </c>
      <c r="N15" s="421">
        <f t="shared" si="1"/>
        <v>100</v>
      </c>
      <c r="O15" s="383"/>
      <c r="P15" s="384">
        <v>48</v>
      </c>
      <c r="Q15" s="384"/>
      <c r="R15" s="385">
        <f t="shared" si="2"/>
        <v>48</v>
      </c>
      <c r="S15" s="334">
        <v>4</v>
      </c>
      <c r="T15" s="357"/>
      <c r="U15" s="355">
        <v>29644</v>
      </c>
      <c r="V15" s="343" t="s">
        <v>484</v>
      </c>
      <c r="W15" s="334" t="s">
        <v>74</v>
      </c>
      <c r="X15" s="334" t="s">
        <v>18</v>
      </c>
      <c r="Y15" s="344">
        <v>48</v>
      </c>
      <c r="AD15" s="343"/>
      <c r="AG15" s="344"/>
      <c r="AL15" s="343"/>
      <c r="AO15" s="344"/>
      <c r="AP15" s="343"/>
      <c r="AS15" s="344"/>
      <c r="AW15" s="344"/>
      <c r="BA15" s="345"/>
    </row>
    <row r="16" spans="1:53" s="334" customFormat="1">
      <c r="A16" s="386">
        <v>1982</v>
      </c>
      <c r="B16" s="355"/>
      <c r="C16" s="992" t="s">
        <v>850</v>
      </c>
      <c r="D16" s="992"/>
      <c r="E16" s="334">
        <v>336</v>
      </c>
      <c r="G16" s="419"/>
      <c r="H16" s="334">
        <v>16</v>
      </c>
      <c r="J16" s="435">
        <v>16</v>
      </c>
      <c r="K16" s="384">
        <f t="shared" si="0"/>
        <v>0</v>
      </c>
      <c r="L16" s="384">
        <f t="shared" si="0"/>
        <v>100</v>
      </c>
      <c r="M16" s="384">
        <f t="shared" si="0"/>
        <v>0</v>
      </c>
      <c r="N16" s="421">
        <f t="shared" si="1"/>
        <v>100</v>
      </c>
      <c r="O16" s="383"/>
      <c r="P16" s="384">
        <v>48</v>
      </c>
      <c r="Q16" s="384"/>
      <c r="R16" s="385">
        <f t="shared" si="2"/>
        <v>48</v>
      </c>
      <c r="S16" s="334">
        <v>4</v>
      </c>
      <c r="T16" s="357"/>
      <c r="V16" s="343" t="s">
        <v>484</v>
      </c>
      <c r="W16" s="334" t="s">
        <v>74</v>
      </c>
      <c r="X16" s="334" t="s">
        <v>18</v>
      </c>
      <c r="Y16" s="344">
        <v>48</v>
      </c>
      <c r="AD16" s="343"/>
      <c r="AG16" s="344"/>
      <c r="AL16" s="343"/>
      <c r="AO16" s="344"/>
      <c r="AP16" s="343"/>
      <c r="AS16" s="344"/>
      <c r="AW16" s="344"/>
      <c r="BA16" s="345"/>
    </row>
    <row r="17" spans="1:53" s="208" customFormat="1">
      <c r="A17" s="102">
        <v>1982</v>
      </c>
      <c r="B17" s="207">
        <v>30288</v>
      </c>
      <c r="C17" s="988" t="s">
        <v>851</v>
      </c>
      <c r="D17" s="988"/>
      <c r="E17" s="208">
        <f>365-E16</f>
        <v>29</v>
      </c>
      <c r="F17" s="208">
        <v>1</v>
      </c>
      <c r="G17" s="123"/>
      <c r="I17" s="208">
        <v>17</v>
      </c>
      <c r="J17" s="134">
        <v>17</v>
      </c>
      <c r="K17" s="92">
        <f t="shared" si="0"/>
        <v>0</v>
      </c>
      <c r="L17" s="92">
        <f t="shared" si="0"/>
        <v>0</v>
      </c>
      <c r="M17" s="92">
        <f t="shared" si="0"/>
        <v>100</v>
      </c>
      <c r="N17" s="125">
        <f t="shared" si="1"/>
        <v>100</v>
      </c>
      <c r="O17" s="91"/>
      <c r="P17" s="92"/>
      <c r="Q17" s="92">
        <v>57.7</v>
      </c>
      <c r="R17" s="93">
        <f t="shared" si="2"/>
        <v>57.7</v>
      </c>
      <c r="S17" s="208">
        <v>1</v>
      </c>
      <c r="T17" s="95">
        <v>30124</v>
      </c>
      <c r="U17" s="207">
        <v>30288</v>
      </c>
      <c r="V17" s="82" t="s">
        <v>485</v>
      </c>
      <c r="W17" s="208" t="s">
        <v>20</v>
      </c>
      <c r="X17" s="208" t="s">
        <v>12</v>
      </c>
      <c r="Y17" s="83">
        <v>57.7</v>
      </c>
      <c r="AD17" s="82"/>
      <c r="AG17" s="83"/>
      <c r="AL17" s="82"/>
      <c r="AO17" s="83"/>
      <c r="AP17" s="82"/>
      <c r="AS17" s="83"/>
      <c r="AW17" s="83"/>
      <c r="BA17" s="84"/>
    </row>
    <row r="18" spans="1:53" s="208" customFormat="1">
      <c r="A18" s="102">
        <v>1983</v>
      </c>
      <c r="B18" s="207"/>
      <c r="C18" s="988" t="s">
        <v>851</v>
      </c>
      <c r="D18" s="988"/>
      <c r="E18" s="208">
        <v>0</v>
      </c>
      <c r="G18" s="123"/>
      <c r="I18" s="208">
        <v>17</v>
      </c>
      <c r="J18" s="134">
        <v>17</v>
      </c>
      <c r="K18" s="92">
        <f t="shared" si="0"/>
        <v>0</v>
      </c>
      <c r="L18" s="92">
        <f t="shared" si="0"/>
        <v>0</v>
      </c>
      <c r="M18" s="92">
        <f t="shared" si="0"/>
        <v>100</v>
      </c>
      <c r="N18" s="125">
        <f t="shared" si="1"/>
        <v>100</v>
      </c>
      <c r="O18" s="91"/>
      <c r="P18" s="92"/>
      <c r="Q18" s="92">
        <v>57.7</v>
      </c>
      <c r="R18" s="93">
        <f t="shared" si="2"/>
        <v>57.7</v>
      </c>
      <c r="S18" s="208">
        <v>1</v>
      </c>
      <c r="T18" s="81"/>
      <c r="V18" s="82" t="s">
        <v>485</v>
      </c>
      <c r="W18" s="208" t="s">
        <v>20</v>
      </c>
      <c r="X18" s="208" t="s">
        <v>12</v>
      </c>
      <c r="Y18" s="83">
        <v>57.7</v>
      </c>
      <c r="AD18" s="82"/>
      <c r="AG18" s="83"/>
      <c r="AL18" s="82"/>
      <c r="AO18" s="83"/>
      <c r="AP18" s="82"/>
      <c r="AS18" s="83"/>
      <c r="AW18" s="83"/>
      <c r="BA18" s="84"/>
    </row>
    <row r="19" spans="1:53" s="208" customFormat="1">
      <c r="A19" s="102">
        <v>1983</v>
      </c>
      <c r="B19" s="207"/>
      <c r="C19" s="988" t="s">
        <v>851</v>
      </c>
      <c r="D19" s="988"/>
      <c r="E19" s="208">
        <v>365</v>
      </c>
      <c r="G19" s="123"/>
      <c r="I19" s="208">
        <v>17</v>
      </c>
      <c r="J19" s="134">
        <v>17</v>
      </c>
      <c r="K19" s="92">
        <f t="shared" si="0"/>
        <v>0</v>
      </c>
      <c r="L19" s="92">
        <f t="shared" si="0"/>
        <v>0</v>
      </c>
      <c r="M19" s="92">
        <f t="shared" si="0"/>
        <v>100</v>
      </c>
      <c r="N19" s="125">
        <f t="shared" si="1"/>
        <v>100</v>
      </c>
      <c r="O19" s="91"/>
      <c r="P19" s="92"/>
      <c r="Q19" s="92">
        <v>57.7</v>
      </c>
      <c r="R19" s="93">
        <f t="shared" si="2"/>
        <v>57.7</v>
      </c>
      <c r="S19" s="208">
        <v>1</v>
      </c>
      <c r="T19" s="81"/>
      <c r="V19" s="82" t="s">
        <v>485</v>
      </c>
      <c r="W19" s="208" t="s">
        <v>20</v>
      </c>
      <c r="X19" s="208" t="s">
        <v>12</v>
      </c>
      <c r="Y19" s="83">
        <v>57.7</v>
      </c>
      <c r="AD19" s="82"/>
      <c r="AG19" s="83"/>
      <c r="AL19" s="82"/>
      <c r="AO19" s="83"/>
      <c r="AP19" s="82"/>
      <c r="AS19" s="83"/>
      <c r="AW19" s="83"/>
      <c r="BA19" s="84"/>
    </row>
    <row r="20" spans="1:53" s="208" customFormat="1">
      <c r="A20" s="102">
        <v>1984</v>
      </c>
      <c r="B20" s="207"/>
      <c r="C20" s="988" t="s">
        <v>851</v>
      </c>
      <c r="D20" s="988"/>
      <c r="E20" s="208">
        <v>0</v>
      </c>
      <c r="G20" s="123"/>
      <c r="I20" s="208">
        <v>17</v>
      </c>
      <c r="J20" s="134">
        <v>17</v>
      </c>
      <c r="K20" s="92">
        <f t="shared" si="0"/>
        <v>0</v>
      </c>
      <c r="L20" s="92">
        <f t="shared" si="0"/>
        <v>0</v>
      </c>
      <c r="M20" s="92">
        <f t="shared" si="0"/>
        <v>100</v>
      </c>
      <c r="N20" s="125">
        <f t="shared" si="1"/>
        <v>100</v>
      </c>
      <c r="O20" s="91"/>
      <c r="P20" s="92"/>
      <c r="Q20" s="92">
        <v>57.7</v>
      </c>
      <c r="R20" s="93">
        <f t="shared" si="2"/>
        <v>57.7</v>
      </c>
      <c r="S20" s="208">
        <v>1</v>
      </c>
      <c r="T20" s="81"/>
      <c r="V20" s="82" t="s">
        <v>485</v>
      </c>
      <c r="W20" s="208" t="s">
        <v>20</v>
      </c>
      <c r="X20" s="208" t="s">
        <v>12</v>
      </c>
      <c r="Y20" s="83">
        <v>57.7</v>
      </c>
      <c r="AD20" s="82"/>
      <c r="AG20" s="83"/>
      <c r="AL20" s="82"/>
      <c r="AO20" s="83"/>
      <c r="AP20" s="82"/>
      <c r="AS20" s="83"/>
      <c r="AW20" s="83"/>
      <c r="BA20" s="84"/>
    </row>
    <row r="21" spans="1:53" s="208" customFormat="1">
      <c r="A21" s="102">
        <v>1984</v>
      </c>
      <c r="B21" s="207"/>
      <c r="C21" s="988" t="s">
        <v>851</v>
      </c>
      <c r="D21" s="988"/>
      <c r="E21" s="208">
        <v>366</v>
      </c>
      <c r="G21" s="123"/>
      <c r="I21" s="208">
        <v>17</v>
      </c>
      <c r="J21" s="134">
        <v>17</v>
      </c>
      <c r="K21" s="92">
        <f t="shared" si="0"/>
        <v>0</v>
      </c>
      <c r="L21" s="92">
        <f t="shared" si="0"/>
        <v>0</v>
      </c>
      <c r="M21" s="92">
        <f t="shared" si="0"/>
        <v>100</v>
      </c>
      <c r="N21" s="125">
        <f t="shared" si="1"/>
        <v>100</v>
      </c>
      <c r="O21" s="91"/>
      <c r="P21" s="92"/>
      <c r="Q21" s="92">
        <v>57.7</v>
      </c>
      <c r="R21" s="93">
        <f t="shared" si="2"/>
        <v>57.7</v>
      </c>
      <c r="S21" s="208">
        <v>1</v>
      </c>
      <c r="T21" s="81"/>
      <c r="V21" s="82" t="s">
        <v>485</v>
      </c>
      <c r="W21" s="208" t="s">
        <v>20</v>
      </c>
      <c r="X21" s="208" t="s">
        <v>12</v>
      </c>
      <c r="Y21" s="83">
        <v>57.7</v>
      </c>
      <c r="AD21" s="82"/>
      <c r="AG21" s="83"/>
      <c r="AL21" s="82"/>
      <c r="AO21" s="83"/>
      <c r="AP21" s="82"/>
      <c r="AS21" s="83"/>
      <c r="AW21" s="83"/>
      <c r="BA21" s="84"/>
    </row>
    <row r="22" spans="1:53" s="208" customFormat="1">
      <c r="A22" s="102">
        <v>1985</v>
      </c>
      <c r="B22" s="207"/>
      <c r="C22" s="988" t="s">
        <v>851</v>
      </c>
      <c r="D22" s="988"/>
      <c r="E22" s="208">
        <v>0</v>
      </c>
      <c r="G22" s="123"/>
      <c r="I22" s="208">
        <v>17</v>
      </c>
      <c r="J22" s="134">
        <v>17</v>
      </c>
      <c r="K22" s="92">
        <f t="shared" si="0"/>
        <v>0</v>
      </c>
      <c r="L22" s="92">
        <f t="shared" si="0"/>
        <v>0</v>
      </c>
      <c r="M22" s="92">
        <f t="shared" si="0"/>
        <v>100</v>
      </c>
      <c r="N22" s="125">
        <f t="shared" si="1"/>
        <v>100</v>
      </c>
      <c r="O22" s="91"/>
      <c r="P22" s="92"/>
      <c r="Q22" s="92">
        <v>57.7</v>
      </c>
      <c r="R22" s="93">
        <f t="shared" si="2"/>
        <v>57.7</v>
      </c>
      <c r="S22" s="208">
        <v>1</v>
      </c>
      <c r="T22" s="81"/>
      <c r="V22" s="82" t="s">
        <v>485</v>
      </c>
      <c r="W22" s="208" t="s">
        <v>20</v>
      </c>
      <c r="X22" s="208" t="s">
        <v>12</v>
      </c>
      <c r="Y22" s="83">
        <v>57.7</v>
      </c>
      <c r="AD22" s="82"/>
      <c r="AG22" s="83"/>
      <c r="AL22" s="82"/>
      <c r="AO22" s="83"/>
      <c r="AP22" s="82"/>
      <c r="AS22" s="83"/>
      <c r="AW22" s="83"/>
      <c r="BA22" s="84"/>
    </row>
    <row r="23" spans="1:53" s="208" customFormat="1">
      <c r="A23" s="102">
        <v>1985</v>
      </c>
      <c r="B23" s="207"/>
      <c r="C23" s="988" t="s">
        <v>851</v>
      </c>
      <c r="D23" s="988"/>
      <c r="E23" s="208">
        <v>365</v>
      </c>
      <c r="G23" s="123"/>
      <c r="I23" s="208">
        <v>17</v>
      </c>
      <c r="J23" s="134">
        <v>17</v>
      </c>
      <c r="K23" s="92">
        <f t="shared" si="0"/>
        <v>0</v>
      </c>
      <c r="L23" s="92">
        <f t="shared" si="0"/>
        <v>0</v>
      </c>
      <c r="M23" s="92">
        <f t="shared" si="0"/>
        <v>100</v>
      </c>
      <c r="N23" s="125">
        <f t="shared" si="1"/>
        <v>100</v>
      </c>
      <c r="O23" s="91"/>
      <c r="P23" s="92"/>
      <c r="Q23" s="92">
        <v>57.7</v>
      </c>
      <c r="R23" s="93">
        <f t="shared" si="2"/>
        <v>57.7</v>
      </c>
      <c r="S23" s="208">
        <v>1</v>
      </c>
      <c r="T23" s="81"/>
      <c r="V23" s="82" t="s">
        <v>485</v>
      </c>
      <c r="W23" s="208" t="s">
        <v>20</v>
      </c>
      <c r="X23" s="208" t="s">
        <v>12</v>
      </c>
      <c r="Y23" s="83">
        <v>57.7</v>
      </c>
      <c r="AD23" s="82"/>
      <c r="AG23" s="83"/>
      <c r="AL23" s="82"/>
      <c r="AO23" s="83"/>
      <c r="AP23" s="82"/>
      <c r="AS23" s="83"/>
      <c r="AW23" s="83"/>
      <c r="BA23" s="84"/>
    </row>
    <row r="24" spans="1:53" s="208" customFormat="1">
      <c r="A24" s="102">
        <v>1986</v>
      </c>
      <c r="B24" s="207"/>
      <c r="C24" s="988" t="s">
        <v>851</v>
      </c>
      <c r="D24" s="988"/>
      <c r="E24" s="208">
        <v>209</v>
      </c>
      <c r="G24" s="123"/>
      <c r="I24" s="208">
        <v>17</v>
      </c>
      <c r="J24" s="134">
        <v>17</v>
      </c>
      <c r="K24" s="92">
        <f t="shared" ref="K24:M79" si="3">G24/$J24*100</f>
        <v>0</v>
      </c>
      <c r="L24" s="92">
        <f t="shared" si="3"/>
        <v>0</v>
      </c>
      <c r="M24" s="92">
        <f t="shared" si="3"/>
        <v>100</v>
      </c>
      <c r="N24" s="125">
        <f t="shared" si="1"/>
        <v>100</v>
      </c>
      <c r="O24" s="91"/>
      <c r="P24" s="92"/>
      <c r="Q24" s="92">
        <v>57.7</v>
      </c>
      <c r="R24" s="93">
        <f t="shared" si="2"/>
        <v>57.7</v>
      </c>
      <c r="S24" s="208">
        <v>1</v>
      </c>
      <c r="T24" s="81"/>
      <c r="V24" s="82" t="s">
        <v>485</v>
      </c>
      <c r="W24" s="208" t="s">
        <v>20</v>
      </c>
      <c r="X24" s="208" t="s">
        <v>12</v>
      </c>
      <c r="Y24" s="83">
        <v>57.7</v>
      </c>
      <c r="AD24" s="82"/>
      <c r="AG24" s="83"/>
      <c r="AL24" s="82"/>
      <c r="AO24" s="83"/>
      <c r="AP24" s="82"/>
      <c r="AS24" s="83"/>
      <c r="AW24" s="83"/>
      <c r="BA24" s="84"/>
    </row>
    <row r="25" spans="1:53" s="334" customFormat="1">
      <c r="A25" s="386">
        <v>1986</v>
      </c>
      <c r="B25" s="355">
        <v>31619</v>
      </c>
      <c r="C25" s="992" t="s">
        <v>852</v>
      </c>
      <c r="D25" s="992"/>
      <c r="E25" s="334">
        <f>365-E24</f>
        <v>156</v>
      </c>
      <c r="F25" s="334">
        <v>1</v>
      </c>
      <c r="G25" s="419"/>
      <c r="I25" s="334">
        <v>17</v>
      </c>
      <c r="J25" s="435">
        <v>17</v>
      </c>
      <c r="K25" s="384">
        <f t="shared" si="3"/>
        <v>0</v>
      </c>
      <c r="L25" s="384">
        <f t="shared" si="3"/>
        <v>0</v>
      </c>
      <c r="M25" s="384">
        <f t="shared" si="3"/>
        <v>100</v>
      </c>
      <c r="N25" s="421">
        <f t="shared" si="1"/>
        <v>100</v>
      </c>
      <c r="O25" s="383"/>
      <c r="P25" s="384"/>
      <c r="Q25" s="384">
        <v>52.6</v>
      </c>
      <c r="R25" s="385">
        <f t="shared" si="2"/>
        <v>52.6</v>
      </c>
      <c r="S25" s="334">
        <v>1</v>
      </c>
      <c r="T25" s="342">
        <v>31585</v>
      </c>
      <c r="U25" s="355">
        <v>31619</v>
      </c>
      <c r="V25" s="343" t="s">
        <v>485</v>
      </c>
      <c r="W25" s="334" t="s">
        <v>20</v>
      </c>
      <c r="X25" s="334" t="s">
        <v>12</v>
      </c>
      <c r="Y25" s="344">
        <v>52.6</v>
      </c>
      <c r="AD25" s="343"/>
      <c r="AG25" s="344"/>
      <c r="AL25" s="343"/>
      <c r="AO25" s="344"/>
      <c r="AP25" s="343"/>
      <c r="AS25" s="344"/>
      <c r="AW25" s="344"/>
      <c r="BA25" s="345"/>
    </row>
    <row r="26" spans="1:53" s="334" customFormat="1">
      <c r="A26" s="386">
        <v>1987</v>
      </c>
      <c r="B26" s="355"/>
      <c r="C26" s="992" t="s">
        <v>852</v>
      </c>
      <c r="D26" s="992"/>
      <c r="E26" s="334">
        <v>0</v>
      </c>
      <c r="G26" s="419"/>
      <c r="I26" s="334">
        <v>17</v>
      </c>
      <c r="J26" s="435">
        <v>17</v>
      </c>
      <c r="K26" s="384">
        <f t="shared" si="3"/>
        <v>0</v>
      </c>
      <c r="L26" s="384">
        <f t="shared" si="3"/>
        <v>0</v>
      </c>
      <c r="M26" s="384">
        <f t="shared" si="3"/>
        <v>100</v>
      </c>
      <c r="N26" s="421">
        <f t="shared" si="1"/>
        <v>100</v>
      </c>
      <c r="O26" s="383"/>
      <c r="P26" s="384"/>
      <c r="Q26" s="384">
        <v>52.6</v>
      </c>
      <c r="R26" s="385">
        <f t="shared" si="2"/>
        <v>52.6</v>
      </c>
      <c r="S26" s="334">
        <v>1</v>
      </c>
      <c r="T26" s="357"/>
      <c r="V26" s="343" t="s">
        <v>485</v>
      </c>
      <c r="W26" s="334" t="s">
        <v>20</v>
      </c>
      <c r="X26" s="334" t="s">
        <v>12</v>
      </c>
      <c r="Y26" s="344">
        <v>52.6</v>
      </c>
      <c r="AD26" s="343"/>
      <c r="AG26" s="344"/>
      <c r="AL26" s="343"/>
      <c r="AO26" s="344"/>
      <c r="AP26" s="343"/>
      <c r="AS26" s="344"/>
      <c r="AW26" s="344"/>
      <c r="BA26" s="345"/>
    </row>
    <row r="27" spans="1:53" s="334" customFormat="1">
      <c r="A27" s="386">
        <v>1987</v>
      </c>
      <c r="B27" s="355"/>
      <c r="C27" s="992" t="s">
        <v>852</v>
      </c>
      <c r="D27" s="992"/>
      <c r="E27" s="334">
        <v>365</v>
      </c>
      <c r="G27" s="419"/>
      <c r="I27" s="334">
        <v>17</v>
      </c>
      <c r="J27" s="435">
        <v>17</v>
      </c>
      <c r="K27" s="384">
        <f t="shared" si="3"/>
        <v>0</v>
      </c>
      <c r="L27" s="384">
        <f t="shared" si="3"/>
        <v>0</v>
      </c>
      <c r="M27" s="384">
        <f t="shared" si="3"/>
        <v>100</v>
      </c>
      <c r="N27" s="421">
        <f t="shared" si="1"/>
        <v>100</v>
      </c>
      <c r="O27" s="383"/>
      <c r="P27" s="384"/>
      <c r="Q27" s="384">
        <v>52.6</v>
      </c>
      <c r="R27" s="385">
        <f t="shared" si="2"/>
        <v>52.6</v>
      </c>
      <c r="S27" s="334">
        <v>1</v>
      </c>
      <c r="T27" s="357"/>
      <c r="V27" s="343" t="s">
        <v>485</v>
      </c>
      <c r="W27" s="334" t="s">
        <v>20</v>
      </c>
      <c r="X27" s="334" t="s">
        <v>12</v>
      </c>
      <c r="Y27" s="344">
        <v>52.6</v>
      </c>
      <c r="AD27" s="343"/>
      <c r="AG27" s="344"/>
      <c r="AL27" s="343"/>
      <c r="AO27" s="344"/>
      <c r="AP27" s="343"/>
      <c r="AS27" s="344"/>
      <c r="AW27" s="344"/>
      <c r="BA27" s="345"/>
    </row>
    <row r="28" spans="1:53" s="334" customFormat="1">
      <c r="A28" s="386">
        <v>1988</v>
      </c>
      <c r="B28" s="355"/>
      <c r="C28" s="992" t="s">
        <v>852</v>
      </c>
      <c r="D28" s="992"/>
      <c r="E28" s="334">
        <v>0</v>
      </c>
      <c r="G28" s="419"/>
      <c r="I28" s="334">
        <v>17</v>
      </c>
      <c r="J28" s="435">
        <v>17</v>
      </c>
      <c r="K28" s="384">
        <f t="shared" si="3"/>
        <v>0</v>
      </c>
      <c r="L28" s="384">
        <f t="shared" si="3"/>
        <v>0</v>
      </c>
      <c r="M28" s="384">
        <f t="shared" si="3"/>
        <v>100</v>
      </c>
      <c r="N28" s="421">
        <f t="shared" si="1"/>
        <v>100</v>
      </c>
      <c r="O28" s="383"/>
      <c r="P28" s="384"/>
      <c r="Q28" s="384">
        <v>52.6</v>
      </c>
      <c r="R28" s="385">
        <f t="shared" si="2"/>
        <v>52.6</v>
      </c>
      <c r="S28" s="334">
        <v>1</v>
      </c>
      <c r="T28" s="357"/>
      <c r="V28" s="343" t="s">
        <v>485</v>
      </c>
      <c r="W28" s="334" t="s">
        <v>20</v>
      </c>
      <c r="X28" s="334" t="s">
        <v>12</v>
      </c>
      <c r="Y28" s="344">
        <v>52.6</v>
      </c>
      <c r="AD28" s="343"/>
      <c r="AG28" s="344"/>
      <c r="AL28" s="343"/>
      <c r="AO28" s="344"/>
      <c r="AP28" s="343"/>
      <c r="AS28" s="344"/>
      <c r="AW28" s="344"/>
      <c r="BA28" s="345"/>
    </row>
    <row r="29" spans="1:53" s="334" customFormat="1">
      <c r="A29" s="386">
        <v>1988</v>
      </c>
      <c r="B29" s="355"/>
      <c r="C29" s="992" t="s">
        <v>852</v>
      </c>
      <c r="D29" s="992"/>
      <c r="E29" s="334">
        <v>366</v>
      </c>
      <c r="G29" s="419"/>
      <c r="I29" s="334">
        <v>17</v>
      </c>
      <c r="J29" s="435">
        <v>17</v>
      </c>
      <c r="K29" s="384">
        <f t="shared" si="3"/>
        <v>0</v>
      </c>
      <c r="L29" s="384">
        <f t="shared" si="3"/>
        <v>0</v>
      </c>
      <c r="M29" s="384">
        <f t="shared" si="3"/>
        <v>100</v>
      </c>
      <c r="N29" s="421">
        <f t="shared" si="1"/>
        <v>100</v>
      </c>
      <c r="O29" s="383"/>
      <c r="P29" s="384"/>
      <c r="Q29" s="384">
        <v>52.6</v>
      </c>
      <c r="R29" s="385">
        <f t="shared" si="2"/>
        <v>52.6</v>
      </c>
      <c r="S29" s="334">
        <v>1</v>
      </c>
      <c r="T29" s="357"/>
      <c r="V29" s="343" t="s">
        <v>485</v>
      </c>
      <c r="W29" s="334" t="s">
        <v>20</v>
      </c>
      <c r="X29" s="334" t="s">
        <v>12</v>
      </c>
      <c r="Y29" s="344">
        <v>52.6</v>
      </c>
      <c r="AD29" s="343"/>
      <c r="AG29" s="344"/>
      <c r="AL29" s="343"/>
      <c r="AO29" s="344"/>
      <c r="AP29" s="343"/>
      <c r="AS29" s="344"/>
      <c r="AW29" s="344"/>
      <c r="BA29" s="345"/>
    </row>
    <row r="30" spans="1:53" s="334" customFormat="1">
      <c r="A30" s="386">
        <v>1989</v>
      </c>
      <c r="B30" s="355"/>
      <c r="C30" s="992" t="s">
        <v>852</v>
      </c>
      <c r="D30" s="992"/>
      <c r="E30" s="334">
        <v>340</v>
      </c>
      <c r="G30" s="419"/>
      <c r="I30" s="334">
        <v>17</v>
      </c>
      <c r="J30" s="435">
        <v>17</v>
      </c>
      <c r="K30" s="384">
        <f t="shared" si="3"/>
        <v>0</v>
      </c>
      <c r="L30" s="384">
        <f t="shared" si="3"/>
        <v>0</v>
      </c>
      <c r="M30" s="384">
        <f t="shared" si="3"/>
        <v>100</v>
      </c>
      <c r="N30" s="421">
        <f t="shared" si="1"/>
        <v>100</v>
      </c>
      <c r="O30" s="383"/>
      <c r="P30" s="384"/>
      <c r="Q30" s="384">
        <v>52.6</v>
      </c>
      <c r="R30" s="385">
        <f t="shared" si="2"/>
        <v>52.6</v>
      </c>
      <c r="S30" s="334">
        <v>1</v>
      </c>
      <c r="T30" s="357"/>
      <c r="V30" s="343" t="s">
        <v>485</v>
      </c>
      <c r="W30" s="334" t="s">
        <v>20</v>
      </c>
      <c r="X30" s="334" t="s">
        <v>12</v>
      </c>
      <c r="Y30" s="344">
        <v>52.6</v>
      </c>
      <c r="AD30" s="343"/>
      <c r="AG30" s="344"/>
      <c r="AL30" s="343"/>
      <c r="AO30" s="344"/>
      <c r="AP30" s="343"/>
      <c r="AS30" s="344"/>
      <c r="AW30" s="344"/>
      <c r="BA30" s="345"/>
    </row>
    <row r="31" spans="1:53" s="208" customFormat="1">
      <c r="A31" s="102">
        <v>1989</v>
      </c>
      <c r="B31" s="207">
        <v>32849</v>
      </c>
      <c r="C31" s="988" t="s">
        <v>853</v>
      </c>
      <c r="D31" s="988"/>
      <c r="E31" s="208">
        <f>365-E30</f>
        <v>25</v>
      </c>
      <c r="F31" s="208">
        <v>1</v>
      </c>
      <c r="G31" s="123"/>
      <c r="I31" s="208">
        <v>19</v>
      </c>
      <c r="J31" s="134">
        <v>19</v>
      </c>
      <c r="K31" s="92">
        <f t="shared" si="3"/>
        <v>0</v>
      </c>
      <c r="L31" s="92">
        <f t="shared" si="3"/>
        <v>0</v>
      </c>
      <c r="M31" s="92">
        <f t="shared" si="3"/>
        <v>100</v>
      </c>
      <c r="N31" s="125">
        <f t="shared" si="1"/>
        <v>100</v>
      </c>
      <c r="O31" s="91"/>
      <c r="P31" s="92"/>
      <c r="Q31" s="92">
        <v>50</v>
      </c>
      <c r="R31" s="93">
        <f t="shared" si="2"/>
        <v>50</v>
      </c>
      <c r="S31" s="208">
        <v>4</v>
      </c>
      <c r="T31" s="95">
        <v>32810</v>
      </c>
      <c r="U31" s="207">
        <v>32849</v>
      </c>
      <c r="V31" s="82" t="s">
        <v>485</v>
      </c>
      <c r="W31" s="208" t="s">
        <v>20</v>
      </c>
      <c r="X31" s="208" t="s">
        <v>12</v>
      </c>
      <c r="Y31" s="83">
        <v>50</v>
      </c>
      <c r="AD31" s="82"/>
      <c r="AG31" s="83"/>
      <c r="AL31" s="82"/>
      <c r="AO31" s="83"/>
      <c r="AP31" s="82"/>
      <c r="AS31" s="83"/>
      <c r="AW31" s="83"/>
      <c r="BA31" s="84"/>
    </row>
    <row r="32" spans="1:53" s="209" customFormat="1">
      <c r="A32" s="209">
        <v>1990</v>
      </c>
      <c r="C32" s="1032" t="s">
        <v>853</v>
      </c>
      <c r="D32" s="1032"/>
      <c r="E32" s="209">
        <v>0</v>
      </c>
      <c r="G32" s="165"/>
      <c r="I32" s="209">
        <v>19</v>
      </c>
      <c r="J32" s="166">
        <v>19</v>
      </c>
      <c r="K32" s="169">
        <f t="shared" si="3"/>
        <v>0</v>
      </c>
      <c r="L32" s="167">
        <f t="shared" si="3"/>
        <v>0</v>
      </c>
      <c r="M32" s="167">
        <f t="shared" si="3"/>
        <v>100</v>
      </c>
      <c r="N32" s="170">
        <f t="shared" si="1"/>
        <v>100</v>
      </c>
      <c r="O32" s="169"/>
      <c r="P32" s="167"/>
      <c r="Q32" s="167">
        <v>50</v>
      </c>
      <c r="R32" s="170">
        <f t="shared" si="2"/>
        <v>50</v>
      </c>
      <c r="S32" s="209">
        <v>4</v>
      </c>
      <c r="T32" s="171"/>
      <c r="V32" s="172" t="s">
        <v>485</v>
      </c>
      <c r="W32" s="209" t="s">
        <v>20</v>
      </c>
      <c r="X32" s="209" t="s">
        <v>12</v>
      </c>
      <c r="Y32" s="173">
        <v>50</v>
      </c>
      <c r="AD32" s="172"/>
      <c r="AG32" s="173"/>
      <c r="AL32" s="172"/>
      <c r="AO32" s="173"/>
      <c r="AP32" s="172"/>
      <c r="AS32" s="173"/>
      <c r="AW32" s="173"/>
      <c r="BA32" s="174"/>
    </row>
    <row r="33" spans="1:53" s="208" customFormat="1">
      <c r="A33" s="208">
        <v>1990</v>
      </c>
      <c r="C33" s="988" t="s">
        <v>853</v>
      </c>
      <c r="D33" s="988"/>
      <c r="E33" s="208">
        <f>365-E32</f>
        <v>365</v>
      </c>
      <c r="G33" s="123"/>
      <c r="I33" s="208">
        <v>19</v>
      </c>
      <c r="J33" s="134">
        <v>19</v>
      </c>
      <c r="K33" s="92">
        <f t="shared" si="3"/>
        <v>0</v>
      </c>
      <c r="L33" s="92">
        <f t="shared" si="3"/>
        <v>0</v>
      </c>
      <c r="M33" s="92">
        <f t="shared" si="3"/>
        <v>100</v>
      </c>
      <c r="N33" s="125">
        <f t="shared" si="1"/>
        <v>100</v>
      </c>
      <c r="O33" s="91"/>
      <c r="P33" s="92"/>
      <c r="Q33" s="92">
        <v>50</v>
      </c>
      <c r="R33" s="93">
        <f t="shared" si="2"/>
        <v>50</v>
      </c>
      <c r="S33" s="208">
        <v>4</v>
      </c>
      <c r="T33" s="81"/>
      <c r="V33" s="82" t="s">
        <v>485</v>
      </c>
      <c r="W33" s="208" t="s">
        <v>20</v>
      </c>
      <c r="X33" s="208" t="s">
        <v>12</v>
      </c>
      <c r="Y33" s="83">
        <v>50</v>
      </c>
      <c r="AD33" s="82"/>
      <c r="AG33" s="83"/>
      <c r="AL33" s="82"/>
      <c r="AO33" s="83"/>
      <c r="AP33" s="82"/>
      <c r="AS33" s="83"/>
      <c r="AW33" s="83"/>
      <c r="BA33" s="84"/>
    </row>
    <row r="34" spans="1:53" s="208" customFormat="1">
      <c r="A34" s="208">
        <v>1991</v>
      </c>
      <c r="C34" s="988" t="s">
        <v>853</v>
      </c>
      <c r="D34" s="988"/>
      <c r="E34" s="208">
        <v>0</v>
      </c>
      <c r="G34" s="123"/>
      <c r="I34" s="208">
        <v>19</v>
      </c>
      <c r="J34" s="134">
        <v>19</v>
      </c>
      <c r="K34" s="92">
        <f t="shared" si="3"/>
        <v>0</v>
      </c>
      <c r="L34" s="92">
        <f t="shared" si="3"/>
        <v>0</v>
      </c>
      <c r="M34" s="92">
        <f t="shared" si="3"/>
        <v>100</v>
      </c>
      <c r="N34" s="125">
        <f t="shared" si="1"/>
        <v>100</v>
      </c>
      <c r="O34" s="91"/>
      <c r="P34" s="92"/>
      <c r="Q34" s="92">
        <v>50</v>
      </c>
      <c r="R34" s="93">
        <f t="shared" si="2"/>
        <v>50</v>
      </c>
      <c r="S34" s="208">
        <v>4</v>
      </c>
      <c r="T34" s="81"/>
      <c r="V34" s="82" t="s">
        <v>485</v>
      </c>
      <c r="W34" s="208" t="s">
        <v>20</v>
      </c>
      <c r="X34" s="208" t="s">
        <v>12</v>
      </c>
      <c r="Y34" s="83">
        <v>50</v>
      </c>
      <c r="AD34" s="82"/>
      <c r="AG34" s="83"/>
      <c r="AL34" s="82"/>
      <c r="AO34" s="83"/>
      <c r="AP34" s="82"/>
      <c r="AS34" s="83"/>
      <c r="AW34" s="83"/>
      <c r="BA34" s="84"/>
    </row>
    <row r="35" spans="1:53" s="208" customFormat="1">
      <c r="A35" s="208">
        <v>1991</v>
      </c>
      <c r="C35" s="988" t="s">
        <v>853</v>
      </c>
      <c r="D35" s="988"/>
      <c r="E35" s="208">
        <f>365-E34</f>
        <v>365</v>
      </c>
      <c r="G35" s="123"/>
      <c r="I35" s="208">
        <v>19</v>
      </c>
      <c r="J35" s="134">
        <v>19</v>
      </c>
      <c r="K35" s="92">
        <f t="shared" si="3"/>
        <v>0</v>
      </c>
      <c r="L35" s="92">
        <f t="shared" si="3"/>
        <v>0</v>
      </c>
      <c r="M35" s="92">
        <f t="shared" si="3"/>
        <v>100</v>
      </c>
      <c r="N35" s="125">
        <f t="shared" si="1"/>
        <v>100</v>
      </c>
      <c r="O35" s="91"/>
      <c r="P35" s="92"/>
      <c r="Q35" s="92">
        <v>50</v>
      </c>
      <c r="R35" s="93">
        <f t="shared" si="2"/>
        <v>50</v>
      </c>
      <c r="S35" s="236">
        <v>4</v>
      </c>
      <c r="T35" s="81"/>
      <c r="V35" s="82" t="s">
        <v>485</v>
      </c>
      <c r="W35" s="208" t="s">
        <v>20</v>
      </c>
      <c r="X35" s="208" t="s">
        <v>12</v>
      </c>
      <c r="Y35" s="83">
        <v>50</v>
      </c>
      <c r="AD35" s="82"/>
      <c r="AG35" s="83"/>
      <c r="AL35" s="82"/>
      <c r="AO35" s="83"/>
      <c r="AP35" s="82"/>
      <c r="AS35" s="83"/>
      <c r="AW35" s="83"/>
      <c r="BA35" s="84"/>
    </row>
    <row r="36" spans="1:53" s="208" customFormat="1">
      <c r="A36" s="208">
        <v>1992</v>
      </c>
      <c r="C36" s="988" t="s">
        <v>853</v>
      </c>
      <c r="D36" s="988"/>
      <c r="E36" s="208">
        <v>0</v>
      </c>
      <c r="G36" s="123"/>
      <c r="I36" s="208">
        <v>18</v>
      </c>
      <c r="J36" s="134">
        <v>18</v>
      </c>
      <c r="K36" s="92">
        <f t="shared" si="3"/>
        <v>0</v>
      </c>
      <c r="L36" s="92">
        <f t="shared" si="3"/>
        <v>0</v>
      </c>
      <c r="M36" s="92">
        <f t="shared" si="3"/>
        <v>100</v>
      </c>
      <c r="N36" s="125">
        <f t="shared" si="1"/>
        <v>100</v>
      </c>
      <c r="O36" s="91"/>
      <c r="P36" s="92"/>
      <c r="Q36" s="92">
        <v>50</v>
      </c>
      <c r="R36" s="93">
        <f t="shared" si="2"/>
        <v>50</v>
      </c>
      <c r="S36" s="236">
        <v>4</v>
      </c>
      <c r="T36" s="81"/>
      <c r="V36" s="82" t="s">
        <v>485</v>
      </c>
      <c r="W36" s="208" t="s">
        <v>20</v>
      </c>
      <c r="X36" s="208" t="s">
        <v>12</v>
      </c>
      <c r="Y36" s="83">
        <v>50</v>
      </c>
      <c r="AD36" s="82"/>
      <c r="AG36" s="83"/>
      <c r="AL36" s="82"/>
      <c r="AO36" s="83"/>
      <c r="AP36" s="82"/>
      <c r="AS36" s="83"/>
      <c r="AW36" s="83"/>
      <c r="BA36" s="84"/>
    </row>
    <row r="37" spans="1:53" s="208" customFormat="1">
      <c r="A37" s="208">
        <v>1992</v>
      </c>
      <c r="C37" s="988" t="s">
        <v>853</v>
      </c>
      <c r="D37" s="988"/>
      <c r="E37" s="208">
        <v>366</v>
      </c>
      <c r="G37" s="123"/>
      <c r="I37" s="208">
        <v>18</v>
      </c>
      <c r="J37" s="134">
        <v>18</v>
      </c>
      <c r="K37" s="92">
        <f t="shared" si="3"/>
        <v>0</v>
      </c>
      <c r="L37" s="92">
        <f t="shared" si="3"/>
        <v>0</v>
      </c>
      <c r="M37" s="92">
        <f t="shared" si="3"/>
        <v>100</v>
      </c>
      <c r="N37" s="125">
        <f t="shared" si="1"/>
        <v>100</v>
      </c>
      <c r="O37" s="91"/>
      <c r="P37" s="92"/>
      <c r="Q37" s="92">
        <v>50</v>
      </c>
      <c r="R37" s="93">
        <f t="shared" si="2"/>
        <v>50</v>
      </c>
      <c r="S37" s="236">
        <v>4</v>
      </c>
      <c r="T37" s="81"/>
      <c r="V37" s="82" t="s">
        <v>485</v>
      </c>
      <c r="W37" s="208" t="s">
        <v>20</v>
      </c>
      <c r="X37" s="208" t="s">
        <v>12</v>
      </c>
      <c r="Y37" s="83">
        <v>50</v>
      </c>
      <c r="AD37" s="82"/>
      <c r="AG37" s="83"/>
      <c r="AL37" s="82"/>
      <c r="AO37" s="83"/>
      <c r="AP37" s="82"/>
      <c r="AS37" s="83"/>
      <c r="AW37" s="83"/>
      <c r="BA37" s="84"/>
    </row>
    <row r="38" spans="1:53" s="208" customFormat="1">
      <c r="A38" s="208">
        <v>1993</v>
      </c>
      <c r="C38" s="988" t="s">
        <v>853</v>
      </c>
      <c r="D38" s="988"/>
      <c r="E38" s="208">
        <v>194</v>
      </c>
      <c r="G38" s="123"/>
      <c r="I38" s="208">
        <v>18</v>
      </c>
      <c r="J38" s="134">
        <v>18</v>
      </c>
      <c r="K38" s="92">
        <f t="shared" si="3"/>
        <v>0</v>
      </c>
      <c r="L38" s="92">
        <f t="shared" si="3"/>
        <v>0</v>
      </c>
      <c r="M38" s="92">
        <f t="shared" si="3"/>
        <v>100</v>
      </c>
      <c r="N38" s="125">
        <f t="shared" si="1"/>
        <v>100</v>
      </c>
      <c r="O38" s="91"/>
      <c r="P38" s="92"/>
      <c r="Q38" s="92">
        <v>50</v>
      </c>
      <c r="R38" s="93">
        <f t="shared" si="2"/>
        <v>50</v>
      </c>
      <c r="S38" s="236">
        <v>4</v>
      </c>
      <c r="T38" s="81"/>
      <c r="V38" s="82" t="s">
        <v>485</v>
      </c>
      <c r="W38" s="208" t="s">
        <v>20</v>
      </c>
      <c r="X38" s="208" t="s">
        <v>12</v>
      </c>
      <c r="Y38" s="83">
        <v>50</v>
      </c>
      <c r="AD38" s="82"/>
      <c r="AG38" s="83"/>
      <c r="AL38" s="82"/>
      <c r="AO38" s="83"/>
      <c r="AP38" s="82"/>
      <c r="AS38" s="83"/>
      <c r="AW38" s="83"/>
      <c r="BA38" s="84"/>
    </row>
    <row r="39" spans="1:53" s="334" customFormat="1">
      <c r="A39" s="334">
        <v>1993</v>
      </c>
      <c r="B39" s="355">
        <v>34164</v>
      </c>
      <c r="C39" s="992" t="s">
        <v>854</v>
      </c>
      <c r="D39" s="992"/>
      <c r="E39" s="334">
        <f>365-E38</f>
        <v>171</v>
      </c>
      <c r="F39" s="334">
        <v>1</v>
      </c>
      <c r="G39" s="419"/>
      <c r="I39" s="334">
        <v>18</v>
      </c>
      <c r="J39" s="435">
        <v>18</v>
      </c>
      <c r="K39" s="384">
        <f t="shared" si="3"/>
        <v>0</v>
      </c>
      <c r="L39" s="384">
        <f t="shared" si="3"/>
        <v>0</v>
      </c>
      <c r="M39" s="384">
        <f t="shared" si="3"/>
        <v>100</v>
      </c>
      <c r="N39" s="421">
        <f t="shared" si="1"/>
        <v>100</v>
      </c>
      <c r="O39" s="383"/>
      <c r="P39" s="384"/>
      <c r="Q39" s="384">
        <v>45.4</v>
      </c>
      <c r="R39" s="385">
        <f t="shared" si="2"/>
        <v>45.4</v>
      </c>
      <c r="S39" s="334">
        <v>4</v>
      </c>
      <c r="T39" s="342">
        <v>34126</v>
      </c>
      <c r="U39" s="355">
        <v>34164</v>
      </c>
      <c r="V39" s="343" t="s">
        <v>485</v>
      </c>
      <c r="W39" s="334" t="s">
        <v>20</v>
      </c>
      <c r="X39" s="334" t="s">
        <v>12</v>
      </c>
      <c r="Y39" s="344">
        <v>45.4</v>
      </c>
      <c r="AD39" s="343"/>
      <c r="AG39" s="344"/>
      <c r="AL39" s="343"/>
      <c r="AO39" s="344"/>
      <c r="AP39" s="343"/>
      <c r="AS39" s="344"/>
      <c r="AW39" s="344"/>
      <c r="BA39" s="345"/>
    </row>
    <row r="40" spans="1:53" s="334" customFormat="1">
      <c r="A40" s="334">
        <v>1994</v>
      </c>
      <c r="C40" s="992" t="s">
        <v>854</v>
      </c>
      <c r="D40" s="992"/>
      <c r="E40" s="334">
        <v>0</v>
      </c>
      <c r="G40" s="419"/>
      <c r="I40" s="334">
        <v>18</v>
      </c>
      <c r="J40" s="435">
        <v>18</v>
      </c>
      <c r="K40" s="384">
        <f t="shared" si="3"/>
        <v>0</v>
      </c>
      <c r="L40" s="384">
        <f t="shared" si="3"/>
        <v>0</v>
      </c>
      <c r="M40" s="384">
        <f t="shared" si="3"/>
        <v>100</v>
      </c>
      <c r="N40" s="421">
        <f t="shared" si="1"/>
        <v>100</v>
      </c>
      <c r="O40" s="383"/>
      <c r="P40" s="384"/>
      <c r="Q40" s="384">
        <v>45.4</v>
      </c>
      <c r="R40" s="385">
        <f t="shared" si="2"/>
        <v>45.4</v>
      </c>
      <c r="S40" s="334">
        <v>4</v>
      </c>
      <c r="T40" s="357"/>
      <c r="V40" s="343" t="s">
        <v>485</v>
      </c>
      <c r="W40" s="334" t="s">
        <v>20</v>
      </c>
      <c r="X40" s="334" t="s">
        <v>12</v>
      </c>
      <c r="Y40" s="344">
        <v>45.4</v>
      </c>
      <c r="AD40" s="343"/>
      <c r="AG40" s="344"/>
      <c r="AL40" s="343"/>
      <c r="AO40" s="344"/>
      <c r="AP40" s="343"/>
      <c r="AS40" s="344"/>
      <c r="AW40" s="344"/>
      <c r="BA40" s="345"/>
    </row>
    <row r="41" spans="1:53" s="334" customFormat="1">
      <c r="A41" s="334">
        <v>1994</v>
      </c>
      <c r="C41" s="992" t="s">
        <v>854</v>
      </c>
      <c r="D41" s="992"/>
      <c r="E41" s="334">
        <f>365-E40</f>
        <v>365</v>
      </c>
      <c r="G41" s="419"/>
      <c r="I41" s="334">
        <v>18</v>
      </c>
      <c r="J41" s="435">
        <v>18</v>
      </c>
      <c r="K41" s="384">
        <f t="shared" si="3"/>
        <v>0</v>
      </c>
      <c r="L41" s="384">
        <f t="shared" si="3"/>
        <v>0</v>
      </c>
      <c r="M41" s="384">
        <f t="shared" si="3"/>
        <v>100</v>
      </c>
      <c r="N41" s="421">
        <f t="shared" si="1"/>
        <v>100</v>
      </c>
      <c r="O41" s="383"/>
      <c r="P41" s="384"/>
      <c r="Q41" s="384">
        <v>45.4</v>
      </c>
      <c r="R41" s="385">
        <f t="shared" si="2"/>
        <v>45.4</v>
      </c>
      <c r="S41" s="334">
        <v>4</v>
      </c>
      <c r="T41" s="357"/>
      <c r="V41" s="343" t="s">
        <v>485</v>
      </c>
      <c r="W41" s="334" t="s">
        <v>20</v>
      </c>
      <c r="X41" s="334" t="s">
        <v>12</v>
      </c>
      <c r="Y41" s="344">
        <v>45.4</v>
      </c>
      <c r="AD41" s="343"/>
      <c r="AG41" s="344"/>
      <c r="AL41" s="343"/>
      <c r="AO41" s="344"/>
      <c r="AP41" s="343"/>
      <c r="AS41" s="344"/>
      <c r="AW41" s="344"/>
      <c r="BA41" s="345"/>
    </row>
    <row r="42" spans="1:53" s="334" customFormat="1">
      <c r="A42" s="334">
        <v>1995</v>
      </c>
      <c r="C42" s="992" t="s">
        <v>854</v>
      </c>
      <c r="D42" s="992"/>
      <c r="E42" s="334">
        <v>0</v>
      </c>
      <c r="G42" s="419"/>
      <c r="I42" s="334">
        <v>18</v>
      </c>
      <c r="J42" s="435">
        <v>18</v>
      </c>
      <c r="K42" s="384">
        <f t="shared" si="3"/>
        <v>0</v>
      </c>
      <c r="L42" s="384">
        <f t="shared" si="3"/>
        <v>0</v>
      </c>
      <c r="M42" s="384">
        <f t="shared" si="3"/>
        <v>100</v>
      </c>
      <c r="N42" s="421">
        <f t="shared" si="1"/>
        <v>100</v>
      </c>
      <c r="O42" s="383"/>
      <c r="P42" s="384"/>
      <c r="Q42" s="384">
        <v>45.4</v>
      </c>
      <c r="R42" s="385">
        <f t="shared" si="2"/>
        <v>45.4</v>
      </c>
      <c r="S42" s="334">
        <v>4</v>
      </c>
      <c r="T42" s="357"/>
      <c r="V42" s="343" t="s">
        <v>485</v>
      </c>
      <c r="W42" s="334" t="s">
        <v>20</v>
      </c>
      <c r="X42" s="334" t="s">
        <v>12</v>
      </c>
      <c r="Y42" s="344">
        <v>45.4</v>
      </c>
      <c r="AD42" s="343"/>
      <c r="AG42" s="344"/>
      <c r="AL42" s="343"/>
      <c r="AO42" s="344"/>
      <c r="AP42" s="343"/>
      <c r="AS42" s="344"/>
      <c r="AW42" s="344"/>
      <c r="BA42" s="345"/>
    </row>
    <row r="43" spans="1:53" s="334" customFormat="1">
      <c r="A43" s="334">
        <v>1995</v>
      </c>
      <c r="C43" s="992" t="s">
        <v>854</v>
      </c>
      <c r="D43" s="992"/>
      <c r="E43" s="334">
        <f>365-E42</f>
        <v>365</v>
      </c>
      <c r="G43" s="419"/>
      <c r="I43" s="334">
        <v>18</v>
      </c>
      <c r="J43" s="435">
        <v>18</v>
      </c>
      <c r="K43" s="384">
        <f t="shared" si="3"/>
        <v>0</v>
      </c>
      <c r="L43" s="384">
        <f t="shared" si="3"/>
        <v>0</v>
      </c>
      <c r="M43" s="384">
        <f t="shared" si="3"/>
        <v>100</v>
      </c>
      <c r="N43" s="421">
        <f t="shared" si="1"/>
        <v>100</v>
      </c>
      <c r="O43" s="383"/>
      <c r="P43" s="384"/>
      <c r="Q43" s="384">
        <v>45.4</v>
      </c>
      <c r="R43" s="385">
        <f t="shared" si="2"/>
        <v>45.4</v>
      </c>
      <c r="S43" s="334">
        <v>4</v>
      </c>
      <c r="T43" s="357"/>
      <c r="V43" s="343" t="s">
        <v>485</v>
      </c>
      <c r="W43" s="334" t="s">
        <v>20</v>
      </c>
      <c r="X43" s="334" t="s">
        <v>12</v>
      </c>
      <c r="Y43" s="344">
        <v>45.4</v>
      </c>
      <c r="AD43" s="343"/>
      <c r="AG43" s="344"/>
      <c r="AL43" s="343"/>
      <c r="AO43" s="344"/>
      <c r="AP43" s="343"/>
      <c r="AS43" s="344"/>
      <c r="AW43" s="344"/>
      <c r="BA43" s="345"/>
    </row>
    <row r="44" spans="1:53" s="334" customFormat="1">
      <c r="A44" s="334">
        <v>1996</v>
      </c>
      <c r="C44" s="992" t="s">
        <v>854</v>
      </c>
      <c r="D44" s="992"/>
      <c r="E44" s="334">
        <v>124</v>
      </c>
      <c r="G44" s="419"/>
      <c r="I44" s="334">
        <v>17</v>
      </c>
      <c r="J44" s="435">
        <v>17</v>
      </c>
      <c r="K44" s="384">
        <f t="shared" si="3"/>
        <v>0</v>
      </c>
      <c r="L44" s="384">
        <f t="shared" si="3"/>
        <v>0</v>
      </c>
      <c r="M44" s="384">
        <f t="shared" si="3"/>
        <v>100</v>
      </c>
      <c r="N44" s="421">
        <f t="shared" si="1"/>
        <v>100</v>
      </c>
      <c r="O44" s="383"/>
      <c r="P44" s="384"/>
      <c r="Q44" s="384">
        <v>45.4</v>
      </c>
      <c r="R44" s="385">
        <f t="shared" si="2"/>
        <v>45.4</v>
      </c>
      <c r="S44" s="334">
        <v>4</v>
      </c>
      <c r="T44" s="357"/>
      <c r="V44" s="343" t="s">
        <v>485</v>
      </c>
      <c r="W44" s="334" t="s">
        <v>20</v>
      </c>
      <c r="X44" s="334" t="s">
        <v>12</v>
      </c>
      <c r="Y44" s="344">
        <v>45.4</v>
      </c>
      <c r="AD44" s="343"/>
      <c r="AG44" s="344"/>
      <c r="AL44" s="343"/>
      <c r="AO44" s="344"/>
      <c r="AP44" s="343"/>
      <c r="AS44" s="344"/>
      <c r="AW44" s="344"/>
      <c r="BA44" s="345"/>
    </row>
    <row r="45" spans="1:53" s="208" customFormat="1">
      <c r="A45" s="208">
        <v>1996</v>
      </c>
      <c r="B45" s="207">
        <v>35189</v>
      </c>
      <c r="C45" s="988" t="s">
        <v>856</v>
      </c>
      <c r="D45" s="988"/>
      <c r="E45" s="208">
        <f>366-E44</f>
        <v>242</v>
      </c>
      <c r="F45" s="208">
        <v>1</v>
      </c>
      <c r="G45" s="123"/>
      <c r="H45" s="208">
        <v>15</v>
      </c>
      <c r="J45" s="134">
        <v>15</v>
      </c>
      <c r="K45" s="92">
        <f t="shared" si="3"/>
        <v>0</v>
      </c>
      <c r="L45" s="92">
        <f t="shared" si="3"/>
        <v>100</v>
      </c>
      <c r="M45" s="92">
        <f t="shared" si="3"/>
        <v>0</v>
      </c>
      <c r="N45" s="125">
        <f t="shared" si="1"/>
        <v>100</v>
      </c>
      <c r="O45" s="91"/>
      <c r="P45" s="92">
        <v>44.6</v>
      </c>
      <c r="Q45" s="92"/>
      <c r="R45" s="93">
        <f t="shared" si="2"/>
        <v>44.6</v>
      </c>
      <c r="S45" s="208">
        <v>4</v>
      </c>
      <c r="T45" s="95">
        <v>35127</v>
      </c>
      <c r="U45" s="207">
        <v>35189</v>
      </c>
      <c r="V45" s="82" t="s">
        <v>486</v>
      </c>
      <c r="W45" s="208" t="s">
        <v>76</v>
      </c>
      <c r="X45" s="208" t="s">
        <v>18</v>
      </c>
      <c r="Y45" s="83">
        <v>44.6</v>
      </c>
      <c r="AD45" s="82"/>
      <c r="AG45" s="83"/>
      <c r="AL45" s="82"/>
      <c r="AO45" s="83"/>
      <c r="AP45" s="82"/>
      <c r="AS45" s="83"/>
      <c r="AW45" s="83"/>
      <c r="BA45" s="84"/>
    </row>
    <row r="46" spans="1:53" s="208" customFormat="1">
      <c r="A46" s="208">
        <v>1997</v>
      </c>
      <c r="C46" s="988" t="s">
        <v>856</v>
      </c>
      <c r="D46" s="988"/>
      <c r="E46" s="208">
        <v>0</v>
      </c>
      <c r="G46" s="123"/>
      <c r="H46" s="208">
        <v>15</v>
      </c>
      <c r="J46" s="134">
        <v>15</v>
      </c>
      <c r="K46" s="92">
        <f t="shared" si="3"/>
        <v>0</v>
      </c>
      <c r="L46" s="92">
        <f t="shared" si="3"/>
        <v>100</v>
      </c>
      <c r="M46" s="92">
        <f t="shared" si="3"/>
        <v>0</v>
      </c>
      <c r="N46" s="125">
        <f t="shared" si="1"/>
        <v>100</v>
      </c>
      <c r="O46" s="91"/>
      <c r="P46" s="92">
        <v>44.6</v>
      </c>
      <c r="Q46" s="92"/>
      <c r="R46" s="93">
        <f t="shared" si="2"/>
        <v>44.6</v>
      </c>
      <c r="S46" s="208">
        <v>4</v>
      </c>
      <c r="T46" s="81"/>
      <c r="V46" s="82" t="s">
        <v>486</v>
      </c>
      <c r="W46" s="208" t="s">
        <v>76</v>
      </c>
      <c r="X46" s="208" t="s">
        <v>18</v>
      </c>
      <c r="Y46" s="83">
        <v>44.6</v>
      </c>
      <c r="AD46" s="82"/>
      <c r="AG46" s="83"/>
      <c r="AL46" s="82"/>
      <c r="AO46" s="83"/>
      <c r="AP46" s="82"/>
      <c r="AS46" s="83"/>
      <c r="AW46" s="83"/>
      <c r="BA46" s="84"/>
    </row>
    <row r="47" spans="1:53" s="208" customFormat="1">
      <c r="A47" s="208">
        <v>1997</v>
      </c>
      <c r="C47" s="988" t="s">
        <v>856</v>
      </c>
      <c r="D47" s="988"/>
      <c r="E47" s="208">
        <f>365-E46</f>
        <v>365</v>
      </c>
      <c r="G47" s="123"/>
      <c r="H47" s="208">
        <v>15</v>
      </c>
      <c r="J47" s="134">
        <v>15</v>
      </c>
      <c r="K47" s="92">
        <f t="shared" si="3"/>
        <v>0</v>
      </c>
      <c r="L47" s="92">
        <f t="shared" si="3"/>
        <v>100</v>
      </c>
      <c r="M47" s="92">
        <f t="shared" si="3"/>
        <v>0</v>
      </c>
      <c r="N47" s="125">
        <f t="shared" si="1"/>
        <v>100</v>
      </c>
      <c r="O47" s="91"/>
      <c r="P47" s="92">
        <v>44.6</v>
      </c>
      <c r="Q47" s="92"/>
      <c r="R47" s="93">
        <f t="shared" si="2"/>
        <v>44.6</v>
      </c>
      <c r="S47" s="208">
        <v>4</v>
      </c>
      <c r="T47" s="81"/>
      <c r="V47" s="82" t="s">
        <v>486</v>
      </c>
      <c r="W47" s="208" t="s">
        <v>76</v>
      </c>
      <c r="X47" s="208" t="s">
        <v>18</v>
      </c>
      <c r="Y47" s="83">
        <v>44.6</v>
      </c>
      <c r="AD47" s="82"/>
      <c r="AG47" s="83"/>
      <c r="AL47" s="82"/>
      <c r="AO47" s="83"/>
      <c r="AP47" s="82"/>
      <c r="AS47" s="83"/>
      <c r="AW47" s="83"/>
      <c r="BA47" s="84"/>
    </row>
    <row r="48" spans="1:53" s="208" customFormat="1">
      <c r="A48" s="208">
        <v>1998</v>
      </c>
      <c r="C48" s="988" t="s">
        <v>856</v>
      </c>
      <c r="D48" s="988"/>
      <c r="E48" s="208">
        <v>0</v>
      </c>
      <c r="G48" s="123"/>
      <c r="H48" s="208">
        <v>15</v>
      </c>
      <c r="J48" s="134">
        <v>15</v>
      </c>
      <c r="K48" s="92">
        <f t="shared" si="3"/>
        <v>0</v>
      </c>
      <c r="L48" s="92">
        <f t="shared" si="3"/>
        <v>100</v>
      </c>
      <c r="M48" s="92">
        <f t="shared" si="3"/>
        <v>0</v>
      </c>
      <c r="N48" s="125">
        <f t="shared" si="1"/>
        <v>100</v>
      </c>
      <c r="O48" s="91"/>
      <c r="P48" s="92">
        <v>44.6</v>
      </c>
      <c r="Q48" s="92"/>
      <c r="R48" s="93">
        <f t="shared" si="2"/>
        <v>44.6</v>
      </c>
      <c r="S48" s="208">
        <v>4</v>
      </c>
      <c r="T48" s="81"/>
      <c r="V48" s="82" t="s">
        <v>486</v>
      </c>
      <c r="W48" s="208" t="s">
        <v>76</v>
      </c>
      <c r="X48" s="208" t="s">
        <v>18</v>
      </c>
      <c r="Y48" s="83">
        <v>44.6</v>
      </c>
      <c r="AD48" s="82"/>
      <c r="AG48" s="83"/>
      <c r="AL48" s="82"/>
      <c r="AO48" s="83"/>
      <c r="AP48" s="82"/>
      <c r="AS48" s="83"/>
      <c r="AW48" s="83"/>
      <c r="BA48" s="84"/>
    </row>
    <row r="49" spans="1:53" s="208" customFormat="1">
      <c r="A49" s="208">
        <v>1998</v>
      </c>
      <c r="C49" s="988" t="s">
        <v>856</v>
      </c>
      <c r="D49" s="988"/>
      <c r="E49" s="208">
        <f>365-E48</f>
        <v>365</v>
      </c>
      <c r="G49" s="123"/>
      <c r="H49" s="208">
        <v>15</v>
      </c>
      <c r="J49" s="134">
        <v>15</v>
      </c>
      <c r="K49" s="92">
        <f t="shared" si="3"/>
        <v>0</v>
      </c>
      <c r="L49" s="92">
        <f t="shared" si="3"/>
        <v>100</v>
      </c>
      <c r="M49" s="92">
        <f t="shared" si="3"/>
        <v>0</v>
      </c>
      <c r="N49" s="125">
        <f t="shared" si="1"/>
        <v>100</v>
      </c>
      <c r="O49" s="91"/>
      <c r="P49" s="92">
        <v>44.6</v>
      </c>
      <c r="Q49" s="92"/>
      <c r="R49" s="93">
        <f t="shared" si="2"/>
        <v>44.6</v>
      </c>
      <c r="S49" s="208">
        <v>4</v>
      </c>
      <c r="T49" s="81"/>
      <c r="V49" s="82" t="s">
        <v>486</v>
      </c>
      <c r="W49" s="208" t="s">
        <v>76</v>
      </c>
      <c r="X49" s="208" t="s">
        <v>18</v>
      </c>
      <c r="Y49" s="83">
        <v>44.6</v>
      </c>
      <c r="AD49" s="82"/>
      <c r="AG49" s="83"/>
      <c r="AL49" s="82"/>
      <c r="AO49" s="83"/>
      <c r="AP49" s="82"/>
      <c r="AS49" s="83"/>
      <c r="AW49" s="83"/>
      <c r="BA49" s="84"/>
    </row>
    <row r="50" spans="1:53" s="208" customFormat="1">
      <c r="A50" s="208">
        <v>1999</v>
      </c>
      <c r="C50" s="988" t="s">
        <v>856</v>
      </c>
      <c r="D50" s="988"/>
      <c r="E50" s="208">
        <v>0</v>
      </c>
      <c r="G50" s="123"/>
      <c r="H50" s="208">
        <v>14</v>
      </c>
      <c r="J50" s="134">
        <v>14</v>
      </c>
      <c r="K50" s="92">
        <f t="shared" si="3"/>
        <v>0</v>
      </c>
      <c r="L50" s="92">
        <f t="shared" si="3"/>
        <v>100</v>
      </c>
      <c r="M50" s="92">
        <f t="shared" si="3"/>
        <v>0</v>
      </c>
      <c r="N50" s="125">
        <f t="shared" si="1"/>
        <v>100</v>
      </c>
      <c r="O50" s="91"/>
      <c r="P50" s="92">
        <v>44.6</v>
      </c>
      <c r="Q50" s="92"/>
      <c r="R50" s="93">
        <f t="shared" si="2"/>
        <v>44.6</v>
      </c>
      <c r="S50" s="208">
        <v>4</v>
      </c>
      <c r="T50" s="81"/>
      <c r="V50" s="82" t="s">
        <v>486</v>
      </c>
      <c r="W50" s="208" t="s">
        <v>76</v>
      </c>
      <c r="X50" s="208" t="s">
        <v>18</v>
      </c>
      <c r="Y50" s="83">
        <v>44.6</v>
      </c>
      <c r="AD50" s="82"/>
      <c r="AG50" s="83"/>
      <c r="AL50" s="82"/>
      <c r="AO50" s="83"/>
      <c r="AP50" s="82"/>
      <c r="AS50" s="83"/>
      <c r="AW50" s="83"/>
      <c r="BA50" s="84"/>
    </row>
    <row r="51" spans="1:53" s="208" customFormat="1">
      <c r="A51" s="208">
        <v>1999</v>
      </c>
      <c r="C51" s="988" t="s">
        <v>856</v>
      </c>
      <c r="D51" s="988"/>
      <c r="E51" s="208">
        <f>365-E50</f>
        <v>365</v>
      </c>
      <c r="G51" s="123"/>
      <c r="H51" s="208">
        <v>14</v>
      </c>
      <c r="J51" s="134">
        <v>14</v>
      </c>
      <c r="K51" s="92">
        <f t="shared" si="3"/>
        <v>0</v>
      </c>
      <c r="L51" s="92">
        <f t="shared" si="3"/>
        <v>100</v>
      </c>
      <c r="M51" s="92">
        <f t="shared" si="3"/>
        <v>0</v>
      </c>
      <c r="N51" s="125">
        <f t="shared" si="1"/>
        <v>100</v>
      </c>
      <c r="O51" s="91"/>
      <c r="P51" s="92">
        <v>44.6</v>
      </c>
      <c r="Q51" s="92"/>
      <c r="R51" s="93">
        <f t="shared" si="2"/>
        <v>44.6</v>
      </c>
      <c r="S51" s="208">
        <v>4</v>
      </c>
      <c r="T51" s="81"/>
      <c r="V51" s="82" t="s">
        <v>486</v>
      </c>
      <c r="W51" s="208" t="s">
        <v>76</v>
      </c>
      <c r="X51" s="208" t="s">
        <v>18</v>
      </c>
      <c r="Y51" s="83">
        <v>44.6</v>
      </c>
      <c r="AD51" s="82"/>
      <c r="AG51" s="83"/>
      <c r="AL51" s="82"/>
      <c r="AO51" s="83"/>
      <c r="AP51" s="82"/>
      <c r="AS51" s="83"/>
      <c r="AW51" s="83"/>
      <c r="BA51" s="84"/>
    </row>
    <row r="52" spans="1:53" s="208" customFormat="1">
      <c r="A52" s="208">
        <v>2000</v>
      </c>
      <c r="C52" s="988" t="s">
        <v>856</v>
      </c>
      <c r="D52" s="988"/>
      <c r="E52" s="208">
        <v>116</v>
      </c>
      <c r="G52" s="123"/>
      <c r="H52" s="208">
        <v>14</v>
      </c>
      <c r="J52" s="134">
        <v>14</v>
      </c>
      <c r="K52" s="92">
        <f t="shared" si="3"/>
        <v>0</v>
      </c>
      <c r="L52" s="92">
        <f t="shared" si="3"/>
        <v>100</v>
      </c>
      <c r="M52" s="92">
        <f t="shared" si="3"/>
        <v>0</v>
      </c>
      <c r="N52" s="125">
        <f t="shared" si="1"/>
        <v>100</v>
      </c>
      <c r="O52" s="91"/>
      <c r="P52" s="92">
        <v>44.6</v>
      </c>
      <c r="Q52" s="92"/>
      <c r="R52" s="93">
        <f t="shared" si="2"/>
        <v>44.6</v>
      </c>
      <c r="S52" s="208">
        <v>4</v>
      </c>
      <c r="T52" s="81"/>
      <c r="V52" s="82" t="s">
        <v>486</v>
      </c>
      <c r="W52" s="208" t="s">
        <v>76</v>
      </c>
      <c r="X52" s="208" t="s">
        <v>18</v>
      </c>
      <c r="Y52" s="83">
        <v>44.6</v>
      </c>
      <c r="AD52" s="82"/>
      <c r="AG52" s="83"/>
      <c r="AL52" s="82"/>
      <c r="AO52" s="83"/>
      <c r="AP52" s="82"/>
      <c r="AS52" s="83"/>
      <c r="AW52" s="83"/>
      <c r="BA52" s="84"/>
    </row>
    <row r="53" spans="1:53" s="334" customFormat="1">
      <c r="A53" s="334">
        <v>2000</v>
      </c>
      <c r="B53" s="355">
        <v>36642</v>
      </c>
      <c r="C53" s="992" t="s">
        <v>855</v>
      </c>
      <c r="D53" s="992"/>
      <c r="E53" s="334">
        <f>366-E52</f>
        <v>250</v>
      </c>
      <c r="F53" s="334">
        <v>1</v>
      </c>
      <c r="G53" s="419"/>
      <c r="H53" s="334">
        <v>16</v>
      </c>
      <c r="J53" s="435">
        <v>16</v>
      </c>
      <c r="K53" s="384">
        <f t="shared" si="3"/>
        <v>0</v>
      </c>
      <c r="L53" s="384">
        <f t="shared" si="3"/>
        <v>100</v>
      </c>
      <c r="M53" s="384">
        <f t="shared" si="3"/>
        <v>0</v>
      </c>
      <c r="N53" s="421">
        <f t="shared" si="1"/>
        <v>100</v>
      </c>
      <c r="O53" s="383"/>
      <c r="P53" s="384">
        <v>52.3</v>
      </c>
      <c r="Q53" s="384"/>
      <c r="R53" s="385">
        <f t="shared" si="2"/>
        <v>52.3</v>
      </c>
      <c r="S53" s="334">
        <v>1</v>
      </c>
      <c r="T53" s="342">
        <v>36597</v>
      </c>
      <c r="U53" s="355">
        <v>36642</v>
      </c>
      <c r="V53" s="343" t="s">
        <v>486</v>
      </c>
      <c r="W53" s="334" t="s">
        <v>76</v>
      </c>
      <c r="X53" s="334" t="s">
        <v>18</v>
      </c>
      <c r="Y53" s="344">
        <v>52.3</v>
      </c>
      <c r="AD53" s="343"/>
      <c r="AG53" s="344"/>
      <c r="AL53" s="343"/>
      <c r="AO53" s="344"/>
      <c r="AP53" s="343"/>
      <c r="AS53" s="344"/>
      <c r="AW53" s="344"/>
      <c r="BA53" s="345"/>
    </row>
    <row r="54" spans="1:53" s="334" customFormat="1">
      <c r="A54" s="334">
        <v>2001</v>
      </c>
      <c r="C54" s="992" t="s">
        <v>855</v>
      </c>
      <c r="D54" s="992"/>
      <c r="E54" s="334">
        <v>0</v>
      </c>
      <c r="G54" s="419"/>
      <c r="H54" s="334">
        <v>16</v>
      </c>
      <c r="J54" s="435">
        <v>16</v>
      </c>
      <c r="K54" s="384">
        <f t="shared" si="3"/>
        <v>0</v>
      </c>
      <c r="L54" s="384">
        <f t="shared" si="3"/>
        <v>100</v>
      </c>
      <c r="M54" s="384">
        <f t="shared" si="3"/>
        <v>0</v>
      </c>
      <c r="N54" s="421">
        <f t="shared" si="1"/>
        <v>100</v>
      </c>
      <c r="O54" s="383"/>
      <c r="P54" s="384">
        <v>52.3</v>
      </c>
      <c r="Q54" s="384"/>
      <c r="R54" s="385">
        <f t="shared" si="2"/>
        <v>52.3</v>
      </c>
      <c r="S54" s="334">
        <v>1</v>
      </c>
      <c r="T54" s="357"/>
      <c r="V54" s="343" t="s">
        <v>486</v>
      </c>
      <c r="W54" s="334" t="s">
        <v>76</v>
      </c>
      <c r="X54" s="334" t="s">
        <v>18</v>
      </c>
      <c r="Y54" s="344">
        <v>52.3</v>
      </c>
      <c r="AD54" s="343"/>
      <c r="AG54" s="344"/>
      <c r="AL54" s="343"/>
      <c r="AO54" s="344"/>
      <c r="AP54" s="343"/>
      <c r="AS54" s="344"/>
      <c r="AW54" s="344"/>
      <c r="BA54" s="345"/>
    </row>
    <row r="55" spans="1:53" s="334" customFormat="1">
      <c r="A55" s="334">
        <v>2001</v>
      </c>
      <c r="C55" s="992" t="s">
        <v>855</v>
      </c>
      <c r="D55" s="992"/>
      <c r="E55" s="334">
        <f>365-E54</f>
        <v>365</v>
      </c>
      <c r="G55" s="419"/>
      <c r="H55" s="334">
        <v>16</v>
      </c>
      <c r="J55" s="435">
        <v>16</v>
      </c>
      <c r="K55" s="384">
        <f t="shared" si="3"/>
        <v>0</v>
      </c>
      <c r="L55" s="384">
        <f t="shared" si="3"/>
        <v>100</v>
      </c>
      <c r="M55" s="384">
        <f t="shared" si="3"/>
        <v>0</v>
      </c>
      <c r="N55" s="421">
        <f t="shared" si="1"/>
        <v>100</v>
      </c>
      <c r="O55" s="383"/>
      <c r="P55" s="384">
        <v>52.3</v>
      </c>
      <c r="Q55" s="384"/>
      <c r="R55" s="385">
        <f t="shared" si="2"/>
        <v>52.3</v>
      </c>
      <c r="S55" s="334">
        <v>1</v>
      </c>
      <c r="T55" s="357"/>
      <c r="V55" s="343" t="s">
        <v>486</v>
      </c>
      <c r="W55" s="334" t="s">
        <v>76</v>
      </c>
      <c r="X55" s="334" t="s">
        <v>18</v>
      </c>
      <c r="Y55" s="344">
        <v>52.3</v>
      </c>
      <c r="AD55" s="343"/>
      <c r="AG55" s="344"/>
      <c r="AL55" s="343"/>
      <c r="AO55" s="344"/>
      <c r="AP55" s="343"/>
      <c r="AS55" s="344"/>
      <c r="AW55" s="344"/>
      <c r="BA55" s="345"/>
    </row>
    <row r="56" spans="1:53" s="334" customFormat="1">
      <c r="A56" s="334">
        <v>2002</v>
      </c>
      <c r="C56" s="992" t="s">
        <v>855</v>
      </c>
      <c r="D56" s="992"/>
      <c r="E56" s="334">
        <v>0</v>
      </c>
      <c r="G56" s="419"/>
      <c r="H56" s="334">
        <v>16</v>
      </c>
      <c r="J56" s="435">
        <v>16</v>
      </c>
      <c r="K56" s="384">
        <f t="shared" si="3"/>
        <v>0</v>
      </c>
      <c r="L56" s="384">
        <f t="shared" si="3"/>
        <v>100</v>
      </c>
      <c r="M56" s="384">
        <f t="shared" si="3"/>
        <v>0</v>
      </c>
      <c r="N56" s="421">
        <f t="shared" si="1"/>
        <v>100</v>
      </c>
      <c r="O56" s="383"/>
      <c r="P56" s="384">
        <v>52.3</v>
      </c>
      <c r="Q56" s="384"/>
      <c r="R56" s="385">
        <f t="shared" si="2"/>
        <v>52.3</v>
      </c>
      <c r="S56" s="334">
        <v>1</v>
      </c>
      <c r="T56" s="357"/>
      <c r="V56" s="343" t="s">
        <v>486</v>
      </c>
      <c r="W56" s="334" t="s">
        <v>76</v>
      </c>
      <c r="X56" s="334" t="s">
        <v>18</v>
      </c>
      <c r="Y56" s="344">
        <v>52.3</v>
      </c>
      <c r="AD56" s="343"/>
      <c r="AG56" s="344"/>
      <c r="AL56" s="343"/>
      <c r="AO56" s="344"/>
      <c r="AP56" s="343"/>
      <c r="AS56" s="344"/>
      <c r="AW56" s="344"/>
      <c r="BA56" s="345"/>
    </row>
    <row r="57" spans="1:53" s="334" customFormat="1">
      <c r="A57" s="334">
        <v>2002</v>
      </c>
      <c r="C57" s="992" t="s">
        <v>855</v>
      </c>
      <c r="D57" s="992"/>
      <c r="E57" s="334">
        <f>365-E56</f>
        <v>365</v>
      </c>
      <c r="G57" s="419"/>
      <c r="H57" s="334">
        <v>16</v>
      </c>
      <c r="J57" s="435">
        <v>16</v>
      </c>
      <c r="K57" s="384">
        <f t="shared" si="3"/>
        <v>0</v>
      </c>
      <c r="L57" s="384">
        <f t="shared" si="3"/>
        <v>100</v>
      </c>
      <c r="M57" s="384">
        <f t="shared" si="3"/>
        <v>0</v>
      </c>
      <c r="N57" s="421">
        <f t="shared" si="1"/>
        <v>100</v>
      </c>
      <c r="O57" s="383"/>
      <c r="P57" s="384">
        <v>52.3</v>
      </c>
      <c r="Q57" s="384"/>
      <c r="R57" s="385">
        <f t="shared" si="2"/>
        <v>52.3</v>
      </c>
      <c r="S57" s="334">
        <v>1</v>
      </c>
      <c r="T57" s="357"/>
      <c r="V57" s="343" t="s">
        <v>486</v>
      </c>
      <c r="W57" s="334" t="s">
        <v>76</v>
      </c>
      <c r="X57" s="334" t="s">
        <v>18</v>
      </c>
      <c r="Y57" s="344">
        <v>52.3</v>
      </c>
      <c r="AD57" s="343"/>
      <c r="AG57" s="344"/>
      <c r="AL57" s="343"/>
      <c r="AO57" s="344"/>
      <c r="AP57" s="343"/>
      <c r="AS57" s="344"/>
      <c r="AW57" s="344"/>
      <c r="BA57" s="345"/>
    </row>
    <row r="58" spans="1:53" s="334" customFormat="1">
      <c r="A58" s="334">
        <v>2003</v>
      </c>
      <c r="C58" s="992" t="s">
        <v>855</v>
      </c>
      <c r="D58" s="992"/>
      <c r="E58" s="334">
        <v>0</v>
      </c>
      <c r="G58" s="419"/>
      <c r="H58" s="334">
        <v>16</v>
      </c>
      <c r="J58" s="435">
        <v>16</v>
      </c>
      <c r="K58" s="384">
        <f t="shared" si="3"/>
        <v>0</v>
      </c>
      <c r="L58" s="384">
        <f t="shared" si="3"/>
        <v>100</v>
      </c>
      <c r="M58" s="384">
        <f t="shared" si="3"/>
        <v>0</v>
      </c>
      <c r="N58" s="421">
        <f t="shared" si="1"/>
        <v>100</v>
      </c>
      <c r="O58" s="383"/>
      <c r="P58" s="384">
        <v>52.3</v>
      </c>
      <c r="Q58" s="384"/>
      <c r="R58" s="385">
        <f t="shared" si="2"/>
        <v>52.3</v>
      </c>
      <c r="S58" s="334">
        <v>1</v>
      </c>
      <c r="T58" s="357"/>
      <c r="V58" s="343" t="s">
        <v>486</v>
      </c>
      <c r="W58" s="334" t="s">
        <v>76</v>
      </c>
      <c r="X58" s="334" t="s">
        <v>18</v>
      </c>
      <c r="Y58" s="344">
        <v>52.3</v>
      </c>
      <c r="AD58" s="343"/>
      <c r="AG58" s="344"/>
      <c r="AL58" s="343"/>
      <c r="AO58" s="344"/>
      <c r="AP58" s="343"/>
      <c r="AS58" s="344"/>
      <c r="AW58" s="344"/>
      <c r="BA58" s="345"/>
    </row>
    <row r="59" spans="1:53" s="334" customFormat="1">
      <c r="A59" s="334">
        <v>2003</v>
      </c>
      <c r="C59" s="992" t="s">
        <v>855</v>
      </c>
      <c r="D59" s="992"/>
      <c r="E59" s="334">
        <f>365-E58</f>
        <v>365</v>
      </c>
      <c r="G59" s="419"/>
      <c r="H59" s="334">
        <v>16</v>
      </c>
      <c r="J59" s="435">
        <v>16</v>
      </c>
      <c r="K59" s="384">
        <f t="shared" si="3"/>
        <v>0</v>
      </c>
      <c r="L59" s="384">
        <f t="shared" si="3"/>
        <v>100</v>
      </c>
      <c r="M59" s="384">
        <f t="shared" si="3"/>
        <v>0</v>
      </c>
      <c r="N59" s="421">
        <f t="shared" si="1"/>
        <v>100</v>
      </c>
      <c r="O59" s="383"/>
      <c r="P59" s="384">
        <v>52.3</v>
      </c>
      <c r="Q59" s="384"/>
      <c r="R59" s="385">
        <f t="shared" si="2"/>
        <v>52.3</v>
      </c>
      <c r="S59" s="334">
        <v>1</v>
      </c>
      <c r="T59" s="357"/>
      <c r="V59" s="343" t="s">
        <v>486</v>
      </c>
      <c r="W59" s="334" t="s">
        <v>76</v>
      </c>
      <c r="X59" s="334" t="s">
        <v>18</v>
      </c>
      <c r="Y59" s="344">
        <v>52.3</v>
      </c>
      <c r="AD59" s="343"/>
      <c r="AG59" s="344"/>
      <c r="AL59" s="343"/>
      <c r="AO59" s="344"/>
      <c r="AP59" s="343"/>
      <c r="AS59" s="344"/>
      <c r="AW59" s="344"/>
      <c r="BA59" s="345"/>
    </row>
    <row r="60" spans="1:53" s="334" customFormat="1">
      <c r="A60" s="334">
        <v>2004</v>
      </c>
      <c r="C60" s="992" t="s">
        <v>855</v>
      </c>
      <c r="D60" s="992"/>
      <c r="E60" s="334">
        <v>107</v>
      </c>
      <c r="G60" s="419"/>
      <c r="H60" s="334">
        <v>16</v>
      </c>
      <c r="J60" s="435">
        <v>16</v>
      </c>
      <c r="K60" s="384">
        <f t="shared" si="3"/>
        <v>0</v>
      </c>
      <c r="L60" s="384">
        <f t="shared" si="3"/>
        <v>100</v>
      </c>
      <c r="M60" s="384">
        <f t="shared" si="3"/>
        <v>0</v>
      </c>
      <c r="N60" s="421">
        <f t="shared" si="1"/>
        <v>100</v>
      </c>
      <c r="O60" s="383"/>
      <c r="P60" s="384">
        <v>52.3</v>
      </c>
      <c r="Q60" s="384"/>
      <c r="R60" s="385">
        <f t="shared" si="2"/>
        <v>52.3</v>
      </c>
      <c r="S60" s="334">
        <v>1</v>
      </c>
      <c r="T60" s="357"/>
      <c r="V60" s="343" t="s">
        <v>486</v>
      </c>
      <c r="W60" s="334" t="s">
        <v>76</v>
      </c>
      <c r="X60" s="334" t="s">
        <v>18</v>
      </c>
      <c r="Y60" s="344">
        <v>52.3</v>
      </c>
      <c r="AD60" s="343"/>
      <c r="AG60" s="344"/>
      <c r="AL60" s="343"/>
      <c r="AO60" s="344"/>
      <c r="AP60" s="343"/>
      <c r="AS60" s="344"/>
      <c r="AW60" s="344"/>
      <c r="BA60" s="345"/>
    </row>
    <row r="61" spans="1:53" s="208" customFormat="1">
      <c r="A61" s="208">
        <v>2004</v>
      </c>
      <c r="B61" s="207">
        <v>38094</v>
      </c>
      <c r="C61" s="988" t="s">
        <v>857</v>
      </c>
      <c r="D61" s="988"/>
      <c r="E61" s="208">
        <f>366-E60</f>
        <v>259</v>
      </c>
      <c r="F61" s="208">
        <v>1</v>
      </c>
      <c r="G61" s="123"/>
      <c r="I61" s="208">
        <v>17</v>
      </c>
      <c r="J61" s="134">
        <v>17</v>
      </c>
      <c r="K61" s="92">
        <f t="shared" si="3"/>
        <v>0</v>
      </c>
      <c r="L61" s="92">
        <f t="shared" si="3"/>
        <v>0</v>
      </c>
      <c r="M61" s="92">
        <f t="shared" si="3"/>
        <v>100</v>
      </c>
      <c r="N61" s="125">
        <f t="shared" si="1"/>
        <v>100</v>
      </c>
      <c r="O61" s="91"/>
      <c r="P61" s="92"/>
      <c r="Q61" s="92">
        <v>46.9</v>
      </c>
      <c r="R61" s="93">
        <f t="shared" si="2"/>
        <v>46.9</v>
      </c>
      <c r="S61" s="208">
        <v>4</v>
      </c>
      <c r="T61" s="95">
        <v>38060</v>
      </c>
      <c r="U61" s="207">
        <v>38094</v>
      </c>
      <c r="V61" s="82" t="s">
        <v>485</v>
      </c>
      <c r="W61" s="208" t="s">
        <v>20</v>
      </c>
      <c r="X61" s="208" t="s">
        <v>12</v>
      </c>
      <c r="Y61" s="83">
        <v>46.9</v>
      </c>
      <c r="AD61" s="82"/>
      <c r="AG61" s="83"/>
      <c r="AL61" s="82"/>
      <c r="AO61" s="83"/>
      <c r="AP61" s="82"/>
      <c r="AS61" s="83"/>
      <c r="AW61" s="83"/>
      <c r="BA61" s="84"/>
    </row>
    <row r="62" spans="1:53" s="208" customFormat="1">
      <c r="A62" s="208">
        <v>2005</v>
      </c>
      <c r="C62" s="988" t="s">
        <v>857</v>
      </c>
      <c r="D62" s="988"/>
      <c r="E62" s="208">
        <v>0</v>
      </c>
      <c r="G62" s="123"/>
      <c r="I62" s="208">
        <v>17</v>
      </c>
      <c r="J62" s="134">
        <v>17</v>
      </c>
      <c r="K62" s="92">
        <f t="shared" si="3"/>
        <v>0</v>
      </c>
      <c r="L62" s="92">
        <f t="shared" si="3"/>
        <v>0</v>
      </c>
      <c r="M62" s="92">
        <f t="shared" si="3"/>
        <v>100</v>
      </c>
      <c r="N62" s="125">
        <f t="shared" si="1"/>
        <v>100</v>
      </c>
      <c r="O62" s="91"/>
      <c r="P62" s="92"/>
      <c r="Q62" s="92">
        <v>46.9</v>
      </c>
      <c r="R62" s="93">
        <f t="shared" si="2"/>
        <v>46.9</v>
      </c>
      <c r="S62" s="208">
        <v>4</v>
      </c>
      <c r="T62" s="81"/>
      <c r="V62" s="82" t="s">
        <v>485</v>
      </c>
      <c r="W62" s="208" t="s">
        <v>20</v>
      </c>
      <c r="X62" s="208" t="s">
        <v>12</v>
      </c>
      <c r="Y62" s="83">
        <v>46.9</v>
      </c>
      <c r="AD62" s="82"/>
      <c r="AG62" s="83"/>
      <c r="AL62" s="82"/>
      <c r="AO62" s="83"/>
      <c r="AP62" s="82"/>
      <c r="AS62" s="83"/>
      <c r="AW62" s="83"/>
      <c r="BA62" s="84"/>
    </row>
    <row r="63" spans="1:53" s="208" customFormat="1">
      <c r="A63" s="208">
        <v>2005</v>
      </c>
      <c r="C63" s="988" t="s">
        <v>857</v>
      </c>
      <c r="D63" s="988"/>
      <c r="E63" s="208">
        <f>365-E62</f>
        <v>365</v>
      </c>
      <c r="G63" s="123"/>
      <c r="I63" s="208">
        <v>17</v>
      </c>
      <c r="J63" s="134">
        <v>17</v>
      </c>
      <c r="K63" s="92">
        <f t="shared" si="3"/>
        <v>0</v>
      </c>
      <c r="L63" s="92">
        <f t="shared" si="3"/>
        <v>0</v>
      </c>
      <c r="M63" s="92">
        <f t="shared" si="3"/>
        <v>100</v>
      </c>
      <c r="N63" s="125">
        <f t="shared" si="1"/>
        <v>100</v>
      </c>
      <c r="O63" s="91"/>
      <c r="P63" s="92"/>
      <c r="Q63" s="92">
        <v>46.9</v>
      </c>
      <c r="R63" s="93">
        <f t="shared" si="2"/>
        <v>46.9</v>
      </c>
      <c r="S63" s="208">
        <v>4</v>
      </c>
      <c r="T63" s="81"/>
      <c r="V63" s="82" t="s">
        <v>485</v>
      </c>
      <c r="W63" s="208" t="s">
        <v>20</v>
      </c>
      <c r="X63" s="208" t="s">
        <v>12</v>
      </c>
      <c r="Y63" s="83">
        <v>46.9</v>
      </c>
      <c r="AD63" s="82"/>
      <c r="AG63" s="83"/>
      <c r="AL63" s="82"/>
      <c r="AO63" s="83"/>
      <c r="AP63" s="82"/>
      <c r="AS63" s="83"/>
      <c r="AW63" s="83"/>
      <c r="BA63" s="84"/>
    </row>
    <row r="64" spans="1:53" s="208" customFormat="1">
      <c r="A64" s="208">
        <v>2006</v>
      </c>
      <c r="C64" s="988" t="s">
        <v>857</v>
      </c>
      <c r="D64" s="988"/>
      <c r="E64" s="208">
        <v>0</v>
      </c>
      <c r="G64" s="123"/>
      <c r="I64" s="208">
        <v>17</v>
      </c>
      <c r="J64" s="134">
        <v>17</v>
      </c>
      <c r="K64" s="92">
        <f t="shared" si="3"/>
        <v>0</v>
      </c>
      <c r="L64" s="92">
        <f t="shared" si="3"/>
        <v>0</v>
      </c>
      <c r="M64" s="92">
        <f t="shared" si="3"/>
        <v>100</v>
      </c>
      <c r="N64" s="125">
        <f t="shared" si="1"/>
        <v>100</v>
      </c>
      <c r="O64" s="91"/>
      <c r="P64" s="92"/>
      <c r="Q64" s="92">
        <v>46.9</v>
      </c>
      <c r="R64" s="93">
        <f t="shared" si="2"/>
        <v>46.9</v>
      </c>
      <c r="S64" s="208">
        <v>4</v>
      </c>
      <c r="T64" s="81"/>
      <c r="V64" s="82" t="s">
        <v>485</v>
      </c>
      <c r="W64" s="208" t="s">
        <v>20</v>
      </c>
      <c r="X64" s="208" t="s">
        <v>12</v>
      </c>
      <c r="Y64" s="83">
        <v>46.9</v>
      </c>
      <c r="AD64" s="82"/>
      <c r="AG64" s="83"/>
      <c r="AL64" s="82"/>
      <c r="AO64" s="83"/>
      <c r="AP64" s="82"/>
      <c r="AS64" s="83"/>
      <c r="AW64" s="83"/>
      <c r="BA64" s="84"/>
    </row>
    <row r="65" spans="1:53" s="208" customFormat="1">
      <c r="A65" s="208">
        <v>2006</v>
      </c>
      <c r="C65" s="988" t="s">
        <v>857</v>
      </c>
      <c r="D65" s="988"/>
      <c r="E65" s="208">
        <f>365-E64</f>
        <v>365</v>
      </c>
      <c r="G65" s="123"/>
      <c r="I65" s="208">
        <v>17</v>
      </c>
      <c r="J65" s="134">
        <v>17</v>
      </c>
      <c r="K65" s="92">
        <f t="shared" si="3"/>
        <v>0</v>
      </c>
      <c r="L65" s="92">
        <f t="shared" si="3"/>
        <v>0</v>
      </c>
      <c r="M65" s="92">
        <f t="shared" si="3"/>
        <v>100</v>
      </c>
      <c r="N65" s="125">
        <f t="shared" si="1"/>
        <v>100</v>
      </c>
      <c r="O65" s="91"/>
      <c r="P65" s="92"/>
      <c r="Q65" s="92">
        <v>46.9</v>
      </c>
      <c r="R65" s="93">
        <f t="shared" si="2"/>
        <v>46.9</v>
      </c>
      <c r="S65" s="208">
        <v>4</v>
      </c>
      <c r="T65" s="81"/>
      <c r="V65" s="82" t="s">
        <v>485</v>
      </c>
      <c r="W65" s="208" t="s">
        <v>20</v>
      </c>
      <c r="X65" s="208" t="s">
        <v>12</v>
      </c>
      <c r="Y65" s="83">
        <v>46.9</v>
      </c>
      <c r="AD65" s="82"/>
      <c r="AG65" s="83"/>
      <c r="AL65" s="82"/>
      <c r="AO65" s="83"/>
      <c r="AP65" s="82"/>
      <c r="AS65" s="83"/>
      <c r="AW65" s="83"/>
      <c r="BA65" s="84"/>
    </row>
    <row r="66" spans="1:53" s="208" customFormat="1">
      <c r="A66" s="208">
        <v>2007</v>
      </c>
      <c r="C66" s="988" t="s">
        <v>857</v>
      </c>
      <c r="D66" s="988"/>
      <c r="E66" s="208">
        <v>0</v>
      </c>
      <c r="G66" s="123"/>
      <c r="I66" s="208">
        <v>17</v>
      </c>
      <c r="J66" s="134">
        <v>17</v>
      </c>
      <c r="K66" s="92">
        <f t="shared" si="3"/>
        <v>0</v>
      </c>
      <c r="L66" s="92">
        <f t="shared" si="3"/>
        <v>0</v>
      </c>
      <c r="M66" s="92">
        <f t="shared" si="3"/>
        <v>100</v>
      </c>
      <c r="N66" s="125">
        <f t="shared" si="1"/>
        <v>100</v>
      </c>
      <c r="O66" s="91"/>
      <c r="P66" s="92"/>
      <c r="Q66" s="92">
        <v>46.9</v>
      </c>
      <c r="R66" s="93">
        <f t="shared" si="2"/>
        <v>46.9</v>
      </c>
      <c r="S66" s="208">
        <v>4</v>
      </c>
      <c r="T66" s="81"/>
      <c r="V66" s="82" t="s">
        <v>485</v>
      </c>
      <c r="W66" s="208" t="s">
        <v>20</v>
      </c>
      <c r="X66" s="208" t="s">
        <v>12</v>
      </c>
      <c r="Y66" s="83">
        <v>46.9</v>
      </c>
      <c r="AD66" s="82"/>
      <c r="AG66" s="83"/>
      <c r="AL66" s="82"/>
      <c r="AO66" s="83"/>
      <c r="AP66" s="82"/>
      <c r="AS66" s="83"/>
      <c r="AW66" s="83"/>
      <c r="BA66" s="84"/>
    </row>
    <row r="67" spans="1:53" s="208" customFormat="1">
      <c r="A67" s="208">
        <v>2007</v>
      </c>
      <c r="C67" s="988" t="s">
        <v>857</v>
      </c>
      <c r="D67" s="988"/>
      <c r="E67" s="208">
        <v>365</v>
      </c>
      <c r="G67" s="123"/>
      <c r="I67" s="208">
        <v>17</v>
      </c>
      <c r="J67" s="134">
        <v>17</v>
      </c>
      <c r="K67" s="92">
        <f t="shared" si="3"/>
        <v>0</v>
      </c>
      <c r="L67" s="92">
        <f t="shared" si="3"/>
        <v>0</v>
      </c>
      <c r="M67" s="92">
        <f t="shared" si="3"/>
        <v>100</v>
      </c>
      <c r="N67" s="125">
        <f t="shared" si="1"/>
        <v>100</v>
      </c>
      <c r="O67" s="91"/>
      <c r="P67" s="92"/>
      <c r="Q67" s="92">
        <v>46.9</v>
      </c>
      <c r="R67" s="93">
        <f t="shared" si="2"/>
        <v>46.9</v>
      </c>
      <c r="S67" s="208">
        <v>4</v>
      </c>
      <c r="T67" s="81"/>
      <c r="V67" s="82" t="s">
        <v>485</v>
      </c>
      <c r="W67" s="208" t="s">
        <v>20</v>
      </c>
      <c r="X67" s="208" t="s">
        <v>12</v>
      </c>
      <c r="Y67" s="83">
        <v>46.9</v>
      </c>
      <c r="AD67" s="82"/>
      <c r="AG67" s="83"/>
      <c r="AL67" s="82"/>
      <c r="AO67" s="83"/>
      <c r="AP67" s="82"/>
      <c r="AS67" s="83"/>
      <c r="AW67" s="83"/>
      <c r="BA67" s="84"/>
    </row>
    <row r="68" spans="1:53" s="208" customFormat="1">
      <c r="A68" s="208">
        <v>2008</v>
      </c>
      <c r="C68" s="988" t="s">
        <v>857</v>
      </c>
      <c r="D68" s="988"/>
      <c r="E68" s="208">
        <v>98</v>
      </c>
      <c r="G68" s="123"/>
      <c r="I68" s="208">
        <v>17</v>
      </c>
      <c r="J68" s="134">
        <v>17</v>
      </c>
      <c r="K68" s="92">
        <f t="shared" si="3"/>
        <v>0</v>
      </c>
      <c r="L68" s="92">
        <f t="shared" si="3"/>
        <v>0</v>
      </c>
      <c r="M68" s="92">
        <f t="shared" si="3"/>
        <v>100</v>
      </c>
      <c r="N68" s="125">
        <f t="shared" si="1"/>
        <v>100</v>
      </c>
      <c r="O68" s="91"/>
      <c r="P68" s="92"/>
      <c r="Q68" s="92">
        <v>46.9</v>
      </c>
      <c r="R68" s="93">
        <f t="shared" si="2"/>
        <v>46.9</v>
      </c>
      <c r="S68" s="208">
        <v>4</v>
      </c>
      <c r="T68" s="81"/>
      <c r="V68" s="82" t="s">
        <v>485</v>
      </c>
      <c r="W68" s="208" t="s">
        <v>20</v>
      </c>
      <c r="X68" s="208" t="s">
        <v>12</v>
      </c>
      <c r="Y68" s="83">
        <v>46.9</v>
      </c>
      <c r="AD68" s="82"/>
      <c r="AG68" s="83"/>
      <c r="AL68" s="82"/>
      <c r="AO68" s="83"/>
      <c r="AP68" s="82"/>
      <c r="AS68" s="83"/>
      <c r="AW68" s="83"/>
      <c r="BA68" s="84"/>
    </row>
    <row r="69" spans="1:53" s="334" customFormat="1">
      <c r="A69" s="334">
        <v>2008</v>
      </c>
      <c r="B69" s="355">
        <v>39546</v>
      </c>
      <c r="C69" s="992" t="s">
        <v>858</v>
      </c>
      <c r="D69" s="992"/>
      <c r="E69" s="334">
        <f>366-E68</f>
        <v>268</v>
      </c>
      <c r="F69" s="334">
        <v>1</v>
      </c>
      <c r="G69" s="419"/>
      <c r="I69" s="334">
        <v>17</v>
      </c>
      <c r="J69" s="435">
        <v>17</v>
      </c>
      <c r="K69" s="384">
        <f t="shared" si="3"/>
        <v>0</v>
      </c>
      <c r="L69" s="384">
        <f t="shared" si="3"/>
        <v>0</v>
      </c>
      <c r="M69" s="384">
        <f t="shared" si="3"/>
        <v>100</v>
      </c>
      <c r="N69" s="421">
        <f t="shared" si="1"/>
        <v>100</v>
      </c>
      <c r="O69" s="383"/>
      <c r="P69" s="384"/>
      <c r="Q69" s="384">
        <v>48.28</v>
      </c>
      <c r="R69" s="385">
        <f t="shared" si="2"/>
        <v>48.28</v>
      </c>
      <c r="S69" s="334">
        <v>4</v>
      </c>
      <c r="T69" s="342">
        <v>39516</v>
      </c>
      <c r="U69" s="355">
        <v>39546</v>
      </c>
      <c r="V69" s="343" t="s">
        <v>485</v>
      </c>
      <c r="W69" s="334" t="s">
        <v>20</v>
      </c>
      <c r="X69" s="334" t="s">
        <v>12</v>
      </c>
      <c r="Y69" s="344">
        <v>48.3</v>
      </c>
      <c r="AD69" s="343"/>
      <c r="AG69" s="344"/>
      <c r="AL69" s="343"/>
      <c r="AO69" s="344"/>
      <c r="AP69" s="343"/>
      <c r="AS69" s="344"/>
      <c r="AW69" s="344"/>
      <c r="BA69" s="345"/>
    </row>
    <row r="70" spans="1:53" s="334" customFormat="1">
      <c r="A70" s="334">
        <v>2009</v>
      </c>
      <c r="C70" s="992" t="s">
        <v>858</v>
      </c>
      <c r="D70" s="992"/>
      <c r="E70" s="334">
        <v>96</v>
      </c>
      <c r="G70" s="419"/>
      <c r="I70" s="334">
        <v>17</v>
      </c>
      <c r="J70" s="435">
        <v>17</v>
      </c>
      <c r="K70" s="384">
        <f t="shared" si="3"/>
        <v>0</v>
      </c>
      <c r="L70" s="384">
        <f t="shared" si="3"/>
        <v>0</v>
      </c>
      <c r="M70" s="384">
        <f t="shared" si="3"/>
        <v>100</v>
      </c>
      <c r="N70" s="421">
        <f t="shared" si="1"/>
        <v>100</v>
      </c>
      <c r="O70" s="383"/>
      <c r="P70" s="384"/>
      <c r="Q70" s="384">
        <v>48.28</v>
      </c>
      <c r="R70" s="385">
        <f t="shared" si="2"/>
        <v>48.28</v>
      </c>
      <c r="S70" s="334">
        <v>4</v>
      </c>
      <c r="T70" s="357"/>
      <c r="V70" s="343" t="s">
        <v>485</v>
      </c>
      <c r="W70" s="334" t="s">
        <v>20</v>
      </c>
      <c r="X70" s="334" t="s">
        <v>12</v>
      </c>
      <c r="Y70" s="344">
        <v>48.3</v>
      </c>
      <c r="AD70" s="343"/>
      <c r="AG70" s="344"/>
      <c r="AL70" s="343"/>
      <c r="AO70" s="344"/>
      <c r="AP70" s="343"/>
      <c r="AS70" s="344"/>
      <c r="AW70" s="344"/>
      <c r="BA70" s="345"/>
    </row>
    <row r="71" spans="1:53" s="334" customFormat="1">
      <c r="A71" s="334">
        <v>2009</v>
      </c>
      <c r="B71" s="445">
        <v>39910</v>
      </c>
      <c r="C71" s="992" t="s">
        <v>858</v>
      </c>
      <c r="D71" s="992"/>
      <c r="E71" s="334">
        <f>365-E70</f>
        <v>269</v>
      </c>
      <c r="F71" s="441">
        <v>0</v>
      </c>
      <c r="G71" s="419"/>
      <c r="I71" s="334">
        <v>18</v>
      </c>
      <c r="J71" s="435">
        <v>18</v>
      </c>
      <c r="K71" s="384">
        <f t="shared" si="3"/>
        <v>0</v>
      </c>
      <c r="L71" s="384">
        <f t="shared" si="3"/>
        <v>0</v>
      </c>
      <c r="M71" s="384">
        <f t="shared" si="3"/>
        <v>100</v>
      </c>
      <c r="N71" s="421">
        <f t="shared" si="1"/>
        <v>100</v>
      </c>
      <c r="O71" s="383"/>
      <c r="P71" s="384"/>
      <c r="Q71" s="384">
        <v>48.28</v>
      </c>
      <c r="R71" s="385">
        <f t="shared" si="2"/>
        <v>48.28</v>
      </c>
      <c r="S71" s="334">
        <v>4</v>
      </c>
      <c r="T71" s="357"/>
      <c r="V71" s="343" t="s">
        <v>485</v>
      </c>
      <c r="W71" s="334" t="s">
        <v>20</v>
      </c>
      <c r="X71" s="334" t="s">
        <v>12</v>
      </c>
      <c r="Y71" s="344">
        <v>48.3</v>
      </c>
      <c r="AD71" s="343"/>
      <c r="AG71" s="344"/>
      <c r="AL71" s="343"/>
      <c r="AO71" s="344"/>
      <c r="AP71" s="343"/>
      <c r="AS71" s="344"/>
      <c r="AW71" s="344"/>
      <c r="BA71" s="345"/>
    </row>
    <row r="72" spans="1:53" s="334" customFormat="1">
      <c r="A72" s="334">
        <v>2010</v>
      </c>
      <c r="C72" s="992" t="s">
        <v>858</v>
      </c>
      <c r="D72" s="992"/>
      <c r="E72" s="334">
        <v>292</v>
      </c>
      <c r="G72" s="419"/>
      <c r="I72" s="334">
        <v>18</v>
      </c>
      <c r="J72" s="435">
        <v>18</v>
      </c>
      <c r="K72" s="384">
        <f t="shared" si="3"/>
        <v>0</v>
      </c>
      <c r="L72" s="384">
        <f t="shared" si="3"/>
        <v>0</v>
      </c>
      <c r="M72" s="384">
        <f t="shared" si="3"/>
        <v>100</v>
      </c>
      <c r="N72" s="421">
        <f t="shared" ref="N72:N79" si="4">K72+L72+M72</f>
        <v>100</v>
      </c>
      <c r="O72" s="383"/>
      <c r="P72" s="384"/>
      <c r="Q72" s="384">
        <v>48.28</v>
      </c>
      <c r="R72" s="385">
        <f t="shared" ref="R72:R79" si="5">O72+P72+Q72</f>
        <v>48.28</v>
      </c>
      <c r="S72" s="334">
        <v>4</v>
      </c>
      <c r="T72" s="357"/>
      <c r="V72" s="343" t="s">
        <v>485</v>
      </c>
      <c r="W72" s="334" t="s">
        <v>20</v>
      </c>
      <c r="X72" s="334" t="s">
        <v>12</v>
      </c>
      <c r="Y72" s="344">
        <v>48.3</v>
      </c>
      <c r="AD72" s="343"/>
      <c r="AG72" s="344"/>
      <c r="AL72" s="343"/>
      <c r="AO72" s="344"/>
      <c r="AP72" s="343"/>
      <c r="AS72" s="344"/>
      <c r="AW72" s="344"/>
      <c r="BA72" s="345"/>
    </row>
    <row r="73" spans="1:53" s="334" customFormat="1">
      <c r="A73" s="334">
        <v>2010</v>
      </c>
      <c r="B73" s="445">
        <v>40471</v>
      </c>
      <c r="C73" s="992" t="s">
        <v>858</v>
      </c>
      <c r="D73" s="992"/>
      <c r="E73" s="334">
        <f>365-E72</f>
        <v>73</v>
      </c>
      <c r="F73" s="441">
        <v>0</v>
      </c>
      <c r="G73" s="419"/>
      <c r="I73" s="334">
        <v>15</v>
      </c>
      <c r="J73" s="435">
        <v>16</v>
      </c>
      <c r="K73" s="384">
        <f t="shared" si="3"/>
        <v>0</v>
      </c>
      <c r="L73" s="384">
        <f t="shared" si="3"/>
        <v>0</v>
      </c>
      <c r="M73" s="384">
        <f t="shared" si="3"/>
        <v>93.75</v>
      </c>
      <c r="N73" s="421">
        <f t="shared" si="4"/>
        <v>93.75</v>
      </c>
      <c r="O73" s="383"/>
      <c r="P73" s="384"/>
      <c r="Q73" s="384">
        <v>48.28</v>
      </c>
      <c r="R73" s="385">
        <f t="shared" si="5"/>
        <v>48.28</v>
      </c>
      <c r="S73" s="334">
        <v>4</v>
      </c>
      <c r="T73" s="357"/>
      <c r="V73" s="343" t="s">
        <v>485</v>
      </c>
      <c r="W73" s="334" t="s">
        <v>20</v>
      </c>
      <c r="X73" s="334" t="s">
        <v>12</v>
      </c>
      <c r="Y73" s="344">
        <v>48.3</v>
      </c>
      <c r="AD73" s="343"/>
      <c r="AG73" s="344"/>
      <c r="AL73" s="343"/>
      <c r="AO73" s="344"/>
      <c r="AP73" s="343"/>
      <c r="AS73" s="344"/>
      <c r="AW73" s="344"/>
      <c r="BA73" s="345"/>
    </row>
    <row r="74" spans="1:53" s="334" customFormat="1">
      <c r="A74" s="334">
        <v>2011</v>
      </c>
      <c r="C74" s="992" t="s">
        <v>858</v>
      </c>
      <c r="D74" s="992"/>
      <c r="E74" s="334">
        <v>352</v>
      </c>
      <c r="G74" s="419"/>
      <c r="I74" s="334">
        <v>15</v>
      </c>
      <c r="J74" s="435">
        <v>16</v>
      </c>
      <c r="K74" s="384">
        <f t="shared" si="3"/>
        <v>0</v>
      </c>
      <c r="L74" s="384">
        <f t="shared" si="3"/>
        <v>0</v>
      </c>
      <c r="M74" s="384">
        <f t="shared" si="3"/>
        <v>93.75</v>
      </c>
      <c r="N74" s="421">
        <f t="shared" si="4"/>
        <v>93.75</v>
      </c>
      <c r="O74" s="383"/>
      <c r="P74" s="384"/>
      <c r="Q74" s="384">
        <v>48.28</v>
      </c>
      <c r="R74" s="385">
        <f t="shared" si="5"/>
        <v>48.28</v>
      </c>
      <c r="S74" s="334">
        <v>4</v>
      </c>
      <c r="T74" s="357"/>
      <c r="V74" s="343" t="s">
        <v>485</v>
      </c>
      <c r="W74" s="334" t="s">
        <v>20</v>
      </c>
      <c r="X74" s="334" t="s">
        <v>12</v>
      </c>
      <c r="Y74" s="344">
        <v>48.3</v>
      </c>
      <c r="AD74" s="343"/>
      <c r="AG74" s="344"/>
      <c r="AL74" s="343"/>
      <c r="AO74" s="344"/>
      <c r="AP74" s="343"/>
      <c r="AS74" s="344"/>
      <c r="AW74" s="344"/>
      <c r="BA74" s="345"/>
    </row>
    <row r="75" spans="1:53" s="208" customFormat="1">
      <c r="A75" s="208">
        <v>2011</v>
      </c>
      <c r="B75" s="207">
        <v>40896</v>
      </c>
      <c r="C75" s="1026" t="s">
        <v>859</v>
      </c>
      <c r="D75" s="1026"/>
      <c r="E75" s="208">
        <v>13</v>
      </c>
      <c r="F75" s="208">
        <v>1</v>
      </c>
      <c r="G75" s="123"/>
      <c r="H75" s="208">
        <v>14</v>
      </c>
      <c r="J75" s="134">
        <v>14</v>
      </c>
      <c r="K75" s="92">
        <f t="shared" si="3"/>
        <v>0</v>
      </c>
      <c r="L75" s="92">
        <f t="shared" si="3"/>
        <v>100</v>
      </c>
      <c r="M75" s="92">
        <f t="shared" si="3"/>
        <v>0</v>
      </c>
      <c r="N75" s="125">
        <f t="shared" si="4"/>
        <v>100</v>
      </c>
      <c r="O75" s="91"/>
      <c r="P75" s="92">
        <v>53.14</v>
      </c>
      <c r="Q75" s="92"/>
      <c r="R75" s="93">
        <f t="shared" si="5"/>
        <v>53.14</v>
      </c>
      <c r="S75" s="208">
        <v>1</v>
      </c>
      <c r="T75" s="95">
        <v>40867</v>
      </c>
      <c r="U75" s="207">
        <v>40896</v>
      </c>
      <c r="V75" s="82" t="s">
        <v>486</v>
      </c>
      <c r="W75" s="208" t="s">
        <v>76</v>
      </c>
      <c r="X75" s="208" t="s">
        <v>18</v>
      </c>
      <c r="Y75" s="83">
        <v>53.1</v>
      </c>
      <c r="AD75" s="82"/>
      <c r="AG75" s="83"/>
      <c r="AL75" s="82"/>
      <c r="AO75" s="83"/>
      <c r="AP75" s="82"/>
      <c r="AS75" s="83"/>
      <c r="AW75" s="83"/>
      <c r="BA75" s="84"/>
    </row>
    <row r="76" spans="1:53" s="208" customFormat="1">
      <c r="A76" s="208">
        <v>2012</v>
      </c>
      <c r="B76" s="213"/>
      <c r="C76" s="1026" t="s">
        <v>859</v>
      </c>
      <c r="D76" s="1026"/>
      <c r="E76" s="208">
        <v>0</v>
      </c>
      <c r="G76" s="123"/>
      <c r="H76" s="208">
        <v>14</v>
      </c>
      <c r="J76" s="134">
        <v>14</v>
      </c>
      <c r="K76" s="92">
        <f t="shared" si="3"/>
        <v>0</v>
      </c>
      <c r="L76" s="92">
        <f t="shared" si="3"/>
        <v>100</v>
      </c>
      <c r="M76" s="92">
        <f t="shared" si="3"/>
        <v>0</v>
      </c>
      <c r="N76" s="125">
        <f t="shared" si="4"/>
        <v>100</v>
      </c>
      <c r="O76" s="91"/>
      <c r="P76" s="92">
        <v>53.14</v>
      </c>
      <c r="Q76" s="92"/>
      <c r="R76" s="93">
        <f t="shared" si="5"/>
        <v>53.14</v>
      </c>
      <c r="S76" s="208">
        <v>1</v>
      </c>
      <c r="T76" s="81"/>
      <c r="V76" s="82" t="s">
        <v>486</v>
      </c>
      <c r="W76" s="208" t="s">
        <v>76</v>
      </c>
      <c r="X76" s="208" t="s">
        <v>18</v>
      </c>
      <c r="Y76" s="83">
        <v>53.1</v>
      </c>
      <c r="AD76" s="82"/>
      <c r="AG76" s="83"/>
      <c r="AL76" s="82"/>
      <c r="AO76" s="83"/>
      <c r="AP76" s="82"/>
      <c r="AS76" s="83"/>
      <c r="AW76" s="83"/>
      <c r="BA76" s="84"/>
    </row>
    <row r="77" spans="1:53" s="208" customFormat="1">
      <c r="A77" s="208">
        <v>2012</v>
      </c>
      <c r="B77" s="213"/>
      <c r="C77" s="1026" t="s">
        <v>859</v>
      </c>
      <c r="D77" s="1026"/>
      <c r="E77" s="208">
        <v>366</v>
      </c>
      <c r="G77" s="123"/>
      <c r="H77" s="208">
        <v>14</v>
      </c>
      <c r="J77" s="134">
        <v>14</v>
      </c>
      <c r="K77" s="92">
        <f t="shared" si="3"/>
        <v>0</v>
      </c>
      <c r="L77" s="92">
        <f t="shared" si="3"/>
        <v>100</v>
      </c>
      <c r="M77" s="92">
        <f t="shared" si="3"/>
        <v>0</v>
      </c>
      <c r="N77" s="125">
        <f t="shared" si="4"/>
        <v>100</v>
      </c>
      <c r="O77" s="91"/>
      <c r="P77" s="92">
        <v>53.14</v>
      </c>
      <c r="Q77" s="92"/>
      <c r="R77" s="93">
        <f t="shared" si="5"/>
        <v>53.14</v>
      </c>
      <c r="S77" s="208">
        <v>1</v>
      </c>
      <c r="T77" s="81"/>
      <c r="V77" s="82" t="s">
        <v>486</v>
      </c>
      <c r="W77" s="208" t="s">
        <v>76</v>
      </c>
      <c r="X77" s="208" t="s">
        <v>18</v>
      </c>
      <c r="Y77" s="83">
        <v>53.1</v>
      </c>
      <c r="AD77" s="82"/>
      <c r="AG77" s="83"/>
      <c r="AL77" s="82"/>
      <c r="AO77" s="83"/>
      <c r="AP77" s="82"/>
      <c r="AS77" s="83"/>
      <c r="AW77" s="83"/>
      <c r="BA77" s="84"/>
    </row>
    <row r="78" spans="1:53" s="310" customFormat="1">
      <c r="A78" s="310">
        <v>2013</v>
      </c>
      <c r="B78" s="311"/>
      <c r="C78" s="1026" t="s">
        <v>859</v>
      </c>
      <c r="D78" s="1026"/>
      <c r="E78" s="310">
        <v>0</v>
      </c>
      <c r="G78" s="123"/>
      <c r="H78" s="310">
        <v>14</v>
      </c>
      <c r="J78" s="134">
        <v>14</v>
      </c>
      <c r="K78" s="92">
        <f t="shared" si="3"/>
        <v>0</v>
      </c>
      <c r="L78" s="92">
        <f t="shared" si="3"/>
        <v>100</v>
      </c>
      <c r="M78" s="92">
        <f t="shared" si="3"/>
        <v>0</v>
      </c>
      <c r="N78" s="125">
        <f t="shared" si="4"/>
        <v>100</v>
      </c>
      <c r="O78" s="91"/>
      <c r="P78" s="92">
        <v>53.14</v>
      </c>
      <c r="Q78" s="92"/>
      <c r="R78" s="93">
        <f t="shared" si="5"/>
        <v>53.14</v>
      </c>
      <c r="S78" s="310">
        <v>1</v>
      </c>
      <c r="T78" s="81"/>
      <c r="V78" s="82" t="s">
        <v>486</v>
      </c>
      <c r="W78" s="310" t="s">
        <v>76</v>
      </c>
      <c r="X78" s="310" t="s">
        <v>18</v>
      </c>
      <c r="Y78" s="83">
        <v>53.1</v>
      </c>
      <c r="AD78" s="82"/>
      <c r="AG78" s="83"/>
      <c r="AL78" s="82"/>
      <c r="AO78" s="83"/>
      <c r="AP78" s="82"/>
      <c r="AS78" s="83"/>
      <c r="AW78" s="83"/>
      <c r="BA78" s="84"/>
    </row>
    <row r="79" spans="1:53" s="310" customFormat="1">
      <c r="A79" s="310">
        <v>2013</v>
      </c>
      <c r="B79" s="311"/>
      <c r="C79" s="1026" t="s">
        <v>859</v>
      </c>
      <c r="D79" s="1026"/>
      <c r="E79" s="310">
        <v>365</v>
      </c>
      <c r="G79" s="123"/>
      <c r="H79" s="310">
        <v>14</v>
      </c>
      <c r="J79" s="134">
        <v>14</v>
      </c>
      <c r="K79" s="92">
        <f t="shared" si="3"/>
        <v>0</v>
      </c>
      <c r="L79" s="92">
        <f t="shared" si="3"/>
        <v>100</v>
      </c>
      <c r="M79" s="92">
        <f t="shared" si="3"/>
        <v>0</v>
      </c>
      <c r="N79" s="125">
        <f t="shared" si="4"/>
        <v>100</v>
      </c>
      <c r="O79" s="91"/>
      <c r="P79" s="92">
        <v>53.14</v>
      </c>
      <c r="Q79" s="92"/>
      <c r="R79" s="93">
        <f t="shared" si="5"/>
        <v>53.14</v>
      </c>
      <c r="S79" s="310">
        <v>1</v>
      </c>
      <c r="T79" s="81"/>
      <c r="V79" s="82" t="s">
        <v>486</v>
      </c>
      <c r="W79" s="310" t="s">
        <v>76</v>
      </c>
      <c r="X79" s="310" t="s">
        <v>18</v>
      </c>
      <c r="Y79" s="83">
        <v>53.1</v>
      </c>
      <c r="AD79" s="82"/>
      <c r="AG79" s="83"/>
      <c r="AL79" s="82"/>
      <c r="AO79" s="83"/>
      <c r="AP79" s="82"/>
      <c r="AS79" s="83"/>
      <c r="AW79" s="83"/>
      <c r="BA79" s="84"/>
    </row>
    <row r="80" spans="1:53" s="656" customFormat="1">
      <c r="A80" s="656">
        <v>2014</v>
      </c>
      <c r="B80" s="658"/>
      <c r="C80" s="1026" t="s">
        <v>859</v>
      </c>
      <c r="D80" s="1026"/>
      <c r="E80" s="656">
        <v>0</v>
      </c>
      <c r="G80" s="596"/>
      <c r="H80" s="656">
        <v>14</v>
      </c>
      <c r="J80" s="598">
        <v>14</v>
      </c>
      <c r="K80" s="593">
        <f t="shared" ref="K80:M81" si="6">G80/$J80*100</f>
        <v>0</v>
      </c>
      <c r="L80" s="593">
        <f t="shared" si="6"/>
        <v>100</v>
      </c>
      <c r="M80" s="593">
        <f t="shared" si="6"/>
        <v>0</v>
      </c>
      <c r="N80" s="597">
        <f>K80+L80+M80</f>
        <v>100</v>
      </c>
      <c r="O80" s="592"/>
      <c r="P80" s="593">
        <v>53.14</v>
      </c>
      <c r="Q80" s="593"/>
      <c r="R80" s="594">
        <f>O80+P80+Q80</f>
        <v>53.14</v>
      </c>
      <c r="S80" s="656">
        <v>1</v>
      </c>
      <c r="T80" s="575"/>
      <c r="V80" s="588" t="s">
        <v>486</v>
      </c>
      <c r="W80" s="656" t="s">
        <v>76</v>
      </c>
      <c r="X80" s="656" t="s">
        <v>18</v>
      </c>
      <c r="Y80" s="589">
        <v>53.1</v>
      </c>
      <c r="AD80" s="588"/>
      <c r="AG80" s="589"/>
      <c r="AL80" s="588"/>
      <c r="AO80" s="589"/>
      <c r="AP80" s="588"/>
      <c r="AS80" s="589"/>
      <c r="AW80" s="589"/>
      <c r="BA80" s="590"/>
    </row>
    <row r="81" spans="1:53" s="656" customFormat="1">
      <c r="A81" s="656">
        <v>2014</v>
      </c>
      <c r="B81" s="658"/>
      <c r="C81" s="1026" t="s">
        <v>859</v>
      </c>
      <c r="D81" s="1026"/>
      <c r="E81" s="656">
        <v>365</v>
      </c>
      <c r="G81" s="596"/>
      <c r="H81" s="656">
        <v>14</v>
      </c>
      <c r="J81" s="598">
        <v>14</v>
      </c>
      <c r="K81" s="593">
        <f t="shared" si="6"/>
        <v>0</v>
      </c>
      <c r="L81" s="593">
        <f t="shared" si="6"/>
        <v>100</v>
      </c>
      <c r="M81" s="593">
        <f t="shared" si="6"/>
        <v>0</v>
      </c>
      <c r="N81" s="597">
        <f>K81+L81+M81</f>
        <v>100</v>
      </c>
      <c r="O81" s="592"/>
      <c r="P81" s="593">
        <v>53.14</v>
      </c>
      <c r="Q81" s="593"/>
      <c r="R81" s="594">
        <f>O81+P81+Q81</f>
        <v>53.14</v>
      </c>
      <c r="S81" s="656">
        <v>1</v>
      </c>
      <c r="T81" s="575"/>
      <c r="V81" s="588" t="s">
        <v>486</v>
      </c>
      <c r="W81" s="656" t="s">
        <v>76</v>
      </c>
      <c r="X81" s="656" t="s">
        <v>18</v>
      </c>
      <c r="Y81" s="589">
        <v>53.1</v>
      </c>
      <c r="AD81" s="588"/>
      <c r="AG81" s="589"/>
      <c r="AL81" s="588"/>
      <c r="AO81" s="589"/>
      <c r="AP81" s="588"/>
      <c r="AS81" s="589"/>
      <c r="AW81" s="589"/>
      <c r="BA81" s="590"/>
    </row>
    <row r="82" spans="1:53" s="751" customFormat="1">
      <c r="A82" s="751">
        <v>2015</v>
      </c>
      <c r="B82" s="755"/>
      <c r="C82" s="1026" t="s">
        <v>859</v>
      </c>
      <c r="D82" s="1026"/>
      <c r="E82" s="751">
        <v>0</v>
      </c>
      <c r="G82" s="596"/>
      <c r="H82" s="751">
        <v>14</v>
      </c>
      <c r="J82" s="598">
        <v>14</v>
      </c>
      <c r="K82" s="593">
        <f t="shared" ref="K82:K85" si="7">G82/$J82*100</f>
        <v>0</v>
      </c>
      <c r="L82" s="593">
        <f t="shared" ref="L82:L85" si="8">H82/$J82*100</f>
        <v>100</v>
      </c>
      <c r="M82" s="593">
        <f t="shared" ref="M82:M85" si="9">I82/$J82*100</f>
        <v>0</v>
      </c>
      <c r="N82" s="597">
        <f t="shared" ref="N82:N85" si="10">K82+L82+M82</f>
        <v>100</v>
      </c>
      <c r="O82" s="592"/>
      <c r="P82" s="593">
        <v>53.14</v>
      </c>
      <c r="Q82" s="593"/>
      <c r="R82" s="594">
        <f t="shared" ref="R82:R85" si="11">O82+P82+Q82</f>
        <v>53.14</v>
      </c>
      <c r="S82" s="751">
        <v>1</v>
      </c>
      <c r="T82" s="575"/>
      <c r="V82" s="588" t="s">
        <v>486</v>
      </c>
      <c r="W82" s="751" t="s">
        <v>76</v>
      </c>
      <c r="X82" s="751" t="s">
        <v>18</v>
      </c>
      <c r="Y82" s="589">
        <v>53.1</v>
      </c>
      <c r="AD82" s="588"/>
      <c r="AG82" s="589"/>
      <c r="AL82" s="588"/>
      <c r="AO82" s="589"/>
      <c r="AP82" s="588"/>
      <c r="AS82" s="589"/>
      <c r="AW82" s="589"/>
      <c r="BA82" s="590"/>
    </row>
    <row r="83" spans="1:53" s="751" customFormat="1">
      <c r="A83" s="751">
        <v>2015</v>
      </c>
      <c r="B83" s="755"/>
      <c r="C83" s="1026" t="s">
        <v>859</v>
      </c>
      <c r="D83" s="1026"/>
      <c r="E83" s="751">
        <v>365</v>
      </c>
      <c r="G83" s="596"/>
      <c r="H83" s="751">
        <v>14</v>
      </c>
      <c r="J83" s="598">
        <v>14</v>
      </c>
      <c r="K83" s="593">
        <f t="shared" si="7"/>
        <v>0</v>
      </c>
      <c r="L83" s="593">
        <f t="shared" si="8"/>
        <v>100</v>
      </c>
      <c r="M83" s="593">
        <f t="shared" si="9"/>
        <v>0</v>
      </c>
      <c r="N83" s="597">
        <f t="shared" si="10"/>
        <v>100</v>
      </c>
      <c r="O83" s="592"/>
      <c r="P83" s="593">
        <v>53.14</v>
      </c>
      <c r="Q83" s="593"/>
      <c r="R83" s="594">
        <f t="shared" si="11"/>
        <v>53.14</v>
      </c>
      <c r="S83" s="751">
        <v>1</v>
      </c>
      <c r="T83" s="575"/>
      <c r="V83" s="588" t="s">
        <v>486</v>
      </c>
      <c r="W83" s="751" t="s">
        <v>76</v>
      </c>
      <c r="X83" s="751" t="s">
        <v>18</v>
      </c>
      <c r="Y83" s="589">
        <v>53.1</v>
      </c>
      <c r="AD83" s="588"/>
      <c r="AG83" s="589"/>
      <c r="AL83" s="588"/>
      <c r="AO83" s="589"/>
      <c r="AP83" s="588"/>
      <c r="AS83" s="589"/>
      <c r="AW83" s="589"/>
      <c r="BA83" s="590"/>
    </row>
    <row r="84" spans="1:53" s="849" customFormat="1">
      <c r="A84" s="849">
        <v>2016</v>
      </c>
      <c r="B84" s="854"/>
      <c r="C84" s="1026" t="s">
        <v>859</v>
      </c>
      <c r="D84" s="1026"/>
      <c r="E84" s="849">
        <v>308</v>
      </c>
      <c r="G84" s="596"/>
      <c r="H84" s="849">
        <v>14</v>
      </c>
      <c r="J84" s="598">
        <v>14</v>
      </c>
      <c r="K84" s="593">
        <f t="shared" si="7"/>
        <v>0</v>
      </c>
      <c r="L84" s="593">
        <f t="shared" si="8"/>
        <v>100</v>
      </c>
      <c r="M84" s="593">
        <f t="shared" si="9"/>
        <v>0</v>
      </c>
      <c r="N84" s="597">
        <f t="shared" si="10"/>
        <v>100</v>
      </c>
      <c r="O84" s="592"/>
      <c r="P84" s="593">
        <v>53.1</v>
      </c>
      <c r="Q84" s="593"/>
      <c r="R84" s="594">
        <f t="shared" si="11"/>
        <v>53.1</v>
      </c>
      <c r="S84" s="849">
        <v>1</v>
      </c>
      <c r="T84" s="575"/>
      <c r="V84" s="588" t="s">
        <v>486</v>
      </c>
      <c r="W84" s="849" t="s">
        <v>76</v>
      </c>
      <c r="X84" s="849" t="s">
        <v>18</v>
      </c>
      <c r="Y84" s="589">
        <v>53.1</v>
      </c>
      <c r="AD84" s="588"/>
      <c r="AG84" s="589"/>
      <c r="AL84" s="588"/>
      <c r="AO84" s="589"/>
      <c r="AP84" s="588"/>
      <c r="AS84" s="589"/>
      <c r="AW84" s="589"/>
      <c r="BA84" s="590"/>
    </row>
    <row r="85" spans="1:53" s="848" customFormat="1">
      <c r="A85" s="848">
        <v>2016</v>
      </c>
      <c r="B85" s="847">
        <v>42678</v>
      </c>
      <c r="C85" s="1025" t="s">
        <v>1366</v>
      </c>
      <c r="D85" s="1025"/>
      <c r="E85" s="848">
        <v>58</v>
      </c>
      <c r="F85" s="848">
        <v>1</v>
      </c>
      <c r="G85" s="642"/>
      <c r="H85" s="848">
        <v>14</v>
      </c>
      <c r="J85" s="644">
        <v>14</v>
      </c>
      <c r="K85" s="640">
        <f t="shared" si="7"/>
        <v>0</v>
      </c>
      <c r="L85" s="640">
        <f t="shared" si="8"/>
        <v>100</v>
      </c>
      <c r="M85" s="640">
        <f t="shared" si="9"/>
        <v>0</v>
      </c>
      <c r="N85" s="643">
        <f t="shared" si="10"/>
        <v>100</v>
      </c>
      <c r="O85" s="639"/>
      <c r="P85" s="640">
        <v>38.299999999999997</v>
      </c>
      <c r="Q85" s="640"/>
      <c r="R85" s="641">
        <f t="shared" si="11"/>
        <v>38.299999999999997</v>
      </c>
      <c r="S85" s="388">
        <v>4</v>
      </c>
      <c r="T85" s="487">
        <v>42547</v>
      </c>
      <c r="U85" s="847">
        <v>42678</v>
      </c>
      <c r="V85" s="634" t="s">
        <v>486</v>
      </c>
      <c r="W85" s="848" t="s">
        <v>76</v>
      </c>
      <c r="X85" s="848" t="s">
        <v>18</v>
      </c>
      <c r="Y85" s="635">
        <v>38.299999999999997</v>
      </c>
      <c r="AD85" s="634"/>
      <c r="AG85" s="635"/>
      <c r="AL85" s="634"/>
      <c r="AO85" s="635"/>
      <c r="AP85" s="634"/>
      <c r="AS85" s="635"/>
      <c r="AW85" s="635"/>
      <c r="BA85" s="636"/>
    </row>
    <row r="86" spans="1:53" s="902" customFormat="1">
      <c r="A86" s="902">
        <v>2017</v>
      </c>
      <c r="B86" s="901"/>
      <c r="C86" s="1025" t="s">
        <v>1366</v>
      </c>
      <c r="D86" s="1025"/>
      <c r="E86" s="902">
        <v>0</v>
      </c>
      <c r="G86" s="642"/>
      <c r="H86" s="902">
        <v>14</v>
      </c>
      <c r="J86" s="644">
        <v>14</v>
      </c>
      <c r="K86" s="640">
        <f t="shared" ref="K86:K87" si="12">G86/$J86*100</f>
        <v>0</v>
      </c>
      <c r="L86" s="640">
        <f t="shared" ref="L86:L87" si="13">H86/$J86*100</f>
        <v>100</v>
      </c>
      <c r="M86" s="640">
        <f t="shared" ref="M86:M87" si="14">I86/$J86*100</f>
        <v>0</v>
      </c>
      <c r="N86" s="643">
        <f t="shared" ref="N86:N87" si="15">K86+L86+M86</f>
        <v>100</v>
      </c>
      <c r="O86" s="639"/>
      <c r="P86" s="640">
        <v>38.299999999999997</v>
      </c>
      <c r="Q86" s="640"/>
      <c r="R86" s="641">
        <f t="shared" ref="R86:R87" si="16">O86+P86+Q86</f>
        <v>38.299999999999997</v>
      </c>
      <c r="S86" s="388">
        <v>4</v>
      </c>
      <c r="T86" s="487"/>
      <c r="U86" s="901"/>
      <c r="V86" s="634" t="s">
        <v>486</v>
      </c>
      <c r="W86" s="902" t="s">
        <v>76</v>
      </c>
      <c r="X86" s="902" t="s">
        <v>18</v>
      </c>
      <c r="Y86" s="635">
        <v>38.299999999999997</v>
      </c>
      <c r="AD86" s="634"/>
      <c r="AG86" s="635"/>
      <c r="AL86" s="634"/>
      <c r="AO86" s="635"/>
      <c r="AP86" s="634"/>
      <c r="AS86" s="635"/>
      <c r="AW86" s="635"/>
      <c r="BA86" s="636"/>
    </row>
    <row r="87" spans="1:53" s="902" customFormat="1">
      <c r="A87" s="902">
        <v>2017</v>
      </c>
      <c r="B87" s="901"/>
      <c r="C87" s="1025" t="s">
        <v>1366</v>
      </c>
      <c r="D87" s="1025"/>
      <c r="E87" s="902">
        <v>365</v>
      </c>
      <c r="G87" s="642"/>
      <c r="H87" s="902">
        <v>14</v>
      </c>
      <c r="J87" s="644">
        <v>14</v>
      </c>
      <c r="K87" s="640">
        <f t="shared" si="12"/>
        <v>0</v>
      </c>
      <c r="L87" s="640">
        <f t="shared" si="13"/>
        <v>100</v>
      </c>
      <c r="M87" s="640">
        <f t="shared" si="14"/>
        <v>0</v>
      </c>
      <c r="N87" s="643">
        <f t="shared" si="15"/>
        <v>100</v>
      </c>
      <c r="O87" s="639"/>
      <c r="P87" s="640">
        <v>38.299999999999997</v>
      </c>
      <c r="Q87" s="640"/>
      <c r="R87" s="641">
        <f t="shared" si="16"/>
        <v>38.299999999999997</v>
      </c>
      <c r="S87" s="388">
        <v>4</v>
      </c>
      <c r="T87" s="487"/>
      <c r="U87" s="901"/>
      <c r="V87" s="634" t="s">
        <v>486</v>
      </c>
      <c r="W87" s="902" t="s">
        <v>76</v>
      </c>
      <c r="X87" s="902" t="s">
        <v>18</v>
      </c>
      <c r="Y87" s="635">
        <v>38.299999999999997</v>
      </c>
      <c r="AD87" s="634"/>
      <c r="AG87" s="635"/>
      <c r="AL87" s="634"/>
      <c r="AO87" s="635"/>
      <c r="AP87" s="634"/>
      <c r="AS87" s="635"/>
      <c r="AW87" s="635"/>
      <c r="BA87" s="636"/>
    </row>
    <row r="88" spans="1:53" s="945" customFormat="1">
      <c r="A88" s="945">
        <v>2018</v>
      </c>
      <c r="B88" s="944"/>
      <c r="C88" s="1025" t="s">
        <v>1366</v>
      </c>
      <c r="D88" s="1025"/>
      <c r="E88" s="945">
        <v>157</v>
      </c>
      <c r="G88" s="642"/>
      <c r="H88" s="945">
        <v>14</v>
      </c>
      <c r="J88" s="644">
        <v>14</v>
      </c>
      <c r="K88" s="640">
        <f t="shared" ref="K88:K89" si="17">G88/$J88*100</f>
        <v>0</v>
      </c>
      <c r="L88" s="640">
        <f t="shared" ref="L88" si="18">H88/$J88*100</f>
        <v>100</v>
      </c>
      <c r="M88" s="640">
        <f t="shared" ref="M88" si="19">I88/$J88*100</f>
        <v>0</v>
      </c>
      <c r="N88" s="643">
        <f t="shared" ref="N88" si="20">K88+L88+M88</f>
        <v>100</v>
      </c>
      <c r="O88" s="639"/>
      <c r="P88" s="640">
        <v>38.299999999999997</v>
      </c>
      <c r="Q88" s="640"/>
      <c r="R88" s="641">
        <f t="shared" ref="R88:R89" si="21">O88+P88+Q88</f>
        <v>38.299999999999997</v>
      </c>
      <c r="S88" s="388">
        <v>4</v>
      </c>
      <c r="T88" s="487"/>
      <c r="U88" s="944"/>
      <c r="V88" s="634" t="s">
        <v>486</v>
      </c>
      <c r="W88" s="945" t="s">
        <v>76</v>
      </c>
      <c r="X88" s="945" t="s">
        <v>18</v>
      </c>
      <c r="Y88" s="635">
        <v>38.299999999999997</v>
      </c>
      <c r="AD88" s="634"/>
      <c r="AG88" s="635"/>
      <c r="AL88" s="634"/>
      <c r="AO88" s="635"/>
      <c r="AP88" s="634"/>
      <c r="AS88" s="635"/>
      <c r="AW88" s="635"/>
      <c r="BA88" s="636"/>
    </row>
    <row r="89" spans="1:53" s="946" customFormat="1">
      <c r="A89" s="946">
        <v>2018</v>
      </c>
      <c r="B89" s="943">
        <v>43258</v>
      </c>
      <c r="C89" s="1026" t="s">
        <v>1423</v>
      </c>
      <c r="D89" s="1026"/>
      <c r="E89" s="946">
        <v>208</v>
      </c>
      <c r="F89" s="946">
        <v>5</v>
      </c>
      <c r="G89" s="596"/>
      <c r="I89" s="946">
        <v>18</v>
      </c>
      <c r="J89" s="598">
        <v>18</v>
      </c>
      <c r="K89" s="593">
        <f t="shared" si="17"/>
        <v>0</v>
      </c>
      <c r="L89" s="593">
        <f t="shared" ref="L89" si="22">H89/$J89*100</f>
        <v>0</v>
      </c>
      <c r="M89" s="593">
        <f t="shared" ref="M89" si="23">I89/$J89*100</f>
        <v>100</v>
      </c>
      <c r="N89" s="597">
        <f t="shared" ref="N89" si="24">K89+L89+M89</f>
        <v>100</v>
      </c>
      <c r="O89" s="592">
        <v>24.3</v>
      </c>
      <c r="P89" s="593"/>
      <c r="Q89" s="593"/>
      <c r="R89" s="594">
        <f t="shared" si="21"/>
        <v>24.3</v>
      </c>
      <c r="S89" s="946">
        <v>4</v>
      </c>
      <c r="T89" s="575"/>
      <c r="U89" s="943">
        <v>43258</v>
      </c>
      <c r="V89" s="588" t="s">
        <v>485</v>
      </c>
      <c r="W89" s="946" t="s">
        <v>20</v>
      </c>
      <c r="X89" s="946" t="s">
        <v>12</v>
      </c>
      <c r="Y89" s="589">
        <v>24.3</v>
      </c>
      <c r="AD89" s="588"/>
      <c r="AG89" s="589"/>
      <c r="AL89" s="588"/>
      <c r="AO89" s="589"/>
      <c r="AP89" s="588"/>
      <c r="AS89" s="589"/>
      <c r="AW89" s="589"/>
      <c r="BA89" s="590"/>
    </row>
    <row r="92" spans="1:53" s="2" customFormat="1" ht="18" customHeight="1">
      <c r="B92" s="22" t="s">
        <v>1278</v>
      </c>
      <c r="H92" s="6"/>
    </row>
    <row r="93" spans="1:53" s="2" customFormat="1" ht="9" customHeight="1">
      <c r="H93" s="6"/>
    </row>
    <row r="94" spans="1:53" s="364" customFormat="1" ht="9" customHeight="1">
      <c r="A94" s="362"/>
      <c r="B94" s="363" t="s">
        <v>1229</v>
      </c>
      <c r="C94" s="363"/>
      <c r="D94" s="363"/>
      <c r="E94" s="363"/>
      <c r="F94" s="363"/>
      <c r="G94" s="363" t="s">
        <v>1230</v>
      </c>
      <c r="H94" s="363"/>
      <c r="I94" s="363"/>
      <c r="J94" s="363"/>
      <c r="K94" s="363"/>
      <c r="L94" s="363"/>
      <c r="M94" s="363"/>
      <c r="N94" s="363"/>
      <c r="R94" s="982" t="s">
        <v>1231</v>
      </c>
      <c r="S94" s="982"/>
      <c r="T94" s="982"/>
      <c r="U94" s="982"/>
      <c r="V94" s="982"/>
      <c r="W94" s="982"/>
      <c r="X94" s="365"/>
      <c r="Y94" s="365"/>
      <c r="AA94" s="365"/>
      <c r="AB94" s="365"/>
      <c r="AC94" s="365"/>
      <c r="AD94" s="365"/>
    </row>
    <row r="95" spans="1:53" s="369" customFormat="1" ht="9" customHeight="1">
      <c r="A95" s="366"/>
      <c r="B95" s="367" t="s">
        <v>1233</v>
      </c>
      <c r="C95" s="368"/>
      <c r="D95" s="368"/>
      <c r="E95" s="368"/>
      <c r="F95" s="368"/>
      <c r="G95" s="367" t="s">
        <v>1232</v>
      </c>
      <c r="H95" s="368"/>
      <c r="I95" s="368"/>
      <c r="J95" s="368"/>
      <c r="K95" s="368"/>
      <c r="L95" s="368"/>
      <c r="M95" s="368"/>
      <c r="N95" s="368"/>
      <c r="R95" s="370" t="s">
        <v>1234</v>
      </c>
      <c r="S95" s="371"/>
      <c r="T95" s="372"/>
      <c r="U95" s="372"/>
      <c r="V95" s="372"/>
      <c r="W95" s="370" t="s">
        <v>1235</v>
      </c>
      <c r="X95" s="372"/>
      <c r="Y95" s="372"/>
      <c r="AA95" s="372"/>
      <c r="AB95" s="372"/>
      <c r="AC95" s="372"/>
      <c r="AD95" s="372"/>
    </row>
    <row r="96" spans="1:53" s="351" customFormat="1" ht="12" customHeight="1">
      <c r="A96" s="373" t="s">
        <v>3</v>
      </c>
      <c r="B96" s="374" t="s">
        <v>8</v>
      </c>
      <c r="C96" s="374" t="s">
        <v>9</v>
      </c>
      <c r="D96" s="374" t="s">
        <v>10</v>
      </c>
      <c r="E96" s="375" t="s">
        <v>1209</v>
      </c>
      <c r="F96" s="374"/>
      <c r="G96" s="351" t="s">
        <v>3</v>
      </c>
      <c r="H96" s="983" t="s">
        <v>0</v>
      </c>
      <c r="I96" s="983"/>
      <c r="J96" s="983" t="s">
        <v>1</v>
      </c>
      <c r="K96" s="983"/>
      <c r="L96" s="983" t="s">
        <v>2</v>
      </c>
      <c r="M96" s="983"/>
      <c r="N96" s="984" t="s">
        <v>1209</v>
      </c>
      <c r="O96" s="984"/>
      <c r="P96" s="376"/>
      <c r="Q96" s="376"/>
      <c r="R96" s="377" t="s">
        <v>3</v>
      </c>
      <c r="S96" s="378" t="s">
        <v>136</v>
      </c>
      <c r="T96" s="376" t="s">
        <v>134</v>
      </c>
      <c r="U96" s="374" t="s">
        <v>135</v>
      </c>
      <c r="V96" s="376"/>
      <c r="W96" s="379" t="s">
        <v>26</v>
      </c>
    </row>
    <row r="97" spans="1:23" s="16" customFormat="1" ht="9" customHeight="1">
      <c r="A97" s="1">
        <v>1960</v>
      </c>
      <c r="B97" s="196"/>
      <c r="C97" s="196"/>
      <c r="D97" s="196"/>
      <c r="E97" s="232"/>
      <c r="F97" s="196"/>
      <c r="G97" s="1">
        <v>1960</v>
      </c>
      <c r="H97" s="196"/>
      <c r="I97" s="196"/>
      <c r="J97" s="196"/>
      <c r="K97" s="196"/>
      <c r="L97" s="196"/>
      <c r="M97" s="196"/>
      <c r="N97" s="232"/>
      <c r="O97" s="232"/>
      <c r="P97" s="197"/>
      <c r="Q97" s="197"/>
      <c r="R97" s="1">
        <v>1960</v>
      </c>
      <c r="S97" s="54"/>
      <c r="T97" s="197"/>
      <c r="U97" s="196"/>
      <c r="V97" s="197"/>
      <c r="W97" s="198"/>
    </row>
    <row r="98" spans="1:23" s="16" customFormat="1" ht="9" customHeight="1">
      <c r="A98" s="1">
        <v>1961</v>
      </c>
      <c r="B98" s="196"/>
      <c r="C98" s="196"/>
      <c r="D98" s="196"/>
      <c r="E98" s="232"/>
      <c r="F98" s="196"/>
      <c r="G98" s="1">
        <v>1961</v>
      </c>
      <c r="H98" s="196"/>
      <c r="I98" s="196"/>
      <c r="J98" s="196"/>
      <c r="K98" s="196"/>
      <c r="L98" s="196"/>
      <c r="M98" s="196"/>
      <c r="N98" s="232"/>
      <c r="O98" s="232"/>
      <c r="P98" s="197"/>
      <c r="Q98" s="197"/>
      <c r="R98" s="1">
        <v>1961</v>
      </c>
      <c r="S98" s="54"/>
      <c r="T98" s="197"/>
      <c r="U98" s="196"/>
      <c r="V98" s="197"/>
      <c r="W98" s="198"/>
    </row>
    <row r="99" spans="1:23" s="16" customFormat="1" ht="9" customHeight="1">
      <c r="A99" s="1">
        <v>1962</v>
      </c>
      <c r="B99" s="196"/>
      <c r="C99" s="196"/>
      <c r="D99" s="196"/>
      <c r="E99" s="232"/>
      <c r="F99" s="196"/>
      <c r="G99" s="1">
        <v>1962</v>
      </c>
      <c r="H99" s="196"/>
      <c r="I99" s="196"/>
      <c r="J99" s="196"/>
      <c r="K99" s="196"/>
      <c r="L99" s="196"/>
      <c r="M99" s="196"/>
      <c r="N99" s="232"/>
      <c r="O99" s="232"/>
      <c r="P99" s="197"/>
      <c r="Q99" s="197"/>
      <c r="R99" s="1">
        <v>1962</v>
      </c>
      <c r="S99" s="54"/>
      <c r="T99" s="197"/>
      <c r="U99" s="196"/>
      <c r="V99" s="197"/>
      <c r="W99" s="198"/>
    </row>
    <row r="100" spans="1:23" s="16" customFormat="1" ht="9" customHeight="1">
      <c r="A100" s="1">
        <v>1963</v>
      </c>
      <c r="B100" s="196"/>
      <c r="C100" s="196"/>
      <c r="D100" s="196"/>
      <c r="E100" s="232"/>
      <c r="F100" s="196"/>
      <c r="G100" s="1">
        <v>1963</v>
      </c>
      <c r="H100" s="196"/>
      <c r="I100" s="196"/>
      <c r="J100" s="196"/>
      <c r="K100" s="196"/>
      <c r="L100" s="196"/>
      <c r="M100" s="196"/>
      <c r="N100" s="232"/>
      <c r="O100" s="232"/>
      <c r="P100" s="197"/>
      <c r="Q100" s="197"/>
      <c r="R100" s="1">
        <v>1963</v>
      </c>
      <c r="S100" s="54"/>
      <c r="T100" s="197"/>
      <c r="U100" s="196"/>
      <c r="V100" s="197"/>
      <c r="W100" s="198"/>
    </row>
    <row r="101" spans="1:23" s="16" customFormat="1" ht="9" customHeight="1">
      <c r="A101" s="1">
        <v>1964</v>
      </c>
      <c r="B101" s="196"/>
      <c r="C101" s="196"/>
      <c r="D101" s="196"/>
      <c r="E101" s="232"/>
      <c r="F101" s="196"/>
      <c r="G101" s="1">
        <v>1964</v>
      </c>
      <c r="H101" s="196"/>
      <c r="I101" s="196"/>
      <c r="J101" s="196"/>
      <c r="K101" s="196"/>
      <c r="L101" s="196"/>
      <c r="M101" s="196"/>
      <c r="N101" s="232"/>
      <c r="O101" s="232"/>
      <c r="P101" s="197"/>
      <c r="Q101" s="197"/>
      <c r="R101" s="1">
        <v>1964</v>
      </c>
      <c r="S101" s="54"/>
      <c r="T101" s="197"/>
      <c r="U101" s="196"/>
      <c r="V101" s="197"/>
      <c r="W101" s="198"/>
    </row>
    <row r="102" spans="1:23" s="16" customFormat="1" ht="9" customHeight="1">
      <c r="A102" s="1">
        <v>1965</v>
      </c>
      <c r="B102" s="196"/>
      <c r="C102" s="196"/>
      <c r="D102" s="196"/>
      <c r="E102" s="232"/>
      <c r="F102" s="196"/>
      <c r="G102" s="1">
        <v>1965</v>
      </c>
      <c r="H102" s="196"/>
      <c r="I102" s="196"/>
      <c r="J102" s="196"/>
      <c r="K102" s="196"/>
      <c r="L102" s="196"/>
      <c r="M102" s="196"/>
      <c r="N102" s="232"/>
      <c r="O102" s="232"/>
      <c r="P102" s="197"/>
      <c r="Q102" s="197"/>
      <c r="R102" s="1">
        <v>1965</v>
      </c>
      <c r="S102" s="54"/>
      <c r="T102" s="197"/>
      <c r="U102" s="196"/>
      <c r="V102" s="197"/>
      <c r="W102" s="198"/>
    </row>
    <row r="103" spans="1:23" s="16" customFormat="1" ht="9" customHeight="1">
      <c r="A103" s="1">
        <v>1966</v>
      </c>
      <c r="B103" s="196"/>
      <c r="C103" s="196"/>
      <c r="D103" s="196"/>
      <c r="E103" s="232"/>
      <c r="F103" s="196"/>
      <c r="G103" s="1">
        <v>1966</v>
      </c>
      <c r="H103" s="196"/>
      <c r="I103" s="196"/>
      <c r="J103" s="196"/>
      <c r="K103" s="196"/>
      <c r="L103" s="196"/>
      <c r="M103" s="196"/>
      <c r="N103" s="232"/>
      <c r="O103" s="232"/>
      <c r="P103" s="197"/>
      <c r="Q103" s="197"/>
      <c r="R103" s="1">
        <v>1966</v>
      </c>
      <c r="S103" s="54"/>
      <c r="T103" s="197"/>
      <c r="U103" s="196"/>
      <c r="V103" s="197"/>
      <c r="W103" s="198"/>
    </row>
    <row r="104" spans="1:23" s="16" customFormat="1" ht="9" customHeight="1">
      <c r="A104" s="1">
        <v>1967</v>
      </c>
      <c r="B104" s="196"/>
      <c r="C104" s="196"/>
      <c r="D104" s="196"/>
      <c r="E104" s="232"/>
      <c r="F104" s="196"/>
      <c r="G104" s="1">
        <v>1967</v>
      </c>
      <c r="H104" s="196"/>
      <c r="I104" s="196"/>
      <c r="J104" s="196"/>
      <c r="K104" s="196"/>
      <c r="L104" s="196"/>
      <c r="M104" s="196"/>
      <c r="N104" s="232"/>
      <c r="O104" s="232"/>
      <c r="P104" s="197"/>
      <c r="Q104" s="197"/>
      <c r="R104" s="1">
        <v>1967</v>
      </c>
      <c r="S104" s="54"/>
      <c r="T104" s="197"/>
      <c r="U104" s="196"/>
      <c r="V104" s="197"/>
      <c r="W104" s="198"/>
    </row>
    <row r="105" spans="1:23" s="16" customFormat="1" ht="9" customHeight="1">
      <c r="A105" s="1">
        <v>1968</v>
      </c>
      <c r="B105" s="196"/>
      <c r="C105" s="196"/>
      <c r="D105" s="196"/>
      <c r="E105" s="232"/>
      <c r="F105" s="196"/>
      <c r="G105" s="1">
        <v>1968</v>
      </c>
      <c r="H105" s="196"/>
      <c r="I105" s="196"/>
      <c r="J105" s="196"/>
      <c r="K105" s="196"/>
      <c r="L105" s="196"/>
      <c r="M105" s="196"/>
      <c r="N105" s="232"/>
      <c r="O105" s="232"/>
      <c r="P105" s="197"/>
      <c r="Q105" s="197"/>
      <c r="R105" s="1">
        <v>1968</v>
      </c>
      <c r="S105" s="54"/>
      <c r="T105" s="197"/>
      <c r="U105" s="196"/>
      <c r="V105" s="197"/>
      <c r="W105" s="198"/>
    </row>
    <row r="106" spans="1:23" s="16" customFormat="1" ht="9" customHeight="1">
      <c r="A106" s="1">
        <v>1969</v>
      </c>
      <c r="B106" s="196"/>
      <c r="C106" s="196"/>
      <c r="D106" s="196"/>
      <c r="E106" s="232"/>
      <c r="F106" s="196"/>
      <c r="G106" s="1">
        <v>1969</v>
      </c>
      <c r="H106" s="196"/>
      <c r="I106" s="196"/>
      <c r="J106" s="196"/>
      <c r="K106" s="196"/>
      <c r="L106" s="196"/>
      <c r="M106" s="196"/>
      <c r="N106" s="232"/>
      <c r="O106" s="232"/>
      <c r="P106" s="197"/>
      <c r="Q106" s="197"/>
      <c r="R106" s="1">
        <v>1969</v>
      </c>
      <c r="S106" s="54"/>
      <c r="T106" s="197"/>
      <c r="U106" s="196"/>
      <c r="V106" s="197"/>
      <c r="W106" s="198"/>
    </row>
    <row r="107" spans="1:23" s="16" customFormat="1" ht="9" customHeight="1">
      <c r="A107" s="1">
        <v>1970</v>
      </c>
      <c r="B107" s="196"/>
      <c r="C107" s="196"/>
      <c r="D107" s="196"/>
      <c r="E107" s="232"/>
      <c r="F107" s="196"/>
      <c r="G107" s="1">
        <v>1970</v>
      </c>
      <c r="H107" s="196"/>
      <c r="I107" s="196"/>
      <c r="J107" s="196"/>
      <c r="K107" s="196"/>
      <c r="L107" s="196"/>
      <c r="M107" s="196"/>
      <c r="N107" s="232"/>
      <c r="O107" s="232"/>
      <c r="P107" s="197"/>
      <c r="Q107" s="197"/>
      <c r="R107" s="1">
        <v>1970</v>
      </c>
      <c r="S107" s="54"/>
      <c r="T107" s="197"/>
      <c r="U107" s="196"/>
      <c r="V107" s="197"/>
      <c r="W107" s="198"/>
    </row>
    <row r="108" spans="1:23" s="16" customFormat="1" ht="9" customHeight="1">
      <c r="A108" s="1">
        <v>1971</v>
      </c>
      <c r="B108" s="196"/>
      <c r="C108" s="196"/>
      <c r="D108" s="196"/>
      <c r="E108" s="232"/>
      <c r="F108" s="196"/>
      <c r="G108" s="1">
        <v>1971</v>
      </c>
      <c r="H108" s="196"/>
      <c r="I108" s="196"/>
      <c r="J108" s="196"/>
      <c r="K108" s="196"/>
      <c r="L108" s="196"/>
      <c r="M108" s="196"/>
      <c r="N108" s="232"/>
      <c r="O108" s="232"/>
      <c r="P108" s="197"/>
      <c r="Q108" s="197"/>
      <c r="R108" s="1">
        <v>1971</v>
      </c>
      <c r="S108" s="54"/>
      <c r="T108" s="197"/>
      <c r="U108" s="196"/>
      <c r="V108" s="197"/>
      <c r="W108" s="198"/>
    </row>
    <row r="109" spans="1:23" s="16" customFormat="1" ht="9" customHeight="1">
      <c r="A109" s="1">
        <v>1972</v>
      </c>
      <c r="B109" s="196"/>
      <c r="C109" s="196"/>
      <c r="D109" s="196"/>
      <c r="E109" s="232"/>
      <c r="F109" s="196"/>
      <c r="G109" s="1">
        <v>1972</v>
      </c>
      <c r="H109" s="196"/>
      <c r="I109" s="196"/>
      <c r="J109" s="196"/>
      <c r="K109" s="196"/>
      <c r="L109" s="196"/>
      <c r="M109" s="196"/>
      <c r="N109" s="232"/>
      <c r="O109" s="232"/>
      <c r="P109" s="197"/>
      <c r="Q109" s="197"/>
      <c r="R109" s="1">
        <v>1972</v>
      </c>
      <c r="S109" s="54"/>
      <c r="T109" s="197"/>
      <c r="U109" s="196"/>
      <c r="V109" s="197"/>
      <c r="W109" s="198"/>
    </row>
    <row r="110" spans="1:23" s="16" customFormat="1" ht="9" customHeight="1">
      <c r="A110" s="1">
        <v>1973</v>
      </c>
      <c r="B110" s="196"/>
      <c r="C110" s="196"/>
      <c r="D110" s="196"/>
      <c r="E110" s="232"/>
      <c r="F110" s="196"/>
      <c r="G110" s="1">
        <v>1973</v>
      </c>
      <c r="H110" s="196"/>
      <c r="I110" s="196"/>
      <c r="J110" s="196"/>
      <c r="K110" s="196"/>
      <c r="L110" s="196"/>
      <c r="M110" s="196"/>
      <c r="N110" s="232"/>
      <c r="O110" s="232"/>
      <c r="P110" s="197"/>
      <c r="Q110" s="197"/>
      <c r="R110" s="1">
        <v>1973</v>
      </c>
      <c r="S110" s="54"/>
      <c r="T110" s="197"/>
      <c r="U110" s="196"/>
      <c r="V110" s="197"/>
      <c r="W110" s="198"/>
    </row>
    <row r="111" spans="1:23" s="16" customFormat="1" ht="9" customHeight="1">
      <c r="A111" s="1">
        <v>1974</v>
      </c>
      <c r="B111" s="196"/>
      <c r="C111" s="196"/>
      <c r="D111" s="196"/>
      <c r="E111" s="232"/>
      <c r="F111" s="196"/>
      <c r="G111" s="1">
        <v>1974</v>
      </c>
      <c r="H111" s="196"/>
      <c r="I111" s="196"/>
      <c r="J111" s="196"/>
      <c r="K111" s="196"/>
      <c r="L111" s="196"/>
      <c r="M111" s="196"/>
      <c r="N111" s="232"/>
      <c r="O111" s="232"/>
      <c r="P111" s="197"/>
      <c r="Q111" s="197"/>
      <c r="R111" s="1">
        <v>1974</v>
      </c>
      <c r="S111" s="54"/>
      <c r="T111" s="197"/>
      <c r="U111" s="196"/>
      <c r="V111" s="197"/>
      <c r="W111" s="198"/>
    </row>
    <row r="112" spans="1:23" s="16" customFormat="1" ht="9" customHeight="1">
      <c r="A112" s="1">
        <v>1975</v>
      </c>
      <c r="B112" s="196"/>
      <c r="C112" s="196"/>
      <c r="D112" s="196"/>
      <c r="E112" s="232"/>
      <c r="F112" s="196"/>
      <c r="G112" s="1">
        <v>1975</v>
      </c>
      <c r="H112" s="196"/>
      <c r="I112" s="196"/>
      <c r="J112" s="196"/>
      <c r="K112" s="196"/>
      <c r="L112" s="196"/>
      <c r="M112" s="196"/>
      <c r="N112" s="232"/>
      <c r="O112" s="232"/>
      <c r="P112" s="197"/>
      <c r="Q112" s="197"/>
      <c r="R112" s="1">
        <v>1975</v>
      </c>
      <c r="S112" s="54"/>
      <c r="T112" s="197"/>
      <c r="U112" s="196"/>
      <c r="V112" s="197"/>
      <c r="W112" s="198"/>
    </row>
    <row r="113" spans="1:29" s="16" customFormat="1" ht="9" customHeight="1">
      <c r="A113" s="1">
        <v>1976</v>
      </c>
      <c r="B113" s="196"/>
      <c r="C113" s="196"/>
      <c r="D113" s="196"/>
      <c r="E113" s="232"/>
      <c r="F113" s="196"/>
      <c r="G113" s="1">
        <v>1976</v>
      </c>
      <c r="H113" s="196"/>
      <c r="I113" s="196"/>
      <c r="J113" s="196"/>
      <c r="K113" s="196"/>
      <c r="L113" s="196"/>
      <c r="M113" s="196"/>
      <c r="N113" s="232"/>
      <c r="O113" s="232"/>
      <c r="P113" s="197"/>
      <c r="Q113" s="197"/>
      <c r="R113" s="1">
        <v>1976</v>
      </c>
      <c r="S113" s="54"/>
      <c r="T113" s="197"/>
      <c r="U113" s="196"/>
      <c r="V113" s="197"/>
      <c r="W113" s="198"/>
    </row>
    <row r="114" spans="1:29">
      <c r="A114" s="1">
        <v>1977</v>
      </c>
      <c r="B114" s="8">
        <f>(K7*($E7/180))</f>
        <v>0</v>
      </c>
      <c r="C114" s="8">
        <f>(L7*($E7/180))</f>
        <v>95</v>
      </c>
      <c r="D114" s="8">
        <f>(M7*($E7/180))</f>
        <v>0</v>
      </c>
      <c r="E114" s="49">
        <f>B114+C114+D114</f>
        <v>95</v>
      </c>
      <c r="G114" s="1">
        <v>1977</v>
      </c>
      <c r="H114" s="989">
        <f>(O7/$R7*100*($E7/180))</f>
        <v>0</v>
      </c>
      <c r="I114" s="989"/>
      <c r="J114" s="989">
        <f>(P7/$R7*100*($E7/180))</f>
        <v>100</v>
      </c>
      <c r="K114" s="989"/>
      <c r="L114" s="989">
        <f>(Q7/$R7*100*($E7/180))</f>
        <v>0</v>
      </c>
      <c r="M114" s="989"/>
      <c r="N114" s="959">
        <f t="shared" ref="N114:N149" si="25">H114+J114+L114</f>
        <v>100</v>
      </c>
      <c r="O114" s="959"/>
      <c r="R114" s="1">
        <v>1977</v>
      </c>
      <c r="S114" s="8">
        <f>(O7*($E7/180))</f>
        <v>0</v>
      </c>
      <c r="T114" s="8">
        <f>(P7*($E7/180))</f>
        <v>47.1</v>
      </c>
      <c r="U114" s="8">
        <f>(Q7*($E7/180))</f>
        <v>0</v>
      </c>
      <c r="V114" s="7"/>
      <c r="W114" s="7">
        <f>S114+T114+U114</f>
        <v>47.1</v>
      </c>
      <c r="Y114" s="233" t="s">
        <v>1237</v>
      </c>
      <c r="Z114" s="233"/>
      <c r="AA114" s="233"/>
      <c r="AB114" s="233"/>
      <c r="AC114" s="233"/>
    </row>
    <row r="115" spans="1:29">
      <c r="A115" s="1">
        <v>1978</v>
      </c>
      <c r="B115" s="8">
        <f>(K8*($E8/365))+(K9*($E9/365))</f>
        <v>0</v>
      </c>
      <c r="C115" s="8">
        <f>(L8*($E8/365))+(L9*($E9/365))</f>
        <v>95</v>
      </c>
      <c r="D115" s="8">
        <f>(M8*($E8/365))+(M9*($E9/365))</f>
        <v>0</v>
      </c>
      <c r="E115" s="49">
        <f t="shared" ref="E115:E150" si="26">B115+C115+D115</f>
        <v>95</v>
      </c>
      <c r="G115" s="1">
        <v>1978</v>
      </c>
      <c r="H115" s="989">
        <f>(O8/$R8*100*($E8/365))+(O9/$R9*100*($E9/365))</f>
        <v>0</v>
      </c>
      <c r="I115" s="989"/>
      <c r="J115" s="989">
        <f>(P8/$R8*100*($E8/365))+(P9/$R9*100*($E9/365))</f>
        <v>100</v>
      </c>
      <c r="K115" s="989"/>
      <c r="L115" s="989">
        <f>(Q8/$R8*100*($E8/365))+(Q9/$R9*100*($E9/365))</f>
        <v>0</v>
      </c>
      <c r="M115" s="989"/>
      <c r="N115" s="959">
        <f t="shared" si="25"/>
        <v>100</v>
      </c>
      <c r="O115" s="959"/>
      <c r="R115" s="1">
        <v>1978</v>
      </c>
      <c r="S115" s="8">
        <f>(O8*($E8/365))+(O9*($E9/365))</f>
        <v>0</v>
      </c>
      <c r="T115" s="8">
        <f>(P8*($E8/365))+(P9*($E9/365))</f>
        <v>47.1</v>
      </c>
      <c r="U115" s="8">
        <f>(Q8*($E8/365))+(Q9*($E9/365))</f>
        <v>0</v>
      </c>
      <c r="V115" s="7"/>
      <c r="W115" s="7">
        <f t="shared" ref="W115:W150" si="27">S115+T115+U115</f>
        <v>47.1</v>
      </c>
    </row>
    <row r="116" spans="1:29">
      <c r="A116" s="1">
        <v>1979</v>
      </c>
      <c r="B116" s="8">
        <f>(K10*($E10/365))+(K11*($E11/365))</f>
        <v>0</v>
      </c>
      <c r="C116" s="8">
        <f>(L10*($E10/365))+(L11*($E11/365))</f>
        <v>92.534246575342451</v>
      </c>
      <c r="D116" s="8">
        <f>(M10*($E10/365))+(M11*($E11/365))</f>
        <v>0</v>
      </c>
      <c r="E116" s="49">
        <f t="shared" si="26"/>
        <v>92.534246575342451</v>
      </c>
      <c r="G116" s="1">
        <v>1979</v>
      </c>
      <c r="H116" s="989">
        <f>(O10/$R10*100*($E10/365))+(O11/$R11*100*($E11/365))</f>
        <v>0</v>
      </c>
      <c r="I116" s="989"/>
      <c r="J116" s="989">
        <f>(P10/$R10*100*($E10/365))+(P11/$R11*100*($E11/365))</f>
        <v>100</v>
      </c>
      <c r="K116" s="989"/>
      <c r="L116" s="989">
        <f>(Q10/$R10*100*($E10/365))+(Q11/$R11*100*($E11/365))</f>
        <v>0</v>
      </c>
      <c r="M116" s="989"/>
      <c r="N116" s="959">
        <f t="shared" si="25"/>
        <v>100</v>
      </c>
      <c r="O116" s="959"/>
      <c r="R116" s="1">
        <v>1979</v>
      </c>
      <c r="S116" s="8">
        <f>(O10*($E10/365))+(O11*($E11/365))</f>
        <v>0</v>
      </c>
      <c r="T116" s="8">
        <f>(P10*($E10/365))+(P11*($E11/365))</f>
        <v>47.765753424657532</v>
      </c>
      <c r="U116" s="8">
        <f>(Q10*($E10/365))+(Q11*($E11/365))</f>
        <v>0</v>
      </c>
      <c r="V116" s="7"/>
      <c r="W116" s="7">
        <f t="shared" si="27"/>
        <v>47.765753424657532</v>
      </c>
    </row>
    <row r="117" spans="1:29">
      <c r="A117" s="1">
        <v>1980</v>
      </c>
      <c r="B117" s="8">
        <f>(K12*($E12/366))+(K13*($E13/366))</f>
        <v>0</v>
      </c>
      <c r="C117" s="8">
        <f>(L12*($E12/366))+(L13*($E13/366))</f>
        <v>91.666666666666657</v>
      </c>
      <c r="D117" s="8">
        <f>(M12*($E12/366))+(M13*($E13/366))</f>
        <v>0</v>
      </c>
      <c r="E117" s="49">
        <f t="shared" si="26"/>
        <v>91.666666666666657</v>
      </c>
      <c r="G117" s="1">
        <v>1980</v>
      </c>
      <c r="H117" s="989">
        <f>(O12/$R12*100*($E12/366))+(O13/$R13*100*($E13/366))</f>
        <v>0</v>
      </c>
      <c r="I117" s="989"/>
      <c r="J117" s="989">
        <f>(P12/$R12*100*($E12/366))+(P13/$R13*100*($E13/366))</f>
        <v>100</v>
      </c>
      <c r="K117" s="989"/>
      <c r="L117" s="989">
        <f>(Q12/$R12*100*($E12/366))+(Q13/$R13*100*($E13/366))</f>
        <v>0</v>
      </c>
      <c r="M117" s="989"/>
      <c r="N117" s="959">
        <f t="shared" si="25"/>
        <v>100</v>
      </c>
      <c r="O117" s="959"/>
      <c r="R117" s="1">
        <v>1980</v>
      </c>
      <c r="S117" s="8">
        <f>(O12*($E12/366))+(O13*($E13/366))</f>
        <v>0</v>
      </c>
      <c r="T117" s="8">
        <f>(P12*($E12/366))+(P13*($E13/366))</f>
        <v>48</v>
      </c>
      <c r="U117" s="8">
        <f>(Q12*($E12/366))+(Q13*($E13/366))</f>
        <v>0</v>
      </c>
      <c r="V117" s="7"/>
      <c r="W117" s="7">
        <f t="shared" si="27"/>
        <v>48</v>
      </c>
    </row>
    <row r="118" spans="1:29">
      <c r="A118" s="1">
        <v>1981</v>
      </c>
      <c r="B118" s="8">
        <f>(K14*($E14/365))+(K15*($E15/365))</f>
        <v>0</v>
      </c>
      <c r="C118" s="8">
        <f>(L14*($E14/365))+(L15*($E15/365))</f>
        <v>98.69863013698631</v>
      </c>
      <c r="D118" s="8">
        <f>(M14*($E14/365))+(M15*($E15/365))</f>
        <v>0</v>
      </c>
      <c r="E118" s="49">
        <f t="shared" si="26"/>
        <v>98.69863013698631</v>
      </c>
      <c r="G118" s="1">
        <v>1981</v>
      </c>
      <c r="H118" s="989">
        <f>(O14/$R14*100*($E14/365))+(O15/$R15*100*($E15/365))</f>
        <v>0</v>
      </c>
      <c r="I118" s="989"/>
      <c r="J118" s="989">
        <f>(P14/$R14*100*($E14/365))+(P15/$R15*100*($E15/365))</f>
        <v>100</v>
      </c>
      <c r="K118" s="989"/>
      <c r="L118" s="989">
        <f>(Q14/$R14*100*($E14/365))+(Q15/$R15*100*($E15/365))</f>
        <v>0</v>
      </c>
      <c r="M118" s="989"/>
      <c r="N118" s="959">
        <f t="shared" si="25"/>
        <v>100</v>
      </c>
      <c r="O118" s="959"/>
      <c r="R118" s="1">
        <v>1981</v>
      </c>
      <c r="S118" s="8">
        <f>(O14*($E14/365))+(O15*($E15/365))</f>
        <v>0</v>
      </c>
      <c r="T118" s="8">
        <f>(P14*($E14/365))+(P15*($E15/365))</f>
        <v>48</v>
      </c>
      <c r="U118" s="8">
        <f>(Q14*($E14/365))+(Q15*($E15/365))</f>
        <v>0</v>
      </c>
      <c r="V118" s="7"/>
      <c r="W118" s="7">
        <f t="shared" si="27"/>
        <v>48</v>
      </c>
    </row>
    <row r="119" spans="1:29">
      <c r="A119" s="1">
        <v>1982</v>
      </c>
      <c r="B119" s="8">
        <f>(K16*($E16/365))+(K17*($E17/365))</f>
        <v>0</v>
      </c>
      <c r="C119" s="8">
        <f>(L16*($E16/365))+(L17*($E17/365))</f>
        <v>92.054794520547944</v>
      </c>
      <c r="D119" s="8">
        <f>(M16*($E16/365))+(M17*($E17/365))</f>
        <v>7.9452054794520555</v>
      </c>
      <c r="E119" s="49">
        <f t="shared" si="26"/>
        <v>100</v>
      </c>
      <c r="G119" s="1">
        <v>1982</v>
      </c>
      <c r="H119" s="989">
        <f>(O16/$R16*100*($E16/365))+(O17/$R17*100*($E17/365))</f>
        <v>0</v>
      </c>
      <c r="I119" s="989"/>
      <c r="J119" s="989">
        <f>(P16/$R16*100*($E16/365))+(P17/$R17*100*($E17/365))</f>
        <v>92.054794520547944</v>
      </c>
      <c r="K119" s="989"/>
      <c r="L119" s="989">
        <f>(Q16/$R16*100*($E16/365))+(Q17/$R17*100*($E17/365))</f>
        <v>7.9452054794520555</v>
      </c>
      <c r="M119" s="989"/>
      <c r="N119" s="959">
        <f t="shared" si="25"/>
        <v>100</v>
      </c>
      <c r="O119" s="959"/>
      <c r="R119" s="1">
        <v>1982</v>
      </c>
      <c r="S119" s="8">
        <f>(O16*($E16/365))+(O17*($E17/365))</f>
        <v>0</v>
      </c>
      <c r="T119" s="8">
        <f>(P16*($E16/365))+(P17*($E17/365))</f>
        <v>44.186301369863017</v>
      </c>
      <c r="U119" s="8">
        <f>(Q16*($E16/365))+(Q17*($E17/365))</f>
        <v>4.5843835616438362</v>
      </c>
      <c r="V119" s="7"/>
      <c r="W119" s="7">
        <f t="shared" si="27"/>
        <v>48.77068493150685</v>
      </c>
    </row>
    <row r="120" spans="1:29">
      <c r="A120" s="1">
        <v>1983</v>
      </c>
      <c r="B120" s="8">
        <f>(K18*($E18/365))+(K19*($E19/365))</f>
        <v>0</v>
      </c>
      <c r="C120" s="8">
        <f>(L18*($E18/365))+(L19*($E19/365))</f>
        <v>0</v>
      </c>
      <c r="D120" s="8">
        <f>(M18*($E18/365))+(M19*($E19/365))</f>
        <v>100</v>
      </c>
      <c r="E120" s="49">
        <f t="shared" si="26"/>
        <v>100</v>
      </c>
      <c r="G120" s="1">
        <v>1983</v>
      </c>
      <c r="H120" s="989">
        <f>(O18/$R18*100*($E18/365))+(O19/$R19*100*($E19/365))</f>
        <v>0</v>
      </c>
      <c r="I120" s="989"/>
      <c r="J120" s="989">
        <f>(P18/$R18*100*($E18/365))+(P19/$R19*100*($E19/365))</f>
        <v>0</v>
      </c>
      <c r="K120" s="989"/>
      <c r="L120" s="989">
        <f>(Q18/$R18*100*($E18/365))+(Q19/$R19*100*($E19/365))</f>
        <v>100</v>
      </c>
      <c r="M120" s="989"/>
      <c r="N120" s="959">
        <f t="shared" si="25"/>
        <v>100</v>
      </c>
      <c r="O120" s="959"/>
      <c r="R120" s="1">
        <v>1983</v>
      </c>
      <c r="S120" s="8">
        <f>(O18*($E18/365))+(O19*($E19/365))</f>
        <v>0</v>
      </c>
      <c r="T120" s="8">
        <f>(P18*($E18/365))+(P19*($E19/365))</f>
        <v>0</v>
      </c>
      <c r="U120" s="8">
        <f>(Q18*($E18/365))+(Q19*($E19/365))</f>
        <v>57.7</v>
      </c>
      <c r="V120" s="7"/>
      <c r="W120" s="7">
        <f t="shared" si="27"/>
        <v>57.7</v>
      </c>
    </row>
    <row r="121" spans="1:29">
      <c r="A121" s="1">
        <v>1984</v>
      </c>
      <c r="B121" s="8">
        <f>(K20*($E20/366))+(K21*($E21/366))</f>
        <v>0</v>
      </c>
      <c r="C121" s="8">
        <f>(L20*($E20/366))+(L21*($E21/366))</f>
        <v>0</v>
      </c>
      <c r="D121" s="8">
        <f>(M20*($E20/366))+(M21*($E21/366))</f>
        <v>100</v>
      </c>
      <c r="E121" s="49">
        <f t="shared" si="26"/>
        <v>100</v>
      </c>
      <c r="G121" s="1">
        <v>1984</v>
      </c>
      <c r="H121" s="989">
        <f>(O20/$R20*100*($E20/366))+(O21/$R21*100*($E21/366))</f>
        <v>0</v>
      </c>
      <c r="I121" s="989"/>
      <c r="J121" s="989">
        <f>(P20/$R20*100*($E20/366))+(P21/$R21*100*($E21/366))</f>
        <v>0</v>
      </c>
      <c r="K121" s="989"/>
      <c r="L121" s="989">
        <f>(Q20/$R20*100*($E20/366))+(Q21/$R21*100*($E21/366))</f>
        <v>100</v>
      </c>
      <c r="M121" s="989"/>
      <c r="N121" s="959">
        <f t="shared" si="25"/>
        <v>100</v>
      </c>
      <c r="O121" s="959"/>
      <c r="R121" s="1">
        <v>1984</v>
      </c>
      <c r="S121" s="8">
        <f>(O20*($E20/366))+(O21*($E21/366))</f>
        <v>0</v>
      </c>
      <c r="T121" s="8">
        <f>(P20*($E20/366))+(P21*($E21/366))</f>
        <v>0</v>
      </c>
      <c r="U121" s="8">
        <f>(Q20*($E20/366))+(Q21*($E21/366))</f>
        <v>57.7</v>
      </c>
      <c r="V121" s="7"/>
      <c r="W121" s="7">
        <f t="shared" si="27"/>
        <v>57.7</v>
      </c>
    </row>
    <row r="122" spans="1:29">
      <c r="A122" s="1">
        <v>1985</v>
      </c>
      <c r="B122" s="8">
        <f>(K22*($E22/365))+(K23*($E23/365))</f>
        <v>0</v>
      </c>
      <c r="C122" s="8">
        <f>(L22*($E22/365))+(L23*($E23/365))</f>
        <v>0</v>
      </c>
      <c r="D122" s="8">
        <f>(M22*($E22/365))+(M23*($E23/365))</f>
        <v>100</v>
      </c>
      <c r="E122" s="49">
        <f t="shared" si="26"/>
        <v>100</v>
      </c>
      <c r="G122" s="1">
        <v>1985</v>
      </c>
      <c r="H122" s="989">
        <f>(O22/$R22*100*($E22/365))+(O23/$R23*100*($E23/365))</f>
        <v>0</v>
      </c>
      <c r="I122" s="989"/>
      <c r="J122" s="989">
        <f>(P22/$R22*100*($E22/365))+(P23/$R23*100*($E23/365))</f>
        <v>0</v>
      </c>
      <c r="K122" s="989"/>
      <c r="L122" s="989">
        <f>(Q22/$R22*100*($E22/365))+(Q23/$R23*100*($E23/365))</f>
        <v>100</v>
      </c>
      <c r="M122" s="989"/>
      <c r="N122" s="959">
        <f t="shared" si="25"/>
        <v>100</v>
      </c>
      <c r="O122" s="959"/>
      <c r="R122" s="1">
        <v>1985</v>
      </c>
      <c r="S122" s="8">
        <f>(O22*($E22/365))+(O23*($E23/365))</f>
        <v>0</v>
      </c>
      <c r="T122" s="8">
        <f>(P22*($E22/365))+(P23*($E23/365))</f>
        <v>0</v>
      </c>
      <c r="U122" s="8">
        <f>(Q22*($E22/365))+(Q23*($E23/365))</f>
        <v>57.7</v>
      </c>
      <c r="V122" s="7"/>
      <c r="W122" s="7">
        <f t="shared" si="27"/>
        <v>57.7</v>
      </c>
    </row>
    <row r="123" spans="1:29">
      <c r="A123" s="1">
        <v>1986</v>
      </c>
      <c r="B123" s="8">
        <f>(K24*($E24/365))+(K25*($E25/365))</f>
        <v>0</v>
      </c>
      <c r="C123" s="8">
        <f>(L24*($E24/365))+(L25*($E25/365))</f>
        <v>0</v>
      </c>
      <c r="D123" s="8">
        <f>(M24*($E24/365))+(M25*($E25/365))</f>
        <v>100</v>
      </c>
      <c r="E123" s="49">
        <f t="shared" si="26"/>
        <v>100</v>
      </c>
      <c r="G123" s="1">
        <v>1986</v>
      </c>
      <c r="H123" s="989">
        <f>(O24/$R24*100*($E24/365))+(O25/$R25*100*($E25/365))</f>
        <v>0</v>
      </c>
      <c r="I123" s="989"/>
      <c r="J123" s="989">
        <f>(P24/$R24*100*($E24/365))+(P25/$R25*100*($E25/365))</f>
        <v>0</v>
      </c>
      <c r="K123" s="989"/>
      <c r="L123" s="989">
        <f>(Q24/$R24*100*($E24/365))+(Q25/$R25*100*($E25/365))</f>
        <v>100</v>
      </c>
      <c r="M123" s="989"/>
      <c r="N123" s="959">
        <f t="shared" si="25"/>
        <v>100</v>
      </c>
      <c r="O123" s="959"/>
      <c r="R123" s="1">
        <v>1986</v>
      </c>
      <c r="S123" s="8">
        <f>(O24*($E24/365))+(O25*($E25/365))</f>
        <v>0</v>
      </c>
      <c r="T123" s="8">
        <f>(P24*($E24/365))+(P25*($E25/365))</f>
        <v>0</v>
      </c>
      <c r="U123" s="8">
        <f>(Q24*($E24/365))+(Q25*($E25/365))</f>
        <v>55.520273972602737</v>
      </c>
      <c r="V123" s="7"/>
      <c r="W123" s="7">
        <f t="shared" si="27"/>
        <v>55.520273972602737</v>
      </c>
    </row>
    <row r="124" spans="1:29">
      <c r="A124" s="1">
        <v>1987</v>
      </c>
      <c r="B124" s="8">
        <f>(K26*($E26/365))+(K27*($E27/365))</f>
        <v>0</v>
      </c>
      <c r="C124" s="8">
        <f>(L26*($E26/365))+(L27*($E27/365))</f>
        <v>0</v>
      </c>
      <c r="D124" s="8">
        <f>(M26*($E26/365))+(M27*($E27/365))</f>
        <v>100</v>
      </c>
      <c r="E124" s="49">
        <f t="shared" si="26"/>
        <v>100</v>
      </c>
      <c r="G124" s="1">
        <v>1987</v>
      </c>
      <c r="H124" s="989">
        <f>(O26/$R26*100*($E26/365))+(O27/$R27*100*($E27/365))</f>
        <v>0</v>
      </c>
      <c r="I124" s="989"/>
      <c r="J124" s="989">
        <f>(P26/$R26*100*($E26/365))+(P27/$R27*100*($E27/365))</f>
        <v>0</v>
      </c>
      <c r="K124" s="989"/>
      <c r="L124" s="989">
        <f>(Q26/$R26*100*($E26/365))+(Q27/$R27*100*($E27/365))</f>
        <v>100</v>
      </c>
      <c r="M124" s="989"/>
      <c r="N124" s="959">
        <f t="shared" si="25"/>
        <v>100</v>
      </c>
      <c r="O124" s="959"/>
      <c r="R124" s="1">
        <v>1987</v>
      </c>
      <c r="S124" s="8">
        <f>(O26*($E26/365))+(O27*($E27/365))</f>
        <v>0</v>
      </c>
      <c r="T124" s="8">
        <f>(P26*($E26/365))+(P27*($E27/365))</f>
        <v>0</v>
      </c>
      <c r="U124" s="8">
        <f>(Q26*($E26/365))+(Q27*($E27/365))</f>
        <v>52.6</v>
      </c>
      <c r="V124" s="7"/>
      <c r="W124" s="7">
        <f t="shared" si="27"/>
        <v>52.6</v>
      </c>
    </row>
    <row r="125" spans="1:29">
      <c r="A125" s="1">
        <v>1988</v>
      </c>
      <c r="B125" s="8">
        <f>(K28*($E28/366))+(K29*($E29/366))</f>
        <v>0</v>
      </c>
      <c r="C125" s="8">
        <f>(L28*($E28/366))+(L29*($E29/366))</f>
        <v>0</v>
      </c>
      <c r="D125" s="8">
        <f>(M28*($E28/366))+(M29*($E29/366))</f>
        <v>100</v>
      </c>
      <c r="E125" s="49">
        <f t="shared" si="26"/>
        <v>100</v>
      </c>
      <c r="G125" s="1">
        <v>1988</v>
      </c>
      <c r="H125" s="989">
        <f>(O28/$R28*100*($E28/366))+(O29/$R29*100*($E29/366))</f>
        <v>0</v>
      </c>
      <c r="I125" s="989"/>
      <c r="J125" s="989">
        <f>(P28/$R28*100*($E28/366))+(P29/$R29*100*($E29/366))</f>
        <v>0</v>
      </c>
      <c r="K125" s="989"/>
      <c r="L125" s="989">
        <f>(Q28/$R28*100*($E28/366))+(Q29/$R29*100*($E29/366))</f>
        <v>100</v>
      </c>
      <c r="M125" s="989"/>
      <c r="N125" s="959">
        <f t="shared" si="25"/>
        <v>100</v>
      </c>
      <c r="O125" s="959"/>
      <c r="R125" s="1">
        <v>1988</v>
      </c>
      <c r="S125" s="8">
        <f>(O28*($E28/366))+(O29*($E29/366))</f>
        <v>0</v>
      </c>
      <c r="T125" s="8">
        <f>(P28*($E28/366))+(P29*($E29/366))</f>
        <v>0</v>
      </c>
      <c r="U125" s="8">
        <f>(Q28*($E28/366))+(Q29*($E29/366))</f>
        <v>52.6</v>
      </c>
      <c r="V125" s="7"/>
      <c r="W125" s="7">
        <f t="shared" si="27"/>
        <v>52.6</v>
      </c>
    </row>
    <row r="126" spans="1:29">
      <c r="A126" s="1">
        <v>1989</v>
      </c>
      <c r="B126" s="8">
        <f>(K30*($E30/365))+(K31*($E31/365))</f>
        <v>0</v>
      </c>
      <c r="C126" s="8">
        <f>(L30*($E30/365))+(L31*($E31/365))</f>
        <v>0</v>
      </c>
      <c r="D126" s="8">
        <f>(M30*($E30/365))+(M31*($E31/365))</f>
        <v>100</v>
      </c>
      <c r="E126" s="49">
        <f t="shared" si="26"/>
        <v>100</v>
      </c>
      <c r="G126" s="1">
        <v>1989</v>
      </c>
      <c r="H126" s="989">
        <f>(O30/$R30*100*($E30/365))+(O31/$R31*100*($E31/365))</f>
        <v>0</v>
      </c>
      <c r="I126" s="989"/>
      <c r="J126" s="989">
        <f>(P30/$R30*100*($E30/365))+(P31/$R31*100*($E31/365))</f>
        <v>0</v>
      </c>
      <c r="K126" s="989"/>
      <c r="L126" s="989">
        <f>(Q30/$R30*100*($E30/365))+(Q31/$R31*100*($E31/365))</f>
        <v>100</v>
      </c>
      <c r="M126" s="989"/>
      <c r="N126" s="959">
        <f t="shared" si="25"/>
        <v>100</v>
      </c>
      <c r="O126" s="959"/>
      <c r="R126" s="1">
        <v>1989</v>
      </c>
      <c r="S126" s="8">
        <f>(O30*($E30/365))+(O31*($E31/365))</f>
        <v>0</v>
      </c>
      <c r="T126" s="8">
        <f>(P30*($E30/365))+(P31*($E31/365))</f>
        <v>0</v>
      </c>
      <c r="U126" s="8">
        <f>(Q30*($E30/365))+(Q31*($E31/365))</f>
        <v>52.421917808219177</v>
      </c>
      <c r="V126" s="7"/>
      <c r="W126" s="7">
        <f t="shared" si="27"/>
        <v>52.421917808219177</v>
      </c>
    </row>
    <row r="127" spans="1:29">
      <c r="A127" s="1">
        <v>1990</v>
      </c>
      <c r="B127" s="8">
        <f>(K32*($E32/365))+(K33*($E33/365))</f>
        <v>0</v>
      </c>
      <c r="C127" s="8">
        <f>(L32*($E32/365))+(L33*($E33/365))</f>
        <v>0</v>
      </c>
      <c r="D127" s="8">
        <f>(M32*($E32/365))+(M33*($E33/365))</f>
        <v>100</v>
      </c>
      <c r="E127" s="49">
        <f t="shared" si="26"/>
        <v>100</v>
      </c>
      <c r="G127" s="1">
        <v>1990</v>
      </c>
      <c r="H127" s="989">
        <f>(O32/$R32*100*($E32/365))+(O33/$R33*100*($E33/365))</f>
        <v>0</v>
      </c>
      <c r="I127" s="989"/>
      <c r="J127" s="989">
        <f>(P32/$R32*100*($E32/365))+(P33/$R33*100*($E33/365))</f>
        <v>0</v>
      </c>
      <c r="K127" s="989"/>
      <c r="L127" s="989">
        <f>(Q32/$R32*100*($E32/365))+(Q33/$R33*100*($E33/365))</f>
        <v>100</v>
      </c>
      <c r="M127" s="989"/>
      <c r="N127" s="959">
        <f t="shared" si="25"/>
        <v>100</v>
      </c>
      <c r="O127" s="959"/>
      <c r="R127" s="1">
        <v>1990</v>
      </c>
      <c r="S127" s="8">
        <f>(O32*($E32/365))+(O33*($E33/365))</f>
        <v>0</v>
      </c>
      <c r="T127" s="8">
        <f>(P32*($E32/365))+(P33*($E33/365))</f>
        <v>0</v>
      </c>
      <c r="U127" s="8">
        <f>(Q32*($E32/365))+(Q33*($E33/365))</f>
        <v>50</v>
      </c>
      <c r="V127" s="7"/>
      <c r="W127" s="7">
        <f t="shared" si="27"/>
        <v>50</v>
      </c>
    </row>
    <row r="128" spans="1:29">
      <c r="A128" s="1">
        <v>1991</v>
      </c>
      <c r="B128" s="8">
        <f>(K34*($E34/365))+(K35*($E35/365))</f>
        <v>0</v>
      </c>
      <c r="C128" s="8">
        <f>(L34*($E34/365))+(L35*($E35/365))</f>
        <v>0</v>
      </c>
      <c r="D128" s="8">
        <f>(M34*($E34/365))+(M35*($E35/365))</f>
        <v>100</v>
      </c>
      <c r="E128" s="49">
        <f t="shared" si="26"/>
        <v>100</v>
      </c>
      <c r="G128" s="1">
        <v>1991</v>
      </c>
      <c r="H128" s="989">
        <f>(O34/$R34*100*($E34/365))+(O35/$R35*100*($E35/365))</f>
        <v>0</v>
      </c>
      <c r="I128" s="989"/>
      <c r="J128" s="989">
        <f>(P34/$R34*100*($E34/365))+(P35/$R35*100*($E35/365))</f>
        <v>0</v>
      </c>
      <c r="K128" s="989"/>
      <c r="L128" s="989">
        <f>(Q34/$R34*100*($E34/365))+(Q35/$R35*100*($E35/365))</f>
        <v>100</v>
      </c>
      <c r="M128" s="989"/>
      <c r="N128" s="959">
        <f t="shared" si="25"/>
        <v>100</v>
      </c>
      <c r="O128" s="959"/>
      <c r="R128" s="1">
        <v>1991</v>
      </c>
      <c r="S128" s="8">
        <f>(O34*($E34/365))+(O35*($E35/365))</f>
        <v>0</v>
      </c>
      <c r="T128" s="8">
        <f>(P34*($E34/365))+(P35*($E35/365))</f>
        <v>0</v>
      </c>
      <c r="U128" s="8">
        <f>(Q34*($E34/365))+(Q35*($E35/365))</f>
        <v>50</v>
      </c>
      <c r="V128" s="7"/>
      <c r="W128" s="7">
        <f t="shared" si="27"/>
        <v>50</v>
      </c>
    </row>
    <row r="129" spans="1:23">
      <c r="A129" s="1">
        <v>1992</v>
      </c>
      <c r="B129" s="8">
        <f>(K36*($E36/366))+(K37*($E37/366))</f>
        <v>0</v>
      </c>
      <c r="C129" s="8">
        <f>(L36*($E36/366))+(L37*($E37/366))</f>
        <v>0</v>
      </c>
      <c r="D129" s="8">
        <f>(M36*($E36/366))+(M37*($E37/366))</f>
        <v>100</v>
      </c>
      <c r="E129" s="49">
        <f t="shared" si="26"/>
        <v>100</v>
      </c>
      <c r="G129" s="1">
        <v>1992</v>
      </c>
      <c r="H129" s="989">
        <f>(O36/$R36*100*($E36/366))+(O37/$R37*100*($E37/366))</f>
        <v>0</v>
      </c>
      <c r="I129" s="989"/>
      <c r="J129" s="989">
        <f>(P36/$R36*100*($E36/366))+(P37/$R37*100*($E37/366))</f>
        <v>0</v>
      </c>
      <c r="K129" s="989"/>
      <c r="L129" s="989">
        <f>(Q36/$R36*100*($E36/366))+(Q37/$R37*100*($E37/366))</f>
        <v>100</v>
      </c>
      <c r="M129" s="989"/>
      <c r="N129" s="959">
        <f t="shared" si="25"/>
        <v>100</v>
      </c>
      <c r="O129" s="959"/>
      <c r="R129" s="1">
        <v>1992</v>
      </c>
      <c r="S129" s="8">
        <f>(O36*($E36/366))+(O37*($E37/366))</f>
        <v>0</v>
      </c>
      <c r="T129" s="8">
        <f>(P36*($E36/366))+(P37*($E37/366))</f>
        <v>0</v>
      </c>
      <c r="U129" s="8">
        <f>(Q36*($E36/366))+(Q37*($E37/366))</f>
        <v>50</v>
      </c>
      <c r="V129" s="7"/>
      <c r="W129" s="7">
        <f t="shared" si="27"/>
        <v>50</v>
      </c>
    </row>
    <row r="130" spans="1:23">
      <c r="A130" s="1">
        <v>1993</v>
      </c>
      <c r="B130" s="8">
        <f>(K38*($E38/365))+(K39*($E39/365))</f>
        <v>0</v>
      </c>
      <c r="C130" s="8">
        <f>(L38*($E38/365))+(L39*($E39/365))</f>
        <v>0</v>
      </c>
      <c r="D130" s="8">
        <f>(M38*($E38/365))+(M39*($E39/365))</f>
        <v>100</v>
      </c>
      <c r="E130" s="49">
        <f t="shared" si="26"/>
        <v>100</v>
      </c>
      <c r="G130" s="1">
        <v>1993</v>
      </c>
      <c r="H130" s="989">
        <f>(O38/$R38*100*($E38/365))+(O39/$R39*100*($E39/365))</f>
        <v>0</v>
      </c>
      <c r="I130" s="989"/>
      <c r="J130" s="989">
        <f>(P38/$R38*100*($E38/365))+(P39/$R39*100*($E39/365))</f>
        <v>0</v>
      </c>
      <c r="K130" s="989"/>
      <c r="L130" s="989">
        <f>(Q38/$R38*100*($E38/365))+(Q39/$R39*100*($E39/365))</f>
        <v>100</v>
      </c>
      <c r="M130" s="989"/>
      <c r="N130" s="959">
        <f t="shared" si="25"/>
        <v>100</v>
      </c>
      <c r="O130" s="959"/>
      <c r="R130" s="1">
        <v>1993</v>
      </c>
      <c r="S130" s="8">
        <f>(O38*($E38/365))+(O39*($E39/365))</f>
        <v>0</v>
      </c>
      <c r="T130" s="8">
        <f>(P38*($E38/365))+(P39*($E39/365))</f>
        <v>0</v>
      </c>
      <c r="U130" s="8">
        <f>(Q38*($E38/365))+(Q39*($E39/365))</f>
        <v>47.844931506849321</v>
      </c>
      <c r="V130" s="7"/>
      <c r="W130" s="7">
        <f t="shared" si="27"/>
        <v>47.844931506849321</v>
      </c>
    </row>
    <row r="131" spans="1:23">
      <c r="A131" s="1">
        <v>1994</v>
      </c>
      <c r="B131" s="8">
        <f>(K40*($E40/365))+(K41*($E41/365))</f>
        <v>0</v>
      </c>
      <c r="C131" s="8">
        <f>(L40*($E40/365))+(L41*($E41/365))</f>
        <v>0</v>
      </c>
      <c r="D131" s="8">
        <f>(M40*($E40/365))+(M41*($E41/365))</f>
        <v>100</v>
      </c>
      <c r="E131" s="49">
        <f t="shared" si="26"/>
        <v>100</v>
      </c>
      <c r="G131" s="1">
        <v>1994</v>
      </c>
      <c r="H131" s="989">
        <f>(O40/$R40*100*($E40/365))+(O41/$R41*100*($E41/365))</f>
        <v>0</v>
      </c>
      <c r="I131" s="989"/>
      <c r="J131" s="989">
        <f>(P40/$R40*100*($E40/365))+(P41/$R41*100*($E41/365))</f>
        <v>0</v>
      </c>
      <c r="K131" s="989"/>
      <c r="L131" s="989">
        <f>(Q40/$R40*100*($E40/365))+(Q41/$R41*100*($E41/365))</f>
        <v>100</v>
      </c>
      <c r="M131" s="989"/>
      <c r="N131" s="959">
        <f t="shared" si="25"/>
        <v>100</v>
      </c>
      <c r="O131" s="959"/>
      <c r="R131" s="1">
        <v>1994</v>
      </c>
      <c r="S131" s="8">
        <f>(O40*($E40/365))+(O41*($E41/365))</f>
        <v>0</v>
      </c>
      <c r="T131" s="8">
        <f>(P40*($E40/365))+(P41*($E41/365))</f>
        <v>0</v>
      </c>
      <c r="U131" s="8">
        <f>(Q40*($E40/365))+(Q41*($E41/365))</f>
        <v>45.4</v>
      </c>
      <c r="V131" s="7"/>
      <c r="W131" s="7">
        <f t="shared" si="27"/>
        <v>45.4</v>
      </c>
    </row>
    <row r="132" spans="1:23">
      <c r="A132" s="1">
        <v>1995</v>
      </c>
      <c r="B132" s="8">
        <f>(K42*($E42/365))+(K43*($E43/365))</f>
        <v>0</v>
      </c>
      <c r="C132" s="8">
        <f>(L42*($E42/365))+(L43*($E43/365))</f>
        <v>0</v>
      </c>
      <c r="D132" s="8">
        <f>(M42*($E42/365))+(M43*($E43/365))</f>
        <v>100</v>
      </c>
      <c r="E132" s="49">
        <f t="shared" si="26"/>
        <v>100</v>
      </c>
      <c r="G132" s="1">
        <v>1995</v>
      </c>
      <c r="H132" s="989">
        <f>(O42/$R42*100*($E42/365))+(O43/$R43*100*($E43/365))</f>
        <v>0</v>
      </c>
      <c r="I132" s="989"/>
      <c r="J132" s="989">
        <f>(P42/$R42*100*($E42/365))+(P43/$R43*100*($E43/365))</f>
        <v>0</v>
      </c>
      <c r="K132" s="989"/>
      <c r="L132" s="989">
        <f>(Q42/$R42*100*($E42/365))+(Q43/$R43*100*($E43/365))</f>
        <v>100</v>
      </c>
      <c r="M132" s="989"/>
      <c r="N132" s="959">
        <f t="shared" si="25"/>
        <v>100</v>
      </c>
      <c r="O132" s="959"/>
      <c r="R132" s="1">
        <v>1995</v>
      </c>
      <c r="S132" s="8">
        <f>(O42*($E42/365))+(O43*($E43/365))</f>
        <v>0</v>
      </c>
      <c r="T132" s="8">
        <f>(P42*($E42/365))+(P43*($E43/365))</f>
        <v>0</v>
      </c>
      <c r="U132" s="8">
        <f>(Q42*($E42/365))+(Q43*($E43/365))</f>
        <v>45.4</v>
      </c>
      <c r="V132" s="7"/>
      <c r="W132" s="7">
        <f t="shared" si="27"/>
        <v>45.4</v>
      </c>
    </row>
    <row r="133" spans="1:23">
      <c r="A133" s="1">
        <v>1996</v>
      </c>
      <c r="B133" s="8">
        <f>(K44*($E44/366))+(K45*($E45/366))</f>
        <v>0</v>
      </c>
      <c r="C133" s="8">
        <f>(L44*($E44/366))+(L45*($E45/366))</f>
        <v>66.120218579234972</v>
      </c>
      <c r="D133" s="8">
        <f>(M44*($E44/366))+(M45*($E45/366))</f>
        <v>33.879781420765028</v>
      </c>
      <c r="E133" s="49">
        <f t="shared" si="26"/>
        <v>100</v>
      </c>
      <c r="G133" s="1">
        <v>1996</v>
      </c>
      <c r="H133" s="989">
        <f>(O44/$R44*100*($E44/366))+(O45/$R45*100*($E45/366))</f>
        <v>0</v>
      </c>
      <c r="I133" s="989"/>
      <c r="J133" s="989">
        <f>(P44/$R44*100*($E44/366))+(P45/$R45*100*($E45/366))</f>
        <v>66.120218579234972</v>
      </c>
      <c r="K133" s="989"/>
      <c r="L133" s="989">
        <f>(Q44/$R44*100*($E44/366))+(Q45/$R45*100*($E45/366))</f>
        <v>33.879781420765028</v>
      </c>
      <c r="M133" s="989"/>
      <c r="N133" s="959">
        <f t="shared" si="25"/>
        <v>100</v>
      </c>
      <c r="O133" s="959"/>
      <c r="R133" s="1">
        <v>1996</v>
      </c>
      <c r="S133" s="8">
        <f>(O44*($E44/366))+(O45*($E45/366))</f>
        <v>0</v>
      </c>
      <c r="T133" s="8">
        <f>(P44*($E44/366))+(P45*($E45/366))</f>
        <v>29.489617486338798</v>
      </c>
      <c r="U133" s="8">
        <f>(Q44*($E44/366))+(Q45*($E45/366))</f>
        <v>15.381420765027322</v>
      </c>
      <c r="V133" s="7"/>
      <c r="W133" s="7">
        <f t="shared" si="27"/>
        <v>44.871038251366116</v>
      </c>
    </row>
    <row r="134" spans="1:23">
      <c r="A134" s="1">
        <v>1997</v>
      </c>
      <c r="B134" s="8">
        <f>(K46*($E46/365))+(K47*($E47/365))</f>
        <v>0</v>
      </c>
      <c r="C134" s="8">
        <f>(L46*($E46/365))+(L47*($E47/365))</f>
        <v>100</v>
      </c>
      <c r="D134" s="8">
        <f>(M46*($E46/365))+(M47*($E47/365))</f>
        <v>0</v>
      </c>
      <c r="E134" s="49">
        <f t="shared" si="26"/>
        <v>100</v>
      </c>
      <c r="G134" s="1">
        <v>1997</v>
      </c>
      <c r="H134" s="989">
        <f>(O46/$R46*100*($E46/365))+(O47/$R47*100*($E47/365))</f>
        <v>0</v>
      </c>
      <c r="I134" s="989"/>
      <c r="J134" s="989">
        <f>(P46/$R46*100*($E46/365))+(P47/$R47*100*($E47/365))</f>
        <v>100</v>
      </c>
      <c r="K134" s="989"/>
      <c r="L134" s="989">
        <f>(Q46/$R46*100*($E46/365))+(Q47/$R47*100*($E47/365))</f>
        <v>0</v>
      </c>
      <c r="M134" s="989"/>
      <c r="N134" s="959">
        <f t="shared" si="25"/>
        <v>100</v>
      </c>
      <c r="O134" s="959"/>
      <c r="R134" s="1">
        <v>1997</v>
      </c>
      <c r="S134" s="8">
        <f>(O46*($E46/365))+(O47*($E47/365))</f>
        <v>0</v>
      </c>
      <c r="T134" s="8">
        <f>(P46*($E46/365))+(P47*($E47/365))</f>
        <v>44.6</v>
      </c>
      <c r="U134" s="8">
        <f>(Q46*($E46/365))+(Q47*($E47/365))</f>
        <v>0</v>
      </c>
      <c r="V134" s="7"/>
      <c r="W134" s="7">
        <f t="shared" si="27"/>
        <v>44.6</v>
      </c>
    </row>
    <row r="135" spans="1:23">
      <c r="A135" s="1">
        <v>1998</v>
      </c>
      <c r="B135" s="8">
        <f>(K48*($E48/365))+(K49*($E49/365))</f>
        <v>0</v>
      </c>
      <c r="C135" s="8">
        <f>(L48*($E48/365))+(L49*($E49/365))</f>
        <v>100</v>
      </c>
      <c r="D135" s="8">
        <f>(M48*($E48/365))+(M49*($E49/365))</f>
        <v>0</v>
      </c>
      <c r="E135" s="49">
        <f t="shared" si="26"/>
        <v>100</v>
      </c>
      <c r="G135" s="1">
        <v>1998</v>
      </c>
      <c r="H135" s="989">
        <f>(O48/$R48*100*($E48/365))+(O49/$R49*100*($E49/365))</f>
        <v>0</v>
      </c>
      <c r="I135" s="989"/>
      <c r="J135" s="989">
        <f>(P48/$R48*100*($E48/365))+(P49/$R49*100*($E49/365))</f>
        <v>100</v>
      </c>
      <c r="K135" s="989"/>
      <c r="L135" s="989">
        <f>(Q48/$R48*100*($E48/365))+(Q49/$R49*100*($E49/365))</f>
        <v>0</v>
      </c>
      <c r="M135" s="989"/>
      <c r="N135" s="959">
        <f t="shared" si="25"/>
        <v>100</v>
      </c>
      <c r="O135" s="959"/>
      <c r="R135" s="1">
        <v>1998</v>
      </c>
      <c r="S135" s="8">
        <f>(O48*($E48/365))+(O49*($E49/365))</f>
        <v>0</v>
      </c>
      <c r="T135" s="8">
        <f>(P48*($E48/365))+(P49*($E49/365))</f>
        <v>44.6</v>
      </c>
      <c r="U135" s="8">
        <f>(Q48*($E48/365))+(Q49*($E49/365))</f>
        <v>0</v>
      </c>
      <c r="V135" s="7"/>
      <c r="W135" s="7">
        <f t="shared" si="27"/>
        <v>44.6</v>
      </c>
    </row>
    <row r="136" spans="1:23">
      <c r="A136" s="1">
        <v>1999</v>
      </c>
      <c r="B136" s="8">
        <f>(K50*($E50/365))+(K51*($E51/365))</f>
        <v>0</v>
      </c>
      <c r="C136" s="8">
        <f>(L50*($E50/365))+(L51*($E51/365))</f>
        <v>100</v>
      </c>
      <c r="D136" s="8">
        <f>(M50*($E50/365))+(M51*($E51/365))</f>
        <v>0</v>
      </c>
      <c r="E136" s="49">
        <f t="shared" si="26"/>
        <v>100</v>
      </c>
      <c r="G136" s="1">
        <v>1999</v>
      </c>
      <c r="H136" s="989">
        <f>(O50/$R50*100*($E50/365))+(O51/$R51*100*($E51/365))</f>
        <v>0</v>
      </c>
      <c r="I136" s="989"/>
      <c r="J136" s="989">
        <f>(P50/$R50*100*($E50/365))+(P51/$R51*100*($E51/365))</f>
        <v>100</v>
      </c>
      <c r="K136" s="989"/>
      <c r="L136" s="989">
        <f>(Q50/$R50*100*($E50/365))+(Q51/$R51*100*($E51/365))</f>
        <v>0</v>
      </c>
      <c r="M136" s="989"/>
      <c r="N136" s="959">
        <f t="shared" si="25"/>
        <v>100</v>
      </c>
      <c r="O136" s="959"/>
      <c r="R136" s="1">
        <v>1999</v>
      </c>
      <c r="S136" s="8">
        <f>(O50*($E50/365))+(O51*($E51/365))</f>
        <v>0</v>
      </c>
      <c r="T136" s="8">
        <f>(P50*($E50/365))+(P51*($E51/365))</f>
        <v>44.6</v>
      </c>
      <c r="U136" s="8">
        <f>(Q50*($E50/365))+(Q51*($E51/365))</f>
        <v>0</v>
      </c>
      <c r="V136" s="7"/>
      <c r="W136" s="7">
        <f t="shared" si="27"/>
        <v>44.6</v>
      </c>
    </row>
    <row r="137" spans="1:23">
      <c r="A137" s="1">
        <v>2000</v>
      </c>
      <c r="B137" s="8">
        <f>(K52*($E52/366))+(K53*($E53/366))</f>
        <v>0</v>
      </c>
      <c r="C137" s="8">
        <f>(L52*($E52/366))+(L53*($E53/366))</f>
        <v>100</v>
      </c>
      <c r="D137" s="8">
        <f>(M52*($E52/366))+(M53*($E53/366))</f>
        <v>0</v>
      </c>
      <c r="E137" s="49">
        <f t="shared" si="26"/>
        <v>100</v>
      </c>
      <c r="G137" s="1">
        <v>2000</v>
      </c>
      <c r="H137" s="989">
        <f>(O52/$R52*100*($E52/366))+(O53/$R53*100*($E53/366))</f>
        <v>0</v>
      </c>
      <c r="I137" s="989"/>
      <c r="J137" s="989">
        <f>(P52/$R52*100*($E52/366))+(P53/$R53*100*($E53/366))</f>
        <v>100</v>
      </c>
      <c r="K137" s="989"/>
      <c r="L137" s="989">
        <f>(Q52/$R52*100*($E52/366))+(Q53/$R53*100*($E53/366))</f>
        <v>0</v>
      </c>
      <c r="M137" s="989"/>
      <c r="N137" s="959">
        <f t="shared" si="25"/>
        <v>100</v>
      </c>
      <c r="O137" s="959"/>
      <c r="R137" s="1">
        <v>2000</v>
      </c>
      <c r="S137" s="8">
        <f>(O52*($E52/366))+(O53*($E53/366))</f>
        <v>0</v>
      </c>
      <c r="T137" s="8">
        <f>(P52*($E52/366))+(P53*($E53/366))</f>
        <v>49.85956284153005</v>
      </c>
      <c r="U137" s="8">
        <f>(Q52*($E52/366))+(Q53*($E53/366))</f>
        <v>0</v>
      </c>
      <c r="V137" s="7"/>
      <c r="W137" s="7">
        <f t="shared" si="27"/>
        <v>49.85956284153005</v>
      </c>
    </row>
    <row r="138" spans="1:23">
      <c r="A138" s="1">
        <v>2001</v>
      </c>
      <c r="B138" s="8">
        <f>(K54*($E54/365))+(K55*($E55/365))</f>
        <v>0</v>
      </c>
      <c r="C138" s="8">
        <f>(L54*($E54/365))+(L55*($E55/365))</f>
        <v>100</v>
      </c>
      <c r="D138" s="8">
        <f>(M54*($E54/365))+(M55*($E55/365))</f>
        <v>0</v>
      </c>
      <c r="E138" s="49">
        <f t="shared" si="26"/>
        <v>100</v>
      </c>
      <c r="G138" s="1">
        <v>2001</v>
      </c>
      <c r="H138" s="989">
        <f>(O54/$R54*100*($E54/365))+(O55/$R55*100*($E55/365))</f>
        <v>0</v>
      </c>
      <c r="I138" s="989"/>
      <c r="J138" s="989">
        <f>(P54/$R54*100*($E54/365))+(P55/$R55*100*($E55/365))</f>
        <v>100</v>
      </c>
      <c r="K138" s="989"/>
      <c r="L138" s="989">
        <f>(Q54/$R54*100*($E54/365))+(Q55/$R55*100*($E55/365))</f>
        <v>0</v>
      </c>
      <c r="M138" s="989"/>
      <c r="N138" s="959">
        <f t="shared" si="25"/>
        <v>100</v>
      </c>
      <c r="O138" s="959"/>
      <c r="R138" s="1">
        <v>2001</v>
      </c>
      <c r="S138" s="8">
        <f>(O54*($E54/365))+(O55*($E55/365))</f>
        <v>0</v>
      </c>
      <c r="T138" s="8">
        <f>(P54*($E54/365))+(P55*($E55/365))</f>
        <v>52.3</v>
      </c>
      <c r="U138" s="8">
        <f>(Q54*($E54/365))+(Q55*($E55/365))</f>
        <v>0</v>
      </c>
      <c r="V138" s="7"/>
      <c r="W138" s="7">
        <f t="shared" si="27"/>
        <v>52.3</v>
      </c>
    </row>
    <row r="139" spans="1:23">
      <c r="A139" s="1">
        <v>2002</v>
      </c>
      <c r="B139" s="8">
        <f>(K56*($E56/365))+(K57*($E57/365))</f>
        <v>0</v>
      </c>
      <c r="C139" s="8">
        <f>(L56*($E56/365))+(L57*($E57/365))</f>
        <v>100</v>
      </c>
      <c r="D139" s="8">
        <f>(M56*($E56/365))+(M57*($E57/365))</f>
        <v>0</v>
      </c>
      <c r="E139" s="49">
        <f t="shared" si="26"/>
        <v>100</v>
      </c>
      <c r="G139" s="1">
        <v>2002</v>
      </c>
      <c r="H139" s="989">
        <f>(O56/$R56*100*($E56/365))+(O57/$R57*100*($E57/365))</f>
        <v>0</v>
      </c>
      <c r="I139" s="989"/>
      <c r="J139" s="989">
        <f>(P56/$R56*100*($E56/365))+(P57/$R57*100*($E57/365))</f>
        <v>100</v>
      </c>
      <c r="K139" s="989"/>
      <c r="L139" s="989">
        <f>(Q56/$R56*100*($E56/365))+(Q57/$R57*100*($E57/365))</f>
        <v>0</v>
      </c>
      <c r="M139" s="989"/>
      <c r="N139" s="959">
        <f t="shared" si="25"/>
        <v>100</v>
      </c>
      <c r="O139" s="959"/>
      <c r="R139" s="1">
        <v>2002</v>
      </c>
      <c r="S139" s="8">
        <f>(O56*($E56/365))+(O57*($E57/365))</f>
        <v>0</v>
      </c>
      <c r="T139" s="8">
        <f>(P56*($E56/365))+(P57*($E57/365))</f>
        <v>52.3</v>
      </c>
      <c r="U139" s="8">
        <f>(Q56*($E56/365))+(Q57*($E57/365))</f>
        <v>0</v>
      </c>
      <c r="V139" s="7"/>
      <c r="W139" s="7">
        <f t="shared" si="27"/>
        <v>52.3</v>
      </c>
    </row>
    <row r="140" spans="1:23">
      <c r="A140" s="1">
        <v>2003</v>
      </c>
      <c r="B140" s="8">
        <f>(K58*($E58/365))+(K59*($E59/365))</f>
        <v>0</v>
      </c>
      <c r="C140" s="8">
        <f>(L58*($E58/365))+(L59*($E59/365))</f>
        <v>100</v>
      </c>
      <c r="D140" s="8">
        <f>(M58*($E58/365))+(M59*($E59/365))</f>
        <v>0</v>
      </c>
      <c r="E140" s="49">
        <f t="shared" si="26"/>
        <v>100</v>
      </c>
      <c r="G140" s="1">
        <v>2003</v>
      </c>
      <c r="H140" s="989">
        <f>(O58/$R58*100*($E58/365))+(O59/$R59*100*($E59/365))</f>
        <v>0</v>
      </c>
      <c r="I140" s="989"/>
      <c r="J140" s="989">
        <f>(P58/$R58*100*($E58/365))+(P59/$R59*100*($E59/365))</f>
        <v>100</v>
      </c>
      <c r="K140" s="989"/>
      <c r="L140" s="989">
        <f>(Q58/$R58*100*($E58/365))+(Q59/$R59*100*($E59/365))</f>
        <v>0</v>
      </c>
      <c r="M140" s="989"/>
      <c r="N140" s="959">
        <f t="shared" si="25"/>
        <v>100</v>
      </c>
      <c r="O140" s="959"/>
      <c r="R140" s="1">
        <v>2003</v>
      </c>
      <c r="S140" s="8">
        <f>(O58*($E58/365))+(O59*($E59/365))</f>
        <v>0</v>
      </c>
      <c r="T140" s="8">
        <f>(P58*($E58/365))+(P59*($E59/365))</f>
        <v>52.3</v>
      </c>
      <c r="U140" s="8">
        <f>(Q58*($E58/365))+(Q59*($E59/365))</f>
        <v>0</v>
      </c>
      <c r="V140" s="7"/>
      <c r="W140" s="7">
        <f t="shared" si="27"/>
        <v>52.3</v>
      </c>
    </row>
    <row r="141" spans="1:23">
      <c r="A141" s="1">
        <v>2004</v>
      </c>
      <c r="B141" s="8">
        <f>(K60*($E60/366))+(K61*($E61/366))</f>
        <v>0</v>
      </c>
      <c r="C141" s="8">
        <f>(L60*($E60/366))+(L61*($E61/366))</f>
        <v>29.234972677595628</v>
      </c>
      <c r="D141" s="8">
        <f>(M60*($E60/366))+(M61*($E61/366))</f>
        <v>70.765027322404379</v>
      </c>
      <c r="E141" s="49">
        <f t="shared" si="26"/>
        <v>100</v>
      </c>
      <c r="G141" s="1">
        <v>2004</v>
      </c>
      <c r="H141" s="989">
        <f>(O60/$R60*100*($E60/366))+(O61/$R61*100*($E61/366))</f>
        <v>0</v>
      </c>
      <c r="I141" s="989"/>
      <c r="J141" s="989">
        <f>(P60/$R60*100*($E60/366))+(P61/$R61*100*($E61/366))</f>
        <v>29.234972677595628</v>
      </c>
      <c r="K141" s="989"/>
      <c r="L141" s="989">
        <f>(Q60/$R60*100*($E60/366))+(Q61/$R61*100*($E61/366))</f>
        <v>70.765027322404379</v>
      </c>
      <c r="M141" s="989"/>
      <c r="N141" s="959">
        <f t="shared" si="25"/>
        <v>100</v>
      </c>
      <c r="O141" s="959"/>
      <c r="R141" s="1">
        <v>2004</v>
      </c>
      <c r="S141" s="8">
        <f>(O60*($E60/366))+(O61*($E61/366))</f>
        <v>0</v>
      </c>
      <c r="T141" s="8">
        <f>(P60*($E60/366))+(P61*($E61/366))</f>
        <v>15.289890710382512</v>
      </c>
      <c r="U141" s="8">
        <f>(Q60*($E60/366))+(Q61*($E61/366))</f>
        <v>33.188797814207646</v>
      </c>
      <c r="V141" s="7"/>
      <c r="W141" s="7">
        <f t="shared" si="27"/>
        <v>48.478688524590154</v>
      </c>
    </row>
    <row r="142" spans="1:23">
      <c r="A142" s="1">
        <v>2005</v>
      </c>
      <c r="B142" s="8">
        <f>(K62*($E62/365))+(K63*($E63/365))</f>
        <v>0</v>
      </c>
      <c r="C142" s="8">
        <f>(L62*($E62/365))+(L63*($E63/365))</f>
        <v>0</v>
      </c>
      <c r="D142" s="8">
        <f>(M62*($E62/365))+(M63*($E63/365))</f>
        <v>100</v>
      </c>
      <c r="E142" s="49">
        <f t="shared" si="26"/>
        <v>100</v>
      </c>
      <c r="G142" s="1">
        <v>2005</v>
      </c>
      <c r="H142" s="989">
        <f>(O62/$R62*100*($E62/365))+(O63/$R63*100*($E63/365))</f>
        <v>0</v>
      </c>
      <c r="I142" s="989"/>
      <c r="J142" s="989">
        <f>(P62/$R62*100*($E62/365))+(P63/$R63*100*($E63/365))</f>
        <v>0</v>
      </c>
      <c r="K142" s="989"/>
      <c r="L142" s="989">
        <f>(Q62/$R62*100*($E62/365))+(Q63/$R63*100*($E63/365))</f>
        <v>100</v>
      </c>
      <c r="M142" s="989"/>
      <c r="N142" s="959">
        <f t="shared" si="25"/>
        <v>100</v>
      </c>
      <c r="O142" s="959"/>
      <c r="R142" s="1">
        <v>2005</v>
      </c>
      <c r="S142" s="8">
        <f>(O62*($E62/365))+(O63*($E63/365))</f>
        <v>0</v>
      </c>
      <c r="T142" s="8">
        <f>(P62*($E62/365))+(P63*($E63/365))</f>
        <v>0</v>
      </c>
      <c r="U142" s="8">
        <f>(Q62*($E62/365))+(Q63*($E63/365))</f>
        <v>46.9</v>
      </c>
      <c r="V142" s="7"/>
      <c r="W142" s="7">
        <f t="shared" si="27"/>
        <v>46.9</v>
      </c>
    </row>
    <row r="143" spans="1:23">
      <c r="A143" s="1">
        <v>2006</v>
      </c>
      <c r="B143" s="8">
        <f>(K64*($E64/365))+(K65*($E65/365))</f>
        <v>0</v>
      </c>
      <c r="C143" s="8">
        <f>(L64*($E64/365))+(L65*($E65/365))</f>
        <v>0</v>
      </c>
      <c r="D143" s="8">
        <f>(M64*($E64/365))+(M65*($E65/365))</f>
        <v>100</v>
      </c>
      <c r="E143" s="49">
        <f t="shared" si="26"/>
        <v>100</v>
      </c>
      <c r="G143" s="1">
        <v>2006</v>
      </c>
      <c r="H143" s="989">
        <f>(O64/$R64*100*($E64/365))+(O65/$R65*100*($E65/365))</f>
        <v>0</v>
      </c>
      <c r="I143" s="989"/>
      <c r="J143" s="989">
        <f>(P64/$R64*100*($E64/365))+(P65/$R65*100*($E65/365))</f>
        <v>0</v>
      </c>
      <c r="K143" s="989"/>
      <c r="L143" s="989">
        <f>(Q64/$R64*100*($E64/365))+(Q65/$R65*100*($E65/365))</f>
        <v>100</v>
      </c>
      <c r="M143" s="989"/>
      <c r="N143" s="959">
        <f t="shared" si="25"/>
        <v>100</v>
      </c>
      <c r="O143" s="959"/>
      <c r="R143" s="1">
        <v>2006</v>
      </c>
      <c r="S143" s="8">
        <f>(O64*($E64/365))+(O65*($E65/365))</f>
        <v>0</v>
      </c>
      <c r="T143" s="8">
        <f>(P64*($E64/365))+(P65*($E65/365))</f>
        <v>0</v>
      </c>
      <c r="U143" s="8">
        <f>(Q64*($E64/365))+(Q65*($E65/365))</f>
        <v>46.9</v>
      </c>
      <c r="V143" s="7"/>
      <c r="W143" s="7">
        <f t="shared" si="27"/>
        <v>46.9</v>
      </c>
    </row>
    <row r="144" spans="1:23">
      <c r="A144" s="1">
        <v>2007</v>
      </c>
      <c r="B144" s="8">
        <f>(K66*($E66/365))+(K67*($E67/365))</f>
        <v>0</v>
      </c>
      <c r="C144" s="8">
        <f>(L66*($E66/365))+(L67*($E67/365))</f>
        <v>0</v>
      </c>
      <c r="D144" s="8">
        <f>(M66*($E66/365))+(M67*($E67/365))</f>
        <v>100</v>
      </c>
      <c r="E144" s="49">
        <f t="shared" si="26"/>
        <v>100</v>
      </c>
      <c r="G144" s="1">
        <v>2007</v>
      </c>
      <c r="H144" s="989">
        <f>(O66/$R66*100*($E66/365))+(O67/$R67*100*($E67/365))</f>
        <v>0</v>
      </c>
      <c r="I144" s="989"/>
      <c r="J144" s="989">
        <f>(P66/$R66*100*($E66/365))+(P67/$R67*100*($E67/365))</f>
        <v>0</v>
      </c>
      <c r="K144" s="989"/>
      <c r="L144" s="989">
        <f>(Q66/$R66*100*($E66/365))+(Q67/$R67*100*($E67/365))</f>
        <v>100</v>
      </c>
      <c r="M144" s="989"/>
      <c r="N144" s="959">
        <f t="shared" si="25"/>
        <v>100</v>
      </c>
      <c r="O144" s="959"/>
      <c r="R144" s="1">
        <v>2007</v>
      </c>
      <c r="S144" s="8">
        <f>(O66*($E66/365))+(O67*($E67/365))</f>
        <v>0</v>
      </c>
      <c r="T144" s="8">
        <f>(P66*($E66/365))+(P67*($E67/365))</f>
        <v>0</v>
      </c>
      <c r="U144" s="8">
        <f>(Q66*($E66/365))+(Q67*($E67/365))</f>
        <v>46.9</v>
      </c>
      <c r="V144" s="7"/>
      <c r="W144" s="7">
        <f t="shared" si="27"/>
        <v>46.9</v>
      </c>
    </row>
    <row r="145" spans="1:23">
      <c r="A145" s="1">
        <v>2008</v>
      </c>
      <c r="B145" s="8">
        <f>(K68*($E68/366))+(K69*($E69/366))</f>
        <v>0</v>
      </c>
      <c r="C145" s="8">
        <f>(L68*($E68/366))+(L69*($E69/366))</f>
        <v>0</v>
      </c>
      <c r="D145" s="8">
        <f>(M68*($E68/366))+(M69*($E69/366))</f>
        <v>100.00000000000001</v>
      </c>
      <c r="E145" s="49">
        <f t="shared" si="26"/>
        <v>100.00000000000001</v>
      </c>
      <c r="G145" s="1">
        <v>2008</v>
      </c>
      <c r="H145" s="989">
        <f>(O68/$R68*100*($E68/366))+(O69/$R69*100*($E69/366))</f>
        <v>0</v>
      </c>
      <c r="I145" s="989"/>
      <c r="J145" s="989">
        <f>(P68/$R68*100*($E68/366))+(P69/$R69*100*($E69/366))</f>
        <v>0</v>
      </c>
      <c r="K145" s="989"/>
      <c r="L145" s="989">
        <f>(Q68/$R68*100*($E68/366))+(Q69/$R69*100*($E69/366))</f>
        <v>100.00000000000001</v>
      </c>
      <c r="M145" s="989"/>
      <c r="N145" s="959">
        <f t="shared" si="25"/>
        <v>100.00000000000001</v>
      </c>
      <c r="O145" s="959"/>
      <c r="R145" s="1">
        <v>2008</v>
      </c>
      <c r="S145" s="8">
        <f>(O68*($E68/366))+(O69*($E69/366))</f>
        <v>0</v>
      </c>
      <c r="T145" s="8">
        <f>(P68*($E68/366))+(P69*($E69/366))</f>
        <v>0</v>
      </c>
      <c r="U145" s="8">
        <f>(Q68*($E68/366))+(Q69*($E69/366))</f>
        <v>47.910491803278688</v>
      </c>
      <c r="V145" s="7"/>
      <c r="W145" s="7">
        <f t="shared" si="27"/>
        <v>47.910491803278688</v>
      </c>
    </row>
    <row r="146" spans="1:23">
      <c r="A146" s="1">
        <v>2009</v>
      </c>
      <c r="B146" s="8">
        <f>(K70*($E70/365))+(K71*($E71/365))</f>
        <v>0</v>
      </c>
      <c r="C146" s="8">
        <f>(L70*($E70/365))+(L71*($E71/365))</f>
        <v>0</v>
      </c>
      <c r="D146" s="8">
        <f>(M70*($E70/365))+(M71*($E71/365))</f>
        <v>100</v>
      </c>
      <c r="E146" s="49">
        <f t="shared" si="26"/>
        <v>100</v>
      </c>
      <c r="G146" s="1">
        <v>2009</v>
      </c>
      <c r="H146" s="989">
        <f>(O70/$R70*100*($E70/365))+(O71/$R71*100*($E71/365))</f>
        <v>0</v>
      </c>
      <c r="I146" s="989"/>
      <c r="J146" s="989">
        <f>(P70/$R70*100*($E70/365))+(P71/$R71*100*($E71/365))</f>
        <v>0</v>
      </c>
      <c r="K146" s="989"/>
      <c r="L146" s="989">
        <f>(Q70/$R70*100*($E70/365))+(Q71/$R71*100*($E71/365))</f>
        <v>100</v>
      </c>
      <c r="M146" s="989"/>
      <c r="N146" s="959">
        <f t="shared" si="25"/>
        <v>100</v>
      </c>
      <c r="O146" s="959"/>
      <c r="R146" s="1">
        <v>2009</v>
      </c>
      <c r="S146" s="8">
        <f>(O70*($E70/365))+(O71*($E71/365))</f>
        <v>0</v>
      </c>
      <c r="T146" s="8">
        <f>(P70*($E70/365))+(P71*($E71/365))</f>
        <v>0</v>
      </c>
      <c r="U146" s="8">
        <f>(Q70*($E70/365))+(Q71*($E71/365))</f>
        <v>48.279999999999994</v>
      </c>
      <c r="V146" s="7"/>
      <c r="W146" s="7">
        <f t="shared" si="27"/>
        <v>48.279999999999994</v>
      </c>
    </row>
    <row r="147" spans="1:23">
      <c r="A147" s="1">
        <v>2010</v>
      </c>
      <c r="B147" s="8">
        <f>(K72*($E72/365))+(K73*($E73/365))</f>
        <v>0</v>
      </c>
      <c r="C147" s="8">
        <f>(L72*($E72/365))+(L73*($E73/365))</f>
        <v>0</v>
      </c>
      <c r="D147" s="8">
        <f>(M72*($E72/365))+(M73*($E73/365))</f>
        <v>98.75</v>
      </c>
      <c r="E147" s="49">
        <f t="shared" si="26"/>
        <v>98.75</v>
      </c>
      <c r="G147" s="1">
        <v>2010</v>
      </c>
      <c r="H147" s="989">
        <f>(O72/$R72*100*($E72/365))+(O73/$R73*100*($E73/365))</f>
        <v>0</v>
      </c>
      <c r="I147" s="989"/>
      <c r="J147" s="989">
        <f>(P72/$R72*100*($E72/365))+(P73/$R73*100*($E73/365))</f>
        <v>0</v>
      </c>
      <c r="K147" s="989"/>
      <c r="L147" s="989">
        <f>(Q72/$R72*100*($E72/365))+(Q73/$R73*100*($E73/365))</f>
        <v>100</v>
      </c>
      <c r="M147" s="989"/>
      <c r="N147" s="959">
        <f t="shared" si="25"/>
        <v>100</v>
      </c>
      <c r="O147" s="959"/>
      <c r="R147" s="1">
        <v>2010</v>
      </c>
      <c r="S147" s="8">
        <f>(O72*($E72/365))+(O73*($E73/365))</f>
        <v>0</v>
      </c>
      <c r="T147" s="8">
        <f>(P72*($E72/365))+(P73*($E73/365))</f>
        <v>0</v>
      </c>
      <c r="U147" s="8">
        <f>(Q72*($E72/365))+(Q73*($E73/365))</f>
        <v>48.28</v>
      </c>
      <c r="V147" s="7"/>
      <c r="W147" s="7">
        <f t="shared" si="27"/>
        <v>48.28</v>
      </c>
    </row>
    <row r="148" spans="1:23">
      <c r="A148" s="1">
        <v>2011</v>
      </c>
      <c r="B148" s="8">
        <f>(K74*($E74/365))+(K75*($E75/365))</f>
        <v>0</v>
      </c>
      <c r="C148" s="8">
        <f>(L74*($E74/365))+(L75*($E75/365))</f>
        <v>3.5616438356164384</v>
      </c>
      <c r="D148" s="8">
        <f>(M74*($E74/365))+(M75*($E75/365))</f>
        <v>90.410958904109592</v>
      </c>
      <c r="E148" s="49">
        <f t="shared" si="26"/>
        <v>93.972602739726028</v>
      </c>
      <c r="G148" s="1">
        <v>2011</v>
      </c>
      <c r="H148" s="989">
        <f>(O74/$R74*100*($E74/365))+(O75/$R75*100*($E75/365))</f>
        <v>0</v>
      </c>
      <c r="I148" s="989"/>
      <c r="J148" s="989">
        <f>(P74/$R74*100*($E74/365))+(P75/$R75*100*($E75/365))</f>
        <v>3.5616438356164384</v>
      </c>
      <c r="K148" s="989"/>
      <c r="L148" s="989">
        <f>(Q74/$R74*100*($E74/365))+(Q75/$R75*100*($E75/365))</f>
        <v>96.438356164383563</v>
      </c>
      <c r="M148" s="989"/>
      <c r="N148" s="959">
        <f t="shared" si="25"/>
        <v>100</v>
      </c>
      <c r="O148" s="959"/>
      <c r="R148" s="1">
        <v>2011</v>
      </c>
      <c r="S148" s="8">
        <f>(O74*($E74/365))+(O75*($E75/365))</f>
        <v>0</v>
      </c>
      <c r="T148" s="8">
        <f>(P74*($E74/365))+(P75*($E75/365))</f>
        <v>1.8926575342465752</v>
      </c>
      <c r="U148" s="8">
        <f>(Q74*($E74/365))+(Q75*($E75/365))</f>
        <v>46.560438356164383</v>
      </c>
      <c r="V148" s="7"/>
      <c r="W148" s="7">
        <f t="shared" si="27"/>
        <v>48.453095890410957</v>
      </c>
    </row>
    <row r="149" spans="1:23">
      <c r="A149" s="1">
        <v>2012</v>
      </c>
      <c r="B149" s="8">
        <f>(K76*($E76/366))+(K77*($E77/366))</f>
        <v>0</v>
      </c>
      <c r="C149" s="8">
        <f>(L76*($E76/366))+(L77*($E77/366))</f>
        <v>100</v>
      </c>
      <c r="D149" s="8">
        <f>(M76*($E76/366))+(M77*($E77/366))</f>
        <v>0</v>
      </c>
      <c r="E149" s="49">
        <f t="shared" si="26"/>
        <v>100</v>
      </c>
      <c r="G149" s="1">
        <v>2012</v>
      </c>
      <c r="H149" s="989">
        <f>(O76/$R76*100*($E76/366))+(O77/$R77*100*($E77/366))</f>
        <v>0</v>
      </c>
      <c r="I149" s="989"/>
      <c r="J149" s="989">
        <f>(P76/$R76*100*($E76/366))+(P77/$R77*100*($E77/366))</f>
        <v>100</v>
      </c>
      <c r="K149" s="989"/>
      <c r="L149" s="989">
        <f>(Q76/$R76*100*($E76/366))+(Q77/$R77*100*($E77/366))</f>
        <v>0</v>
      </c>
      <c r="M149" s="989"/>
      <c r="N149" s="959">
        <f t="shared" si="25"/>
        <v>100</v>
      </c>
      <c r="O149" s="959"/>
      <c r="R149" s="1">
        <v>2012</v>
      </c>
      <c r="S149" s="8">
        <f>(O76*($E76/366))+(O77*($E77/366))</f>
        <v>0</v>
      </c>
      <c r="T149" s="8">
        <f>(P76*($E76/366))+(P77*($E77/366))</f>
        <v>53.14</v>
      </c>
      <c r="U149" s="8">
        <f>(Q76*($E76/366))+(Q77*($E77/366))</f>
        <v>0</v>
      </c>
      <c r="V149" s="7"/>
      <c r="W149" s="7">
        <f t="shared" si="27"/>
        <v>53.14</v>
      </c>
    </row>
    <row r="150" spans="1:23">
      <c r="A150" s="1">
        <v>2013</v>
      </c>
      <c r="B150" s="8">
        <f>(K78*($E78/365))+(K79*($E79/365))</f>
        <v>0</v>
      </c>
      <c r="C150" s="8">
        <f>(L78*($E78/365))+(L79*($E79/365))</f>
        <v>100</v>
      </c>
      <c r="D150" s="8">
        <f>(M78*($E78/365))+(M79*($E79/365))</f>
        <v>0</v>
      </c>
      <c r="E150" s="307">
        <f t="shared" si="26"/>
        <v>100</v>
      </c>
      <c r="G150" s="1">
        <v>2013</v>
      </c>
      <c r="H150" s="989">
        <f>(O78/$R78*100*($E78/365))+(O79/$R79*100*($E79/365))</f>
        <v>0</v>
      </c>
      <c r="I150" s="989"/>
      <c r="J150" s="989">
        <f>(P78/$R78*100*($E78/365))+(P79/$R79*100*($E79/365))</f>
        <v>100</v>
      </c>
      <c r="K150" s="989"/>
      <c r="L150" s="989">
        <f>(Q78/$R78*100*($E78/365))+(Q79/$R79*100*($E79/365))</f>
        <v>0</v>
      </c>
      <c r="M150" s="989"/>
      <c r="N150" s="959">
        <f>H150+J150+L150</f>
        <v>100</v>
      </c>
      <c r="O150" s="959"/>
      <c r="R150" s="1">
        <v>2013</v>
      </c>
      <c r="S150" s="8">
        <f>(O78*($E78/365))+(O79*($E79/365))</f>
        <v>0</v>
      </c>
      <c r="T150" s="8">
        <f>(P78*($E78/365))+(P79*($E79/365))</f>
        <v>53.14</v>
      </c>
      <c r="U150" s="8">
        <f>(Q78*($E78/365))+(Q79*($E79/365))</f>
        <v>0</v>
      </c>
      <c r="W150" s="7">
        <f t="shared" si="27"/>
        <v>53.14</v>
      </c>
    </row>
    <row r="151" spans="1:23">
      <c r="A151" s="1">
        <v>2014</v>
      </c>
      <c r="B151" s="8">
        <f>(K80*($E80/365))+(K81*($E81/365))</f>
        <v>0</v>
      </c>
      <c r="C151" s="8">
        <f>(L80*($E80/365))+(L81*($E81/365))</f>
        <v>100</v>
      </c>
      <c r="D151" s="8">
        <f>(M80*($E80/365))+(M81*($E81/365))</f>
        <v>0</v>
      </c>
      <c r="E151" s="653">
        <f>B151+C151+D151</f>
        <v>100</v>
      </c>
      <c r="G151" s="1">
        <v>2014</v>
      </c>
      <c r="H151" s="989">
        <f>(O80/$R80*100*($E80/365))+(O81/$R81*100*($E81/365))</f>
        <v>0</v>
      </c>
      <c r="I151" s="989"/>
      <c r="J151" s="989">
        <f>(P80/$R80*100*($E80/365))+(P81/$R81*100*($E81/365))</f>
        <v>100</v>
      </c>
      <c r="K151" s="989"/>
      <c r="L151" s="989">
        <f>(Q80/$R80*100*($E80/365))+(Q81/$R81*100*($E81/365))</f>
        <v>0</v>
      </c>
      <c r="M151" s="989"/>
      <c r="N151" s="959">
        <f>H151+J151+L151</f>
        <v>100</v>
      </c>
      <c r="O151" s="959"/>
      <c r="R151" s="1">
        <v>2014</v>
      </c>
      <c r="S151" s="8">
        <f>(O80*($E80/365))+(O81*($E81/365))</f>
        <v>0</v>
      </c>
      <c r="T151" s="8">
        <f>(P80*($E80/365))+(P81*($E81/365))</f>
        <v>53.14</v>
      </c>
      <c r="U151" s="8">
        <f>(Q80*($E80/365))+(Q81*($E81/365))</f>
        <v>0</v>
      </c>
      <c r="W151" s="7">
        <f>S151+T151+U151</f>
        <v>53.14</v>
      </c>
    </row>
    <row r="152" spans="1:23" s="756" customFormat="1">
      <c r="A152" s="756">
        <v>2015</v>
      </c>
      <c r="B152" s="750">
        <f>(K82*($E82/365))+(K83*($E83/365))</f>
        <v>0</v>
      </c>
      <c r="C152" s="750">
        <f>(L82*($E82/365))+(L83*($E83/365))</f>
        <v>100</v>
      </c>
      <c r="D152" s="750">
        <f>(M82*($E82/365))+(M83*($E83/365))</f>
        <v>0</v>
      </c>
      <c r="E152" s="748">
        <f>B152+C152+D152</f>
        <v>100</v>
      </c>
      <c r="G152" s="756">
        <v>2015</v>
      </c>
      <c r="H152" s="989">
        <f>(O82/$R82*100*($E82/365))+(O83/$R83*100*($E83/365))</f>
        <v>0</v>
      </c>
      <c r="I152" s="989"/>
      <c r="J152" s="989">
        <f>(P82/$R82*100*($E82/365))+(P83/$R83*100*($E83/365))</f>
        <v>100</v>
      </c>
      <c r="K152" s="989"/>
      <c r="L152" s="989">
        <f>(Q82/$R82*100*($E82/365))+(Q83/$R83*100*($E83/365))</f>
        <v>0</v>
      </c>
      <c r="M152" s="989"/>
      <c r="N152" s="959">
        <f>H152+J152+L152</f>
        <v>100</v>
      </c>
      <c r="O152" s="959"/>
      <c r="R152" s="756">
        <v>2015</v>
      </c>
      <c r="S152" s="750">
        <f>(O82*($E82/365))+(O83*($E83/365))</f>
        <v>0</v>
      </c>
      <c r="T152" s="750">
        <f>(P82*($E82/365))+(P83*($E83/365))</f>
        <v>53.14</v>
      </c>
      <c r="U152" s="750">
        <f>(Q82*($E82/365))+(Q83*($E83/365))</f>
        <v>0</v>
      </c>
      <c r="W152" s="753">
        <f>S152+T152+U152</f>
        <v>53.14</v>
      </c>
    </row>
    <row r="153" spans="1:23" s="756" customFormat="1">
      <c r="A153" s="853">
        <v>2016</v>
      </c>
      <c r="B153" s="850">
        <f>(K84*($E84/366))+(K85*($E85/366))</f>
        <v>0</v>
      </c>
      <c r="C153" s="850">
        <f>(L84*($E84/366))+(L85*($E85/366))</f>
        <v>100.00000000000001</v>
      </c>
      <c r="D153" s="850">
        <f>(M84*($E84/366))+(M85*($E85/366))</f>
        <v>0</v>
      </c>
      <c r="E153" s="845">
        <f t="shared" ref="E153" si="28">B153+C153+D153</f>
        <v>100.00000000000001</v>
      </c>
      <c r="F153" s="853"/>
      <c r="G153" s="853">
        <v>2016</v>
      </c>
      <c r="H153" s="989">
        <f>(O84/$R84*100*($E84/366))+(O85/$R85*100*($E85/366))</f>
        <v>0</v>
      </c>
      <c r="I153" s="989"/>
      <c r="J153" s="989">
        <f>(P84/$R84*100*($E84/366))+(P85/$R85*100*($E85/366))</f>
        <v>100.00000000000001</v>
      </c>
      <c r="K153" s="989"/>
      <c r="L153" s="989">
        <f>(Q84/$R84*100*($E84/366))+(Q85/$R85*100*($E85/366))</f>
        <v>0</v>
      </c>
      <c r="M153" s="989"/>
      <c r="N153" s="959">
        <f t="shared" ref="N153" si="29">H153+J153+L153</f>
        <v>100.00000000000001</v>
      </c>
      <c r="O153" s="959"/>
      <c r="P153" s="853"/>
      <c r="Q153" s="853"/>
      <c r="R153" s="853">
        <v>2016</v>
      </c>
      <c r="S153" s="850">
        <f>(O84*($E84/366))+(O85*($E85/366))</f>
        <v>0</v>
      </c>
      <c r="T153" s="850">
        <f>(P84*($E84/366))+(P85*($E85/366))</f>
        <v>50.754644808743173</v>
      </c>
      <c r="U153" s="850">
        <f>(Q84*($E84/366))+(Q85*($E85/366))</f>
        <v>0</v>
      </c>
      <c r="V153" s="853"/>
      <c r="W153" s="852">
        <f t="shared" ref="W153" si="30">S153+T153+U153</f>
        <v>50.754644808743173</v>
      </c>
    </row>
    <row r="154" spans="1:23">
      <c r="A154" s="920">
        <v>2017</v>
      </c>
      <c r="B154" s="915">
        <f>(K86*($E86/365))+(K87*($E87/365))</f>
        <v>0</v>
      </c>
      <c r="C154" s="915">
        <f t="shared" ref="C154:D154" si="31">(L86*($E86/365))+(L87*($E87/365))</f>
        <v>100</v>
      </c>
      <c r="D154" s="915">
        <f t="shared" si="31"/>
        <v>0</v>
      </c>
      <c r="E154" s="914">
        <f t="shared" ref="E154" si="32">B154+C154+D154</f>
        <v>100</v>
      </c>
      <c r="F154" s="920"/>
      <c r="G154" s="920">
        <v>2017</v>
      </c>
      <c r="H154" s="989">
        <f>(O86/$R86*100*($E86/365))+(O87/$R87*100*($E87/365))</f>
        <v>0</v>
      </c>
      <c r="I154" s="989"/>
      <c r="J154" s="989">
        <f>(P86/$R86*100*($E86/365))+(P87/$R87*100*($E87/365))</f>
        <v>100</v>
      </c>
      <c r="K154" s="989"/>
      <c r="L154" s="989">
        <f>(Q86/$R86*100*($E86/365))+(Q87/$R87*100*($E87/365))</f>
        <v>0</v>
      </c>
      <c r="M154" s="989"/>
      <c r="N154" s="959">
        <f t="shared" ref="N154" si="33">H154+J154+L154</f>
        <v>100</v>
      </c>
      <c r="O154" s="959"/>
      <c r="P154" s="920"/>
      <c r="Q154" s="920"/>
      <c r="R154" s="920">
        <v>2017</v>
      </c>
      <c r="S154" s="915">
        <f>(O86*($E86/365))+(O87*($E87/365))</f>
        <v>0</v>
      </c>
      <c r="T154" s="915">
        <f t="shared" ref="T154:U154" si="34">(P86*($E86/365))+(P87*($E87/365))</f>
        <v>38.299999999999997</v>
      </c>
      <c r="U154" s="915">
        <f t="shared" si="34"/>
        <v>0</v>
      </c>
      <c r="V154" s="920"/>
      <c r="W154" s="917">
        <f t="shared" ref="W154" si="35">S154+T154+U154</f>
        <v>38.299999999999997</v>
      </c>
    </row>
    <row r="155" spans="1:23">
      <c r="A155" s="950">
        <v>2018</v>
      </c>
      <c r="B155" s="947">
        <f>(K88*($E88/365))+(K89*($E89/365))</f>
        <v>0</v>
      </c>
      <c r="C155" s="947">
        <f>(L88*($E88/365))+(L89*($E89/365))</f>
        <v>43.013698630136986</v>
      </c>
      <c r="D155" s="947">
        <f>(M88*($E88/365))+(M89*($E89/365))</f>
        <v>56.986301369863014</v>
      </c>
      <c r="E155" s="942">
        <f t="shared" ref="E155" si="36">B155+C155+D155</f>
        <v>100</v>
      </c>
      <c r="F155" s="950"/>
      <c r="G155" s="950">
        <v>2018</v>
      </c>
      <c r="H155" s="989">
        <f>(O88/$R88*100*($E88/365))+(O89/$R89*100*($E89/365))</f>
        <v>56.986301369863014</v>
      </c>
      <c r="I155" s="989"/>
      <c r="J155" s="989">
        <f>(P88/$R88*100*($E88/365))+(P89/$R89*100*($E89/365))</f>
        <v>43.013698630136986</v>
      </c>
      <c r="K155" s="989"/>
      <c r="L155" s="989">
        <f>(Q88/$R88*100*($E88/365))+(Q89/$R89*100*($E89/365))</f>
        <v>0</v>
      </c>
      <c r="M155" s="989"/>
      <c r="N155" s="959">
        <f t="shared" ref="N155" si="37">H155+J155+L155</f>
        <v>100</v>
      </c>
      <c r="O155" s="959"/>
      <c r="P155" s="950"/>
      <c r="Q155" s="950"/>
      <c r="R155" s="950">
        <v>2018</v>
      </c>
      <c r="S155" s="947">
        <f>(O88*($E88/365))+(O89*($E89/365))</f>
        <v>13.847671232876712</v>
      </c>
      <c r="T155" s="947">
        <f>(P88*($E88/365))+(P89*($E89/365))</f>
        <v>16.474246575342466</v>
      </c>
      <c r="U155" s="947">
        <f>(Q88*($E88/365))+(Q89*($E89/365))</f>
        <v>0</v>
      </c>
      <c r="V155" s="950"/>
      <c r="W155" s="949">
        <f t="shared" ref="W155" si="38">S155+T155+U155</f>
        <v>30.321917808219176</v>
      </c>
    </row>
  </sheetData>
  <mergeCells count="278">
    <mergeCell ref="H155:I155"/>
    <mergeCell ref="J155:K155"/>
    <mergeCell ref="L155:M155"/>
    <mergeCell ref="N155:O155"/>
    <mergeCell ref="H153:I153"/>
    <mergeCell ref="J153:K153"/>
    <mergeCell ref="L153:M153"/>
    <mergeCell ref="N153:O153"/>
    <mergeCell ref="AT4:AW4"/>
    <mergeCell ref="N148:O148"/>
    <mergeCell ref="N149:O149"/>
    <mergeCell ref="N146:O146"/>
    <mergeCell ref="N147:O147"/>
    <mergeCell ref="L131:M131"/>
    <mergeCell ref="L132:M132"/>
    <mergeCell ref="N150:O150"/>
    <mergeCell ref="L147:M147"/>
    <mergeCell ref="L143:M143"/>
    <mergeCell ref="L144:M144"/>
    <mergeCell ref="J148:K148"/>
    <mergeCell ref="J149:K149"/>
    <mergeCell ref="J140:K140"/>
    <mergeCell ref="J141:K141"/>
    <mergeCell ref="J142:K142"/>
    <mergeCell ref="AX4:BA4"/>
    <mergeCell ref="N144:O144"/>
    <mergeCell ref="N145:O145"/>
    <mergeCell ref="N134:O134"/>
    <mergeCell ref="N135:O135"/>
    <mergeCell ref="N115:O115"/>
    <mergeCell ref="N127:O127"/>
    <mergeCell ref="N128:O128"/>
    <mergeCell ref="N129:O129"/>
    <mergeCell ref="N130:O130"/>
    <mergeCell ref="N131:O131"/>
    <mergeCell ref="N132:O132"/>
    <mergeCell ref="N133:O133"/>
    <mergeCell ref="C78:D78"/>
    <mergeCell ref="C79:D79"/>
    <mergeCell ref="H150:I150"/>
    <mergeCell ref="J150:K150"/>
    <mergeCell ref="L150:M150"/>
    <mergeCell ref="N140:O140"/>
    <mergeCell ref="N141:O141"/>
    <mergeCell ref="N142:O142"/>
    <mergeCell ref="N143:O143"/>
    <mergeCell ref="N136:O136"/>
    <mergeCell ref="N137:O137"/>
    <mergeCell ref="N138:O138"/>
    <mergeCell ref="N139:O139"/>
    <mergeCell ref="L149:M149"/>
    <mergeCell ref="N125:O125"/>
    <mergeCell ref="N126:O126"/>
    <mergeCell ref="L140:M140"/>
    <mergeCell ref="L141:M141"/>
    <mergeCell ref="L142:M142"/>
    <mergeCell ref="L135:M135"/>
    <mergeCell ref="L136:M136"/>
    <mergeCell ref="J146:K146"/>
    <mergeCell ref="J147:K147"/>
    <mergeCell ref="L146:M146"/>
    <mergeCell ref="J143:K143"/>
    <mergeCell ref="L148:M148"/>
    <mergeCell ref="L125:M125"/>
    <mergeCell ref="L126:M126"/>
    <mergeCell ref="L127:M127"/>
    <mergeCell ref="L128:M128"/>
    <mergeCell ref="L129:M129"/>
    <mergeCell ref="L130:M130"/>
    <mergeCell ref="J144:K144"/>
    <mergeCell ref="J145:K145"/>
    <mergeCell ref="J134:K134"/>
    <mergeCell ref="J135:K135"/>
    <mergeCell ref="J136:K136"/>
    <mergeCell ref="J137:K137"/>
    <mergeCell ref="J138:K138"/>
    <mergeCell ref="J139:K139"/>
    <mergeCell ref="L137:M137"/>
    <mergeCell ref="L138:M138"/>
    <mergeCell ref="L139:M139"/>
    <mergeCell ref="L133:M133"/>
    <mergeCell ref="L134:M134"/>
    <mergeCell ref="L145:M145"/>
    <mergeCell ref="H149:I149"/>
    <mergeCell ref="J125:K125"/>
    <mergeCell ref="J126:K126"/>
    <mergeCell ref="J127:K127"/>
    <mergeCell ref="J128:K128"/>
    <mergeCell ref="J129:K129"/>
    <mergeCell ref="J130:K130"/>
    <mergeCell ref="J131:K131"/>
    <mergeCell ref="J132:K132"/>
    <mergeCell ref="J133:K133"/>
    <mergeCell ref="H143:I143"/>
    <mergeCell ref="H144:I144"/>
    <mergeCell ref="H145:I145"/>
    <mergeCell ref="H146:I146"/>
    <mergeCell ref="H147:I147"/>
    <mergeCell ref="H148:I148"/>
    <mergeCell ref="H137:I137"/>
    <mergeCell ref="H138:I138"/>
    <mergeCell ref="H139:I139"/>
    <mergeCell ref="H140:I140"/>
    <mergeCell ref="H141:I141"/>
    <mergeCell ref="H142:I142"/>
    <mergeCell ref="H131:I131"/>
    <mergeCell ref="H132:I132"/>
    <mergeCell ref="H133:I133"/>
    <mergeCell ref="H134:I134"/>
    <mergeCell ref="H135:I135"/>
    <mergeCell ref="H136:I136"/>
    <mergeCell ref="H125:I125"/>
    <mergeCell ref="H126:I126"/>
    <mergeCell ref="H127:I127"/>
    <mergeCell ref="H128:I128"/>
    <mergeCell ref="H129:I129"/>
    <mergeCell ref="H130:I130"/>
    <mergeCell ref="H123:I123"/>
    <mergeCell ref="J123:K123"/>
    <mergeCell ref="L123:M123"/>
    <mergeCell ref="N123:O123"/>
    <mergeCell ref="H124:I124"/>
    <mergeCell ref="J124:K124"/>
    <mergeCell ref="L124:M124"/>
    <mergeCell ref="N124:O124"/>
    <mergeCell ref="H121:I121"/>
    <mergeCell ref="J121:K121"/>
    <mergeCell ref="L121:M121"/>
    <mergeCell ref="N121:O121"/>
    <mergeCell ref="H122:I122"/>
    <mergeCell ref="J122:K122"/>
    <mergeCell ref="L122:M122"/>
    <mergeCell ref="N122:O122"/>
    <mergeCell ref="G3:M3"/>
    <mergeCell ref="O3:Q3"/>
    <mergeCell ref="R94:W94"/>
    <mergeCell ref="H96:I96"/>
    <mergeCell ref="J96:K96"/>
    <mergeCell ref="H114:I114"/>
    <mergeCell ref="J114:K114"/>
    <mergeCell ref="L114:M114"/>
    <mergeCell ref="N114:O114"/>
    <mergeCell ref="G4:J4"/>
    <mergeCell ref="A4:A5"/>
    <mergeCell ref="B4:B5"/>
    <mergeCell ref="C4:D5"/>
    <mergeCell ref="E4:E5"/>
    <mergeCell ref="AP4:AS4"/>
    <mergeCell ref="K4:N4"/>
    <mergeCell ref="O4:R4"/>
    <mergeCell ref="S4:S5"/>
    <mergeCell ref="T4:T5"/>
    <mergeCell ref="F4:F5"/>
    <mergeCell ref="C6:D6"/>
    <mergeCell ref="Z4:AC4"/>
    <mergeCell ref="AD4:AG4"/>
    <mergeCell ref="AH4:AK4"/>
    <mergeCell ref="AL4:AO4"/>
    <mergeCell ref="C7:D7"/>
    <mergeCell ref="U4:U5"/>
    <mergeCell ref="V4:Y4"/>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C68:D68"/>
    <mergeCell ref="C75:D75"/>
    <mergeCell ref="C76:D76"/>
    <mergeCell ref="C77:D77"/>
    <mergeCell ref="C69:D69"/>
    <mergeCell ref="C70:D70"/>
    <mergeCell ref="C71:D71"/>
    <mergeCell ref="C72:D72"/>
    <mergeCell ref="L120:M120"/>
    <mergeCell ref="N120:O120"/>
    <mergeCell ref="L118:M118"/>
    <mergeCell ref="N118:O118"/>
    <mergeCell ref="C80:D80"/>
    <mergeCell ref="C81:D81"/>
    <mergeCell ref="N96:O96"/>
    <mergeCell ref="H115:I115"/>
    <mergeCell ref="J115:K115"/>
    <mergeCell ref="L115:M115"/>
    <mergeCell ref="L96:M96"/>
    <mergeCell ref="H116:I116"/>
    <mergeCell ref="J116:K116"/>
    <mergeCell ref="L116:M116"/>
    <mergeCell ref="N116:O116"/>
    <mergeCell ref="C82:D82"/>
    <mergeCell ref="C83:D83"/>
    <mergeCell ref="C84:D84"/>
    <mergeCell ref="C85:D85"/>
    <mergeCell ref="C86:D86"/>
    <mergeCell ref="C87:D87"/>
    <mergeCell ref="C88:D88"/>
    <mergeCell ref="C89:D89"/>
    <mergeCell ref="H154:I154"/>
    <mergeCell ref="J154:K154"/>
    <mergeCell ref="L154:M154"/>
    <mergeCell ref="N154:O154"/>
    <mergeCell ref="H117:I117"/>
    <mergeCell ref="J117:K117"/>
    <mergeCell ref="L117:M117"/>
    <mergeCell ref="N117:O117"/>
    <mergeCell ref="H118:I118"/>
    <mergeCell ref="J118:K118"/>
    <mergeCell ref="H152:I152"/>
    <mergeCell ref="J152:K152"/>
    <mergeCell ref="L152:M152"/>
    <mergeCell ref="N152:O152"/>
    <mergeCell ref="H151:I151"/>
    <mergeCell ref="J151:K151"/>
    <mergeCell ref="L151:M151"/>
    <mergeCell ref="N151:O151"/>
    <mergeCell ref="H119:I119"/>
    <mergeCell ref="J119:K119"/>
    <mergeCell ref="L119:M119"/>
    <mergeCell ref="N119:O119"/>
    <mergeCell ref="H120:I120"/>
    <mergeCell ref="J120:K12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A192"/>
  <sheetViews>
    <sheetView zoomScale="120" zoomScaleNormal="120" workbookViewId="0">
      <pane xSplit="1" ySplit="5" topLeftCell="B119" activePane="bottomRight" state="frozen"/>
      <selection pane="topRight" activeCell="B1" sqref="B1"/>
      <selection pane="bottomLeft" activeCell="A6" sqref="A6"/>
      <selection pane="bottomRight" activeCell="U193" sqref="U19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68</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595</v>
      </c>
      <c r="D6" s="995"/>
      <c r="E6" s="257">
        <v>0</v>
      </c>
      <c r="G6" s="265"/>
      <c r="I6" s="257">
        <v>14</v>
      </c>
      <c r="J6" s="272">
        <v>15</v>
      </c>
      <c r="K6" s="248">
        <f t="shared" ref="K6:M7" si="0">G6/$J6*100</f>
        <v>0</v>
      </c>
      <c r="L6" s="248">
        <f t="shared" si="0"/>
        <v>0</v>
      </c>
      <c r="M6" s="248">
        <f t="shared" si="0"/>
        <v>93.333333333333329</v>
      </c>
      <c r="N6" s="248">
        <f>K6+L6+M6</f>
        <v>93.333333333333329</v>
      </c>
      <c r="O6" s="247"/>
      <c r="P6" s="248"/>
      <c r="Q6" s="248">
        <v>48.1</v>
      </c>
      <c r="R6" s="249">
        <f>O6+P6+Q6</f>
        <v>48.1</v>
      </c>
      <c r="S6" s="257">
        <v>4</v>
      </c>
      <c r="T6" s="278"/>
      <c r="V6" s="256" t="s">
        <v>479</v>
      </c>
      <c r="W6" s="257" t="s">
        <v>20</v>
      </c>
      <c r="X6" s="257" t="s">
        <v>12</v>
      </c>
      <c r="Y6" s="258">
        <v>48.1</v>
      </c>
      <c r="AD6" s="256"/>
      <c r="AG6" s="258"/>
      <c r="AL6" s="256"/>
      <c r="AO6" s="258"/>
      <c r="AP6" s="256"/>
      <c r="AS6" s="258"/>
      <c r="AW6" s="258"/>
      <c r="BA6" s="259"/>
    </row>
    <row r="7" spans="1:53" s="257" customFormat="1">
      <c r="A7" s="263">
        <v>1959</v>
      </c>
      <c r="B7" s="252"/>
      <c r="C7" s="995" t="s">
        <v>595</v>
      </c>
      <c r="D7" s="995"/>
      <c r="E7" s="257">
        <v>365</v>
      </c>
      <c r="G7" s="265"/>
      <c r="I7" s="257">
        <v>14</v>
      </c>
      <c r="J7" s="272">
        <v>15</v>
      </c>
      <c r="K7" s="248">
        <f t="shared" si="0"/>
        <v>0</v>
      </c>
      <c r="L7" s="248">
        <f t="shared" si="0"/>
        <v>0</v>
      </c>
      <c r="M7" s="248">
        <f t="shared" si="0"/>
        <v>93.333333333333329</v>
      </c>
      <c r="N7" s="248">
        <f>K7+L7+M7</f>
        <v>93.333333333333329</v>
      </c>
      <c r="O7" s="247"/>
      <c r="P7" s="248"/>
      <c r="Q7" s="248">
        <v>48.1</v>
      </c>
      <c r="R7" s="249">
        <f>O7+P7+Q7</f>
        <v>48.1</v>
      </c>
      <c r="S7" s="257">
        <v>4</v>
      </c>
      <c r="T7" s="278"/>
      <c r="V7" s="256" t="s">
        <v>479</v>
      </c>
      <c r="W7" s="257" t="s">
        <v>20</v>
      </c>
      <c r="X7" s="257" t="s">
        <v>12</v>
      </c>
      <c r="Y7" s="258">
        <v>48.1</v>
      </c>
      <c r="AD7" s="256"/>
      <c r="AG7" s="258"/>
      <c r="AL7" s="256"/>
      <c r="AO7" s="258"/>
      <c r="AP7" s="256"/>
      <c r="AS7" s="258"/>
      <c r="AW7" s="258"/>
      <c r="BA7" s="259"/>
    </row>
    <row r="8" spans="1:53" s="208" customFormat="1">
      <c r="A8" s="102">
        <v>1960</v>
      </c>
      <c r="B8" s="207"/>
      <c r="C8" s="988" t="s">
        <v>595</v>
      </c>
      <c r="D8" s="988"/>
      <c r="E8" s="208">
        <v>274</v>
      </c>
      <c r="G8" s="123"/>
      <c r="I8" s="208">
        <v>14</v>
      </c>
      <c r="J8" s="134">
        <v>15</v>
      </c>
      <c r="K8" s="92">
        <f>G8/$J8*100</f>
        <v>0</v>
      </c>
      <c r="L8" s="92">
        <f t="shared" ref="L8:M23" si="1">H8/$J8*100</f>
        <v>0</v>
      </c>
      <c r="M8" s="92">
        <f t="shared" si="1"/>
        <v>93.333333333333329</v>
      </c>
      <c r="N8" s="92">
        <f>K8+L8+M8</f>
        <v>93.333333333333329</v>
      </c>
      <c r="O8" s="91"/>
      <c r="P8" s="92"/>
      <c r="Q8" s="92">
        <v>48.1</v>
      </c>
      <c r="R8" s="93">
        <f>O8+P8+Q8</f>
        <v>48.1</v>
      </c>
      <c r="S8" s="208">
        <v>4</v>
      </c>
      <c r="T8" s="81"/>
      <c r="V8" s="82" t="s">
        <v>479</v>
      </c>
      <c r="W8" s="208" t="s">
        <v>20</v>
      </c>
      <c r="X8" s="208" t="s">
        <v>12</v>
      </c>
      <c r="Y8" s="83">
        <v>48.1</v>
      </c>
      <c r="AD8" s="82"/>
      <c r="AG8" s="83"/>
      <c r="AL8" s="82"/>
      <c r="AO8" s="83"/>
      <c r="AP8" s="82"/>
      <c r="AS8" s="83"/>
      <c r="AW8" s="83"/>
      <c r="BA8" s="84"/>
    </row>
    <row r="9" spans="1:53" s="334" customFormat="1">
      <c r="A9" s="386">
        <v>1960</v>
      </c>
      <c r="B9" s="355">
        <v>22190</v>
      </c>
      <c r="C9" s="992" t="s">
        <v>596</v>
      </c>
      <c r="D9" s="992"/>
      <c r="E9" s="334">
        <f>366-E8</f>
        <v>92</v>
      </c>
      <c r="F9" s="334">
        <v>1</v>
      </c>
      <c r="G9" s="419"/>
      <c r="I9" s="334">
        <v>13</v>
      </c>
      <c r="J9" s="435">
        <v>14</v>
      </c>
      <c r="K9" s="384">
        <f t="shared" ref="K9:M59" si="2">G9/$J9*100</f>
        <v>0</v>
      </c>
      <c r="L9" s="384">
        <f t="shared" si="1"/>
        <v>0</v>
      </c>
      <c r="M9" s="384">
        <f t="shared" si="1"/>
        <v>92.857142857142861</v>
      </c>
      <c r="N9" s="384">
        <f t="shared" ref="N9:N72" si="3">K9+L9+M9</f>
        <v>92.857142857142861</v>
      </c>
      <c r="O9" s="383"/>
      <c r="P9" s="384"/>
      <c r="Q9" s="384">
        <v>49.1</v>
      </c>
      <c r="R9" s="385">
        <f>O9+P9+Q9</f>
        <v>49.1</v>
      </c>
      <c r="S9" s="334">
        <v>4</v>
      </c>
      <c r="T9" s="342">
        <v>22177</v>
      </c>
      <c r="U9" s="355">
        <v>22190</v>
      </c>
      <c r="V9" s="343" t="s">
        <v>479</v>
      </c>
      <c r="W9" s="334" t="s">
        <v>20</v>
      </c>
      <c r="X9" s="334" t="s">
        <v>12</v>
      </c>
      <c r="Y9" s="344">
        <v>49.1</v>
      </c>
      <c r="AD9" s="343"/>
      <c r="AG9" s="344"/>
      <c r="AL9" s="343"/>
      <c r="AO9" s="344"/>
      <c r="AP9" s="343"/>
      <c r="AS9" s="344"/>
      <c r="AW9" s="344"/>
      <c r="BA9" s="345"/>
    </row>
    <row r="10" spans="1:53" s="334" customFormat="1">
      <c r="A10" s="386">
        <v>1961</v>
      </c>
      <c r="B10" s="355"/>
      <c r="C10" s="992" t="s">
        <v>596</v>
      </c>
      <c r="D10" s="992"/>
      <c r="E10" s="334">
        <v>0</v>
      </c>
      <c r="G10" s="419"/>
      <c r="I10" s="334">
        <v>13</v>
      </c>
      <c r="J10" s="435">
        <v>14</v>
      </c>
      <c r="K10" s="384">
        <f t="shared" si="2"/>
        <v>0</v>
      </c>
      <c r="L10" s="384">
        <f t="shared" si="1"/>
        <v>0</v>
      </c>
      <c r="M10" s="384">
        <f t="shared" si="1"/>
        <v>92.857142857142861</v>
      </c>
      <c r="N10" s="384">
        <f t="shared" si="3"/>
        <v>92.857142857142861</v>
      </c>
      <c r="O10" s="383"/>
      <c r="P10" s="384"/>
      <c r="Q10" s="384">
        <v>49.1</v>
      </c>
      <c r="R10" s="385">
        <f t="shared" ref="R10:R73" si="4">O10+P10+Q10</f>
        <v>49.1</v>
      </c>
      <c r="S10" s="334">
        <v>4</v>
      </c>
      <c r="T10" s="357"/>
      <c r="V10" s="343" t="s">
        <v>479</v>
      </c>
      <c r="W10" s="334" t="s">
        <v>20</v>
      </c>
      <c r="X10" s="334" t="s">
        <v>12</v>
      </c>
      <c r="Y10" s="344">
        <v>49.1</v>
      </c>
      <c r="AD10" s="343"/>
      <c r="AG10" s="344"/>
      <c r="AL10" s="343"/>
      <c r="AO10" s="344"/>
      <c r="AP10" s="343"/>
      <c r="AS10" s="344"/>
      <c r="AW10" s="344"/>
      <c r="BA10" s="345"/>
    </row>
    <row r="11" spans="1:53" s="334" customFormat="1">
      <c r="A11" s="386">
        <v>1961</v>
      </c>
      <c r="B11" s="355"/>
      <c r="C11" s="992" t="s">
        <v>596</v>
      </c>
      <c r="D11" s="992"/>
      <c r="E11" s="334">
        <v>365</v>
      </c>
      <c r="G11" s="419"/>
      <c r="I11" s="334">
        <v>13</v>
      </c>
      <c r="J11" s="435">
        <v>14</v>
      </c>
      <c r="K11" s="384">
        <f t="shared" si="2"/>
        <v>0</v>
      </c>
      <c r="L11" s="384">
        <f t="shared" si="1"/>
        <v>0</v>
      </c>
      <c r="M11" s="384">
        <f t="shared" si="1"/>
        <v>92.857142857142861</v>
      </c>
      <c r="N11" s="384">
        <f t="shared" si="3"/>
        <v>92.857142857142861</v>
      </c>
      <c r="O11" s="383"/>
      <c r="P11" s="384"/>
      <c r="Q11" s="384">
        <v>49.1</v>
      </c>
      <c r="R11" s="385">
        <f t="shared" si="4"/>
        <v>49.1</v>
      </c>
      <c r="S11" s="334">
        <v>4</v>
      </c>
      <c r="T11" s="357"/>
      <c r="V11" s="343" t="s">
        <v>479</v>
      </c>
      <c r="W11" s="334" t="s">
        <v>20</v>
      </c>
      <c r="X11" s="334" t="s">
        <v>12</v>
      </c>
      <c r="Y11" s="344">
        <v>49.1</v>
      </c>
      <c r="AD11" s="343"/>
      <c r="AG11" s="344"/>
      <c r="AL11" s="343"/>
      <c r="AO11" s="344"/>
      <c r="AP11" s="343"/>
      <c r="AS11" s="344"/>
      <c r="AW11" s="344"/>
      <c r="BA11" s="345"/>
    </row>
    <row r="12" spans="1:53" s="334" customFormat="1">
      <c r="A12" s="386">
        <v>1962</v>
      </c>
      <c r="B12" s="355"/>
      <c r="C12" s="992" t="s">
        <v>596</v>
      </c>
      <c r="D12" s="992"/>
      <c r="E12" s="334">
        <v>0</v>
      </c>
      <c r="G12" s="419"/>
      <c r="I12" s="334">
        <v>13</v>
      </c>
      <c r="J12" s="435">
        <v>14</v>
      </c>
      <c r="K12" s="384">
        <f t="shared" si="2"/>
        <v>0</v>
      </c>
      <c r="L12" s="384">
        <f t="shared" si="1"/>
        <v>0</v>
      </c>
      <c r="M12" s="384">
        <f t="shared" si="1"/>
        <v>92.857142857142861</v>
      </c>
      <c r="N12" s="384">
        <f t="shared" si="3"/>
        <v>92.857142857142861</v>
      </c>
      <c r="O12" s="383"/>
      <c r="P12" s="384"/>
      <c r="Q12" s="384">
        <v>49.1</v>
      </c>
      <c r="R12" s="385">
        <f t="shared" si="4"/>
        <v>49.1</v>
      </c>
      <c r="S12" s="334">
        <v>4</v>
      </c>
      <c r="T12" s="357"/>
      <c r="V12" s="343" t="s">
        <v>479</v>
      </c>
      <c r="W12" s="334" t="s">
        <v>20</v>
      </c>
      <c r="X12" s="334" t="s">
        <v>12</v>
      </c>
      <c r="Y12" s="344">
        <v>49.1</v>
      </c>
      <c r="AD12" s="343"/>
      <c r="AG12" s="344"/>
      <c r="AL12" s="343"/>
      <c r="AO12" s="344"/>
      <c r="AP12" s="343"/>
      <c r="AS12" s="344"/>
      <c r="AW12" s="344"/>
      <c r="BA12" s="345"/>
    </row>
    <row r="13" spans="1:53" s="334" customFormat="1">
      <c r="A13" s="386">
        <v>1962</v>
      </c>
      <c r="B13" s="355"/>
      <c r="C13" s="992" t="s">
        <v>596</v>
      </c>
      <c r="D13" s="992"/>
      <c r="E13" s="334">
        <v>365</v>
      </c>
      <c r="G13" s="419"/>
      <c r="I13" s="334">
        <v>13</v>
      </c>
      <c r="J13" s="435">
        <v>14</v>
      </c>
      <c r="K13" s="384">
        <f t="shared" si="2"/>
        <v>0</v>
      </c>
      <c r="L13" s="384">
        <f t="shared" si="1"/>
        <v>0</v>
      </c>
      <c r="M13" s="384">
        <f t="shared" si="1"/>
        <v>92.857142857142861</v>
      </c>
      <c r="N13" s="384">
        <f t="shared" si="3"/>
        <v>92.857142857142861</v>
      </c>
      <c r="O13" s="383"/>
      <c r="P13" s="384"/>
      <c r="Q13" s="384">
        <v>49.1</v>
      </c>
      <c r="R13" s="385">
        <f t="shared" si="4"/>
        <v>49.1</v>
      </c>
      <c r="S13" s="334">
        <v>4</v>
      </c>
      <c r="T13" s="357"/>
      <c r="V13" s="343" t="s">
        <v>479</v>
      </c>
      <c r="W13" s="334" t="s">
        <v>20</v>
      </c>
      <c r="X13" s="334" t="s">
        <v>12</v>
      </c>
      <c r="Y13" s="344">
        <v>49.1</v>
      </c>
      <c r="AD13" s="343"/>
      <c r="AG13" s="344"/>
      <c r="AL13" s="343"/>
      <c r="AO13" s="344"/>
      <c r="AP13" s="343"/>
      <c r="AS13" s="344"/>
      <c r="AW13" s="344"/>
      <c r="BA13" s="345"/>
    </row>
    <row r="14" spans="1:53" s="334" customFormat="1">
      <c r="A14" s="386">
        <v>1962.6</v>
      </c>
      <c r="B14" s="355"/>
      <c r="C14" s="992" t="s">
        <v>596</v>
      </c>
      <c r="D14" s="992"/>
      <c r="E14" s="334">
        <v>0</v>
      </c>
      <c r="G14" s="419"/>
      <c r="I14" s="334">
        <v>13</v>
      </c>
      <c r="J14" s="435">
        <v>14</v>
      </c>
      <c r="K14" s="384">
        <f t="shared" si="2"/>
        <v>0</v>
      </c>
      <c r="L14" s="384">
        <f t="shared" si="1"/>
        <v>0</v>
      </c>
      <c r="M14" s="384">
        <f t="shared" si="1"/>
        <v>92.857142857142861</v>
      </c>
      <c r="N14" s="384">
        <f t="shared" si="3"/>
        <v>92.857142857142861</v>
      </c>
      <c r="O14" s="383"/>
      <c r="P14" s="384"/>
      <c r="Q14" s="384">
        <v>49.1</v>
      </c>
      <c r="R14" s="385">
        <f t="shared" si="4"/>
        <v>49.1</v>
      </c>
      <c r="S14" s="334">
        <v>4</v>
      </c>
      <c r="T14" s="357"/>
      <c r="V14" s="343" t="s">
        <v>479</v>
      </c>
      <c r="W14" s="334" t="s">
        <v>20</v>
      </c>
      <c r="X14" s="334" t="s">
        <v>12</v>
      </c>
      <c r="Y14" s="344">
        <v>49.1</v>
      </c>
      <c r="AD14" s="343"/>
      <c r="AG14" s="344"/>
      <c r="AL14" s="343"/>
      <c r="AO14" s="344"/>
      <c r="AP14" s="343"/>
      <c r="AS14" s="344"/>
      <c r="AW14" s="344"/>
      <c r="BA14" s="345"/>
    </row>
    <row r="15" spans="1:53" s="334" customFormat="1">
      <c r="A15" s="386">
        <v>1963.05714285714</v>
      </c>
      <c r="B15" s="355"/>
      <c r="C15" s="992" t="s">
        <v>596</v>
      </c>
      <c r="D15" s="992"/>
      <c r="E15" s="334">
        <v>365</v>
      </c>
      <c r="G15" s="419"/>
      <c r="I15" s="334">
        <v>13</v>
      </c>
      <c r="J15" s="435">
        <v>14</v>
      </c>
      <c r="K15" s="384">
        <f t="shared" si="2"/>
        <v>0</v>
      </c>
      <c r="L15" s="384">
        <f t="shared" si="1"/>
        <v>0</v>
      </c>
      <c r="M15" s="384">
        <f t="shared" si="1"/>
        <v>92.857142857142861</v>
      </c>
      <c r="N15" s="384">
        <f t="shared" si="3"/>
        <v>92.857142857142861</v>
      </c>
      <c r="O15" s="383"/>
      <c r="P15" s="384"/>
      <c r="Q15" s="384">
        <v>49.1</v>
      </c>
      <c r="R15" s="385">
        <f t="shared" si="4"/>
        <v>49.1</v>
      </c>
      <c r="S15" s="334">
        <v>4</v>
      </c>
      <c r="T15" s="357"/>
      <c r="V15" s="343" t="s">
        <v>479</v>
      </c>
      <c r="W15" s="334" t="s">
        <v>20</v>
      </c>
      <c r="X15" s="334" t="s">
        <v>12</v>
      </c>
      <c r="Y15" s="344">
        <v>49.1</v>
      </c>
      <c r="AD15" s="343"/>
      <c r="AG15" s="344"/>
      <c r="AL15" s="343"/>
      <c r="AO15" s="344"/>
      <c r="AP15" s="343"/>
      <c r="AS15" s="344"/>
      <c r="AW15" s="344"/>
      <c r="BA15" s="345"/>
    </row>
    <row r="16" spans="1:53" s="334" customFormat="1">
      <c r="A16" s="386">
        <v>1963.5142857142901</v>
      </c>
      <c r="B16" s="355"/>
      <c r="C16" s="992" t="s">
        <v>596</v>
      </c>
      <c r="D16" s="992"/>
      <c r="E16" s="334">
        <v>277</v>
      </c>
      <c r="G16" s="419"/>
      <c r="I16" s="334">
        <v>13</v>
      </c>
      <c r="J16" s="435">
        <v>14</v>
      </c>
      <c r="K16" s="384">
        <f t="shared" si="2"/>
        <v>0</v>
      </c>
      <c r="L16" s="384">
        <f t="shared" si="1"/>
        <v>0</v>
      </c>
      <c r="M16" s="384">
        <f t="shared" si="1"/>
        <v>92.857142857142861</v>
      </c>
      <c r="N16" s="384">
        <f t="shared" si="3"/>
        <v>92.857142857142861</v>
      </c>
      <c r="O16" s="383"/>
      <c r="P16" s="384"/>
      <c r="Q16" s="384">
        <v>49.1</v>
      </c>
      <c r="R16" s="385">
        <f t="shared" si="4"/>
        <v>49.1</v>
      </c>
      <c r="S16" s="334">
        <v>4</v>
      </c>
      <c r="T16" s="357"/>
      <c r="V16" s="343" t="s">
        <v>479</v>
      </c>
      <c r="W16" s="334" t="s">
        <v>20</v>
      </c>
      <c r="X16" s="334" t="s">
        <v>12</v>
      </c>
      <c r="Y16" s="344">
        <v>49.1</v>
      </c>
      <c r="AD16" s="343"/>
      <c r="AG16" s="344"/>
      <c r="AL16" s="343"/>
      <c r="AO16" s="344"/>
      <c r="AP16" s="343"/>
      <c r="AS16" s="344"/>
      <c r="AW16" s="344"/>
      <c r="BA16" s="345"/>
    </row>
    <row r="17" spans="1:53" s="208" customFormat="1">
      <c r="A17" s="102">
        <v>1963.9714285714299</v>
      </c>
      <c r="B17" s="207">
        <v>23654</v>
      </c>
      <c r="C17" s="988" t="s">
        <v>597</v>
      </c>
      <c r="D17" s="988"/>
      <c r="E17" s="208">
        <f>366-E16</f>
        <v>89</v>
      </c>
      <c r="F17" s="208">
        <v>1</v>
      </c>
      <c r="G17" s="123"/>
      <c r="I17" s="208">
        <v>16</v>
      </c>
      <c r="J17" s="134">
        <v>16</v>
      </c>
      <c r="K17" s="92">
        <f t="shared" si="2"/>
        <v>0</v>
      </c>
      <c r="L17" s="92">
        <f t="shared" si="1"/>
        <v>0</v>
      </c>
      <c r="M17" s="92">
        <f t="shared" si="1"/>
        <v>100</v>
      </c>
      <c r="N17" s="92">
        <f t="shared" si="3"/>
        <v>100</v>
      </c>
      <c r="O17" s="91"/>
      <c r="P17" s="92"/>
      <c r="Q17" s="92">
        <v>48.5</v>
      </c>
      <c r="R17" s="93">
        <f t="shared" si="4"/>
        <v>48.5</v>
      </c>
      <c r="S17" s="208">
        <v>4</v>
      </c>
      <c r="T17" s="95">
        <v>23640</v>
      </c>
      <c r="U17" s="207">
        <v>23654</v>
      </c>
      <c r="V17" s="82" t="s">
        <v>479</v>
      </c>
      <c r="W17" s="208" t="s">
        <v>20</v>
      </c>
      <c r="X17" s="208" t="s">
        <v>12</v>
      </c>
      <c r="Y17" s="83">
        <v>48.5</v>
      </c>
      <c r="AD17" s="82"/>
      <c r="AG17" s="83"/>
      <c r="AL17" s="82"/>
      <c r="AO17" s="83"/>
      <c r="AP17" s="82"/>
      <c r="AS17" s="83"/>
      <c r="AW17" s="83"/>
      <c r="BA17" s="84"/>
    </row>
    <row r="18" spans="1:53" s="208" customFormat="1">
      <c r="A18" s="102">
        <v>1965</v>
      </c>
      <c r="B18" s="207"/>
      <c r="C18" s="988" t="s">
        <v>597</v>
      </c>
      <c r="D18" s="988"/>
      <c r="E18" s="208">
        <v>0</v>
      </c>
      <c r="G18" s="123"/>
      <c r="I18" s="208">
        <v>16</v>
      </c>
      <c r="J18" s="134">
        <v>16</v>
      </c>
      <c r="K18" s="92">
        <f t="shared" si="2"/>
        <v>0</v>
      </c>
      <c r="L18" s="92">
        <f t="shared" si="1"/>
        <v>0</v>
      </c>
      <c r="M18" s="92">
        <f t="shared" si="1"/>
        <v>100</v>
      </c>
      <c r="N18" s="92">
        <f t="shared" si="3"/>
        <v>100</v>
      </c>
      <c r="O18" s="91"/>
      <c r="P18" s="92"/>
      <c r="Q18" s="92">
        <v>48.5</v>
      </c>
      <c r="R18" s="93">
        <f t="shared" si="4"/>
        <v>48.5</v>
      </c>
      <c r="S18" s="208">
        <v>4</v>
      </c>
      <c r="T18" s="81"/>
      <c r="V18" s="82" t="s">
        <v>479</v>
      </c>
      <c r="W18" s="208" t="s">
        <v>20</v>
      </c>
      <c r="X18" s="208" t="s">
        <v>12</v>
      </c>
      <c r="Y18" s="83">
        <v>48.5</v>
      </c>
      <c r="AD18" s="82"/>
      <c r="AG18" s="83"/>
      <c r="AL18" s="82"/>
      <c r="AO18" s="83"/>
      <c r="AP18" s="82"/>
      <c r="AS18" s="83"/>
      <c r="AW18" s="83"/>
      <c r="BA18" s="84"/>
    </row>
    <row r="19" spans="1:53" s="208" customFormat="1">
      <c r="A19" s="102">
        <v>1964.88571428572</v>
      </c>
      <c r="B19" s="207"/>
      <c r="C19" s="988" t="s">
        <v>597</v>
      </c>
      <c r="D19" s="988"/>
      <c r="E19" s="208">
        <v>365</v>
      </c>
      <c r="G19" s="123"/>
      <c r="I19" s="208">
        <v>16</v>
      </c>
      <c r="J19" s="134">
        <v>16</v>
      </c>
      <c r="K19" s="92">
        <f t="shared" si="2"/>
        <v>0</v>
      </c>
      <c r="L19" s="92">
        <f t="shared" si="1"/>
        <v>0</v>
      </c>
      <c r="M19" s="92">
        <f t="shared" si="1"/>
        <v>100</v>
      </c>
      <c r="N19" s="92">
        <f t="shared" si="3"/>
        <v>100</v>
      </c>
      <c r="O19" s="91"/>
      <c r="P19" s="92"/>
      <c r="Q19" s="92">
        <v>48.5</v>
      </c>
      <c r="R19" s="93">
        <f t="shared" si="4"/>
        <v>48.5</v>
      </c>
      <c r="S19" s="208">
        <v>4</v>
      </c>
      <c r="T19" s="81"/>
      <c r="V19" s="82" t="s">
        <v>479</v>
      </c>
      <c r="W19" s="208" t="s">
        <v>20</v>
      </c>
      <c r="X19" s="208" t="s">
        <v>12</v>
      </c>
      <c r="Y19" s="83">
        <v>48.5</v>
      </c>
      <c r="AD19" s="82"/>
      <c r="AG19" s="83"/>
      <c r="AL19" s="82"/>
      <c r="AO19" s="83"/>
      <c r="AP19" s="82"/>
      <c r="AS19" s="83"/>
      <c r="AW19" s="83"/>
      <c r="BA19" s="84"/>
    </row>
    <row r="20" spans="1:53" s="208" customFormat="1">
      <c r="A20" s="102">
        <v>1966</v>
      </c>
      <c r="B20" s="207"/>
      <c r="C20" s="988" t="s">
        <v>597</v>
      </c>
      <c r="D20" s="988"/>
      <c r="E20" s="208">
        <v>0</v>
      </c>
      <c r="G20" s="123"/>
      <c r="I20" s="208">
        <v>16</v>
      </c>
      <c r="J20" s="134">
        <v>16</v>
      </c>
      <c r="K20" s="92">
        <f t="shared" si="2"/>
        <v>0</v>
      </c>
      <c r="L20" s="92">
        <f t="shared" si="1"/>
        <v>0</v>
      </c>
      <c r="M20" s="92">
        <f t="shared" si="1"/>
        <v>100</v>
      </c>
      <c r="N20" s="92">
        <f t="shared" si="3"/>
        <v>100</v>
      </c>
      <c r="O20" s="91"/>
      <c r="P20" s="92"/>
      <c r="Q20" s="92">
        <v>48.5</v>
      </c>
      <c r="R20" s="93">
        <f t="shared" si="4"/>
        <v>48.5</v>
      </c>
      <c r="S20" s="208">
        <v>4</v>
      </c>
      <c r="T20" s="81"/>
      <c r="V20" s="82" t="s">
        <v>479</v>
      </c>
      <c r="W20" s="208" t="s">
        <v>20</v>
      </c>
      <c r="X20" s="208" t="s">
        <v>12</v>
      </c>
      <c r="Y20" s="83">
        <v>48.5</v>
      </c>
      <c r="AD20" s="82"/>
      <c r="AG20" s="83"/>
      <c r="AL20" s="82"/>
      <c r="AO20" s="83"/>
      <c r="AP20" s="82"/>
      <c r="AS20" s="83"/>
      <c r="AW20" s="83"/>
      <c r="BA20" s="84"/>
    </row>
    <row r="21" spans="1:53" s="208" customFormat="1">
      <c r="A21" s="102">
        <v>1965.8</v>
      </c>
      <c r="B21" s="207"/>
      <c r="C21" s="988" t="s">
        <v>597</v>
      </c>
      <c r="D21" s="988"/>
      <c r="E21" s="208">
        <v>365</v>
      </c>
      <c r="G21" s="123"/>
      <c r="I21" s="208">
        <v>16</v>
      </c>
      <c r="J21" s="134">
        <v>16</v>
      </c>
      <c r="K21" s="92">
        <f t="shared" si="2"/>
        <v>0</v>
      </c>
      <c r="L21" s="92">
        <f t="shared" si="1"/>
        <v>0</v>
      </c>
      <c r="M21" s="92">
        <f t="shared" si="1"/>
        <v>100</v>
      </c>
      <c r="N21" s="92">
        <f t="shared" si="3"/>
        <v>100</v>
      </c>
      <c r="O21" s="91"/>
      <c r="P21" s="92"/>
      <c r="Q21" s="92">
        <v>48.5</v>
      </c>
      <c r="R21" s="93">
        <f t="shared" si="4"/>
        <v>48.5</v>
      </c>
      <c r="S21" s="208">
        <v>4</v>
      </c>
      <c r="T21" s="81"/>
      <c r="V21" s="82" t="s">
        <v>479</v>
      </c>
      <c r="W21" s="208" t="s">
        <v>20</v>
      </c>
      <c r="X21" s="208" t="s">
        <v>12</v>
      </c>
      <c r="Y21" s="83">
        <v>48.5</v>
      </c>
      <c r="AD21" s="82"/>
      <c r="AG21" s="83"/>
      <c r="AL21" s="82"/>
      <c r="AO21" s="83"/>
      <c r="AP21" s="82"/>
      <c r="AS21" s="83"/>
      <c r="AW21" s="83"/>
      <c r="BA21" s="84"/>
    </row>
    <row r="22" spans="1:53" s="208" customFormat="1">
      <c r="A22" s="102">
        <v>1967</v>
      </c>
      <c r="B22" s="207"/>
      <c r="C22" s="988" t="s">
        <v>597</v>
      </c>
      <c r="D22" s="988"/>
      <c r="E22" s="208">
        <v>0</v>
      </c>
      <c r="G22" s="123"/>
      <c r="I22" s="208">
        <v>16</v>
      </c>
      <c r="J22" s="134">
        <v>16</v>
      </c>
      <c r="K22" s="92">
        <f t="shared" si="2"/>
        <v>0</v>
      </c>
      <c r="L22" s="92">
        <f t="shared" si="1"/>
        <v>0</v>
      </c>
      <c r="M22" s="92">
        <f t="shared" si="1"/>
        <v>100</v>
      </c>
      <c r="N22" s="92">
        <f t="shared" si="3"/>
        <v>100</v>
      </c>
      <c r="O22" s="91"/>
      <c r="P22" s="92"/>
      <c r="Q22" s="92">
        <v>48.5</v>
      </c>
      <c r="R22" s="93">
        <f t="shared" si="4"/>
        <v>48.5</v>
      </c>
      <c r="S22" s="208">
        <v>4</v>
      </c>
      <c r="T22" s="81"/>
      <c r="V22" s="82" t="s">
        <v>479</v>
      </c>
      <c r="W22" s="208" t="s">
        <v>20</v>
      </c>
      <c r="X22" s="208" t="s">
        <v>12</v>
      </c>
      <c r="Y22" s="83">
        <v>48.5</v>
      </c>
      <c r="AD22" s="82"/>
      <c r="AG22" s="83"/>
      <c r="AL22" s="82"/>
      <c r="AO22" s="83"/>
      <c r="AP22" s="82"/>
      <c r="AS22" s="83"/>
      <c r="AW22" s="83"/>
      <c r="BA22" s="84"/>
    </row>
    <row r="23" spans="1:53" s="208" customFormat="1">
      <c r="A23" s="102">
        <v>1966.7142857142901</v>
      </c>
      <c r="B23" s="207"/>
      <c r="C23" s="988" t="s">
        <v>597</v>
      </c>
      <c r="D23" s="988"/>
      <c r="E23" s="208">
        <v>365</v>
      </c>
      <c r="G23" s="123"/>
      <c r="I23" s="208">
        <v>16</v>
      </c>
      <c r="J23" s="134">
        <v>16</v>
      </c>
      <c r="K23" s="92">
        <f t="shared" si="2"/>
        <v>0</v>
      </c>
      <c r="L23" s="92">
        <f t="shared" si="1"/>
        <v>0</v>
      </c>
      <c r="M23" s="92">
        <f t="shared" si="1"/>
        <v>100</v>
      </c>
      <c r="N23" s="92">
        <f t="shared" si="3"/>
        <v>100</v>
      </c>
      <c r="O23" s="91"/>
      <c r="P23" s="92"/>
      <c r="Q23" s="92">
        <v>48.5</v>
      </c>
      <c r="R23" s="93">
        <f t="shared" si="4"/>
        <v>48.5</v>
      </c>
      <c r="S23" s="208">
        <v>4</v>
      </c>
      <c r="T23" s="81"/>
      <c r="V23" s="82" t="s">
        <v>479</v>
      </c>
      <c r="W23" s="208" t="s">
        <v>20</v>
      </c>
      <c r="X23" s="208" t="s">
        <v>12</v>
      </c>
      <c r="Y23" s="83">
        <v>48.5</v>
      </c>
      <c r="AD23" s="82"/>
      <c r="AG23" s="83"/>
      <c r="AL23" s="82"/>
      <c r="AO23" s="83"/>
      <c r="AP23" s="82"/>
      <c r="AS23" s="83"/>
      <c r="AW23" s="83"/>
      <c r="BA23" s="84"/>
    </row>
    <row r="24" spans="1:53" s="208" customFormat="1">
      <c r="A24" s="102">
        <v>1968</v>
      </c>
      <c r="B24" s="207"/>
      <c r="C24" s="988" t="s">
        <v>597</v>
      </c>
      <c r="D24" s="988"/>
      <c r="E24" s="208">
        <v>272</v>
      </c>
      <c r="G24" s="123"/>
      <c r="I24" s="208">
        <v>16</v>
      </c>
      <c r="J24" s="134">
        <v>16</v>
      </c>
      <c r="K24" s="92">
        <f t="shared" si="2"/>
        <v>0</v>
      </c>
      <c r="L24" s="92">
        <f t="shared" si="2"/>
        <v>0</v>
      </c>
      <c r="M24" s="92">
        <f t="shared" si="2"/>
        <v>100</v>
      </c>
      <c r="N24" s="92">
        <f t="shared" si="3"/>
        <v>100</v>
      </c>
      <c r="O24" s="91"/>
      <c r="P24" s="92"/>
      <c r="Q24" s="92">
        <v>48.5</v>
      </c>
      <c r="R24" s="93">
        <f t="shared" si="4"/>
        <v>48.5</v>
      </c>
      <c r="S24" s="208">
        <v>4</v>
      </c>
      <c r="T24" s="81"/>
      <c r="V24" s="82" t="s">
        <v>479</v>
      </c>
      <c r="W24" s="208" t="s">
        <v>20</v>
      </c>
      <c r="X24" s="208" t="s">
        <v>12</v>
      </c>
      <c r="Y24" s="83">
        <v>48.5</v>
      </c>
      <c r="AD24" s="82"/>
      <c r="AG24" s="83"/>
      <c r="AL24" s="82"/>
      <c r="AO24" s="83"/>
      <c r="AP24" s="82"/>
      <c r="AS24" s="83"/>
      <c r="AW24" s="83"/>
      <c r="BA24" s="84"/>
    </row>
    <row r="25" spans="1:53" s="334" customFormat="1">
      <c r="A25" s="386">
        <v>1967.62857142857</v>
      </c>
      <c r="B25" s="355">
        <v>25110</v>
      </c>
      <c r="C25" s="992" t="s">
        <v>598</v>
      </c>
      <c r="D25" s="992"/>
      <c r="E25" s="334">
        <f>366-E24</f>
        <v>94</v>
      </c>
      <c r="F25" s="334">
        <v>1</v>
      </c>
      <c r="G25" s="419"/>
      <c r="I25" s="334">
        <v>17</v>
      </c>
      <c r="J25" s="435">
        <v>17</v>
      </c>
      <c r="K25" s="384">
        <f t="shared" si="2"/>
        <v>0</v>
      </c>
      <c r="L25" s="384">
        <f t="shared" si="2"/>
        <v>0</v>
      </c>
      <c r="M25" s="384">
        <f t="shared" si="2"/>
        <v>100</v>
      </c>
      <c r="N25" s="384">
        <f t="shared" si="3"/>
        <v>100</v>
      </c>
      <c r="O25" s="383"/>
      <c r="P25" s="384"/>
      <c r="Q25" s="384">
        <v>53.6</v>
      </c>
      <c r="R25" s="385">
        <f t="shared" si="4"/>
        <v>53.6</v>
      </c>
      <c r="S25" s="334">
        <v>1</v>
      </c>
      <c r="T25" s="342">
        <v>25096</v>
      </c>
      <c r="U25" s="355">
        <v>25110</v>
      </c>
      <c r="V25" s="343" t="s">
        <v>479</v>
      </c>
      <c r="W25" s="334" t="s">
        <v>20</v>
      </c>
      <c r="X25" s="334" t="s">
        <v>12</v>
      </c>
      <c r="Y25" s="344">
        <v>53.6</v>
      </c>
      <c r="AD25" s="343"/>
      <c r="AG25" s="344"/>
      <c r="AL25" s="343"/>
      <c r="AO25" s="344"/>
      <c r="AP25" s="343"/>
      <c r="AS25" s="344"/>
      <c r="AW25" s="344"/>
      <c r="BA25" s="345"/>
    </row>
    <row r="26" spans="1:53" s="334" customFormat="1">
      <c r="A26" s="386">
        <v>1969</v>
      </c>
      <c r="B26" s="355"/>
      <c r="C26" s="992" t="s">
        <v>598</v>
      </c>
      <c r="D26" s="992"/>
      <c r="E26" s="334">
        <v>287</v>
      </c>
      <c r="G26" s="419"/>
      <c r="I26" s="334">
        <v>17</v>
      </c>
      <c r="J26" s="435">
        <v>17</v>
      </c>
      <c r="K26" s="384">
        <f t="shared" si="2"/>
        <v>0</v>
      </c>
      <c r="L26" s="384">
        <f t="shared" si="2"/>
        <v>0</v>
      </c>
      <c r="M26" s="384">
        <f t="shared" si="2"/>
        <v>100</v>
      </c>
      <c r="N26" s="384">
        <f t="shared" si="3"/>
        <v>100</v>
      </c>
      <c r="O26" s="383"/>
      <c r="P26" s="384"/>
      <c r="Q26" s="384">
        <v>53.6</v>
      </c>
      <c r="R26" s="385">
        <f t="shared" si="4"/>
        <v>53.6</v>
      </c>
      <c r="S26" s="334">
        <v>1</v>
      </c>
      <c r="T26" s="357"/>
      <c r="V26" s="343" t="s">
        <v>479</v>
      </c>
      <c r="W26" s="334" t="s">
        <v>20</v>
      </c>
      <c r="X26" s="334" t="s">
        <v>12</v>
      </c>
      <c r="Y26" s="344">
        <v>53.6</v>
      </c>
      <c r="AD26" s="343"/>
      <c r="AG26" s="344"/>
      <c r="AL26" s="343"/>
      <c r="AO26" s="344"/>
      <c r="AP26" s="343"/>
      <c r="AS26" s="344"/>
      <c r="AW26" s="344"/>
      <c r="BA26" s="345"/>
    </row>
    <row r="27" spans="1:53" s="208" customFormat="1">
      <c r="A27" s="102">
        <v>1968.5428571428599</v>
      </c>
      <c r="B27" s="207">
        <v>25491</v>
      </c>
      <c r="C27" s="988" t="s">
        <v>599</v>
      </c>
      <c r="D27" s="988"/>
      <c r="E27" s="208">
        <f>365-E26</f>
        <v>78</v>
      </c>
      <c r="F27" s="208">
        <v>2</v>
      </c>
      <c r="G27" s="123"/>
      <c r="I27" s="208">
        <v>19</v>
      </c>
      <c r="J27" s="134">
        <v>19</v>
      </c>
      <c r="K27" s="92">
        <f t="shared" si="2"/>
        <v>0</v>
      </c>
      <c r="L27" s="92">
        <f t="shared" si="2"/>
        <v>0</v>
      </c>
      <c r="M27" s="92">
        <f t="shared" si="2"/>
        <v>100</v>
      </c>
      <c r="N27" s="92">
        <f t="shared" si="3"/>
        <v>100</v>
      </c>
      <c r="O27" s="91"/>
      <c r="P27" s="92"/>
      <c r="Q27" s="92">
        <v>53.6</v>
      </c>
      <c r="R27" s="93">
        <f t="shared" si="4"/>
        <v>53.6</v>
      </c>
      <c r="S27" s="208">
        <v>1</v>
      </c>
      <c r="T27" s="81"/>
      <c r="U27" s="207">
        <v>25491</v>
      </c>
      <c r="V27" s="82" t="s">
        <v>479</v>
      </c>
      <c r="W27" s="208" t="s">
        <v>20</v>
      </c>
      <c r="X27" s="208" t="s">
        <v>12</v>
      </c>
      <c r="Y27" s="83">
        <v>53.6</v>
      </c>
      <c r="AD27" s="82"/>
      <c r="AG27" s="83"/>
      <c r="AL27" s="82"/>
      <c r="AO27" s="83"/>
      <c r="AP27" s="82"/>
      <c r="AS27" s="83"/>
      <c r="AW27" s="83"/>
      <c r="BA27" s="84"/>
    </row>
    <row r="28" spans="1:53" s="208" customFormat="1">
      <c r="A28" s="102">
        <v>1970</v>
      </c>
      <c r="B28" s="207"/>
      <c r="C28" s="988" t="s">
        <v>599</v>
      </c>
      <c r="D28" s="988"/>
      <c r="E28" s="208">
        <v>271</v>
      </c>
      <c r="G28" s="123"/>
      <c r="I28" s="208">
        <v>19</v>
      </c>
      <c r="J28" s="134">
        <v>19</v>
      </c>
      <c r="K28" s="92">
        <f t="shared" si="2"/>
        <v>0</v>
      </c>
      <c r="L28" s="92">
        <f t="shared" si="2"/>
        <v>0</v>
      </c>
      <c r="M28" s="92">
        <f t="shared" si="2"/>
        <v>100</v>
      </c>
      <c r="N28" s="92">
        <f t="shared" si="3"/>
        <v>100</v>
      </c>
      <c r="O28" s="91"/>
      <c r="P28" s="92"/>
      <c r="Q28" s="92">
        <v>53.6</v>
      </c>
      <c r="R28" s="93">
        <f t="shared" si="4"/>
        <v>53.6</v>
      </c>
      <c r="S28" s="208">
        <v>1</v>
      </c>
      <c r="T28" s="81"/>
      <c r="V28" s="82" t="s">
        <v>479</v>
      </c>
      <c r="W28" s="208" t="s">
        <v>20</v>
      </c>
      <c r="X28" s="208" t="s">
        <v>12</v>
      </c>
      <c r="Y28" s="83">
        <v>53.6</v>
      </c>
      <c r="AD28" s="82"/>
      <c r="AG28" s="83"/>
      <c r="AL28" s="82"/>
      <c r="AO28" s="83"/>
      <c r="AP28" s="82"/>
      <c r="AS28" s="83"/>
      <c r="AW28" s="83"/>
      <c r="BA28" s="84"/>
    </row>
    <row r="29" spans="1:53" s="334" customFormat="1">
      <c r="A29" s="386">
        <v>1970</v>
      </c>
      <c r="B29" s="355">
        <v>25840</v>
      </c>
      <c r="C29" s="992" t="s">
        <v>600</v>
      </c>
      <c r="D29" s="992"/>
      <c r="E29" s="334">
        <f>365-E28</f>
        <v>94</v>
      </c>
      <c r="F29" s="334">
        <v>1</v>
      </c>
      <c r="G29" s="419"/>
      <c r="I29" s="334">
        <v>19</v>
      </c>
      <c r="J29" s="435">
        <v>19</v>
      </c>
      <c r="K29" s="384">
        <f t="shared" si="2"/>
        <v>0</v>
      </c>
      <c r="L29" s="384">
        <f t="shared" si="2"/>
        <v>0</v>
      </c>
      <c r="M29" s="384">
        <f t="shared" si="2"/>
        <v>100</v>
      </c>
      <c r="N29" s="384">
        <f t="shared" si="3"/>
        <v>100</v>
      </c>
      <c r="O29" s="383"/>
      <c r="P29" s="384"/>
      <c r="Q29" s="384">
        <v>46.6</v>
      </c>
      <c r="R29" s="385">
        <f t="shared" si="4"/>
        <v>46.6</v>
      </c>
      <c r="S29" s="334">
        <v>4</v>
      </c>
      <c r="T29" s="342">
        <v>25833</v>
      </c>
      <c r="U29" s="355">
        <v>25840</v>
      </c>
      <c r="V29" s="343" t="s">
        <v>479</v>
      </c>
      <c r="W29" s="334" t="s">
        <v>20</v>
      </c>
      <c r="X29" s="334" t="s">
        <v>12</v>
      </c>
      <c r="Y29" s="344">
        <v>46.6</v>
      </c>
      <c r="AD29" s="343"/>
      <c r="AG29" s="344"/>
      <c r="AL29" s="343"/>
      <c r="AO29" s="344"/>
      <c r="AP29" s="343"/>
      <c r="AS29" s="344"/>
      <c r="AW29" s="344"/>
      <c r="BA29" s="345"/>
    </row>
    <row r="30" spans="1:53" s="334" customFormat="1">
      <c r="A30" s="386">
        <v>1971</v>
      </c>
      <c r="B30" s="355"/>
      <c r="C30" s="992" t="s">
        <v>600</v>
      </c>
      <c r="D30" s="992"/>
      <c r="E30" s="334">
        <v>0</v>
      </c>
      <c r="G30" s="419"/>
      <c r="I30" s="334">
        <v>19</v>
      </c>
      <c r="J30" s="435">
        <v>19</v>
      </c>
      <c r="K30" s="384">
        <f t="shared" si="2"/>
        <v>0</v>
      </c>
      <c r="L30" s="384">
        <f t="shared" si="2"/>
        <v>0</v>
      </c>
      <c r="M30" s="384">
        <f t="shared" si="2"/>
        <v>100</v>
      </c>
      <c r="N30" s="384">
        <f t="shared" si="3"/>
        <v>100</v>
      </c>
      <c r="O30" s="383"/>
      <c r="P30" s="384"/>
      <c r="Q30" s="384">
        <v>46.6</v>
      </c>
      <c r="R30" s="385">
        <f t="shared" si="4"/>
        <v>46.6</v>
      </c>
      <c r="S30" s="334">
        <v>4</v>
      </c>
      <c r="T30" s="357"/>
      <c r="V30" s="343" t="s">
        <v>479</v>
      </c>
      <c r="W30" s="334" t="s">
        <v>20</v>
      </c>
      <c r="X30" s="334" t="s">
        <v>12</v>
      </c>
      <c r="Y30" s="344">
        <v>46.6</v>
      </c>
      <c r="AD30" s="343"/>
      <c r="AG30" s="344"/>
      <c r="AL30" s="343"/>
      <c r="AO30" s="344"/>
      <c r="AP30" s="343"/>
      <c r="AS30" s="344"/>
      <c r="AW30" s="344"/>
      <c r="BA30" s="345"/>
    </row>
    <row r="31" spans="1:53" s="334" customFormat="1">
      <c r="A31" s="386">
        <v>1971</v>
      </c>
      <c r="B31" s="355"/>
      <c r="C31" s="992" t="s">
        <v>600</v>
      </c>
      <c r="D31" s="992"/>
      <c r="E31" s="334">
        <v>365</v>
      </c>
      <c r="G31" s="419"/>
      <c r="I31" s="334">
        <v>19</v>
      </c>
      <c r="J31" s="435">
        <v>19</v>
      </c>
      <c r="K31" s="384">
        <f t="shared" si="2"/>
        <v>0</v>
      </c>
      <c r="L31" s="384">
        <f t="shared" si="2"/>
        <v>0</v>
      </c>
      <c r="M31" s="384">
        <f t="shared" si="2"/>
        <v>100</v>
      </c>
      <c r="N31" s="384">
        <f t="shared" si="3"/>
        <v>100</v>
      </c>
      <c r="O31" s="383"/>
      <c r="P31" s="384"/>
      <c r="Q31" s="384">
        <v>46.6</v>
      </c>
      <c r="R31" s="385">
        <f t="shared" si="4"/>
        <v>46.6</v>
      </c>
      <c r="S31" s="334">
        <v>4</v>
      </c>
      <c r="T31" s="357"/>
      <c r="V31" s="343" t="s">
        <v>479</v>
      </c>
      <c r="W31" s="334" t="s">
        <v>20</v>
      </c>
      <c r="X31" s="334" t="s">
        <v>12</v>
      </c>
      <c r="Y31" s="344">
        <v>46.6</v>
      </c>
      <c r="AD31" s="343"/>
      <c r="AG31" s="344"/>
      <c r="AL31" s="343"/>
      <c r="AO31" s="344"/>
      <c r="AP31" s="343"/>
      <c r="AS31" s="344"/>
      <c r="AW31" s="344"/>
      <c r="BA31" s="345"/>
    </row>
    <row r="32" spans="1:53" s="334" customFormat="1">
      <c r="A32" s="386">
        <v>1972</v>
      </c>
      <c r="B32" s="355"/>
      <c r="C32" s="992" t="s">
        <v>600</v>
      </c>
      <c r="D32" s="992"/>
      <c r="E32" s="334">
        <v>0</v>
      </c>
      <c r="G32" s="419"/>
      <c r="I32" s="334">
        <v>19</v>
      </c>
      <c r="J32" s="435">
        <v>19</v>
      </c>
      <c r="K32" s="384">
        <f t="shared" si="2"/>
        <v>0</v>
      </c>
      <c r="L32" s="384">
        <f t="shared" si="2"/>
        <v>0</v>
      </c>
      <c r="M32" s="384">
        <f t="shared" si="2"/>
        <v>100</v>
      </c>
      <c r="N32" s="384">
        <f t="shared" si="3"/>
        <v>100</v>
      </c>
      <c r="O32" s="383"/>
      <c r="P32" s="384"/>
      <c r="Q32" s="384">
        <v>46.6</v>
      </c>
      <c r="R32" s="385">
        <f t="shared" si="4"/>
        <v>46.6</v>
      </c>
      <c r="S32" s="334">
        <v>4</v>
      </c>
      <c r="T32" s="357"/>
      <c r="V32" s="343" t="s">
        <v>479</v>
      </c>
      <c r="W32" s="334" t="s">
        <v>20</v>
      </c>
      <c r="X32" s="334" t="s">
        <v>12</v>
      </c>
      <c r="Y32" s="344">
        <v>46.6</v>
      </c>
      <c r="AD32" s="343"/>
      <c r="AG32" s="344"/>
      <c r="AL32" s="343"/>
      <c r="AO32" s="344"/>
      <c r="AP32" s="343"/>
      <c r="AS32" s="344"/>
      <c r="AW32" s="344"/>
      <c r="BA32" s="345"/>
    </row>
    <row r="33" spans="1:53" s="334" customFormat="1">
      <c r="A33" s="386">
        <v>1972</v>
      </c>
      <c r="B33" s="355"/>
      <c r="C33" s="992" t="s">
        <v>600</v>
      </c>
      <c r="D33" s="992"/>
      <c r="E33" s="334">
        <v>366</v>
      </c>
      <c r="G33" s="419"/>
      <c r="I33" s="334">
        <v>19</v>
      </c>
      <c r="J33" s="435">
        <v>19</v>
      </c>
      <c r="K33" s="384">
        <f t="shared" si="2"/>
        <v>0</v>
      </c>
      <c r="L33" s="384">
        <f t="shared" si="2"/>
        <v>0</v>
      </c>
      <c r="M33" s="384">
        <f t="shared" si="2"/>
        <v>100</v>
      </c>
      <c r="N33" s="384">
        <f t="shared" si="3"/>
        <v>100</v>
      </c>
      <c r="O33" s="383"/>
      <c r="P33" s="384"/>
      <c r="Q33" s="384">
        <v>46.6</v>
      </c>
      <c r="R33" s="385">
        <f t="shared" si="4"/>
        <v>46.6</v>
      </c>
      <c r="S33" s="334">
        <v>4</v>
      </c>
      <c r="T33" s="357"/>
      <c r="V33" s="343" t="s">
        <v>479</v>
      </c>
      <c r="W33" s="334" t="s">
        <v>20</v>
      </c>
      <c r="X33" s="334" t="s">
        <v>12</v>
      </c>
      <c r="Y33" s="344">
        <v>46.6</v>
      </c>
      <c r="AD33" s="343"/>
      <c r="AG33" s="344"/>
      <c r="AL33" s="343"/>
      <c r="AO33" s="344"/>
      <c r="AP33" s="343"/>
      <c r="AS33" s="344"/>
      <c r="AW33" s="344"/>
      <c r="BA33" s="345"/>
    </row>
    <row r="34" spans="1:53" s="334" customFormat="1">
      <c r="A34" s="386">
        <v>1973</v>
      </c>
      <c r="B34" s="355"/>
      <c r="C34" s="992" t="s">
        <v>600</v>
      </c>
      <c r="D34" s="992"/>
      <c r="E34" s="334">
        <v>303</v>
      </c>
      <c r="G34" s="419"/>
      <c r="I34" s="334">
        <v>19</v>
      </c>
      <c r="J34" s="435">
        <v>19</v>
      </c>
      <c r="K34" s="384">
        <f t="shared" si="2"/>
        <v>0</v>
      </c>
      <c r="L34" s="384">
        <f t="shared" si="2"/>
        <v>0</v>
      </c>
      <c r="M34" s="384">
        <f t="shared" si="2"/>
        <v>100</v>
      </c>
      <c r="N34" s="384">
        <f t="shared" si="3"/>
        <v>100</v>
      </c>
      <c r="O34" s="383"/>
      <c r="P34" s="384"/>
      <c r="Q34" s="384">
        <v>46.6</v>
      </c>
      <c r="R34" s="385">
        <f t="shared" si="4"/>
        <v>46.6</v>
      </c>
      <c r="S34" s="334">
        <v>4</v>
      </c>
      <c r="T34" s="357"/>
      <c r="V34" s="343" t="s">
        <v>479</v>
      </c>
      <c r="W34" s="334" t="s">
        <v>20</v>
      </c>
      <c r="X34" s="334" t="s">
        <v>12</v>
      </c>
      <c r="Y34" s="344">
        <v>46.6</v>
      </c>
      <c r="AD34" s="343"/>
      <c r="AG34" s="344"/>
      <c r="AL34" s="343"/>
      <c r="AO34" s="344"/>
      <c r="AP34" s="343"/>
      <c r="AS34" s="344"/>
      <c r="AW34" s="344"/>
      <c r="BA34" s="345"/>
    </row>
    <row r="35" spans="1:53" s="208" customFormat="1">
      <c r="A35" s="102">
        <v>1973</v>
      </c>
      <c r="B35" s="207">
        <v>26968</v>
      </c>
      <c r="C35" s="988" t="s">
        <v>601</v>
      </c>
      <c r="D35" s="988"/>
      <c r="E35" s="208">
        <f>365-E34</f>
        <v>62</v>
      </c>
      <c r="F35" s="208">
        <v>1</v>
      </c>
      <c r="G35" s="123"/>
      <c r="I35" s="208">
        <v>18</v>
      </c>
      <c r="J35" s="134">
        <v>18</v>
      </c>
      <c r="K35" s="92">
        <f t="shared" si="2"/>
        <v>0</v>
      </c>
      <c r="L35" s="92">
        <f t="shared" si="2"/>
        <v>0</v>
      </c>
      <c r="M35" s="92">
        <f t="shared" si="2"/>
        <v>100</v>
      </c>
      <c r="N35" s="92">
        <f t="shared" si="3"/>
        <v>100</v>
      </c>
      <c r="O35" s="91"/>
      <c r="P35" s="92"/>
      <c r="Q35" s="92">
        <v>44.6</v>
      </c>
      <c r="R35" s="93">
        <f t="shared" si="4"/>
        <v>44.6</v>
      </c>
      <c r="S35" s="208">
        <v>4</v>
      </c>
      <c r="T35" s="95">
        <v>26923</v>
      </c>
      <c r="U35" s="207">
        <v>26968</v>
      </c>
      <c r="V35" s="82" t="s">
        <v>479</v>
      </c>
      <c r="W35" s="208" t="s">
        <v>20</v>
      </c>
      <c r="X35" s="208" t="s">
        <v>12</v>
      </c>
      <c r="Y35" s="83">
        <v>44.6</v>
      </c>
      <c r="AD35" s="82"/>
      <c r="AG35" s="83"/>
      <c r="AL35" s="82"/>
      <c r="AO35" s="83"/>
      <c r="AP35" s="82"/>
      <c r="AS35" s="83"/>
      <c r="AW35" s="83"/>
      <c r="BA35" s="84"/>
    </row>
    <row r="36" spans="1:53" s="208" customFormat="1">
      <c r="A36" s="102">
        <v>1974</v>
      </c>
      <c r="B36" s="207"/>
      <c r="C36" s="988" t="s">
        <v>601</v>
      </c>
      <c r="D36" s="988"/>
      <c r="E36" s="208">
        <v>0</v>
      </c>
      <c r="G36" s="123"/>
      <c r="I36" s="208">
        <v>18</v>
      </c>
      <c r="J36" s="134">
        <v>18</v>
      </c>
      <c r="K36" s="92">
        <f t="shared" si="2"/>
        <v>0</v>
      </c>
      <c r="L36" s="92">
        <f t="shared" si="2"/>
        <v>0</v>
      </c>
      <c r="M36" s="92">
        <f t="shared" si="2"/>
        <v>100</v>
      </c>
      <c r="N36" s="92">
        <f t="shared" si="3"/>
        <v>100</v>
      </c>
      <c r="O36" s="91"/>
      <c r="P36" s="92"/>
      <c r="Q36" s="92">
        <v>44.6</v>
      </c>
      <c r="R36" s="93">
        <f t="shared" si="4"/>
        <v>44.6</v>
      </c>
      <c r="S36" s="208">
        <v>4</v>
      </c>
      <c r="T36" s="81"/>
      <c r="V36" s="82" t="s">
        <v>479</v>
      </c>
      <c r="W36" s="208" t="s">
        <v>20</v>
      </c>
      <c r="X36" s="208" t="s">
        <v>12</v>
      </c>
      <c r="Y36" s="83">
        <v>44.6</v>
      </c>
      <c r="AD36" s="82"/>
      <c r="AG36" s="83"/>
      <c r="AL36" s="82"/>
      <c r="AO36" s="83"/>
      <c r="AP36" s="82"/>
      <c r="AS36" s="83"/>
      <c r="AW36" s="83"/>
      <c r="BA36" s="84"/>
    </row>
    <row r="37" spans="1:53" s="208" customFormat="1">
      <c r="A37" s="102">
        <v>1974</v>
      </c>
      <c r="B37" s="207"/>
      <c r="C37" s="988" t="s">
        <v>601</v>
      </c>
      <c r="D37" s="988"/>
      <c r="E37" s="208">
        <v>365</v>
      </c>
      <c r="G37" s="123"/>
      <c r="I37" s="208">
        <v>18</v>
      </c>
      <c r="J37" s="134">
        <v>18</v>
      </c>
      <c r="K37" s="92">
        <f t="shared" si="2"/>
        <v>0</v>
      </c>
      <c r="L37" s="92">
        <f t="shared" si="2"/>
        <v>0</v>
      </c>
      <c r="M37" s="92">
        <f t="shared" si="2"/>
        <v>100</v>
      </c>
      <c r="N37" s="92">
        <f t="shared" si="3"/>
        <v>100</v>
      </c>
      <c r="O37" s="91"/>
      <c r="P37" s="92"/>
      <c r="Q37" s="92">
        <v>44.6</v>
      </c>
      <c r="R37" s="93">
        <f t="shared" si="4"/>
        <v>44.6</v>
      </c>
      <c r="S37" s="208">
        <v>4</v>
      </c>
      <c r="T37" s="81"/>
      <c r="V37" s="82" t="s">
        <v>479</v>
      </c>
      <c r="W37" s="208" t="s">
        <v>20</v>
      </c>
      <c r="X37" s="208" t="s">
        <v>12</v>
      </c>
      <c r="Y37" s="83">
        <v>44.6</v>
      </c>
      <c r="AD37" s="82"/>
      <c r="AG37" s="83"/>
      <c r="AL37" s="82"/>
      <c r="AO37" s="83"/>
      <c r="AP37" s="82"/>
      <c r="AS37" s="83"/>
      <c r="AW37" s="83"/>
      <c r="BA37" s="84"/>
    </row>
    <row r="38" spans="1:53" s="208" customFormat="1">
      <c r="A38" s="102">
        <v>1975</v>
      </c>
      <c r="B38" s="207"/>
      <c r="C38" s="988" t="s">
        <v>601</v>
      </c>
      <c r="D38" s="988"/>
      <c r="E38" s="208">
        <v>0</v>
      </c>
      <c r="G38" s="123"/>
      <c r="I38" s="208">
        <v>18</v>
      </c>
      <c r="J38" s="134">
        <v>18</v>
      </c>
      <c r="K38" s="92">
        <f t="shared" si="2"/>
        <v>0</v>
      </c>
      <c r="L38" s="92">
        <f t="shared" si="2"/>
        <v>0</v>
      </c>
      <c r="M38" s="92">
        <f t="shared" si="2"/>
        <v>100</v>
      </c>
      <c r="N38" s="92">
        <f t="shared" si="3"/>
        <v>100</v>
      </c>
      <c r="O38" s="91"/>
      <c r="P38" s="92"/>
      <c r="Q38" s="92">
        <v>44.6</v>
      </c>
      <c r="R38" s="93">
        <f t="shared" si="4"/>
        <v>44.6</v>
      </c>
      <c r="S38" s="208">
        <v>4</v>
      </c>
      <c r="T38" s="81"/>
      <c r="V38" s="82" t="s">
        <v>479</v>
      </c>
      <c r="W38" s="208" t="s">
        <v>20</v>
      </c>
      <c r="X38" s="208" t="s">
        <v>12</v>
      </c>
      <c r="Y38" s="83">
        <v>44.6</v>
      </c>
      <c r="AD38" s="82"/>
      <c r="AG38" s="83"/>
      <c r="AL38" s="82"/>
      <c r="AO38" s="83"/>
      <c r="AP38" s="82"/>
      <c r="AS38" s="83"/>
      <c r="AW38" s="83"/>
      <c r="BA38" s="84"/>
    </row>
    <row r="39" spans="1:53" s="208" customFormat="1">
      <c r="A39" s="102">
        <v>1975</v>
      </c>
      <c r="B39" s="207"/>
      <c r="C39" s="988" t="s">
        <v>601</v>
      </c>
      <c r="D39" s="988"/>
      <c r="E39" s="208">
        <v>365</v>
      </c>
      <c r="G39" s="123"/>
      <c r="I39" s="208">
        <v>18</v>
      </c>
      <c r="J39" s="134">
        <v>18</v>
      </c>
      <c r="K39" s="92">
        <f t="shared" si="2"/>
        <v>0</v>
      </c>
      <c r="L39" s="92">
        <f t="shared" si="2"/>
        <v>0</v>
      </c>
      <c r="M39" s="92">
        <f t="shared" si="2"/>
        <v>100</v>
      </c>
      <c r="N39" s="92">
        <f t="shared" si="3"/>
        <v>100</v>
      </c>
      <c r="O39" s="91"/>
      <c r="P39" s="92"/>
      <c r="Q39" s="92">
        <v>44.6</v>
      </c>
      <c r="R39" s="93">
        <f t="shared" si="4"/>
        <v>44.6</v>
      </c>
      <c r="S39" s="208">
        <v>4</v>
      </c>
      <c r="T39" s="81"/>
      <c r="V39" s="82" t="s">
        <v>479</v>
      </c>
      <c r="W39" s="208" t="s">
        <v>20</v>
      </c>
      <c r="X39" s="208" t="s">
        <v>12</v>
      </c>
      <c r="Y39" s="83">
        <v>44.6</v>
      </c>
      <c r="AD39" s="82"/>
      <c r="AG39" s="83"/>
      <c r="AL39" s="82"/>
      <c r="AO39" s="83"/>
      <c r="AP39" s="82"/>
      <c r="AS39" s="83"/>
      <c r="AW39" s="83"/>
      <c r="BA39" s="84"/>
    </row>
    <row r="40" spans="1:53" s="208" customFormat="1">
      <c r="A40" s="102">
        <v>1976</v>
      </c>
      <c r="B40" s="207"/>
      <c r="C40" s="988" t="s">
        <v>601</v>
      </c>
      <c r="D40" s="988"/>
      <c r="E40" s="208">
        <v>277</v>
      </c>
      <c r="G40" s="123"/>
      <c r="I40" s="208">
        <v>18</v>
      </c>
      <c r="J40" s="134">
        <v>18</v>
      </c>
      <c r="K40" s="92">
        <f t="shared" si="2"/>
        <v>0</v>
      </c>
      <c r="L40" s="92">
        <f t="shared" si="2"/>
        <v>0</v>
      </c>
      <c r="M40" s="92">
        <f t="shared" si="2"/>
        <v>100</v>
      </c>
      <c r="N40" s="92">
        <f t="shared" si="3"/>
        <v>100</v>
      </c>
      <c r="O40" s="91"/>
      <c r="P40" s="92"/>
      <c r="Q40" s="92">
        <v>44.6</v>
      </c>
      <c r="R40" s="93">
        <f t="shared" si="4"/>
        <v>44.6</v>
      </c>
      <c r="S40" s="208">
        <v>4</v>
      </c>
      <c r="T40" s="81"/>
      <c r="V40" s="82" t="s">
        <v>479</v>
      </c>
      <c r="W40" s="208" t="s">
        <v>20</v>
      </c>
      <c r="X40" s="208" t="s">
        <v>12</v>
      </c>
      <c r="Y40" s="83">
        <v>44.6</v>
      </c>
      <c r="AD40" s="82"/>
      <c r="AG40" s="83"/>
      <c r="AL40" s="82"/>
      <c r="AO40" s="83"/>
      <c r="AP40" s="82"/>
      <c r="AS40" s="83"/>
      <c r="AW40" s="83"/>
      <c r="BA40" s="84"/>
    </row>
    <row r="41" spans="1:53" s="334" customFormat="1">
      <c r="A41" s="386">
        <v>1976</v>
      </c>
      <c r="B41" s="355">
        <v>28037</v>
      </c>
      <c r="C41" s="1041" t="s">
        <v>602</v>
      </c>
      <c r="D41" s="1041"/>
      <c r="E41" s="334">
        <f>366-E40</f>
        <v>89</v>
      </c>
      <c r="F41" s="334">
        <v>1</v>
      </c>
      <c r="G41" s="419">
        <v>10</v>
      </c>
      <c r="H41" s="334">
        <v>9</v>
      </c>
      <c r="J41" s="435">
        <v>20</v>
      </c>
      <c r="K41" s="384">
        <f t="shared" si="2"/>
        <v>50</v>
      </c>
      <c r="L41" s="384">
        <f t="shared" si="2"/>
        <v>45</v>
      </c>
      <c r="M41" s="384">
        <f t="shared" si="2"/>
        <v>0</v>
      </c>
      <c r="N41" s="384">
        <f t="shared" si="3"/>
        <v>95</v>
      </c>
      <c r="O41" s="383">
        <f xml:space="preserve"> 11.2+15.8</f>
        <v>27</v>
      </c>
      <c r="P41" s="384">
        <v>24.6</v>
      </c>
      <c r="Q41" s="384"/>
      <c r="R41" s="385">
        <f t="shared" si="4"/>
        <v>51.6</v>
      </c>
      <c r="S41" s="334">
        <v>2</v>
      </c>
      <c r="T41" s="342">
        <v>28022</v>
      </c>
      <c r="U41" s="355">
        <v>28037</v>
      </c>
      <c r="V41" s="343" t="s">
        <v>480</v>
      </c>
      <c r="W41" s="334" t="s">
        <v>75</v>
      </c>
      <c r="X41" s="334" t="s">
        <v>18</v>
      </c>
      <c r="Y41" s="344">
        <v>24.6</v>
      </c>
      <c r="Z41" s="334" t="s">
        <v>482</v>
      </c>
      <c r="AA41" s="334" t="s">
        <v>74</v>
      </c>
      <c r="AB41" s="334" t="s">
        <v>11</v>
      </c>
      <c r="AC41" s="334">
        <v>15.8</v>
      </c>
      <c r="AD41" s="343" t="s">
        <v>481</v>
      </c>
      <c r="AE41" s="334" t="s">
        <v>22</v>
      </c>
      <c r="AF41" s="334" t="s">
        <v>11</v>
      </c>
      <c r="AG41" s="344">
        <v>11.2</v>
      </c>
      <c r="AL41" s="343"/>
      <c r="AO41" s="344"/>
      <c r="AP41" s="343"/>
      <c r="AS41" s="344"/>
      <c r="AW41" s="344"/>
      <c r="BA41" s="345"/>
    </row>
    <row r="42" spans="1:53" s="334" customFormat="1">
      <c r="A42" s="386">
        <v>1977</v>
      </c>
      <c r="B42" s="355"/>
      <c r="C42" s="1041" t="s">
        <v>602</v>
      </c>
      <c r="D42" s="1041"/>
      <c r="E42" s="334">
        <v>0</v>
      </c>
      <c r="G42" s="419">
        <v>10</v>
      </c>
      <c r="H42" s="334">
        <v>9</v>
      </c>
      <c r="J42" s="435">
        <v>20</v>
      </c>
      <c r="K42" s="384">
        <f t="shared" si="2"/>
        <v>50</v>
      </c>
      <c r="L42" s="384">
        <f t="shared" si="2"/>
        <v>45</v>
      </c>
      <c r="M42" s="384">
        <f t="shared" si="2"/>
        <v>0</v>
      </c>
      <c r="N42" s="384">
        <f t="shared" si="3"/>
        <v>95</v>
      </c>
      <c r="O42" s="383">
        <f xml:space="preserve"> 11.2+15.8</f>
        <v>27</v>
      </c>
      <c r="P42" s="384">
        <v>24.6</v>
      </c>
      <c r="Q42" s="384"/>
      <c r="R42" s="385">
        <f t="shared" si="4"/>
        <v>51.6</v>
      </c>
      <c r="S42" s="334">
        <v>2</v>
      </c>
      <c r="T42" s="357"/>
      <c r="V42" s="343" t="s">
        <v>480</v>
      </c>
      <c r="W42" s="334" t="s">
        <v>75</v>
      </c>
      <c r="X42" s="334" t="s">
        <v>18</v>
      </c>
      <c r="Y42" s="344">
        <v>24.6</v>
      </c>
      <c r="Z42" s="334" t="s">
        <v>482</v>
      </c>
      <c r="AA42" s="334" t="s">
        <v>74</v>
      </c>
      <c r="AB42" s="334" t="s">
        <v>11</v>
      </c>
      <c r="AC42" s="334">
        <v>15.8</v>
      </c>
      <c r="AD42" s="343" t="s">
        <v>481</v>
      </c>
      <c r="AE42" s="334" t="s">
        <v>22</v>
      </c>
      <c r="AF42" s="334" t="s">
        <v>11</v>
      </c>
      <c r="AG42" s="344">
        <v>11.2</v>
      </c>
      <c r="AL42" s="343"/>
      <c r="AO42" s="344"/>
      <c r="AP42" s="343"/>
      <c r="AS42" s="344"/>
      <c r="AW42" s="344"/>
      <c r="BA42" s="345"/>
    </row>
    <row r="43" spans="1:53" s="334" customFormat="1">
      <c r="A43" s="386">
        <v>1977</v>
      </c>
      <c r="B43" s="355"/>
      <c r="C43" s="1041" t="s">
        <v>602</v>
      </c>
      <c r="D43" s="1041"/>
      <c r="E43" s="334">
        <v>365</v>
      </c>
      <c r="G43" s="419">
        <v>10</v>
      </c>
      <c r="H43" s="334">
        <v>9</v>
      </c>
      <c r="J43" s="435">
        <v>20</v>
      </c>
      <c r="K43" s="384">
        <f t="shared" si="2"/>
        <v>50</v>
      </c>
      <c r="L43" s="384">
        <f t="shared" si="2"/>
        <v>45</v>
      </c>
      <c r="M43" s="384">
        <f t="shared" si="2"/>
        <v>0</v>
      </c>
      <c r="N43" s="384">
        <f t="shared" si="3"/>
        <v>95</v>
      </c>
      <c r="O43" s="383">
        <f xml:space="preserve"> 11.2+15.8</f>
        <v>27</v>
      </c>
      <c r="P43" s="384">
        <v>24.6</v>
      </c>
      <c r="Q43" s="384"/>
      <c r="R43" s="385">
        <f t="shared" si="4"/>
        <v>51.6</v>
      </c>
      <c r="S43" s="334">
        <v>2</v>
      </c>
      <c r="T43" s="357"/>
      <c r="V43" s="343" t="s">
        <v>480</v>
      </c>
      <c r="W43" s="334" t="s">
        <v>75</v>
      </c>
      <c r="X43" s="334" t="s">
        <v>18</v>
      </c>
      <c r="Y43" s="344">
        <v>24.6</v>
      </c>
      <c r="Z43" s="334" t="s">
        <v>482</v>
      </c>
      <c r="AA43" s="334" t="s">
        <v>74</v>
      </c>
      <c r="AB43" s="334" t="s">
        <v>11</v>
      </c>
      <c r="AC43" s="334">
        <v>15.8</v>
      </c>
      <c r="AD43" s="343" t="s">
        <v>481</v>
      </c>
      <c r="AE43" s="334" t="s">
        <v>22</v>
      </c>
      <c r="AF43" s="334" t="s">
        <v>11</v>
      </c>
      <c r="AG43" s="344">
        <v>11.2</v>
      </c>
      <c r="AL43" s="343"/>
      <c r="AO43" s="344"/>
      <c r="AP43" s="343"/>
      <c r="AS43" s="344"/>
      <c r="AW43" s="344"/>
      <c r="BA43" s="345"/>
    </row>
    <row r="44" spans="1:53" s="334" customFormat="1">
      <c r="A44" s="386">
        <v>1978</v>
      </c>
      <c r="B44" s="355"/>
      <c r="C44" s="1041" t="s">
        <v>602</v>
      </c>
      <c r="D44" s="1041"/>
      <c r="E44" s="334">
        <v>285</v>
      </c>
      <c r="G44" s="419">
        <v>10</v>
      </c>
      <c r="H44" s="334">
        <v>9</v>
      </c>
      <c r="J44" s="435">
        <v>20</v>
      </c>
      <c r="K44" s="384">
        <f t="shared" si="2"/>
        <v>50</v>
      </c>
      <c r="L44" s="384">
        <f t="shared" si="2"/>
        <v>45</v>
      </c>
      <c r="M44" s="384">
        <f t="shared" si="2"/>
        <v>0</v>
      </c>
      <c r="N44" s="384">
        <f t="shared" si="3"/>
        <v>95</v>
      </c>
      <c r="O44" s="383">
        <f xml:space="preserve"> 11.2+15.8</f>
        <v>27</v>
      </c>
      <c r="P44" s="384">
        <v>24.6</v>
      </c>
      <c r="Q44" s="384"/>
      <c r="R44" s="385">
        <f t="shared" si="4"/>
        <v>51.6</v>
      </c>
      <c r="S44" s="334">
        <v>2</v>
      </c>
      <c r="T44" s="357"/>
      <c r="V44" s="343" t="s">
        <v>480</v>
      </c>
      <c r="W44" s="334" t="s">
        <v>75</v>
      </c>
      <c r="X44" s="334" t="s">
        <v>18</v>
      </c>
      <c r="Y44" s="344">
        <v>24.6</v>
      </c>
      <c r="Z44" s="334" t="s">
        <v>482</v>
      </c>
      <c r="AA44" s="334" t="s">
        <v>74</v>
      </c>
      <c r="AB44" s="334" t="s">
        <v>11</v>
      </c>
      <c r="AC44" s="334">
        <v>15.8</v>
      </c>
      <c r="AD44" s="343" t="s">
        <v>481</v>
      </c>
      <c r="AE44" s="334" t="s">
        <v>22</v>
      </c>
      <c r="AF44" s="334" t="s">
        <v>11</v>
      </c>
      <c r="AG44" s="344">
        <v>11.2</v>
      </c>
      <c r="AL44" s="343"/>
      <c r="AO44" s="344"/>
      <c r="AP44" s="343"/>
      <c r="AS44" s="344"/>
      <c r="AW44" s="344"/>
      <c r="BA44" s="345"/>
    </row>
    <row r="45" spans="1:53" s="208" customFormat="1">
      <c r="A45" s="102">
        <v>1978</v>
      </c>
      <c r="B45" s="207">
        <v>28776</v>
      </c>
      <c r="C45" s="988" t="s">
        <v>860</v>
      </c>
      <c r="D45" s="988"/>
      <c r="E45" s="208">
        <f>365-E44</f>
        <v>80</v>
      </c>
      <c r="F45" s="208">
        <v>4</v>
      </c>
      <c r="G45" s="123">
        <v>18</v>
      </c>
      <c r="J45" s="134">
        <v>19</v>
      </c>
      <c r="K45" s="92">
        <f t="shared" si="2"/>
        <v>94.73684210526315</v>
      </c>
      <c r="L45" s="92">
        <f t="shared" si="2"/>
        <v>0</v>
      </c>
      <c r="M45" s="92">
        <f t="shared" si="2"/>
        <v>0</v>
      </c>
      <c r="N45" s="92">
        <f t="shared" si="3"/>
        <v>94.73684210526315</v>
      </c>
      <c r="O45" s="91">
        <v>11.2</v>
      </c>
      <c r="P45" s="92"/>
      <c r="Q45" s="92"/>
      <c r="R45" s="93">
        <f t="shared" si="4"/>
        <v>11.2</v>
      </c>
      <c r="S45" s="208">
        <v>4</v>
      </c>
      <c r="T45" s="81"/>
      <c r="U45" s="207">
        <v>28776</v>
      </c>
      <c r="V45" s="82" t="s">
        <v>481</v>
      </c>
      <c r="W45" s="208" t="s">
        <v>22</v>
      </c>
      <c r="X45" s="208" t="s">
        <v>11</v>
      </c>
      <c r="Y45" s="83">
        <v>11.2</v>
      </c>
      <c r="AD45" s="82"/>
      <c r="AG45" s="83"/>
      <c r="AL45" s="82"/>
      <c r="AO45" s="83"/>
      <c r="AP45" s="82"/>
      <c r="AS45" s="83"/>
      <c r="AW45" s="83"/>
      <c r="BA45" s="84"/>
    </row>
    <row r="46" spans="1:53" s="208" customFormat="1">
      <c r="A46" s="102">
        <v>1979</v>
      </c>
      <c r="B46" s="207"/>
      <c r="C46" s="988" t="s">
        <v>860</v>
      </c>
      <c r="D46" s="988"/>
      <c r="E46" s="208">
        <v>284</v>
      </c>
      <c r="G46" s="123">
        <v>18</v>
      </c>
      <c r="J46" s="134">
        <v>19</v>
      </c>
      <c r="K46" s="92">
        <f t="shared" si="2"/>
        <v>94.73684210526315</v>
      </c>
      <c r="L46" s="92">
        <f t="shared" si="2"/>
        <v>0</v>
      </c>
      <c r="M46" s="92">
        <f t="shared" si="2"/>
        <v>0</v>
      </c>
      <c r="N46" s="92">
        <f t="shared" si="3"/>
        <v>94.73684210526315</v>
      </c>
      <c r="O46" s="91">
        <v>11.2</v>
      </c>
      <c r="P46" s="92"/>
      <c r="Q46" s="92"/>
      <c r="R46" s="93">
        <f t="shared" si="4"/>
        <v>11.2</v>
      </c>
      <c r="S46" s="208">
        <v>4</v>
      </c>
      <c r="T46" s="81"/>
      <c r="V46" s="82" t="s">
        <v>481</v>
      </c>
      <c r="W46" s="208" t="s">
        <v>22</v>
      </c>
      <c r="X46" s="208" t="s">
        <v>11</v>
      </c>
      <c r="Y46" s="83">
        <v>11.2</v>
      </c>
      <c r="AD46" s="82"/>
      <c r="AG46" s="83"/>
      <c r="AL46" s="82"/>
      <c r="AO46" s="83"/>
      <c r="AP46" s="82"/>
      <c r="AS46" s="83"/>
      <c r="AW46" s="83"/>
      <c r="BA46" s="84"/>
    </row>
    <row r="47" spans="1:53" s="334" customFormat="1">
      <c r="A47" s="386">
        <v>1979</v>
      </c>
      <c r="B47" s="355">
        <v>29140</v>
      </c>
      <c r="C47" s="1041" t="s">
        <v>603</v>
      </c>
      <c r="D47" s="1041"/>
      <c r="E47" s="334">
        <f>365-E46</f>
        <v>81</v>
      </c>
      <c r="F47" s="334">
        <v>1</v>
      </c>
      <c r="G47" s="419">
        <v>13</v>
      </c>
      <c r="H47" s="334">
        <v>7</v>
      </c>
      <c r="J47" s="435">
        <v>21</v>
      </c>
      <c r="K47" s="384">
        <f t="shared" si="2"/>
        <v>61.904761904761905</v>
      </c>
      <c r="L47" s="384">
        <f t="shared" si="2"/>
        <v>33.333333333333329</v>
      </c>
      <c r="M47" s="384">
        <f t="shared" si="2"/>
        <v>0</v>
      </c>
      <c r="N47" s="384">
        <f t="shared" si="3"/>
        <v>95.238095238095241</v>
      </c>
      <c r="O47" s="383">
        <f>10.9+20.9</f>
        <v>31.799999999999997</v>
      </c>
      <c r="P47" s="384">
        <v>18.3</v>
      </c>
      <c r="Q47" s="384"/>
      <c r="R47" s="385">
        <f t="shared" si="4"/>
        <v>50.099999999999994</v>
      </c>
      <c r="S47" s="334">
        <v>2</v>
      </c>
      <c r="T47" s="342">
        <v>29114</v>
      </c>
      <c r="U47" s="355">
        <v>29140</v>
      </c>
      <c r="V47" s="343" t="s">
        <v>480</v>
      </c>
      <c r="W47" s="334" t="s">
        <v>75</v>
      </c>
      <c r="X47" s="334" t="s">
        <v>18</v>
      </c>
      <c r="Y47" s="344">
        <v>18.3</v>
      </c>
      <c r="Z47" s="334" t="s">
        <v>482</v>
      </c>
      <c r="AA47" s="334" t="s">
        <v>74</v>
      </c>
      <c r="AB47" s="334" t="s">
        <v>11</v>
      </c>
      <c r="AC47" s="334">
        <v>20.9</v>
      </c>
      <c r="AD47" s="343" t="s">
        <v>481</v>
      </c>
      <c r="AE47" s="334" t="s">
        <v>22</v>
      </c>
      <c r="AF47" s="334" t="s">
        <v>11</v>
      </c>
      <c r="AG47" s="344">
        <v>10.9</v>
      </c>
      <c r="AL47" s="343"/>
      <c r="AO47" s="344"/>
      <c r="AP47" s="343"/>
      <c r="AS47" s="344"/>
      <c r="AW47" s="344"/>
      <c r="BA47" s="345"/>
    </row>
    <row r="48" spans="1:53" s="334" customFormat="1">
      <c r="A48" s="386">
        <v>1980</v>
      </c>
      <c r="B48" s="355"/>
      <c r="C48" s="1041" t="s">
        <v>603</v>
      </c>
      <c r="D48" s="1041"/>
      <c r="E48" s="334">
        <v>0</v>
      </c>
      <c r="G48" s="419">
        <v>13</v>
      </c>
      <c r="H48" s="334">
        <v>7</v>
      </c>
      <c r="J48" s="435">
        <v>21</v>
      </c>
      <c r="K48" s="384">
        <f t="shared" si="2"/>
        <v>61.904761904761905</v>
      </c>
      <c r="L48" s="384">
        <f t="shared" si="2"/>
        <v>33.333333333333329</v>
      </c>
      <c r="M48" s="384">
        <f t="shared" si="2"/>
        <v>0</v>
      </c>
      <c r="N48" s="384">
        <f t="shared" si="3"/>
        <v>95.238095238095241</v>
      </c>
      <c r="O48" s="383">
        <f>10.9+20.9</f>
        <v>31.799999999999997</v>
      </c>
      <c r="P48" s="384">
        <v>18.3</v>
      </c>
      <c r="Q48" s="384"/>
      <c r="R48" s="385">
        <f t="shared" si="4"/>
        <v>50.099999999999994</v>
      </c>
      <c r="S48" s="334">
        <v>2</v>
      </c>
      <c r="T48" s="357"/>
      <c r="V48" s="343" t="s">
        <v>480</v>
      </c>
      <c r="W48" s="334" t="s">
        <v>75</v>
      </c>
      <c r="X48" s="334" t="s">
        <v>18</v>
      </c>
      <c r="Y48" s="344">
        <v>18.3</v>
      </c>
      <c r="Z48" s="334" t="s">
        <v>482</v>
      </c>
      <c r="AA48" s="334" t="s">
        <v>74</v>
      </c>
      <c r="AB48" s="334" t="s">
        <v>11</v>
      </c>
      <c r="AC48" s="334">
        <v>20.9</v>
      </c>
      <c r="AD48" s="343" t="s">
        <v>481</v>
      </c>
      <c r="AE48" s="334" t="s">
        <v>22</v>
      </c>
      <c r="AF48" s="334" t="s">
        <v>11</v>
      </c>
      <c r="AG48" s="344">
        <v>10.9</v>
      </c>
      <c r="AL48" s="343"/>
      <c r="AO48" s="344"/>
      <c r="AP48" s="343"/>
      <c r="AS48" s="344"/>
      <c r="AW48" s="344"/>
      <c r="BA48" s="345"/>
    </row>
    <row r="49" spans="1:53" s="334" customFormat="1">
      <c r="A49" s="386">
        <v>1980</v>
      </c>
      <c r="B49" s="355"/>
      <c r="C49" s="1041" t="s">
        <v>603</v>
      </c>
      <c r="D49" s="1041"/>
      <c r="E49" s="334">
        <v>366</v>
      </c>
      <c r="G49" s="419">
        <v>13</v>
      </c>
      <c r="H49" s="334">
        <v>7</v>
      </c>
      <c r="J49" s="435">
        <v>21</v>
      </c>
      <c r="K49" s="384">
        <f t="shared" si="2"/>
        <v>61.904761904761905</v>
      </c>
      <c r="L49" s="384">
        <f t="shared" si="2"/>
        <v>33.333333333333329</v>
      </c>
      <c r="M49" s="384">
        <f t="shared" si="2"/>
        <v>0</v>
      </c>
      <c r="N49" s="384">
        <f t="shared" si="3"/>
        <v>95.238095238095241</v>
      </c>
      <c r="O49" s="383">
        <f>10.9+20.9</f>
        <v>31.799999999999997</v>
      </c>
      <c r="P49" s="384">
        <v>18.3</v>
      </c>
      <c r="Q49" s="384"/>
      <c r="R49" s="385">
        <f t="shared" si="4"/>
        <v>50.099999999999994</v>
      </c>
      <c r="S49" s="334">
        <v>2</v>
      </c>
      <c r="T49" s="357"/>
      <c r="V49" s="343" t="s">
        <v>480</v>
      </c>
      <c r="W49" s="334" t="s">
        <v>75</v>
      </c>
      <c r="X49" s="334" t="s">
        <v>18</v>
      </c>
      <c r="Y49" s="344">
        <v>18.3</v>
      </c>
      <c r="Z49" s="334" t="s">
        <v>482</v>
      </c>
      <c r="AA49" s="334" t="s">
        <v>74</v>
      </c>
      <c r="AB49" s="334" t="s">
        <v>11</v>
      </c>
      <c r="AC49" s="334">
        <v>20.9</v>
      </c>
      <c r="AD49" s="343" t="s">
        <v>481</v>
      </c>
      <c r="AE49" s="334" t="s">
        <v>22</v>
      </c>
      <c r="AF49" s="334" t="s">
        <v>11</v>
      </c>
      <c r="AG49" s="344">
        <v>10.9</v>
      </c>
      <c r="AL49" s="343"/>
      <c r="AO49" s="344"/>
      <c r="AP49" s="343"/>
      <c r="AS49" s="344"/>
      <c r="AW49" s="344"/>
      <c r="BA49" s="345"/>
    </row>
    <row r="50" spans="1:53" s="334" customFormat="1">
      <c r="A50" s="386">
        <v>1981</v>
      </c>
      <c r="B50" s="355"/>
      <c r="C50" s="1041" t="s">
        <v>603</v>
      </c>
      <c r="D50" s="1041"/>
      <c r="E50" s="334">
        <v>141</v>
      </c>
      <c r="G50" s="419">
        <v>13</v>
      </c>
      <c r="H50" s="334">
        <v>7</v>
      </c>
      <c r="J50" s="435">
        <v>21</v>
      </c>
      <c r="K50" s="384">
        <f t="shared" si="2"/>
        <v>61.904761904761905</v>
      </c>
      <c r="L50" s="384">
        <f t="shared" si="2"/>
        <v>33.333333333333329</v>
      </c>
      <c r="M50" s="384">
        <f t="shared" si="2"/>
        <v>0</v>
      </c>
      <c r="N50" s="384">
        <f t="shared" si="3"/>
        <v>95.238095238095241</v>
      </c>
      <c r="O50" s="383">
        <f>10.9+20.9</f>
        <v>31.799999999999997</v>
      </c>
      <c r="P50" s="384">
        <v>18.3</v>
      </c>
      <c r="Q50" s="384"/>
      <c r="R50" s="385">
        <f t="shared" si="4"/>
        <v>50.099999999999994</v>
      </c>
      <c r="S50" s="334">
        <v>2</v>
      </c>
      <c r="T50" s="357"/>
      <c r="V50" s="343" t="s">
        <v>480</v>
      </c>
      <c r="W50" s="334" t="s">
        <v>75</v>
      </c>
      <c r="X50" s="334" t="s">
        <v>18</v>
      </c>
      <c r="Y50" s="344">
        <v>18.3</v>
      </c>
      <c r="Z50" s="334" t="s">
        <v>482</v>
      </c>
      <c r="AA50" s="334" t="s">
        <v>74</v>
      </c>
      <c r="AB50" s="334" t="s">
        <v>11</v>
      </c>
      <c r="AC50" s="334">
        <v>20.9</v>
      </c>
      <c r="AD50" s="343" t="s">
        <v>481</v>
      </c>
      <c r="AE50" s="334" t="s">
        <v>22</v>
      </c>
      <c r="AF50" s="334" t="s">
        <v>11</v>
      </c>
      <c r="AG50" s="344">
        <v>10.9</v>
      </c>
      <c r="AL50" s="343"/>
      <c r="AO50" s="344"/>
      <c r="AP50" s="343"/>
      <c r="AS50" s="344"/>
      <c r="AW50" s="344"/>
      <c r="BA50" s="345"/>
    </row>
    <row r="51" spans="1:53" s="208" customFormat="1">
      <c r="A51" s="102">
        <v>1981</v>
      </c>
      <c r="B51" s="207">
        <v>29728</v>
      </c>
      <c r="C51" s="1042" t="s">
        <v>604</v>
      </c>
      <c r="D51" s="1042"/>
      <c r="E51" s="208">
        <f>365-E50</f>
        <v>224</v>
      </c>
      <c r="F51" s="208">
        <v>4</v>
      </c>
      <c r="G51" s="123">
        <v>7</v>
      </c>
      <c r="H51" s="208">
        <v>10</v>
      </c>
      <c r="J51" s="134">
        <v>18</v>
      </c>
      <c r="K51" s="92">
        <f t="shared" si="2"/>
        <v>38.888888888888893</v>
      </c>
      <c r="L51" s="92">
        <f t="shared" si="2"/>
        <v>55.555555555555557</v>
      </c>
      <c r="M51" s="92">
        <f t="shared" si="2"/>
        <v>0</v>
      </c>
      <c r="N51" s="92">
        <f t="shared" si="3"/>
        <v>94.444444444444457</v>
      </c>
      <c r="O51" s="91">
        <v>10.9</v>
      </c>
      <c r="P51" s="92">
        <v>18.3</v>
      </c>
      <c r="Q51" s="92"/>
      <c r="R51" s="93">
        <f t="shared" si="4"/>
        <v>29.200000000000003</v>
      </c>
      <c r="S51" s="208">
        <v>5</v>
      </c>
      <c r="T51" s="81"/>
      <c r="U51" s="207">
        <v>29728</v>
      </c>
      <c r="V51" s="82" t="s">
        <v>480</v>
      </c>
      <c r="W51" s="208" t="s">
        <v>75</v>
      </c>
      <c r="X51" s="208" t="s">
        <v>18</v>
      </c>
      <c r="Y51" s="208">
        <v>18.3</v>
      </c>
      <c r="Z51" s="82" t="s">
        <v>481</v>
      </c>
      <c r="AA51" s="208" t="s">
        <v>22</v>
      </c>
      <c r="AB51" s="208" t="s">
        <v>11</v>
      </c>
      <c r="AC51" s="83">
        <v>10.9</v>
      </c>
      <c r="AD51" s="82"/>
      <c r="AG51" s="83"/>
      <c r="AL51" s="82"/>
      <c r="AO51" s="83"/>
      <c r="AP51" s="82"/>
      <c r="AS51" s="83"/>
      <c r="AW51" s="83"/>
      <c r="BA51" s="84"/>
    </row>
    <row r="52" spans="1:53" s="208" customFormat="1">
      <c r="A52" s="102">
        <v>1982</v>
      </c>
      <c r="B52" s="207"/>
      <c r="C52" s="1042" t="s">
        <v>604</v>
      </c>
      <c r="D52" s="1042"/>
      <c r="E52" s="208">
        <v>280</v>
      </c>
      <c r="G52" s="123">
        <v>7</v>
      </c>
      <c r="H52" s="208">
        <v>10</v>
      </c>
      <c r="J52" s="134">
        <v>18</v>
      </c>
      <c r="K52" s="92">
        <f>G52/$J52*100</f>
        <v>38.888888888888893</v>
      </c>
      <c r="L52" s="92">
        <f>H52/$J52*100</f>
        <v>55.555555555555557</v>
      </c>
      <c r="M52" s="92">
        <f t="shared" si="2"/>
        <v>0</v>
      </c>
      <c r="N52" s="92">
        <f t="shared" si="3"/>
        <v>94.444444444444457</v>
      </c>
      <c r="O52" s="91">
        <v>10.9</v>
      </c>
      <c r="P52" s="92">
        <v>18.3</v>
      </c>
      <c r="Q52" s="92"/>
      <c r="R52" s="93">
        <f t="shared" si="4"/>
        <v>29.200000000000003</v>
      </c>
      <c r="S52" s="208">
        <v>5</v>
      </c>
      <c r="T52" s="81"/>
      <c r="V52" s="82" t="s">
        <v>480</v>
      </c>
      <c r="W52" s="208" t="s">
        <v>75</v>
      </c>
      <c r="X52" s="208" t="s">
        <v>18</v>
      </c>
      <c r="Y52" s="208">
        <v>18.3</v>
      </c>
      <c r="Z52" s="82" t="s">
        <v>481</v>
      </c>
      <c r="AA52" s="208" t="s">
        <v>22</v>
      </c>
      <c r="AB52" s="208" t="s">
        <v>11</v>
      </c>
      <c r="AC52" s="83">
        <v>10.9</v>
      </c>
      <c r="AD52" s="82"/>
      <c r="AG52" s="83"/>
      <c r="AL52" s="82"/>
      <c r="AO52" s="83"/>
      <c r="AP52" s="82"/>
      <c r="AS52" s="83"/>
      <c r="AW52" s="83"/>
      <c r="BA52" s="84"/>
    </row>
    <row r="53" spans="1:53" s="334" customFormat="1">
      <c r="A53" s="386">
        <v>1982</v>
      </c>
      <c r="B53" s="355">
        <v>30232</v>
      </c>
      <c r="C53" s="992" t="s">
        <v>605</v>
      </c>
      <c r="D53" s="992"/>
      <c r="E53" s="334">
        <f>365-E52</f>
        <v>85</v>
      </c>
      <c r="F53" s="334">
        <v>1</v>
      </c>
      <c r="G53" s="419"/>
      <c r="I53" s="334">
        <v>20</v>
      </c>
      <c r="J53" s="435">
        <v>20</v>
      </c>
      <c r="K53" s="384">
        <f t="shared" ref="K53:M67" si="5">G53/$J53*100</f>
        <v>0</v>
      </c>
      <c r="L53" s="384">
        <f t="shared" si="5"/>
        <v>0</v>
      </c>
      <c r="M53" s="384">
        <f>I53/$J53*100</f>
        <v>100</v>
      </c>
      <c r="N53" s="384">
        <f t="shared" si="3"/>
        <v>100</v>
      </c>
      <c r="O53" s="383"/>
      <c r="P53" s="384"/>
      <c r="Q53" s="384">
        <v>47.6</v>
      </c>
      <c r="R53" s="385">
        <f t="shared" si="4"/>
        <v>47.6</v>
      </c>
      <c r="S53" s="334">
        <v>4</v>
      </c>
      <c r="T53" s="342">
        <v>30213</v>
      </c>
      <c r="U53" s="355">
        <v>30232</v>
      </c>
      <c r="V53" s="343" t="s">
        <v>479</v>
      </c>
      <c r="W53" s="334" t="s">
        <v>20</v>
      </c>
      <c r="X53" s="334" t="s">
        <v>12</v>
      </c>
      <c r="Y53" s="344">
        <v>47.6</v>
      </c>
      <c r="AD53" s="343"/>
      <c r="AG53" s="344"/>
      <c r="AL53" s="343"/>
      <c r="AO53" s="344"/>
      <c r="AP53" s="343"/>
      <c r="AS53" s="344"/>
      <c r="AW53" s="344"/>
      <c r="BA53" s="345"/>
    </row>
    <row r="54" spans="1:53" s="334" customFormat="1">
      <c r="A54" s="386">
        <v>1983</v>
      </c>
      <c r="B54" s="355"/>
      <c r="C54" s="992" t="s">
        <v>605</v>
      </c>
      <c r="D54" s="992"/>
      <c r="E54" s="334">
        <v>0</v>
      </c>
      <c r="G54" s="419"/>
      <c r="I54" s="334">
        <v>20</v>
      </c>
      <c r="J54" s="435">
        <v>20</v>
      </c>
      <c r="K54" s="384">
        <f t="shared" si="5"/>
        <v>0</v>
      </c>
      <c r="L54" s="384">
        <f t="shared" si="5"/>
        <v>0</v>
      </c>
      <c r="M54" s="384">
        <f t="shared" si="2"/>
        <v>100</v>
      </c>
      <c r="N54" s="384">
        <f t="shared" si="3"/>
        <v>100</v>
      </c>
      <c r="O54" s="383"/>
      <c r="P54" s="384"/>
      <c r="Q54" s="384">
        <v>47.6</v>
      </c>
      <c r="R54" s="385">
        <f t="shared" si="4"/>
        <v>47.6</v>
      </c>
      <c r="S54" s="334">
        <v>4</v>
      </c>
      <c r="T54" s="357"/>
      <c r="V54" s="343" t="s">
        <v>479</v>
      </c>
      <c r="W54" s="334" t="s">
        <v>20</v>
      </c>
      <c r="X54" s="334" t="s">
        <v>12</v>
      </c>
      <c r="Y54" s="344">
        <v>47.6</v>
      </c>
      <c r="AD54" s="343"/>
      <c r="AG54" s="344"/>
      <c r="AL54" s="343"/>
      <c r="AO54" s="344"/>
      <c r="AP54" s="343"/>
      <c r="AS54" s="344"/>
      <c r="AW54" s="344"/>
      <c r="BA54" s="345"/>
    </row>
    <row r="55" spans="1:53" s="334" customFormat="1">
      <c r="A55" s="386">
        <v>1983</v>
      </c>
      <c r="B55" s="355"/>
      <c r="C55" s="992" t="s">
        <v>605</v>
      </c>
      <c r="D55" s="992"/>
      <c r="E55" s="334">
        <v>365</v>
      </c>
      <c r="G55" s="419"/>
      <c r="I55" s="334">
        <v>20</v>
      </c>
      <c r="J55" s="435">
        <v>20</v>
      </c>
      <c r="K55" s="384">
        <f t="shared" si="5"/>
        <v>0</v>
      </c>
      <c r="L55" s="384">
        <f t="shared" si="5"/>
        <v>0</v>
      </c>
      <c r="M55" s="384">
        <f t="shared" si="2"/>
        <v>100</v>
      </c>
      <c r="N55" s="384">
        <f t="shared" si="3"/>
        <v>100</v>
      </c>
      <c r="O55" s="383"/>
      <c r="P55" s="384"/>
      <c r="Q55" s="384">
        <v>47.6</v>
      </c>
      <c r="R55" s="385">
        <f t="shared" si="4"/>
        <v>47.6</v>
      </c>
      <c r="S55" s="334">
        <v>4</v>
      </c>
      <c r="T55" s="357"/>
      <c r="V55" s="343" t="s">
        <v>479</v>
      </c>
      <c r="W55" s="334" t="s">
        <v>20</v>
      </c>
      <c r="X55" s="334" t="s">
        <v>12</v>
      </c>
      <c r="Y55" s="344">
        <v>47.6</v>
      </c>
      <c r="AD55" s="343"/>
      <c r="AG55" s="344"/>
      <c r="AL55" s="343"/>
      <c r="AO55" s="344"/>
      <c r="AP55" s="343"/>
      <c r="AS55" s="344"/>
      <c r="AW55" s="344"/>
      <c r="BA55" s="345"/>
    </row>
    <row r="56" spans="1:53" s="334" customFormat="1">
      <c r="A56" s="386">
        <v>1984</v>
      </c>
      <c r="B56" s="355"/>
      <c r="C56" s="992" t="s">
        <v>605</v>
      </c>
      <c r="D56" s="992"/>
      <c r="E56" s="334">
        <v>0</v>
      </c>
      <c r="G56" s="419"/>
      <c r="I56" s="334">
        <v>20</v>
      </c>
      <c r="J56" s="435">
        <v>20</v>
      </c>
      <c r="K56" s="384">
        <f t="shared" si="5"/>
        <v>0</v>
      </c>
      <c r="L56" s="384">
        <f t="shared" si="5"/>
        <v>0</v>
      </c>
      <c r="M56" s="384">
        <f t="shared" si="2"/>
        <v>100</v>
      </c>
      <c r="N56" s="384">
        <f t="shared" si="3"/>
        <v>100</v>
      </c>
      <c r="O56" s="383"/>
      <c r="P56" s="384"/>
      <c r="Q56" s="384">
        <v>47.6</v>
      </c>
      <c r="R56" s="385">
        <f t="shared" si="4"/>
        <v>47.6</v>
      </c>
      <c r="S56" s="334">
        <v>4</v>
      </c>
      <c r="T56" s="357"/>
      <c r="V56" s="343" t="s">
        <v>479</v>
      </c>
      <c r="W56" s="334" t="s">
        <v>20</v>
      </c>
      <c r="X56" s="334" t="s">
        <v>12</v>
      </c>
      <c r="Y56" s="344">
        <v>47.6</v>
      </c>
      <c r="AD56" s="343"/>
      <c r="AG56" s="344"/>
      <c r="AL56" s="343"/>
      <c r="AO56" s="344"/>
      <c r="AP56" s="343"/>
      <c r="AS56" s="344"/>
      <c r="AW56" s="344"/>
      <c r="BA56" s="345"/>
    </row>
    <row r="57" spans="1:53" s="334" customFormat="1">
      <c r="A57" s="386">
        <v>1984</v>
      </c>
      <c r="B57" s="355"/>
      <c r="C57" s="992" t="s">
        <v>605</v>
      </c>
      <c r="D57" s="992"/>
      <c r="E57" s="334">
        <v>366</v>
      </c>
      <c r="G57" s="419"/>
      <c r="I57" s="334">
        <v>20</v>
      </c>
      <c r="J57" s="435">
        <v>20</v>
      </c>
      <c r="K57" s="384">
        <f t="shared" si="5"/>
        <v>0</v>
      </c>
      <c r="L57" s="384">
        <f t="shared" si="5"/>
        <v>0</v>
      </c>
      <c r="M57" s="384">
        <f t="shared" si="2"/>
        <v>100</v>
      </c>
      <c r="N57" s="384">
        <f t="shared" si="3"/>
        <v>100</v>
      </c>
      <c r="O57" s="383"/>
      <c r="P57" s="384"/>
      <c r="Q57" s="384">
        <v>47.6</v>
      </c>
      <c r="R57" s="385">
        <f t="shared" si="4"/>
        <v>47.6</v>
      </c>
      <c r="S57" s="334">
        <v>4</v>
      </c>
      <c r="T57" s="357"/>
      <c r="V57" s="343" t="s">
        <v>479</v>
      </c>
      <c r="W57" s="334" t="s">
        <v>20</v>
      </c>
      <c r="X57" s="334" t="s">
        <v>12</v>
      </c>
      <c r="Y57" s="344">
        <v>47.6</v>
      </c>
      <c r="AD57" s="343"/>
      <c r="AG57" s="344"/>
      <c r="AL57" s="343"/>
      <c r="AO57" s="344"/>
      <c r="AP57" s="343"/>
      <c r="AS57" s="344"/>
      <c r="AW57" s="344"/>
      <c r="BA57" s="345"/>
    </row>
    <row r="58" spans="1:53" s="334" customFormat="1">
      <c r="A58" s="386">
        <v>1985</v>
      </c>
      <c r="B58" s="355"/>
      <c r="C58" s="992" t="s">
        <v>605</v>
      </c>
      <c r="D58" s="992"/>
      <c r="E58" s="334">
        <v>276</v>
      </c>
      <c r="G58" s="419"/>
      <c r="I58" s="334">
        <v>20</v>
      </c>
      <c r="J58" s="435">
        <v>20</v>
      </c>
      <c r="K58" s="384">
        <f t="shared" si="5"/>
        <v>0</v>
      </c>
      <c r="L58" s="384">
        <f t="shared" si="5"/>
        <v>0</v>
      </c>
      <c r="M58" s="384">
        <f t="shared" si="2"/>
        <v>100</v>
      </c>
      <c r="N58" s="384">
        <f t="shared" si="3"/>
        <v>100</v>
      </c>
      <c r="O58" s="383"/>
      <c r="P58" s="384"/>
      <c r="Q58" s="384">
        <v>47.6</v>
      </c>
      <c r="R58" s="385">
        <f t="shared" si="4"/>
        <v>47.6</v>
      </c>
      <c r="S58" s="334">
        <v>4</v>
      </c>
      <c r="T58" s="357"/>
      <c r="V58" s="343" t="s">
        <v>479</v>
      </c>
      <c r="W58" s="334" t="s">
        <v>20</v>
      </c>
      <c r="X58" s="334" t="s">
        <v>12</v>
      </c>
      <c r="Y58" s="344">
        <v>47.6</v>
      </c>
      <c r="AD58" s="343"/>
      <c r="AG58" s="344"/>
      <c r="AL58" s="343"/>
      <c r="AO58" s="344"/>
      <c r="AP58" s="343"/>
      <c r="AS58" s="344"/>
      <c r="AW58" s="344"/>
      <c r="BA58" s="345"/>
    </row>
    <row r="59" spans="1:53" s="208" customFormat="1">
      <c r="A59" s="102">
        <v>1985</v>
      </c>
      <c r="B59" s="207">
        <v>31324</v>
      </c>
      <c r="C59" s="988" t="s">
        <v>606</v>
      </c>
      <c r="D59" s="988"/>
      <c r="E59" s="208">
        <f>365-E58</f>
        <v>89</v>
      </c>
      <c r="F59" s="208">
        <v>1</v>
      </c>
      <c r="G59" s="123"/>
      <c r="I59" s="208">
        <v>21</v>
      </c>
      <c r="J59" s="134">
        <v>21</v>
      </c>
      <c r="K59" s="92">
        <f t="shared" si="5"/>
        <v>0</v>
      </c>
      <c r="L59" s="92">
        <f t="shared" si="5"/>
        <v>0</v>
      </c>
      <c r="M59" s="92">
        <f t="shared" si="2"/>
        <v>100</v>
      </c>
      <c r="N59" s="92">
        <f t="shared" si="3"/>
        <v>100</v>
      </c>
      <c r="O59" s="91"/>
      <c r="P59" s="92"/>
      <c r="Q59" s="92">
        <v>45.6</v>
      </c>
      <c r="R59" s="93">
        <f t="shared" si="4"/>
        <v>45.6</v>
      </c>
      <c r="S59" s="208">
        <v>4</v>
      </c>
      <c r="T59" s="95">
        <v>31305</v>
      </c>
      <c r="U59" s="207">
        <v>31324</v>
      </c>
      <c r="V59" s="82" t="s">
        <v>479</v>
      </c>
      <c r="W59" s="208" t="s">
        <v>20</v>
      </c>
      <c r="X59" s="208" t="s">
        <v>12</v>
      </c>
      <c r="Y59" s="83">
        <v>45.6</v>
      </c>
      <c r="AD59" s="82"/>
      <c r="AG59" s="83"/>
      <c r="AL59" s="82"/>
      <c r="AO59" s="83"/>
      <c r="AP59" s="82"/>
      <c r="AS59" s="83"/>
      <c r="AW59" s="83"/>
      <c r="BA59" s="84"/>
    </row>
    <row r="60" spans="1:53" s="208" customFormat="1">
      <c r="A60" s="102">
        <v>1986</v>
      </c>
      <c r="B60" s="207"/>
      <c r="C60" s="988" t="s">
        <v>606</v>
      </c>
      <c r="D60" s="988"/>
      <c r="E60" s="208">
        <v>59</v>
      </c>
      <c r="G60" s="123"/>
      <c r="I60" s="208">
        <v>21</v>
      </c>
      <c r="J60" s="134">
        <v>21</v>
      </c>
      <c r="K60" s="92">
        <f t="shared" si="5"/>
        <v>0</v>
      </c>
      <c r="L60" s="92">
        <f t="shared" si="5"/>
        <v>0</v>
      </c>
      <c r="M60" s="92">
        <f t="shared" si="5"/>
        <v>100</v>
      </c>
      <c r="N60" s="92">
        <f t="shared" si="3"/>
        <v>100</v>
      </c>
      <c r="O60" s="91"/>
      <c r="P60" s="92"/>
      <c r="Q60" s="92">
        <v>45.6</v>
      </c>
      <c r="R60" s="93">
        <f t="shared" si="4"/>
        <v>45.6</v>
      </c>
      <c r="S60" s="208">
        <v>4</v>
      </c>
      <c r="T60" s="81"/>
      <c r="V60" s="82" t="s">
        <v>479</v>
      </c>
      <c r="W60" s="208" t="s">
        <v>20</v>
      </c>
      <c r="X60" s="208" t="s">
        <v>12</v>
      </c>
      <c r="Y60" s="83">
        <v>45.6</v>
      </c>
      <c r="AD60" s="82"/>
      <c r="AG60" s="83"/>
      <c r="AL60" s="82"/>
      <c r="AO60" s="83"/>
      <c r="AP60" s="82"/>
      <c r="AS60" s="83"/>
      <c r="AW60" s="83"/>
      <c r="BA60" s="84"/>
    </row>
    <row r="61" spans="1:53" s="334" customFormat="1">
      <c r="A61" s="386">
        <v>1986</v>
      </c>
      <c r="B61" s="355">
        <v>31472</v>
      </c>
      <c r="C61" s="992" t="s">
        <v>607</v>
      </c>
      <c r="D61" s="992"/>
      <c r="E61" s="334">
        <f>365-E60</f>
        <v>306</v>
      </c>
      <c r="F61" s="334" t="s">
        <v>345</v>
      </c>
      <c r="G61" s="419"/>
      <c r="I61" s="334">
        <v>20</v>
      </c>
      <c r="J61" s="435">
        <v>20</v>
      </c>
      <c r="K61" s="384">
        <f t="shared" si="5"/>
        <v>0</v>
      </c>
      <c r="L61" s="384">
        <f t="shared" si="5"/>
        <v>0</v>
      </c>
      <c r="M61" s="384">
        <f t="shared" si="5"/>
        <v>100</v>
      </c>
      <c r="N61" s="384">
        <f t="shared" si="3"/>
        <v>100</v>
      </c>
      <c r="O61" s="383"/>
      <c r="P61" s="384"/>
      <c r="Q61" s="384">
        <v>45.6</v>
      </c>
      <c r="R61" s="385">
        <f t="shared" si="4"/>
        <v>45.6</v>
      </c>
      <c r="S61" s="334">
        <v>4</v>
      </c>
      <c r="T61" s="357"/>
      <c r="U61" s="355">
        <v>31472</v>
      </c>
      <c r="V61" s="343" t="s">
        <v>479</v>
      </c>
      <c r="W61" s="334" t="s">
        <v>20</v>
      </c>
      <c r="X61" s="334" t="s">
        <v>12</v>
      </c>
      <c r="Y61" s="344">
        <v>45.6</v>
      </c>
      <c r="AD61" s="343"/>
      <c r="AG61" s="344"/>
      <c r="AL61" s="343"/>
      <c r="AO61" s="344"/>
      <c r="AP61" s="343"/>
      <c r="AS61" s="344"/>
      <c r="AW61" s="344"/>
      <c r="BA61" s="345"/>
    </row>
    <row r="62" spans="1:53" s="334" customFormat="1">
      <c r="A62" s="386">
        <v>1987</v>
      </c>
      <c r="B62" s="355"/>
      <c r="C62" s="992" t="s">
        <v>607</v>
      </c>
      <c r="D62" s="992"/>
      <c r="E62" s="334">
        <v>0</v>
      </c>
      <c r="G62" s="419"/>
      <c r="I62" s="334">
        <v>20</v>
      </c>
      <c r="J62" s="435">
        <v>20</v>
      </c>
      <c r="K62" s="384">
        <f t="shared" si="5"/>
        <v>0</v>
      </c>
      <c r="L62" s="384">
        <f t="shared" si="5"/>
        <v>0</v>
      </c>
      <c r="M62" s="384">
        <f t="shared" si="5"/>
        <v>100</v>
      </c>
      <c r="N62" s="384">
        <f t="shared" si="3"/>
        <v>100</v>
      </c>
      <c r="O62" s="383"/>
      <c r="P62" s="384"/>
      <c r="Q62" s="384">
        <v>45.6</v>
      </c>
      <c r="R62" s="385">
        <f t="shared" si="4"/>
        <v>45.6</v>
      </c>
      <c r="S62" s="334">
        <v>4</v>
      </c>
      <c r="T62" s="357"/>
      <c r="V62" s="343" t="s">
        <v>479</v>
      </c>
      <c r="W62" s="334" t="s">
        <v>20</v>
      </c>
      <c r="X62" s="334" t="s">
        <v>12</v>
      </c>
      <c r="Y62" s="344">
        <v>45.6</v>
      </c>
      <c r="AD62" s="343"/>
      <c r="AG62" s="344"/>
      <c r="AL62" s="343"/>
      <c r="AO62" s="344"/>
      <c r="AP62" s="343"/>
      <c r="AS62" s="344"/>
      <c r="AW62" s="344"/>
      <c r="BA62" s="345"/>
    </row>
    <row r="63" spans="1:53" s="334" customFormat="1">
      <c r="A63" s="386">
        <v>1987</v>
      </c>
      <c r="B63" s="355"/>
      <c r="C63" s="992" t="s">
        <v>607</v>
      </c>
      <c r="D63" s="992"/>
      <c r="E63" s="334">
        <v>365</v>
      </c>
      <c r="G63" s="419"/>
      <c r="I63" s="334">
        <v>20</v>
      </c>
      <c r="J63" s="435">
        <v>20</v>
      </c>
      <c r="K63" s="384">
        <f t="shared" si="5"/>
        <v>0</v>
      </c>
      <c r="L63" s="384">
        <f t="shared" si="5"/>
        <v>0</v>
      </c>
      <c r="M63" s="384">
        <f>I63/$J63*100</f>
        <v>100</v>
      </c>
      <c r="N63" s="384">
        <f t="shared" si="3"/>
        <v>100</v>
      </c>
      <c r="O63" s="383"/>
      <c r="P63" s="384"/>
      <c r="Q63" s="384">
        <v>45.6</v>
      </c>
      <c r="R63" s="385">
        <f t="shared" si="4"/>
        <v>45.6</v>
      </c>
      <c r="S63" s="334">
        <v>4</v>
      </c>
      <c r="T63" s="357"/>
      <c r="V63" s="343" t="s">
        <v>479</v>
      </c>
      <c r="W63" s="334" t="s">
        <v>20</v>
      </c>
      <c r="X63" s="334" t="s">
        <v>12</v>
      </c>
      <c r="Y63" s="344">
        <v>45.6</v>
      </c>
      <c r="AD63" s="343"/>
      <c r="AG63" s="344"/>
      <c r="AL63" s="343"/>
      <c r="AO63" s="344"/>
      <c r="AP63" s="343"/>
      <c r="AS63" s="344"/>
      <c r="AW63" s="344"/>
      <c r="BA63" s="345"/>
    </row>
    <row r="64" spans="1:53" s="334" customFormat="1">
      <c r="A64" s="386">
        <v>1988</v>
      </c>
      <c r="B64" s="355"/>
      <c r="C64" s="992" t="s">
        <v>607</v>
      </c>
      <c r="D64" s="992"/>
      <c r="E64" s="334">
        <v>277</v>
      </c>
      <c r="G64" s="419"/>
      <c r="I64" s="334">
        <v>20</v>
      </c>
      <c r="J64" s="435">
        <v>20</v>
      </c>
      <c r="K64" s="384">
        <f t="shared" si="5"/>
        <v>0</v>
      </c>
      <c r="L64" s="384">
        <f t="shared" si="5"/>
        <v>0</v>
      </c>
      <c r="M64" s="384">
        <f t="shared" si="5"/>
        <v>100</v>
      </c>
      <c r="N64" s="384">
        <f t="shared" si="3"/>
        <v>100</v>
      </c>
      <c r="O64" s="383"/>
      <c r="P64" s="384"/>
      <c r="Q64" s="384">
        <v>45.6</v>
      </c>
      <c r="R64" s="385">
        <f t="shared" si="4"/>
        <v>45.6</v>
      </c>
      <c r="S64" s="334">
        <v>4</v>
      </c>
      <c r="T64" s="357"/>
      <c r="V64" s="343" t="s">
        <v>479</v>
      </c>
      <c r="W64" s="334" t="s">
        <v>20</v>
      </c>
      <c r="X64" s="334" t="s">
        <v>12</v>
      </c>
      <c r="Y64" s="344">
        <v>45.6</v>
      </c>
      <c r="AD64" s="343"/>
      <c r="AG64" s="344"/>
      <c r="AL64" s="343"/>
      <c r="AO64" s="344"/>
      <c r="AP64" s="343"/>
      <c r="AS64" s="344"/>
      <c r="AW64" s="344"/>
      <c r="BA64" s="345"/>
    </row>
    <row r="65" spans="1:53" s="208" customFormat="1">
      <c r="A65" s="102">
        <v>1988</v>
      </c>
      <c r="B65" s="207">
        <v>32420</v>
      </c>
      <c r="C65" s="988" t="s">
        <v>608</v>
      </c>
      <c r="D65" s="988"/>
      <c r="E65" s="208">
        <f>366-E64</f>
        <v>89</v>
      </c>
      <c r="F65" s="208">
        <v>1</v>
      </c>
      <c r="G65" s="123"/>
      <c r="I65" s="208">
        <v>21</v>
      </c>
      <c r="J65" s="134">
        <v>21</v>
      </c>
      <c r="K65" s="92">
        <f t="shared" si="5"/>
        <v>0</v>
      </c>
      <c r="L65" s="92">
        <f t="shared" si="5"/>
        <v>0</v>
      </c>
      <c r="M65" s="92">
        <f t="shared" si="5"/>
        <v>100</v>
      </c>
      <c r="N65" s="92">
        <f t="shared" si="3"/>
        <v>100</v>
      </c>
      <c r="O65" s="91"/>
      <c r="P65" s="92"/>
      <c r="Q65" s="92">
        <v>44.7</v>
      </c>
      <c r="R65" s="93">
        <f t="shared" si="4"/>
        <v>44.7</v>
      </c>
      <c r="S65" s="208">
        <v>4</v>
      </c>
      <c r="T65" s="95">
        <v>32404</v>
      </c>
      <c r="U65" s="207">
        <v>32420</v>
      </c>
      <c r="V65" s="82" t="s">
        <v>479</v>
      </c>
      <c r="W65" s="208" t="s">
        <v>20</v>
      </c>
      <c r="X65" s="208" t="s">
        <v>12</v>
      </c>
      <c r="Y65" s="83">
        <v>44.7</v>
      </c>
      <c r="AD65" s="82"/>
      <c r="AG65" s="83"/>
      <c r="AL65" s="82"/>
      <c r="AO65" s="83"/>
      <c r="AP65" s="82"/>
      <c r="AS65" s="83"/>
      <c r="AW65" s="83"/>
      <c r="BA65" s="84"/>
    </row>
    <row r="66" spans="1:53" s="208" customFormat="1">
      <c r="A66" s="102">
        <v>1989</v>
      </c>
      <c r="B66" s="207"/>
      <c r="C66" s="988" t="s">
        <v>608</v>
      </c>
      <c r="D66" s="988"/>
      <c r="E66" s="208">
        <v>0</v>
      </c>
      <c r="G66" s="123"/>
      <c r="I66" s="208">
        <v>21</v>
      </c>
      <c r="J66" s="134">
        <v>21</v>
      </c>
      <c r="K66" s="92">
        <f t="shared" si="5"/>
        <v>0</v>
      </c>
      <c r="L66" s="92">
        <f t="shared" si="5"/>
        <v>0</v>
      </c>
      <c r="M66" s="92">
        <f t="shared" si="5"/>
        <v>100</v>
      </c>
      <c r="N66" s="92">
        <f t="shared" si="3"/>
        <v>100</v>
      </c>
      <c r="O66" s="91"/>
      <c r="P66" s="92"/>
      <c r="Q66" s="92">
        <v>44.7</v>
      </c>
      <c r="R66" s="93">
        <f t="shared" si="4"/>
        <v>44.7</v>
      </c>
      <c r="S66" s="208">
        <v>4</v>
      </c>
      <c r="T66" s="81"/>
      <c r="V66" s="82" t="s">
        <v>479</v>
      </c>
      <c r="W66" s="208" t="s">
        <v>20</v>
      </c>
      <c r="X66" s="208" t="s">
        <v>12</v>
      </c>
      <c r="Y66" s="83">
        <v>44.7</v>
      </c>
      <c r="AD66" s="82"/>
      <c r="AG66" s="83"/>
      <c r="AL66" s="82"/>
      <c r="AO66" s="83"/>
      <c r="AP66" s="82"/>
      <c r="AS66" s="83"/>
      <c r="AW66" s="83"/>
      <c r="BA66" s="84"/>
    </row>
    <row r="67" spans="1:53" s="208" customFormat="1">
      <c r="A67" s="102">
        <v>1989</v>
      </c>
      <c r="B67" s="207"/>
      <c r="C67" s="988" t="s">
        <v>608</v>
      </c>
      <c r="D67" s="988"/>
      <c r="E67" s="208">
        <f>365-E66</f>
        <v>365</v>
      </c>
      <c r="G67" s="138"/>
      <c r="H67" s="212"/>
      <c r="I67" s="212">
        <v>21</v>
      </c>
      <c r="J67" s="134">
        <v>21</v>
      </c>
      <c r="K67" s="92">
        <f t="shared" si="5"/>
        <v>0</v>
      </c>
      <c r="L67" s="92">
        <f t="shared" si="5"/>
        <v>0</v>
      </c>
      <c r="M67" s="92">
        <f t="shared" si="5"/>
        <v>100</v>
      </c>
      <c r="N67" s="92">
        <f t="shared" si="3"/>
        <v>100</v>
      </c>
      <c r="O67" s="91"/>
      <c r="P67" s="92"/>
      <c r="Q67" s="92">
        <v>44.7</v>
      </c>
      <c r="R67" s="93">
        <f t="shared" si="4"/>
        <v>44.7</v>
      </c>
      <c r="S67" s="208">
        <v>4</v>
      </c>
      <c r="T67" s="81"/>
      <c r="V67" s="82" t="s">
        <v>479</v>
      </c>
      <c r="W67" s="208" t="s">
        <v>20</v>
      </c>
      <c r="X67" s="208" t="s">
        <v>12</v>
      </c>
      <c r="Y67" s="83">
        <v>44.7</v>
      </c>
      <c r="AD67" s="82"/>
      <c r="AG67" s="83"/>
      <c r="AL67" s="82"/>
      <c r="AO67" s="83"/>
      <c r="AP67" s="82"/>
      <c r="AS67" s="83"/>
      <c r="AW67" s="83"/>
      <c r="BA67" s="84"/>
    </row>
    <row r="68" spans="1:53" s="209" customFormat="1">
      <c r="A68" s="209">
        <v>1990</v>
      </c>
      <c r="C68" s="1032" t="s">
        <v>608</v>
      </c>
      <c r="D68" s="1032"/>
      <c r="E68" s="209">
        <v>56</v>
      </c>
      <c r="G68" s="123"/>
      <c r="H68" s="208"/>
      <c r="I68" s="208">
        <v>21</v>
      </c>
      <c r="J68" s="166">
        <v>21</v>
      </c>
      <c r="K68" s="167">
        <v>0</v>
      </c>
      <c r="L68" s="167">
        <v>0</v>
      </c>
      <c r="M68" s="167">
        <v>100</v>
      </c>
      <c r="N68" s="222">
        <f t="shared" si="3"/>
        <v>100</v>
      </c>
      <c r="O68" s="169"/>
      <c r="P68" s="167"/>
      <c r="Q68" s="167">
        <v>44.7</v>
      </c>
      <c r="R68" s="170">
        <f t="shared" si="4"/>
        <v>44.7</v>
      </c>
      <c r="S68" s="209">
        <v>4</v>
      </c>
      <c r="T68" s="171"/>
      <c r="V68" s="172" t="s">
        <v>479</v>
      </c>
      <c r="W68" s="209" t="s">
        <v>20</v>
      </c>
      <c r="X68" s="209" t="s">
        <v>12</v>
      </c>
      <c r="Y68" s="173">
        <v>44.7</v>
      </c>
      <c r="AD68" s="172"/>
      <c r="AG68" s="173"/>
      <c r="AL68" s="172"/>
      <c r="AO68" s="173"/>
      <c r="AP68" s="172"/>
      <c r="AS68" s="173"/>
      <c r="AW68" s="173"/>
      <c r="BA68" s="174"/>
    </row>
    <row r="69" spans="1:53" s="334" customFormat="1">
      <c r="A69" s="334">
        <v>1990</v>
      </c>
      <c r="B69" s="355">
        <v>32930</v>
      </c>
      <c r="C69" s="992" t="s">
        <v>609</v>
      </c>
      <c r="D69" s="992"/>
      <c r="E69" s="334">
        <f>365-E68</f>
        <v>309</v>
      </c>
      <c r="F69" s="334">
        <v>5</v>
      </c>
      <c r="G69" s="419"/>
      <c r="I69" s="334">
        <v>22</v>
      </c>
      <c r="J69" s="435">
        <v>22</v>
      </c>
      <c r="K69" s="384">
        <f>G69/J69*100</f>
        <v>0</v>
      </c>
      <c r="L69" s="384">
        <f>H69/J69*100</f>
        <v>0</v>
      </c>
      <c r="M69" s="384">
        <f>I69/J69*100</f>
        <v>100</v>
      </c>
      <c r="N69" s="384">
        <f t="shared" si="3"/>
        <v>100</v>
      </c>
      <c r="O69" s="383"/>
      <c r="P69" s="384"/>
      <c r="Q69" s="384">
        <v>44.7</v>
      </c>
      <c r="R69" s="385">
        <f t="shared" si="4"/>
        <v>44.7</v>
      </c>
      <c r="S69" s="334">
        <v>4</v>
      </c>
      <c r="T69" s="357"/>
      <c r="U69" s="355">
        <v>32930</v>
      </c>
      <c r="V69" s="343" t="s">
        <v>479</v>
      </c>
      <c r="W69" s="334" t="s">
        <v>20</v>
      </c>
      <c r="X69" s="334" t="s">
        <v>12</v>
      </c>
      <c r="Y69" s="344">
        <v>44.7</v>
      </c>
      <c r="AD69" s="343"/>
      <c r="AG69" s="344"/>
      <c r="AL69" s="343"/>
      <c r="AO69" s="344"/>
      <c r="AP69" s="343"/>
      <c r="AS69" s="344"/>
      <c r="AW69" s="344"/>
      <c r="BA69" s="345"/>
    </row>
    <row r="70" spans="1:53" s="334" customFormat="1">
      <c r="A70" s="334">
        <v>1991</v>
      </c>
      <c r="C70" s="992" t="s">
        <v>609</v>
      </c>
      <c r="D70" s="992"/>
      <c r="E70" s="334">
        <v>275</v>
      </c>
      <c r="G70" s="419"/>
      <c r="I70" s="334">
        <v>22</v>
      </c>
      <c r="J70" s="435">
        <v>22</v>
      </c>
      <c r="K70" s="384">
        <f>G70/J70*100</f>
        <v>0</v>
      </c>
      <c r="L70" s="384">
        <f>H70/J70*100</f>
        <v>0</v>
      </c>
      <c r="M70" s="384">
        <f>I70/J70*100</f>
        <v>100</v>
      </c>
      <c r="N70" s="384">
        <f t="shared" si="3"/>
        <v>100</v>
      </c>
      <c r="O70" s="383"/>
      <c r="P70" s="384"/>
      <c r="Q70" s="384">
        <v>44.7</v>
      </c>
      <c r="R70" s="385">
        <f t="shared" si="4"/>
        <v>44.7</v>
      </c>
      <c r="S70" s="334">
        <v>4</v>
      </c>
      <c r="T70" s="357"/>
      <c r="V70" s="343" t="s">
        <v>479</v>
      </c>
      <c r="W70" s="334" t="s">
        <v>20</v>
      </c>
      <c r="X70" s="334" t="s">
        <v>12</v>
      </c>
      <c r="Y70" s="344">
        <v>44.7</v>
      </c>
      <c r="AD70" s="343"/>
      <c r="AG70" s="344"/>
      <c r="AL70" s="343"/>
      <c r="AO70" s="344"/>
      <c r="AP70" s="343"/>
      <c r="AS70" s="344"/>
      <c r="AW70" s="344"/>
      <c r="BA70" s="345"/>
    </row>
    <row r="71" spans="1:53" s="208" customFormat="1">
      <c r="A71" s="208">
        <v>1991</v>
      </c>
      <c r="B71" s="207">
        <v>33514</v>
      </c>
      <c r="C71" s="988" t="s">
        <v>610</v>
      </c>
      <c r="D71" s="988"/>
      <c r="E71" s="208">
        <f>365-E70</f>
        <v>90</v>
      </c>
      <c r="F71" s="208">
        <v>1</v>
      </c>
      <c r="G71" s="123">
        <v>13</v>
      </c>
      <c r="H71" s="208">
        <v>7</v>
      </c>
      <c r="J71" s="134">
        <v>21</v>
      </c>
      <c r="K71" s="92">
        <f>G71/J71*100</f>
        <v>61.904761904761905</v>
      </c>
      <c r="L71" s="92">
        <f>H71/J71*100</f>
        <v>33.333333333333329</v>
      </c>
      <c r="M71" s="92">
        <f>I71/J71*100</f>
        <v>0</v>
      </c>
      <c r="N71" s="92">
        <f t="shared" si="3"/>
        <v>95.238095238095241</v>
      </c>
      <c r="O71" s="91">
        <v>32.4</v>
      </c>
      <c r="P71" s="92">
        <v>16.3</v>
      </c>
      <c r="Q71" s="92"/>
      <c r="R71" s="93">
        <f t="shared" si="4"/>
        <v>48.7</v>
      </c>
      <c r="S71" s="208">
        <v>5</v>
      </c>
      <c r="T71" s="95">
        <v>33496</v>
      </c>
      <c r="U71" s="207">
        <v>33514</v>
      </c>
      <c r="V71" s="82" t="s">
        <v>482</v>
      </c>
      <c r="W71" s="208" t="s">
        <v>74</v>
      </c>
      <c r="X71" s="208" t="s">
        <v>11</v>
      </c>
      <c r="Y71" s="83">
        <v>22.9</v>
      </c>
      <c r="Z71" s="208" t="s">
        <v>481</v>
      </c>
      <c r="AA71" s="208" t="s">
        <v>22</v>
      </c>
      <c r="AB71" s="208" t="s">
        <v>11</v>
      </c>
      <c r="AC71" s="208">
        <v>9.5</v>
      </c>
      <c r="AD71" s="82" t="s">
        <v>480</v>
      </c>
      <c r="AE71" s="208" t="s">
        <v>75</v>
      </c>
      <c r="AF71" s="208" t="s">
        <v>18</v>
      </c>
      <c r="AG71" s="83">
        <v>8.9</v>
      </c>
      <c r="AH71" s="82" t="s">
        <v>483</v>
      </c>
      <c r="AI71" s="208" t="s">
        <v>17</v>
      </c>
      <c r="AJ71" s="208" t="s">
        <v>18</v>
      </c>
      <c r="AK71" s="208">
        <v>7.4</v>
      </c>
      <c r="AL71" s="82"/>
      <c r="AO71" s="83"/>
      <c r="AP71" s="82"/>
      <c r="AS71" s="83"/>
      <c r="AW71" s="83"/>
      <c r="BA71" s="84"/>
    </row>
    <row r="72" spans="1:53" s="208" customFormat="1">
      <c r="A72" s="208">
        <v>1992</v>
      </c>
      <c r="C72" s="988" t="s">
        <v>610</v>
      </c>
      <c r="D72" s="988"/>
      <c r="E72" s="208">
        <v>0</v>
      </c>
      <c r="G72" s="123">
        <v>13</v>
      </c>
      <c r="H72" s="208">
        <v>6</v>
      </c>
      <c r="J72" s="134">
        <v>20</v>
      </c>
      <c r="K72" s="92">
        <f>G72/J72*100</f>
        <v>65</v>
      </c>
      <c r="L72" s="92">
        <f>H72/J72*100</f>
        <v>30</v>
      </c>
      <c r="M72" s="92">
        <f>I72/J72*100</f>
        <v>0</v>
      </c>
      <c r="N72" s="92">
        <f t="shared" si="3"/>
        <v>95</v>
      </c>
      <c r="O72" s="91">
        <v>32.4</v>
      </c>
      <c r="P72" s="92">
        <v>16.3</v>
      </c>
      <c r="Q72" s="92"/>
      <c r="R72" s="93">
        <f t="shared" si="4"/>
        <v>48.7</v>
      </c>
      <c r="S72" s="208">
        <v>5</v>
      </c>
      <c r="T72" s="81"/>
      <c r="V72" s="82" t="s">
        <v>482</v>
      </c>
      <c r="W72" s="208" t="s">
        <v>74</v>
      </c>
      <c r="X72" s="208" t="s">
        <v>11</v>
      </c>
      <c r="Y72" s="83">
        <v>22.9</v>
      </c>
      <c r="Z72" s="208" t="s">
        <v>481</v>
      </c>
      <c r="AA72" s="208" t="s">
        <v>22</v>
      </c>
      <c r="AB72" s="208" t="s">
        <v>11</v>
      </c>
      <c r="AC72" s="208">
        <v>9.5</v>
      </c>
      <c r="AD72" s="82" t="s">
        <v>480</v>
      </c>
      <c r="AE72" s="208" t="s">
        <v>75</v>
      </c>
      <c r="AF72" s="208" t="s">
        <v>18</v>
      </c>
      <c r="AG72" s="83">
        <v>8.9</v>
      </c>
      <c r="AH72" s="82" t="s">
        <v>483</v>
      </c>
      <c r="AI72" s="208" t="s">
        <v>17</v>
      </c>
      <c r="AJ72" s="208" t="s">
        <v>18</v>
      </c>
      <c r="AK72" s="208">
        <v>7.4</v>
      </c>
      <c r="AL72" s="82"/>
      <c r="AO72" s="83"/>
      <c r="AP72" s="82"/>
      <c r="AS72" s="83"/>
      <c r="AW72" s="83"/>
      <c r="BA72" s="84"/>
    </row>
    <row r="73" spans="1:53" s="208" customFormat="1">
      <c r="A73" s="208">
        <v>1992</v>
      </c>
      <c r="C73" s="988" t="s">
        <v>610</v>
      </c>
      <c r="D73" s="988"/>
      <c r="E73" s="208">
        <v>366</v>
      </c>
      <c r="G73" s="123">
        <v>13</v>
      </c>
      <c r="H73" s="208">
        <v>6</v>
      </c>
      <c r="J73" s="134">
        <v>20</v>
      </c>
      <c r="K73" s="92">
        <f>G73/J73*100</f>
        <v>65</v>
      </c>
      <c r="L73" s="92">
        <f>H73/J73*100</f>
        <v>30</v>
      </c>
      <c r="M73" s="92">
        <f>I73/J73*100</f>
        <v>0</v>
      </c>
      <c r="N73" s="92">
        <f t="shared" ref="N73:N115" si="6">K73+L73+M73</f>
        <v>95</v>
      </c>
      <c r="O73" s="91">
        <v>32.4</v>
      </c>
      <c r="P73" s="92">
        <v>16.3</v>
      </c>
      <c r="Q73" s="92"/>
      <c r="R73" s="93">
        <f t="shared" si="4"/>
        <v>48.7</v>
      </c>
      <c r="S73" s="208">
        <v>5</v>
      </c>
      <c r="T73" s="81"/>
      <c r="V73" s="82" t="s">
        <v>482</v>
      </c>
      <c r="W73" s="208" t="s">
        <v>74</v>
      </c>
      <c r="X73" s="208" t="s">
        <v>11</v>
      </c>
      <c r="Y73" s="83">
        <v>22.9</v>
      </c>
      <c r="Z73" s="208" t="s">
        <v>481</v>
      </c>
      <c r="AA73" s="208" t="s">
        <v>22</v>
      </c>
      <c r="AB73" s="208" t="s">
        <v>11</v>
      </c>
      <c r="AC73" s="208">
        <v>9.5</v>
      </c>
      <c r="AD73" s="82" t="s">
        <v>480</v>
      </c>
      <c r="AE73" s="208" t="s">
        <v>75</v>
      </c>
      <c r="AF73" s="208" t="s">
        <v>18</v>
      </c>
      <c r="AG73" s="83">
        <v>8.9</v>
      </c>
      <c r="AH73" s="82" t="s">
        <v>483</v>
      </c>
      <c r="AI73" s="208" t="s">
        <v>17</v>
      </c>
      <c r="AJ73" s="208" t="s">
        <v>18</v>
      </c>
      <c r="AK73" s="208">
        <v>7.4</v>
      </c>
      <c r="AL73" s="82"/>
      <c r="AO73" s="83"/>
      <c r="AP73" s="82"/>
      <c r="AS73" s="83"/>
      <c r="AW73" s="83"/>
      <c r="BA73" s="84"/>
    </row>
    <row r="74" spans="1:53" s="208" customFormat="1">
      <c r="A74" s="208">
        <v>1993</v>
      </c>
      <c r="C74" s="988" t="s">
        <v>610</v>
      </c>
      <c r="D74" s="988"/>
      <c r="E74" s="208">
        <v>0</v>
      </c>
      <c r="G74" s="123">
        <v>13</v>
      </c>
      <c r="H74" s="208">
        <v>7</v>
      </c>
      <c r="J74" s="134">
        <v>21</v>
      </c>
      <c r="K74" s="92">
        <f t="shared" ref="K74:K109" si="7">G74/J74*100</f>
        <v>61.904761904761905</v>
      </c>
      <c r="L74" s="92">
        <f t="shared" ref="L74:L109" si="8">H74/J74*100</f>
        <v>33.333333333333329</v>
      </c>
      <c r="M74" s="92">
        <f t="shared" ref="M74:M109" si="9">I74/J74*100</f>
        <v>0</v>
      </c>
      <c r="N74" s="92">
        <f t="shared" si="6"/>
        <v>95.238095238095241</v>
      </c>
      <c r="O74" s="91">
        <v>32.4</v>
      </c>
      <c r="P74" s="92">
        <v>16.3</v>
      </c>
      <c r="Q74" s="92"/>
      <c r="R74" s="93">
        <f t="shared" ref="R74:R115" si="10">O74+P74+Q74</f>
        <v>48.7</v>
      </c>
      <c r="S74" s="208">
        <v>5</v>
      </c>
      <c r="T74" s="81"/>
      <c r="V74" s="82" t="s">
        <v>482</v>
      </c>
      <c r="W74" s="208" t="s">
        <v>74</v>
      </c>
      <c r="X74" s="208" t="s">
        <v>11</v>
      </c>
      <c r="Y74" s="83">
        <v>22.9</v>
      </c>
      <c r="Z74" s="208" t="s">
        <v>481</v>
      </c>
      <c r="AA74" s="208" t="s">
        <v>22</v>
      </c>
      <c r="AB74" s="208" t="s">
        <v>11</v>
      </c>
      <c r="AC74" s="208">
        <v>9.5</v>
      </c>
      <c r="AD74" s="82" t="s">
        <v>480</v>
      </c>
      <c r="AE74" s="208" t="s">
        <v>75</v>
      </c>
      <c r="AF74" s="208" t="s">
        <v>18</v>
      </c>
      <c r="AG74" s="83">
        <v>8.9</v>
      </c>
      <c r="AH74" s="82" t="s">
        <v>483</v>
      </c>
      <c r="AI74" s="208" t="s">
        <v>17</v>
      </c>
      <c r="AJ74" s="208" t="s">
        <v>18</v>
      </c>
      <c r="AK74" s="208">
        <v>7.4</v>
      </c>
      <c r="AL74" s="82"/>
      <c r="AO74" s="83"/>
      <c r="AP74" s="82"/>
      <c r="AS74" s="83"/>
      <c r="AW74" s="83"/>
      <c r="BA74" s="84"/>
    </row>
    <row r="75" spans="1:53" s="208" customFormat="1">
      <c r="A75" s="208">
        <v>1993</v>
      </c>
      <c r="C75" s="988" t="s">
        <v>610</v>
      </c>
      <c r="D75" s="988"/>
      <c r="E75" s="208">
        <f>365-E74</f>
        <v>365</v>
      </c>
      <c r="G75" s="123">
        <v>13</v>
      </c>
      <c r="H75" s="208">
        <v>7</v>
      </c>
      <c r="J75" s="134">
        <v>21</v>
      </c>
      <c r="K75" s="92">
        <f t="shared" si="7"/>
        <v>61.904761904761905</v>
      </c>
      <c r="L75" s="92">
        <f t="shared" si="8"/>
        <v>33.333333333333329</v>
      </c>
      <c r="M75" s="92">
        <f t="shared" si="9"/>
        <v>0</v>
      </c>
      <c r="N75" s="92">
        <f t="shared" si="6"/>
        <v>95.238095238095241</v>
      </c>
      <c r="O75" s="91">
        <v>32.4</v>
      </c>
      <c r="P75" s="92">
        <v>16.3</v>
      </c>
      <c r="Q75" s="92"/>
      <c r="R75" s="93">
        <f t="shared" si="10"/>
        <v>48.7</v>
      </c>
      <c r="S75" s="208">
        <v>5</v>
      </c>
      <c r="T75" s="81"/>
      <c r="V75" s="82" t="s">
        <v>482</v>
      </c>
      <c r="W75" s="208" t="s">
        <v>74</v>
      </c>
      <c r="X75" s="208" t="s">
        <v>11</v>
      </c>
      <c r="Y75" s="83">
        <v>22.9</v>
      </c>
      <c r="Z75" s="208" t="s">
        <v>481</v>
      </c>
      <c r="AA75" s="208" t="s">
        <v>22</v>
      </c>
      <c r="AB75" s="208" t="s">
        <v>11</v>
      </c>
      <c r="AC75" s="208">
        <v>9.5</v>
      </c>
      <c r="AD75" s="82" t="s">
        <v>480</v>
      </c>
      <c r="AE75" s="208" t="s">
        <v>75</v>
      </c>
      <c r="AF75" s="208" t="s">
        <v>18</v>
      </c>
      <c r="AG75" s="83">
        <v>8.9</v>
      </c>
      <c r="AH75" s="82" t="s">
        <v>483</v>
      </c>
      <c r="AI75" s="208" t="s">
        <v>17</v>
      </c>
      <c r="AJ75" s="208" t="s">
        <v>18</v>
      </c>
      <c r="AK75" s="208">
        <v>7.4</v>
      </c>
      <c r="AL75" s="82"/>
      <c r="AO75" s="83"/>
      <c r="AP75" s="82"/>
      <c r="AS75" s="83"/>
      <c r="AW75" s="83"/>
      <c r="BA75" s="84"/>
    </row>
    <row r="76" spans="1:53" s="208" customFormat="1">
      <c r="A76" s="208">
        <v>1994</v>
      </c>
      <c r="C76" s="988" t="s">
        <v>610</v>
      </c>
      <c r="D76" s="988"/>
      <c r="E76" s="208">
        <v>278</v>
      </c>
      <c r="G76" s="123">
        <v>13</v>
      </c>
      <c r="H76" s="208">
        <v>7</v>
      </c>
      <c r="J76" s="134">
        <v>21</v>
      </c>
      <c r="K76" s="92">
        <f t="shared" si="7"/>
        <v>61.904761904761905</v>
      </c>
      <c r="L76" s="92">
        <f t="shared" si="8"/>
        <v>33.333333333333329</v>
      </c>
      <c r="M76" s="92">
        <f t="shared" si="9"/>
        <v>0</v>
      </c>
      <c r="N76" s="92">
        <f t="shared" si="6"/>
        <v>95.238095238095241</v>
      </c>
      <c r="O76" s="91">
        <v>32.4</v>
      </c>
      <c r="P76" s="92">
        <v>16.3</v>
      </c>
      <c r="Q76" s="92"/>
      <c r="R76" s="93">
        <f t="shared" si="10"/>
        <v>48.7</v>
      </c>
      <c r="S76" s="208">
        <v>5</v>
      </c>
      <c r="T76" s="81"/>
      <c r="V76" s="82" t="s">
        <v>482</v>
      </c>
      <c r="W76" s="208" t="s">
        <v>74</v>
      </c>
      <c r="X76" s="208" t="s">
        <v>11</v>
      </c>
      <c r="Y76" s="83">
        <v>22.9</v>
      </c>
      <c r="Z76" s="208" t="s">
        <v>481</v>
      </c>
      <c r="AA76" s="208" t="s">
        <v>22</v>
      </c>
      <c r="AB76" s="208" t="s">
        <v>11</v>
      </c>
      <c r="AC76" s="208">
        <v>9.5</v>
      </c>
      <c r="AD76" s="82" t="s">
        <v>480</v>
      </c>
      <c r="AE76" s="208" t="s">
        <v>75</v>
      </c>
      <c r="AF76" s="208" t="s">
        <v>18</v>
      </c>
      <c r="AG76" s="83">
        <v>8.9</v>
      </c>
      <c r="AH76" s="82" t="s">
        <v>483</v>
      </c>
      <c r="AI76" s="208" t="s">
        <v>17</v>
      </c>
      <c r="AJ76" s="208" t="s">
        <v>18</v>
      </c>
      <c r="AK76" s="208">
        <v>7.4</v>
      </c>
      <c r="AL76" s="82"/>
      <c r="AO76" s="83"/>
      <c r="AP76" s="82"/>
      <c r="AS76" s="83"/>
      <c r="AW76" s="83"/>
      <c r="BA76" s="84"/>
    </row>
    <row r="77" spans="1:53" s="334" customFormat="1">
      <c r="A77" s="334">
        <v>1994</v>
      </c>
      <c r="B77" s="355">
        <v>34613</v>
      </c>
      <c r="C77" s="992" t="s">
        <v>611</v>
      </c>
      <c r="D77" s="992"/>
      <c r="E77" s="334">
        <f>365-E76</f>
        <v>87</v>
      </c>
      <c r="F77" s="334">
        <v>1</v>
      </c>
      <c r="G77" s="419"/>
      <c r="I77" s="334">
        <v>22</v>
      </c>
      <c r="J77" s="435">
        <v>22</v>
      </c>
      <c r="K77" s="384">
        <f t="shared" si="7"/>
        <v>0</v>
      </c>
      <c r="L77" s="384">
        <f t="shared" si="8"/>
        <v>0</v>
      </c>
      <c r="M77" s="384">
        <f t="shared" si="9"/>
        <v>100</v>
      </c>
      <c r="N77" s="384">
        <f t="shared" si="6"/>
        <v>100</v>
      </c>
      <c r="O77" s="383"/>
      <c r="P77" s="384"/>
      <c r="Q77" s="384">
        <v>46.1</v>
      </c>
      <c r="R77" s="385">
        <f t="shared" si="10"/>
        <v>46.1</v>
      </c>
      <c r="S77" s="334">
        <v>4</v>
      </c>
      <c r="T77" s="342">
        <v>34595</v>
      </c>
      <c r="U77" s="355">
        <v>34613</v>
      </c>
      <c r="V77" s="343" t="s">
        <v>479</v>
      </c>
      <c r="W77" s="334" t="s">
        <v>20</v>
      </c>
      <c r="X77" s="334" t="s">
        <v>12</v>
      </c>
      <c r="Y77" s="344">
        <v>46.1</v>
      </c>
      <c r="AD77" s="343"/>
      <c r="AG77" s="344"/>
      <c r="AL77" s="343"/>
      <c r="AO77" s="344"/>
      <c r="AP77" s="343"/>
      <c r="AS77" s="344"/>
      <c r="AW77" s="344"/>
      <c r="BA77" s="345"/>
    </row>
    <row r="78" spans="1:53" s="334" customFormat="1">
      <c r="A78" s="334">
        <v>1995</v>
      </c>
      <c r="C78" s="992" t="s">
        <v>611</v>
      </c>
      <c r="D78" s="992"/>
      <c r="E78" s="334">
        <v>0</v>
      </c>
      <c r="G78" s="419"/>
      <c r="I78" s="334">
        <v>22</v>
      </c>
      <c r="J78" s="435">
        <v>22</v>
      </c>
      <c r="K78" s="384">
        <f t="shared" si="7"/>
        <v>0</v>
      </c>
      <c r="L78" s="384">
        <f t="shared" si="8"/>
        <v>0</v>
      </c>
      <c r="M78" s="384">
        <f t="shared" si="9"/>
        <v>100</v>
      </c>
      <c r="N78" s="384">
        <f t="shared" si="6"/>
        <v>100</v>
      </c>
      <c r="O78" s="383"/>
      <c r="P78" s="384"/>
      <c r="Q78" s="384">
        <v>46.1</v>
      </c>
      <c r="R78" s="385">
        <f t="shared" si="10"/>
        <v>46.1</v>
      </c>
      <c r="S78" s="334">
        <v>4</v>
      </c>
      <c r="T78" s="357"/>
      <c r="V78" s="343" t="s">
        <v>479</v>
      </c>
      <c r="W78" s="334" t="s">
        <v>20</v>
      </c>
      <c r="X78" s="334" t="s">
        <v>12</v>
      </c>
      <c r="Y78" s="344">
        <v>46.1</v>
      </c>
      <c r="AD78" s="343"/>
      <c r="AG78" s="344"/>
      <c r="AL78" s="343"/>
      <c r="AO78" s="344"/>
      <c r="AP78" s="343"/>
      <c r="AS78" s="344"/>
      <c r="AW78" s="344"/>
      <c r="BA78" s="345"/>
    </row>
    <row r="79" spans="1:53" s="334" customFormat="1">
      <c r="A79" s="334">
        <v>1995</v>
      </c>
      <c r="C79" s="992" t="s">
        <v>611</v>
      </c>
      <c r="D79" s="992"/>
      <c r="E79" s="334">
        <f>365-E78</f>
        <v>365</v>
      </c>
      <c r="G79" s="419"/>
      <c r="I79" s="334">
        <v>22</v>
      </c>
      <c r="J79" s="435">
        <v>22</v>
      </c>
      <c r="K79" s="384">
        <f t="shared" si="7"/>
        <v>0</v>
      </c>
      <c r="L79" s="384">
        <f t="shared" si="8"/>
        <v>0</v>
      </c>
      <c r="M79" s="384">
        <f t="shared" si="9"/>
        <v>100</v>
      </c>
      <c r="N79" s="384">
        <f t="shared" si="6"/>
        <v>100</v>
      </c>
      <c r="O79" s="383"/>
      <c r="P79" s="384"/>
      <c r="Q79" s="384">
        <v>46.1</v>
      </c>
      <c r="R79" s="385">
        <f t="shared" si="10"/>
        <v>46.1</v>
      </c>
      <c r="S79" s="334">
        <v>4</v>
      </c>
      <c r="T79" s="357"/>
      <c r="V79" s="343" t="s">
        <v>479</v>
      </c>
      <c r="W79" s="334" t="s">
        <v>20</v>
      </c>
      <c r="X79" s="334" t="s">
        <v>12</v>
      </c>
      <c r="Y79" s="344">
        <v>46.1</v>
      </c>
      <c r="AD79" s="343"/>
      <c r="AG79" s="344"/>
      <c r="AL79" s="343"/>
      <c r="AO79" s="344"/>
      <c r="AP79" s="343"/>
      <c r="AS79" s="344"/>
      <c r="AW79" s="344"/>
      <c r="BA79" s="345"/>
    </row>
    <row r="80" spans="1:53" s="334" customFormat="1">
      <c r="A80" s="334">
        <v>1996</v>
      </c>
      <c r="C80" s="992" t="s">
        <v>611</v>
      </c>
      <c r="D80" s="992"/>
      <c r="E80" s="334">
        <v>81</v>
      </c>
      <c r="G80" s="419"/>
      <c r="I80" s="334">
        <v>21</v>
      </c>
      <c r="J80" s="435">
        <v>21</v>
      </c>
      <c r="K80" s="384">
        <f t="shared" si="7"/>
        <v>0</v>
      </c>
      <c r="L80" s="384">
        <f t="shared" si="8"/>
        <v>0</v>
      </c>
      <c r="M80" s="384">
        <f t="shared" si="9"/>
        <v>100</v>
      </c>
      <c r="N80" s="384">
        <f t="shared" si="6"/>
        <v>100</v>
      </c>
      <c r="O80" s="383"/>
      <c r="P80" s="384"/>
      <c r="Q80" s="384">
        <v>46.1</v>
      </c>
      <c r="R80" s="385">
        <f t="shared" si="10"/>
        <v>46.1</v>
      </c>
      <c r="S80" s="334">
        <v>4</v>
      </c>
      <c r="T80" s="357"/>
      <c r="V80" s="343" t="s">
        <v>479</v>
      </c>
      <c r="W80" s="334" t="s">
        <v>20</v>
      </c>
      <c r="X80" s="334" t="s">
        <v>12</v>
      </c>
      <c r="Y80" s="344">
        <v>46.1</v>
      </c>
      <c r="AD80" s="343"/>
      <c r="AG80" s="344"/>
      <c r="AL80" s="343"/>
      <c r="AO80" s="344"/>
      <c r="AP80" s="343"/>
      <c r="AS80" s="344"/>
      <c r="AW80" s="344"/>
      <c r="BA80" s="345"/>
    </row>
    <row r="81" spans="1:53" s="208" customFormat="1">
      <c r="A81" s="208">
        <v>1996</v>
      </c>
      <c r="B81" s="207">
        <v>35146</v>
      </c>
      <c r="C81" s="988" t="s">
        <v>612</v>
      </c>
      <c r="D81" s="988"/>
      <c r="E81" s="208">
        <f>366-E80</f>
        <v>285</v>
      </c>
      <c r="F81" s="208">
        <v>2</v>
      </c>
      <c r="G81" s="123"/>
      <c r="I81" s="208">
        <v>22</v>
      </c>
      <c r="J81" s="134">
        <v>22</v>
      </c>
      <c r="K81" s="92">
        <f t="shared" si="7"/>
        <v>0</v>
      </c>
      <c r="L81" s="92">
        <f t="shared" si="8"/>
        <v>0</v>
      </c>
      <c r="M81" s="92">
        <f t="shared" si="9"/>
        <v>100</v>
      </c>
      <c r="N81" s="92">
        <f t="shared" si="6"/>
        <v>100</v>
      </c>
      <c r="O81" s="91"/>
      <c r="P81" s="92"/>
      <c r="Q81" s="92">
        <v>46.1</v>
      </c>
      <c r="R81" s="93">
        <f t="shared" si="10"/>
        <v>46.1</v>
      </c>
      <c r="S81" s="208">
        <v>4</v>
      </c>
      <c r="T81" s="81"/>
      <c r="U81" s="207">
        <v>35146</v>
      </c>
      <c r="V81" s="82" t="s">
        <v>479</v>
      </c>
      <c r="W81" s="208" t="s">
        <v>20</v>
      </c>
      <c r="X81" s="208" t="s">
        <v>12</v>
      </c>
      <c r="Y81" s="83">
        <v>46.1</v>
      </c>
      <c r="AD81" s="82"/>
      <c r="AG81" s="83"/>
      <c r="AL81" s="82"/>
      <c r="AO81" s="83"/>
      <c r="AP81" s="82"/>
      <c r="AS81" s="83"/>
      <c r="AW81" s="83"/>
      <c r="BA81" s="84"/>
    </row>
    <row r="82" spans="1:53" s="208" customFormat="1">
      <c r="A82" s="208">
        <v>1997</v>
      </c>
      <c r="C82" s="988" t="s">
        <v>612</v>
      </c>
      <c r="D82" s="988"/>
      <c r="E82" s="208">
        <v>0</v>
      </c>
      <c r="G82" s="123"/>
      <c r="I82" s="208">
        <v>22</v>
      </c>
      <c r="J82" s="134">
        <v>22</v>
      </c>
      <c r="K82" s="92">
        <f t="shared" si="7"/>
        <v>0</v>
      </c>
      <c r="L82" s="92">
        <f t="shared" si="8"/>
        <v>0</v>
      </c>
      <c r="M82" s="92">
        <f t="shared" si="9"/>
        <v>100</v>
      </c>
      <c r="N82" s="92">
        <f t="shared" si="6"/>
        <v>100</v>
      </c>
      <c r="O82" s="91"/>
      <c r="P82" s="92"/>
      <c r="Q82" s="92">
        <v>46.1</v>
      </c>
      <c r="R82" s="93">
        <f t="shared" si="10"/>
        <v>46.1</v>
      </c>
      <c r="S82" s="208">
        <v>4</v>
      </c>
      <c r="T82" s="81"/>
      <c r="V82" s="82" t="s">
        <v>479</v>
      </c>
      <c r="W82" s="208" t="s">
        <v>20</v>
      </c>
      <c r="X82" s="208" t="s">
        <v>12</v>
      </c>
      <c r="Y82" s="83">
        <v>46.1</v>
      </c>
      <c r="AD82" s="82"/>
      <c r="AG82" s="83"/>
      <c r="AL82" s="82"/>
      <c r="AO82" s="83"/>
      <c r="AP82" s="82"/>
      <c r="AS82" s="83"/>
      <c r="AW82" s="83"/>
      <c r="BA82" s="84"/>
    </row>
    <row r="83" spans="1:53" s="208" customFormat="1">
      <c r="A83" s="208">
        <v>1997</v>
      </c>
      <c r="C83" s="988" t="s">
        <v>612</v>
      </c>
      <c r="D83" s="988"/>
      <c r="E83" s="208">
        <f>365-E82</f>
        <v>365</v>
      </c>
      <c r="G83" s="123"/>
      <c r="I83" s="208">
        <v>22</v>
      </c>
      <c r="J83" s="134">
        <v>22</v>
      </c>
      <c r="K83" s="92">
        <f t="shared" si="7"/>
        <v>0</v>
      </c>
      <c r="L83" s="92">
        <f t="shared" si="8"/>
        <v>0</v>
      </c>
      <c r="M83" s="92">
        <f t="shared" si="9"/>
        <v>100</v>
      </c>
      <c r="N83" s="92">
        <f t="shared" si="6"/>
        <v>100</v>
      </c>
      <c r="O83" s="91"/>
      <c r="P83" s="92"/>
      <c r="Q83" s="92">
        <v>46.1</v>
      </c>
      <c r="R83" s="93">
        <f t="shared" si="10"/>
        <v>46.1</v>
      </c>
      <c r="S83" s="208">
        <v>4</v>
      </c>
      <c r="T83" s="81"/>
      <c r="V83" s="82" t="s">
        <v>479</v>
      </c>
      <c r="W83" s="208" t="s">
        <v>20</v>
      </c>
      <c r="X83" s="208" t="s">
        <v>12</v>
      </c>
      <c r="Y83" s="83">
        <v>46.1</v>
      </c>
      <c r="AD83" s="82"/>
      <c r="AG83" s="83"/>
      <c r="AL83" s="82"/>
      <c r="AO83" s="83"/>
      <c r="AP83" s="82"/>
      <c r="AS83" s="83"/>
      <c r="AW83" s="83"/>
      <c r="BA83" s="84"/>
    </row>
    <row r="84" spans="1:53" s="208" customFormat="1">
      <c r="A84" s="208">
        <v>1998</v>
      </c>
      <c r="C84" s="988" t="s">
        <v>612</v>
      </c>
      <c r="D84" s="988"/>
      <c r="E84" s="208">
        <v>278</v>
      </c>
      <c r="G84" s="123"/>
      <c r="I84" s="208">
        <v>22</v>
      </c>
      <c r="J84" s="134">
        <v>22</v>
      </c>
      <c r="K84" s="92">
        <f t="shared" si="7"/>
        <v>0</v>
      </c>
      <c r="L84" s="92">
        <f t="shared" si="8"/>
        <v>0</v>
      </c>
      <c r="M84" s="92">
        <f t="shared" si="9"/>
        <v>100</v>
      </c>
      <c r="N84" s="92">
        <f t="shared" si="6"/>
        <v>100</v>
      </c>
      <c r="O84" s="91"/>
      <c r="P84" s="92"/>
      <c r="Q84" s="92">
        <v>46.1</v>
      </c>
      <c r="R84" s="93">
        <f t="shared" si="10"/>
        <v>46.1</v>
      </c>
      <c r="S84" s="208">
        <v>4</v>
      </c>
      <c r="T84" s="81"/>
      <c r="V84" s="82" t="s">
        <v>479</v>
      </c>
      <c r="W84" s="208" t="s">
        <v>20</v>
      </c>
      <c r="X84" s="208" t="s">
        <v>12</v>
      </c>
      <c r="Y84" s="83">
        <v>46.1</v>
      </c>
      <c r="AD84" s="82"/>
      <c r="AG84" s="83"/>
      <c r="AL84" s="82"/>
      <c r="AO84" s="83"/>
      <c r="AP84" s="82"/>
      <c r="AS84" s="83"/>
      <c r="AW84" s="83"/>
      <c r="BA84" s="84"/>
    </row>
    <row r="85" spans="1:53" s="334" customFormat="1">
      <c r="A85" s="334">
        <v>1998</v>
      </c>
      <c r="B85" s="355">
        <v>36074</v>
      </c>
      <c r="C85" s="992" t="s">
        <v>613</v>
      </c>
      <c r="D85" s="992"/>
      <c r="E85" s="334">
        <f>365-E84</f>
        <v>87</v>
      </c>
      <c r="F85" s="334">
        <v>1</v>
      </c>
      <c r="G85" s="419"/>
      <c r="I85" s="334">
        <v>20</v>
      </c>
      <c r="J85" s="435">
        <v>20</v>
      </c>
      <c r="K85" s="384">
        <f t="shared" si="7"/>
        <v>0</v>
      </c>
      <c r="L85" s="384">
        <f t="shared" si="8"/>
        <v>0</v>
      </c>
      <c r="M85" s="384">
        <f t="shared" si="9"/>
        <v>100</v>
      </c>
      <c r="N85" s="384">
        <f t="shared" si="6"/>
        <v>100</v>
      </c>
      <c r="O85" s="383"/>
      <c r="P85" s="384"/>
      <c r="Q85" s="384">
        <v>37.5</v>
      </c>
      <c r="R85" s="385">
        <f t="shared" si="10"/>
        <v>37.5</v>
      </c>
      <c r="S85" s="334">
        <v>4</v>
      </c>
      <c r="T85" s="342">
        <v>36058</v>
      </c>
      <c r="U85" s="355">
        <v>36074</v>
      </c>
      <c r="V85" s="343" t="s">
        <v>479</v>
      </c>
      <c r="W85" s="334" t="s">
        <v>20</v>
      </c>
      <c r="X85" s="334" t="s">
        <v>12</v>
      </c>
      <c r="Y85" s="344">
        <v>37.5</v>
      </c>
      <c r="AD85" s="343"/>
      <c r="AG85" s="344"/>
      <c r="AL85" s="343"/>
      <c r="AO85" s="344"/>
      <c r="AP85" s="343"/>
      <c r="AS85" s="344"/>
      <c r="AW85" s="344"/>
      <c r="BA85" s="345"/>
    </row>
    <row r="86" spans="1:53" s="334" customFormat="1">
      <c r="A86" s="334">
        <v>1999</v>
      </c>
      <c r="C86" s="992" t="s">
        <v>613</v>
      </c>
      <c r="D86" s="992"/>
      <c r="E86" s="334">
        <v>0</v>
      </c>
      <c r="G86" s="419"/>
      <c r="I86" s="334">
        <v>20</v>
      </c>
      <c r="J86" s="435">
        <v>20</v>
      </c>
      <c r="K86" s="384">
        <f t="shared" si="7"/>
        <v>0</v>
      </c>
      <c r="L86" s="384">
        <f t="shared" si="8"/>
        <v>0</v>
      </c>
      <c r="M86" s="384">
        <f t="shared" si="9"/>
        <v>100</v>
      </c>
      <c r="N86" s="384">
        <f t="shared" si="6"/>
        <v>100</v>
      </c>
      <c r="O86" s="383"/>
      <c r="P86" s="384"/>
      <c r="Q86" s="384">
        <v>37.5</v>
      </c>
      <c r="R86" s="385">
        <f t="shared" si="10"/>
        <v>37.5</v>
      </c>
      <c r="S86" s="334">
        <v>4</v>
      </c>
      <c r="T86" s="357"/>
      <c r="V86" s="343" t="s">
        <v>479</v>
      </c>
      <c r="W86" s="334" t="s">
        <v>20</v>
      </c>
      <c r="X86" s="334" t="s">
        <v>12</v>
      </c>
      <c r="Y86" s="344">
        <v>37.5</v>
      </c>
      <c r="AD86" s="343"/>
      <c r="AG86" s="344"/>
      <c r="AL86" s="343"/>
      <c r="AO86" s="344"/>
      <c r="AP86" s="343"/>
      <c r="AS86" s="344"/>
      <c r="AW86" s="344"/>
      <c r="BA86" s="345"/>
    </row>
    <row r="87" spans="1:53" s="334" customFormat="1">
      <c r="A87" s="334">
        <v>1999</v>
      </c>
      <c r="C87" s="992" t="s">
        <v>613</v>
      </c>
      <c r="D87" s="992"/>
      <c r="E87" s="334">
        <f>365-E86</f>
        <v>365</v>
      </c>
      <c r="G87" s="419"/>
      <c r="I87" s="334">
        <v>20</v>
      </c>
      <c r="J87" s="435">
        <v>20</v>
      </c>
      <c r="K87" s="384">
        <f t="shared" si="7"/>
        <v>0</v>
      </c>
      <c r="L87" s="384">
        <f t="shared" si="8"/>
        <v>0</v>
      </c>
      <c r="M87" s="384">
        <f t="shared" si="9"/>
        <v>100</v>
      </c>
      <c r="N87" s="384">
        <f t="shared" si="6"/>
        <v>100</v>
      </c>
      <c r="O87" s="383"/>
      <c r="P87" s="384"/>
      <c r="Q87" s="384">
        <v>37.5</v>
      </c>
      <c r="R87" s="385">
        <f t="shared" si="10"/>
        <v>37.5</v>
      </c>
      <c r="S87" s="334">
        <v>4</v>
      </c>
      <c r="T87" s="357"/>
      <c r="V87" s="343" t="s">
        <v>479</v>
      </c>
      <c r="W87" s="334" t="s">
        <v>20</v>
      </c>
      <c r="X87" s="334" t="s">
        <v>12</v>
      </c>
      <c r="Y87" s="344">
        <v>37.5</v>
      </c>
      <c r="AD87" s="343"/>
      <c r="AG87" s="344"/>
      <c r="AL87" s="343"/>
      <c r="AO87" s="344"/>
      <c r="AP87" s="343"/>
      <c r="AS87" s="344"/>
      <c r="AW87" s="344"/>
      <c r="BA87" s="345"/>
    </row>
    <row r="88" spans="1:53" s="334" customFormat="1">
      <c r="A88" s="334">
        <v>2000</v>
      </c>
      <c r="C88" s="992" t="s">
        <v>613</v>
      </c>
      <c r="D88" s="992"/>
      <c r="E88" s="334">
        <v>0</v>
      </c>
      <c r="G88" s="419"/>
      <c r="I88" s="334">
        <v>20</v>
      </c>
      <c r="J88" s="435">
        <v>20</v>
      </c>
      <c r="K88" s="384">
        <f t="shared" si="7"/>
        <v>0</v>
      </c>
      <c r="L88" s="384">
        <f t="shared" si="8"/>
        <v>0</v>
      </c>
      <c r="M88" s="384">
        <f t="shared" si="9"/>
        <v>100</v>
      </c>
      <c r="N88" s="384">
        <f t="shared" si="6"/>
        <v>100</v>
      </c>
      <c r="O88" s="383"/>
      <c r="P88" s="384"/>
      <c r="Q88" s="384">
        <v>37.5</v>
      </c>
      <c r="R88" s="385">
        <f t="shared" si="10"/>
        <v>37.5</v>
      </c>
      <c r="S88" s="334">
        <v>4</v>
      </c>
      <c r="T88" s="357"/>
      <c r="V88" s="343" t="s">
        <v>479</v>
      </c>
      <c r="W88" s="334" t="s">
        <v>20</v>
      </c>
      <c r="X88" s="334" t="s">
        <v>12</v>
      </c>
      <c r="Y88" s="344">
        <v>37.5</v>
      </c>
      <c r="AD88" s="343"/>
      <c r="AG88" s="344"/>
      <c r="AL88" s="343"/>
      <c r="AO88" s="344"/>
      <c r="AP88" s="343"/>
      <c r="AS88" s="344"/>
      <c r="AW88" s="344"/>
      <c r="BA88" s="345"/>
    </row>
    <row r="89" spans="1:53" s="334" customFormat="1">
      <c r="A89" s="334">
        <v>2000</v>
      </c>
      <c r="C89" s="992" t="s">
        <v>613</v>
      </c>
      <c r="D89" s="992"/>
      <c r="E89" s="334">
        <v>366</v>
      </c>
      <c r="G89" s="419"/>
      <c r="I89" s="334">
        <v>20</v>
      </c>
      <c r="J89" s="435">
        <v>20</v>
      </c>
      <c r="K89" s="384">
        <f t="shared" si="7"/>
        <v>0</v>
      </c>
      <c r="L89" s="384">
        <f t="shared" si="8"/>
        <v>0</v>
      </c>
      <c r="M89" s="384">
        <f t="shared" si="9"/>
        <v>100</v>
      </c>
      <c r="N89" s="384">
        <f t="shared" si="6"/>
        <v>100</v>
      </c>
      <c r="O89" s="383"/>
      <c r="P89" s="384"/>
      <c r="Q89" s="384">
        <v>37.5</v>
      </c>
      <c r="R89" s="385">
        <f t="shared" si="10"/>
        <v>37.5</v>
      </c>
      <c r="S89" s="334">
        <v>4</v>
      </c>
      <c r="T89" s="357"/>
      <c r="V89" s="343" t="s">
        <v>479</v>
      </c>
      <c r="W89" s="334" t="s">
        <v>20</v>
      </c>
      <c r="X89" s="334" t="s">
        <v>12</v>
      </c>
      <c r="Y89" s="344">
        <v>37.5</v>
      </c>
      <c r="AD89" s="343"/>
      <c r="AG89" s="344"/>
      <c r="AL89" s="343"/>
      <c r="AO89" s="344"/>
      <c r="AP89" s="343"/>
      <c r="AS89" s="344"/>
      <c r="AW89" s="344"/>
      <c r="BA89" s="345"/>
    </row>
    <row r="90" spans="1:53" s="334" customFormat="1">
      <c r="A90" s="334">
        <v>2001</v>
      </c>
      <c r="C90" s="992" t="s">
        <v>613</v>
      </c>
      <c r="D90" s="992"/>
      <c r="E90" s="334">
        <v>0</v>
      </c>
      <c r="G90" s="419"/>
      <c r="I90" s="334">
        <v>20</v>
      </c>
      <c r="J90" s="435">
        <v>20</v>
      </c>
      <c r="K90" s="384">
        <f t="shared" si="7"/>
        <v>0</v>
      </c>
      <c r="L90" s="384">
        <f t="shared" si="8"/>
        <v>0</v>
      </c>
      <c r="M90" s="384">
        <f t="shared" si="9"/>
        <v>100</v>
      </c>
      <c r="N90" s="384">
        <f t="shared" si="6"/>
        <v>100</v>
      </c>
      <c r="O90" s="383"/>
      <c r="P90" s="384"/>
      <c r="Q90" s="384">
        <v>37.5</v>
      </c>
      <c r="R90" s="385">
        <f t="shared" si="10"/>
        <v>37.5</v>
      </c>
      <c r="S90" s="334">
        <v>4</v>
      </c>
      <c r="T90" s="357"/>
      <c r="V90" s="343" t="s">
        <v>479</v>
      </c>
      <c r="W90" s="334" t="s">
        <v>20</v>
      </c>
      <c r="X90" s="334" t="s">
        <v>12</v>
      </c>
      <c r="Y90" s="344">
        <v>37.5</v>
      </c>
      <c r="AD90" s="343"/>
      <c r="AG90" s="344"/>
      <c r="AL90" s="343"/>
      <c r="AO90" s="344"/>
      <c r="AP90" s="343"/>
      <c r="AS90" s="344"/>
      <c r="AW90" s="344"/>
      <c r="BA90" s="345"/>
    </row>
    <row r="91" spans="1:53" s="334" customFormat="1">
      <c r="A91" s="334">
        <v>2001</v>
      </c>
      <c r="C91" s="992" t="s">
        <v>613</v>
      </c>
      <c r="D91" s="992"/>
      <c r="E91" s="334">
        <f>365-E90</f>
        <v>365</v>
      </c>
      <c r="G91" s="419"/>
      <c r="I91" s="334">
        <v>20</v>
      </c>
      <c r="J91" s="435">
        <v>20</v>
      </c>
      <c r="K91" s="384">
        <f t="shared" si="7"/>
        <v>0</v>
      </c>
      <c r="L91" s="384">
        <f t="shared" si="8"/>
        <v>0</v>
      </c>
      <c r="M91" s="384">
        <f t="shared" si="9"/>
        <v>100</v>
      </c>
      <c r="N91" s="384">
        <f t="shared" si="6"/>
        <v>100</v>
      </c>
      <c r="O91" s="383"/>
      <c r="P91" s="384"/>
      <c r="Q91" s="384">
        <v>37.5</v>
      </c>
      <c r="R91" s="385">
        <f t="shared" si="10"/>
        <v>37.5</v>
      </c>
      <c r="S91" s="334">
        <v>4</v>
      </c>
      <c r="T91" s="357"/>
      <c r="V91" s="343" t="s">
        <v>479</v>
      </c>
      <c r="W91" s="334" t="s">
        <v>20</v>
      </c>
      <c r="X91" s="334" t="s">
        <v>12</v>
      </c>
      <c r="Y91" s="344">
        <v>37.5</v>
      </c>
      <c r="AD91" s="343"/>
      <c r="AG91" s="344"/>
      <c r="AL91" s="343"/>
      <c r="AO91" s="344"/>
      <c r="AP91" s="343"/>
      <c r="AS91" s="344"/>
      <c r="AW91" s="344"/>
      <c r="BA91" s="345"/>
    </row>
    <row r="92" spans="1:53" s="334" customFormat="1">
      <c r="A92" s="334">
        <v>2002</v>
      </c>
      <c r="C92" s="992" t="s">
        <v>613</v>
      </c>
      <c r="D92" s="992"/>
      <c r="E92" s="334">
        <v>274</v>
      </c>
      <c r="G92" s="419"/>
      <c r="I92" s="334">
        <v>20</v>
      </c>
      <c r="J92" s="435">
        <v>20</v>
      </c>
      <c r="K92" s="384">
        <f t="shared" si="7"/>
        <v>0</v>
      </c>
      <c r="L92" s="384">
        <f t="shared" si="8"/>
        <v>0</v>
      </c>
      <c r="M92" s="384">
        <f t="shared" si="9"/>
        <v>100</v>
      </c>
      <c r="N92" s="384">
        <f t="shared" si="6"/>
        <v>100</v>
      </c>
      <c r="O92" s="383"/>
      <c r="P92" s="384"/>
      <c r="Q92" s="384">
        <v>37.5</v>
      </c>
      <c r="R92" s="385">
        <f t="shared" si="10"/>
        <v>37.5</v>
      </c>
      <c r="S92" s="334">
        <v>4</v>
      </c>
      <c r="T92" s="357"/>
      <c r="V92" s="343" t="s">
        <v>479</v>
      </c>
      <c r="W92" s="334" t="s">
        <v>20</v>
      </c>
      <c r="X92" s="334" t="s">
        <v>12</v>
      </c>
      <c r="Y92" s="344">
        <v>37.5</v>
      </c>
      <c r="AD92" s="343"/>
      <c r="AG92" s="344"/>
      <c r="AL92" s="343"/>
      <c r="AO92" s="344"/>
      <c r="AP92" s="343"/>
      <c r="AS92" s="344"/>
      <c r="AW92" s="344"/>
      <c r="BA92" s="345"/>
    </row>
    <row r="93" spans="1:53" s="208" customFormat="1">
      <c r="A93" s="208">
        <v>2002</v>
      </c>
      <c r="B93" s="207">
        <v>37531</v>
      </c>
      <c r="C93" s="988" t="s">
        <v>614</v>
      </c>
      <c r="D93" s="988"/>
      <c r="E93" s="208">
        <f>365-E92</f>
        <v>91</v>
      </c>
      <c r="F93" s="208">
        <v>1</v>
      </c>
      <c r="G93" s="123"/>
      <c r="I93" s="208">
        <v>22</v>
      </c>
      <c r="J93" s="134">
        <v>22</v>
      </c>
      <c r="K93" s="92">
        <f t="shared" si="7"/>
        <v>0</v>
      </c>
      <c r="L93" s="92">
        <f t="shared" si="8"/>
        <v>0</v>
      </c>
      <c r="M93" s="92">
        <f t="shared" si="9"/>
        <v>100</v>
      </c>
      <c r="N93" s="92">
        <f t="shared" si="6"/>
        <v>100</v>
      </c>
      <c r="O93" s="91"/>
      <c r="P93" s="92"/>
      <c r="Q93" s="92">
        <v>41.3</v>
      </c>
      <c r="R93" s="93">
        <f t="shared" si="10"/>
        <v>41.3</v>
      </c>
      <c r="S93" s="208">
        <v>4</v>
      </c>
      <c r="T93" s="95">
        <v>37514</v>
      </c>
      <c r="U93" s="207">
        <v>37531</v>
      </c>
      <c r="V93" s="82" t="s">
        <v>479</v>
      </c>
      <c r="W93" s="208" t="s">
        <v>20</v>
      </c>
      <c r="X93" s="208" t="s">
        <v>12</v>
      </c>
      <c r="Y93" s="83">
        <v>41.3</v>
      </c>
      <c r="AD93" s="82"/>
      <c r="AG93" s="83"/>
      <c r="AL93" s="82"/>
      <c r="AO93" s="83"/>
      <c r="AP93" s="82"/>
      <c r="AS93" s="83"/>
      <c r="AW93" s="83"/>
      <c r="BA93" s="84"/>
    </row>
    <row r="94" spans="1:53" s="208" customFormat="1">
      <c r="A94" s="208">
        <v>2003</v>
      </c>
      <c r="C94" s="988" t="s">
        <v>614</v>
      </c>
      <c r="D94" s="988"/>
      <c r="E94" s="208">
        <v>0</v>
      </c>
      <c r="G94" s="123"/>
      <c r="I94" s="208">
        <v>22</v>
      </c>
      <c r="J94" s="134">
        <v>22</v>
      </c>
      <c r="K94" s="92">
        <f t="shared" si="7"/>
        <v>0</v>
      </c>
      <c r="L94" s="92">
        <f t="shared" si="8"/>
        <v>0</v>
      </c>
      <c r="M94" s="92">
        <f t="shared" si="9"/>
        <v>100</v>
      </c>
      <c r="N94" s="92">
        <f t="shared" si="6"/>
        <v>100</v>
      </c>
      <c r="O94" s="91"/>
      <c r="P94" s="92"/>
      <c r="Q94" s="92">
        <v>41.3</v>
      </c>
      <c r="R94" s="93">
        <f t="shared" si="10"/>
        <v>41.3</v>
      </c>
      <c r="S94" s="208">
        <v>4</v>
      </c>
      <c r="T94" s="81"/>
      <c r="V94" s="82" t="s">
        <v>479</v>
      </c>
      <c r="W94" s="208" t="s">
        <v>20</v>
      </c>
      <c r="X94" s="208" t="s">
        <v>12</v>
      </c>
      <c r="Y94" s="83">
        <v>41.3</v>
      </c>
      <c r="AD94" s="82"/>
      <c r="AG94" s="83"/>
      <c r="AL94" s="82"/>
      <c r="AO94" s="83"/>
      <c r="AP94" s="82"/>
      <c r="AS94" s="83"/>
      <c r="AW94" s="83"/>
      <c r="BA94" s="84"/>
    </row>
    <row r="95" spans="1:53" s="208" customFormat="1">
      <c r="A95" s="208">
        <v>2003</v>
      </c>
      <c r="C95" s="988" t="s">
        <v>614</v>
      </c>
      <c r="D95" s="988"/>
      <c r="E95" s="208">
        <f>365-E94</f>
        <v>365</v>
      </c>
      <c r="G95" s="123"/>
      <c r="I95" s="208">
        <v>22</v>
      </c>
      <c r="J95" s="134">
        <v>22</v>
      </c>
      <c r="K95" s="92">
        <f t="shared" si="7"/>
        <v>0</v>
      </c>
      <c r="L95" s="92">
        <f t="shared" si="8"/>
        <v>0</v>
      </c>
      <c r="M95" s="92">
        <f t="shared" si="9"/>
        <v>100</v>
      </c>
      <c r="N95" s="92">
        <f t="shared" si="6"/>
        <v>100</v>
      </c>
      <c r="O95" s="91"/>
      <c r="P95" s="92"/>
      <c r="Q95" s="92">
        <v>41.3</v>
      </c>
      <c r="R95" s="93">
        <f t="shared" si="10"/>
        <v>41.3</v>
      </c>
      <c r="S95" s="208">
        <v>4</v>
      </c>
      <c r="T95" s="81"/>
      <c r="V95" s="82" t="s">
        <v>479</v>
      </c>
      <c r="W95" s="208" t="s">
        <v>20</v>
      </c>
      <c r="X95" s="208" t="s">
        <v>12</v>
      </c>
      <c r="Y95" s="83">
        <v>41.3</v>
      </c>
      <c r="AD95" s="82"/>
      <c r="AG95" s="83"/>
      <c r="AL95" s="82"/>
      <c r="AO95" s="83"/>
      <c r="AP95" s="82"/>
      <c r="AS95" s="83"/>
      <c r="AW95" s="83"/>
      <c r="BA95" s="84"/>
    </row>
    <row r="96" spans="1:53" s="208" customFormat="1">
      <c r="A96" s="208">
        <v>2004</v>
      </c>
      <c r="C96" s="988" t="s">
        <v>614</v>
      </c>
      <c r="D96" s="988"/>
      <c r="E96" s="208">
        <v>0</v>
      </c>
      <c r="G96" s="123"/>
      <c r="I96" s="208">
        <v>22</v>
      </c>
      <c r="J96" s="134">
        <v>22</v>
      </c>
      <c r="K96" s="92">
        <f t="shared" si="7"/>
        <v>0</v>
      </c>
      <c r="L96" s="92">
        <f t="shared" si="8"/>
        <v>0</v>
      </c>
      <c r="M96" s="92">
        <f t="shared" si="9"/>
        <v>100</v>
      </c>
      <c r="N96" s="92">
        <f t="shared" si="6"/>
        <v>100</v>
      </c>
      <c r="O96" s="91"/>
      <c r="P96" s="92"/>
      <c r="Q96" s="92">
        <v>41.3</v>
      </c>
      <c r="R96" s="93">
        <f t="shared" si="10"/>
        <v>41.3</v>
      </c>
      <c r="S96" s="208">
        <v>4</v>
      </c>
      <c r="T96" s="81"/>
      <c r="V96" s="82" t="s">
        <v>479</v>
      </c>
      <c r="W96" s="208" t="s">
        <v>20</v>
      </c>
      <c r="X96" s="208" t="s">
        <v>12</v>
      </c>
      <c r="Y96" s="83">
        <v>41.3</v>
      </c>
      <c r="AD96" s="82"/>
      <c r="AG96" s="83"/>
      <c r="AL96" s="82"/>
      <c r="AO96" s="83"/>
      <c r="AP96" s="82"/>
      <c r="AS96" s="83"/>
      <c r="AW96" s="83"/>
      <c r="BA96" s="84"/>
    </row>
    <row r="97" spans="1:53" s="208" customFormat="1">
      <c r="A97" s="208">
        <v>2004</v>
      </c>
      <c r="C97" s="988" t="s">
        <v>614</v>
      </c>
      <c r="D97" s="988"/>
      <c r="E97" s="208">
        <v>366</v>
      </c>
      <c r="G97" s="123"/>
      <c r="I97" s="208">
        <v>22</v>
      </c>
      <c r="J97" s="134">
        <v>22</v>
      </c>
      <c r="K97" s="92">
        <f t="shared" si="7"/>
        <v>0</v>
      </c>
      <c r="L97" s="92">
        <f t="shared" si="8"/>
        <v>0</v>
      </c>
      <c r="M97" s="92">
        <f t="shared" si="9"/>
        <v>100</v>
      </c>
      <c r="N97" s="92">
        <f t="shared" si="6"/>
        <v>100</v>
      </c>
      <c r="O97" s="91"/>
      <c r="P97" s="92"/>
      <c r="Q97" s="92">
        <v>41.3</v>
      </c>
      <c r="R97" s="93">
        <f t="shared" si="10"/>
        <v>41.3</v>
      </c>
      <c r="S97" s="208">
        <v>4</v>
      </c>
      <c r="T97" s="81"/>
      <c r="V97" s="82" t="s">
        <v>479</v>
      </c>
      <c r="W97" s="208" t="s">
        <v>20</v>
      </c>
      <c r="X97" s="208" t="s">
        <v>12</v>
      </c>
      <c r="Y97" s="83">
        <v>41.3</v>
      </c>
      <c r="AD97" s="82"/>
      <c r="AG97" s="83"/>
      <c r="AL97" s="82"/>
      <c r="AO97" s="83"/>
      <c r="AP97" s="82"/>
      <c r="AS97" s="83"/>
      <c r="AW97" s="83"/>
      <c r="BA97" s="84"/>
    </row>
    <row r="98" spans="1:53" s="208" customFormat="1">
      <c r="A98" s="208">
        <v>2005</v>
      </c>
      <c r="C98" s="988" t="s">
        <v>614</v>
      </c>
      <c r="D98" s="988"/>
      <c r="E98" s="208">
        <v>0</v>
      </c>
      <c r="G98" s="123"/>
      <c r="I98" s="208">
        <v>22</v>
      </c>
      <c r="J98" s="134">
        <v>22</v>
      </c>
      <c r="K98" s="92">
        <f t="shared" si="7"/>
        <v>0</v>
      </c>
      <c r="L98" s="92">
        <f t="shared" si="8"/>
        <v>0</v>
      </c>
      <c r="M98" s="92">
        <f t="shared" si="9"/>
        <v>100</v>
      </c>
      <c r="N98" s="92">
        <f t="shared" si="6"/>
        <v>100</v>
      </c>
      <c r="O98" s="91"/>
      <c r="P98" s="92"/>
      <c r="Q98" s="92">
        <v>41.3</v>
      </c>
      <c r="R98" s="93">
        <f t="shared" si="10"/>
        <v>41.3</v>
      </c>
      <c r="S98" s="208">
        <v>4</v>
      </c>
      <c r="T98" s="81"/>
      <c r="V98" s="82" t="s">
        <v>479</v>
      </c>
      <c r="W98" s="208" t="s">
        <v>20</v>
      </c>
      <c r="X98" s="208" t="s">
        <v>12</v>
      </c>
      <c r="Y98" s="83">
        <v>41.3</v>
      </c>
      <c r="AD98" s="82"/>
      <c r="AG98" s="83"/>
      <c r="AL98" s="82"/>
      <c r="AO98" s="83"/>
      <c r="AP98" s="82"/>
      <c r="AS98" s="83"/>
      <c r="AW98" s="83"/>
      <c r="BA98" s="84"/>
    </row>
    <row r="99" spans="1:53" s="208" customFormat="1">
      <c r="A99" s="208">
        <v>2005</v>
      </c>
      <c r="C99" s="988" t="s">
        <v>614</v>
      </c>
      <c r="D99" s="988"/>
      <c r="E99" s="208">
        <f>365-E98</f>
        <v>365</v>
      </c>
      <c r="G99" s="123"/>
      <c r="I99" s="208">
        <v>22</v>
      </c>
      <c r="J99" s="134">
        <v>22</v>
      </c>
      <c r="K99" s="92">
        <f t="shared" si="7"/>
        <v>0</v>
      </c>
      <c r="L99" s="92">
        <f t="shared" si="8"/>
        <v>0</v>
      </c>
      <c r="M99" s="92">
        <f t="shared" si="9"/>
        <v>100</v>
      </c>
      <c r="N99" s="92">
        <f t="shared" si="6"/>
        <v>100</v>
      </c>
      <c r="O99" s="91"/>
      <c r="P99" s="92"/>
      <c r="Q99" s="92">
        <v>41.3</v>
      </c>
      <c r="R99" s="93">
        <f t="shared" si="10"/>
        <v>41.3</v>
      </c>
      <c r="S99" s="208">
        <v>4</v>
      </c>
      <c r="T99" s="81"/>
      <c r="V99" s="82" t="s">
        <v>479</v>
      </c>
      <c r="W99" s="208" t="s">
        <v>20</v>
      </c>
      <c r="X99" s="208" t="s">
        <v>12</v>
      </c>
      <c r="Y99" s="83">
        <v>41.3</v>
      </c>
      <c r="AD99" s="82"/>
      <c r="AG99" s="83"/>
      <c r="AL99" s="82"/>
      <c r="AO99" s="83"/>
      <c r="AP99" s="82"/>
      <c r="AS99" s="83"/>
      <c r="AW99" s="83"/>
      <c r="BA99" s="84"/>
    </row>
    <row r="100" spans="1:53" s="208" customFormat="1">
      <c r="A100" s="208">
        <v>2006</v>
      </c>
      <c r="C100" s="988" t="s">
        <v>614</v>
      </c>
      <c r="D100" s="988"/>
      <c r="E100" s="208">
        <v>277</v>
      </c>
      <c r="G100" s="123"/>
      <c r="I100" s="208">
        <v>22</v>
      </c>
      <c r="J100" s="134">
        <v>22</v>
      </c>
      <c r="K100" s="92">
        <f t="shared" si="7"/>
        <v>0</v>
      </c>
      <c r="L100" s="92">
        <f t="shared" si="8"/>
        <v>0</v>
      </c>
      <c r="M100" s="92">
        <f t="shared" si="9"/>
        <v>100</v>
      </c>
      <c r="N100" s="92">
        <f t="shared" si="6"/>
        <v>100</v>
      </c>
      <c r="O100" s="91"/>
      <c r="P100" s="92"/>
      <c r="Q100" s="92">
        <v>41.3</v>
      </c>
      <c r="R100" s="93">
        <f t="shared" si="10"/>
        <v>41.3</v>
      </c>
      <c r="S100" s="208">
        <v>4</v>
      </c>
      <c r="T100" s="81"/>
      <c r="V100" s="82" t="s">
        <v>479</v>
      </c>
      <c r="W100" s="208" t="s">
        <v>20</v>
      </c>
      <c r="X100" s="208" t="s">
        <v>12</v>
      </c>
      <c r="Y100" s="83">
        <v>41.3</v>
      </c>
      <c r="AD100" s="82"/>
      <c r="AG100" s="83"/>
      <c r="AL100" s="82"/>
      <c r="AO100" s="83"/>
      <c r="AP100" s="82"/>
      <c r="AS100" s="83"/>
      <c r="AW100" s="83"/>
      <c r="BA100" s="84"/>
    </row>
    <row r="101" spans="1:53" s="334" customFormat="1">
      <c r="A101" s="334">
        <v>2006</v>
      </c>
      <c r="B101" s="355">
        <v>38995</v>
      </c>
      <c r="C101" s="992" t="s">
        <v>615</v>
      </c>
      <c r="D101" s="992"/>
      <c r="E101" s="334">
        <f>365-E100</f>
        <v>88</v>
      </c>
      <c r="F101" s="334">
        <v>1</v>
      </c>
      <c r="G101" s="419">
        <v>15</v>
      </c>
      <c r="H101" s="334">
        <v>7</v>
      </c>
      <c r="J101" s="435">
        <v>22</v>
      </c>
      <c r="K101" s="384">
        <f t="shared" si="7"/>
        <v>68.181818181818173</v>
      </c>
      <c r="L101" s="384">
        <f t="shared" si="8"/>
        <v>31.818181818181817</v>
      </c>
      <c r="M101" s="384">
        <f t="shared" si="9"/>
        <v>0</v>
      </c>
      <c r="N101" s="384">
        <f t="shared" si="6"/>
        <v>99.999999999999986</v>
      </c>
      <c r="O101" s="383">
        <v>35.799999999999997</v>
      </c>
      <c r="P101" s="384">
        <v>15.2</v>
      </c>
      <c r="Q101" s="384"/>
      <c r="R101" s="385">
        <f t="shared" si="10"/>
        <v>51</v>
      </c>
      <c r="S101" s="334">
        <v>2</v>
      </c>
      <c r="T101" s="342">
        <v>38977</v>
      </c>
      <c r="U101" s="355">
        <v>38995</v>
      </c>
      <c r="V101" s="343" t="s">
        <v>482</v>
      </c>
      <c r="W101" s="334" t="s">
        <v>74</v>
      </c>
      <c r="X101" s="334" t="s">
        <v>11</v>
      </c>
      <c r="Y101" s="344">
        <v>27.8</v>
      </c>
      <c r="Z101" s="343" t="s">
        <v>480</v>
      </c>
      <c r="AA101" s="334" t="s">
        <v>75</v>
      </c>
      <c r="AB101" s="334" t="s">
        <v>18</v>
      </c>
      <c r="AC101" s="334">
        <v>8.3000000000000007</v>
      </c>
      <c r="AD101" s="343" t="s">
        <v>481</v>
      </c>
      <c r="AE101" s="334" t="s">
        <v>22</v>
      </c>
      <c r="AF101" s="334" t="s">
        <v>11</v>
      </c>
      <c r="AG101" s="344">
        <v>8</v>
      </c>
      <c r="AH101" s="343" t="s">
        <v>483</v>
      </c>
      <c r="AI101" s="334" t="s">
        <v>17</v>
      </c>
      <c r="AJ101" s="334" t="s">
        <v>18</v>
      </c>
      <c r="AK101" s="334">
        <v>6.9</v>
      </c>
      <c r="AL101" s="343"/>
      <c r="AO101" s="344"/>
      <c r="AP101" s="343"/>
      <c r="AS101" s="344"/>
      <c r="AW101" s="344"/>
      <c r="BA101" s="345"/>
    </row>
    <row r="102" spans="1:53" s="334" customFormat="1">
      <c r="A102" s="334">
        <v>2007</v>
      </c>
      <c r="C102" s="992" t="s">
        <v>615</v>
      </c>
      <c r="D102" s="992"/>
      <c r="E102" s="334">
        <v>0</v>
      </c>
      <c r="G102" s="419">
        <v>15</v>
      </c>
      <c r="H102" s="334">
        <v>7</v>
      </c>
      <c r="J102" s="435">
        <v>22</v>
      </c>
      <c r="K102" s="384">
        <f t="shared" si="7"/>
        <v>68.181818181818173</v>
      </c>
      <c r="L102" s="384">
        <f t="shared" si="8"/>
        <v>31.818181818181817</v>
      </c>
      <c r="M102" s="384">
        <f t="shared" si="9"/>
        <v>0</v>
      </c>
      <c r="N102" s="384">
        <f t="shared" si="6"/>
        <v>99.999999999999986</v>
      </c>
      <c r="O102" s="383">
        <v>35.799999999999997</v>
      </c>
      <c r="P102" s="384">
        <v>15.2</v>
      </c>
      <c r="Q102" s="384"/>
      <c r="R102" s="385">
        <f t="shared" si="10"/>
        <v>51</v>
      </c>
      <c r="S102" s="334">
        <v>2</v>
      </c>
      <c r="T102" s="357"/>
      <c r="V102" s="343" t="s">
        <v>482</v>
      </c>
      <c r="W102" s="334" t="s">
        <v>74</v>
      </c>
      <c r="X102" s="334" t="s">
        <v>11</v>
      </c>
      <c r="Y102" s="344">
        <v>27.8</v>
      </c>
      <c r="Z102" s="343" t="s">
        <v>480</v>
      </c>
      <c r="AA102" s="334" t="s">
        <v>75</v>
      </c>
      <c r="AB102" s="334" t="s">
        <v>18</v>
      </c>
      <c r="AC102" s="334">
        <v>8.3000000000000007</v>
      </c>
      <c r="AD102" s="343" t="s">
        <v>481</v>
      </c>
      <c r="AE102" s="334" t="s">
        <v>22</v>
      </c>
      <c r="AF102" s="334" t="s">
        <v>11</v>
      </c>
      <c r="AG102" s="344">
        <v>8</v>
      </c>
      <c r="AH102" s="343" t="s">
        <v>483</v>
      </c>
      <c r="AI102" s="334" t="s">
        <v>17</v>
      </c>
      <c r="AJ102" s="334" t="s">
        <v>18</v>
      </c>
      <c r="AK102" s="334">
        <v>6.9</v>
      </c>
      <c r="AL102" s="343"/>
      <c r="AO102" s="344"/>
      <c r="AP102" s="343"/>
      <c r="AS102" s="344"/>
      <c r="AW102" s="344"/>
      <c r="BA102" s="345"/>
    </row>
    <row r="103" spans="1:53" s="334" customFormat="1">
      <c r="A103" s="334">
        <v>2007</v>
      </c>
      <c r="C103" s="992" t="s">
        <v>615</v>
      </c>
      <c r="D103" s="992"/>
      <c r="E103" s="334">
        <v>365</v>
      </c>
      <c r="G103" s="419">
        <v>15</v>
      </c>
      <c r="H103" s="334">
        <v>7</v>
      </c>
      <c r="J103" s="435">
        <v>22</v>
      </c>
      <c r="K103" s="384">
        <f t="shared" si="7"/>
        <v>68.181818181818173</v>
      </c>
      <c r="L103" s="384">
        <f t="shared" si="8"/>
        <v>31.818181818181817</v>
      </c>
      <c r="M103" s="384">
        <f t="shared" si="9"/>
        <v>0</v>
      </c>
      <c r="N103" s="384">
        <f t="shared" si="6"/>
        <v>99.999999999999986</v>
      </c>
      <c r="O103" s="383">
        <v>35.799999999999997</v>
      </c>
      <c r="P103" s="384">
        <v>15.2</v>
      </c>
      <c r="Q103" s="384"/>
      <c r="R103" s="385">
        <f t="shared" si="10"/>
        <v>51</v>
      </c>
      <c r="S103" s="334">
        <v>2</v>
      </c>
      <c r="T103" s="357"/>
      <c r="V103" s="343" t="s">
        <v>482</v>
      </c>
      <c r="W103" s="334" t="s">
        <v>74</v>
      </c>
      <c r="X103" s="334" t="s">
        <v>11</v>
      </c>
      <c r="Y103" s="344">
        <v>27.8</v>
      </c>
      <c r="Z103" s="343" t="s">
        <v>480</v>
      </c>
      <c r="AA103" s="334" t="s">
        <v>75</v>
      </c>
      <c r="AB103" s="334" t="s">
        <v>18</v>
      </c>
      <c r="AC103" s="334">
        <v>8.3000000000000007</v>
      </c>
      <c r="AD103" s="343" t="s">
        <v>481</v>
      </c>
      <c r="AE103" s="334" t="s">
        <v>22</v>
      </c>
      <c r="AF103" s="334" t="s">
        <v>11</v>
      </c>
      <c r="AG103" s="344">
        <v>8</v>
      </c>
      <c r="AH103" s="343" t="s">
        <v>483</v>
      </c>
      <c r="AI103" s="334" t="s">
        <v>17</v>
      </c>
      <c r="AJ103" s="334" t="s">
        <v>18</v>
      </c>
      <c r="AK103" s="334">
        <v>6.9</v>
      </c>
      <c r="AL103" s="343"/>
      <c r="AO103" s="344"/>
      <c r="AP103" s="343"/>
      <c r="AS103" s="344"/>
      <c r="AW103" s="344"/>
      <c r="BA103" s="345"/>
    </row>
    <row r="104" spans="1:53" s="334" customFormat="1">
      <c r="A104" s="334">
        <v>2008</v>
      </c>
      <c r="C104" s="992" t="s">
        <v>615</v>
      </c>
      <c r="D104" s="992"/>
      <c r="E104" s="334">
        <v>0</v>
      </c>
      <c r="G104" s="419">
        <v>15</v>
      </c>
      <c r="H104" s="334">
        <v>7</v>
      </c>
      <c r="J104" s="435">
        <v>22</v>
      </c>
      <c r="K104" s="384">
        <f t="shared" si="7"/>
        <v>68.181818181818173</v>
      </c>
      <c r="L104" s="384">
        <f t="shared" si="8"/>
        <v>31.818181818181817</v>
      </c>
      <c r="M104" s="384">
        <f t="shared" si="9"/>
        <v>0</v>
      </c>
      <c r="N104" s="384">
        <f t="shared" si="6"/>
        <v>99.999999999999986</v>
      </c>
      <c r="O104" s="383">
        <v>35.799999999999997</v>
      </c>
      <c r="P104" s="384">
        <v>15.2</v>
      </c>
      <c r="Q104" s="384"/>
      <c r="R104" s="385">
        <f t="shared" si="10"/>
        <v>51</v>
      </c>
      <c r="S104" s="334">
        <v>2</v>
      </c>
      <c r="T104" s="357"/>
      <c r="V104" s="343" t="s">
        <v>482</v>
      </c>
      <c r="W104" s="334" t="s">
        <v>74</v>
      </c>
      <c r="X104" s="334" t="s">
        <v>11</v>
      </c>
      <c r="Y104" s="344">
        <v>27.8</v>
      </c>
      <c r="Z104" s="343" t="s">
        <v>480</v>
      </c>
      <c r="AA104" s="334" t="s">
        <v>75</v>
      </c>
      <c r="AB104" s="334" t="s">
        <v>18</v>
      </c>
      <c r="AC104" s="334">
        <v>8.3000000000000007</v>
      </c>
      <c r="AD104" s="343" t="s">
        <v>481</v>
      </c>
      <c r="AE104" s="334" t="s">
        <v>22</v>
      </c>
      <c r="AF104" s="334" t="s">
        <v>11</v>
      </c>
      <c r="AG104" s="344">
        <v>8</v>
      </c>
      <c r="AH104" s="343" t="s">
        <v>483</v>
      </c>
      <c r="AI104" s="334" t="s">
        <v>17</v>
      </c>
      <c r="AJ104" s="334" t="s">
        <v>18</v>
      </c>
      <c r="AK104" s="334">
        <v>6.9</v>
      </c>
      <c r="AL104" s="343"/>
      <c r="AO104" s="344"/>
      <c r="AP104" s="343"/>
      <c r="AS104" s="344"/>
      <c r="AW104" s="344"/>
      <c r="BA104" s="345"/>
    </row>
    <row r="105" spans="1:53" s="334" customFormat="1">
      <c r="A105" s="334">
        <v>2008</v>
      </c>
      <c r="C105" s="992" t="s">
        <v>615</v>
      </c>
      <c r="D105" s="992"/>
      <c r="E105" s="334">
        <v>366</v>
      </c>
      <c r="G105" s="419">
        <v>15</v>
      </c>
      <c r="H105" s="334">
        <v>7</v>
      </c>
      <c r="J105" s="435">
        <v>22</v>
      </c>
      <c r="K105" s="384">
        <f t="shared" si="7"/>
        <v>68.181818181818173</v>
      </c>
      <c r="L105" s="384">
        <f t="shared" si="8"/>
        <v>31.818181818181817</v>
      </c>
      <c r="M105" s="384">
        <f t="shared" si="9"/>
        <v>0</v>
      </c>
      <c r="N105" s="384">
        <f t="shared" si="6"/>
        <v>99.999999999999986</v>
      </c>
      <c r="O105" s="383">
        <v>35.799999999999997</v>
      </c>
      <c r="P105" s="384">
        <v>15.2</v>
      </c>
      <c r="Q105" s="384"/>
      <c r="R105" s="385">
        <f t="shared" si="10"/>
        <v>51</v>
      </c>
      <c r="S105" s="334">
        <v>2</v>
      </c>
      <c r="T105" s="357"/>
      <c r="V105" s="343" t="s">
        <v>482</v>
      </c>
      <c r="W105" s="334" t="s">
        <v>74</v>
      </c>
      <c r="X105" s="334" t="s">
        <v>11</v>
      </c>
      <c r="Y105" s="344">
        <v>27.8</v>
      </c>
      <c r="Z105" s="343" t="s">
        <v>480</v>
      </c>
      <c r="AA105" s="334" t="s">
        <v>75</v>
      </c>
      <c r="AB105" s="334" t="s">
        <v>18</v>
      </c>
      <c r="AC105" s="334">
        <v>8.3000000000000007</v>
      </c>
      <c r="AD105" s="343" t="s">
        <v>481</v>
      </c>
      <c r="AE105" s="334" t="s">
        <v>22</v>
      </c>
      <c r="AF105" s="334" t="s">
        <v>11</v>
      </c>
      <c r="AG105" s="344">
        <v>8</v>
      </c>
      <c r="AH105" s="343" t="s">
        <v>483</v>
      </c>
      <c r="AI105" s="334" t="s">
        <v>17</v>
      </c>
      <c r="AJ105" s="334" t="s">
        <v>18</v>
      </c>
      <c r="AK105" s="334">
        <v>6.9</v>
      </c>
      <c r="AL105" s="343"/>
      <c r="AO105" s="344"/>
      <c r="AP105" s="343"/>
      <c r="AS105" s="344"/>
      <c r="AW105" s="344"/>
      <c r="BA105" s="345"/>
    </row>
    <row r="106" spans="1:53" s="334" customFormat="1">
      <c r="A106" s="334">
        <v>2009</v>
      </c>
      <c r="C106" s="992" t="s">
        <v>615</v>
      </c>
      <c r="D106" s="992"/>
      <c r="E106" s="334">
        <v>0</v>
      </c>
      <c r="G106" s="419">
        <v>15</v>
      </c>
      <c r="H106" s="334">
        <v>7</v>
      </c>
      <c r="J106" s="435">
        <v>22</v>
      </c>
      <c r="K106" s="384">
        <f t="shared" si="7"/>
        <v>68.181818181818173</v>
      </c>
      <c r="L106" s="384">
        <f t="shared" si="8"/>
        <v>31.818181818181817</v>
      </c>
      <c r="M106" s="384">
        <f t="shared" si="9"/>
        <v>0</v>
      </c>
      <c r="N106" s="384">
        <f t="shared" si="6"/>
        <v>99.999999999999986</v>
      </c>
      <c r="O106" s="383">
        <v>35.799999999999997</v>
      </c>
      <c r="P106" s="384">
        <v>15.2</v>
      </c>
      <c r="Q106" s="384"/>
      <c r="R106" s="385">
        <f t="shared" si="10"/>
        <v>51</v>
      </c>
      <c r="S106" s="334">
        <v>2</v>
      </c>
      <c r="T106" s="357"/>
      <c r="V106" s="343" t="s">
        <v>482</v>
      </c>
      <c r="W106" s="334" t="s">
        <v>74</v>
      </c>
      <c r="X106" s="334" t="s">
        <v>11</v>
      </c>
      <c r="Y106" s="344">
        <v>27.8</v>
      </c>
      <c r="Z106" s="343" t="s">
        <v>480</v>
      </c>
      <c r="AA106" s="334" t="s">
        <v>75</v>
      </c>
      <c r="AB106" s="334" t="s">
        <v>18</v>
      </c>
      <c r="AC106" s="334">
        <v>8.3000000000000007</v>
      </c>
      <c r="AD106" s="343" t="s">
        <v>481</v>
      </c>
      <c r="AE106" s="334" t="s">
        <v>22</v>
      </c>
      <c r="AF106" s="334" t="s">
        <v>11</v>
      </c>
      <c r="AG106" s="344">
        <v>8</v>
      </c>
      <c r="AH106" s="343" t="s">
        <v>483</v>
      </c>
      <c r="AI106" s="334" t="s">
        <v>17</v>
      </c>
      <c r="AJ106" s="334" t="s">
        <v>18</v>
      </c>
      <c r="AK106" s="334">
        <v>6.9</v>
      </c>
      <c r="AL106" s="343"/>
      <c r="AO106" s="344"/>
      <c r="AP106" s="343"/>
      <c r="AS106" s="344"/>
      <c r="AW106" s="344"/>
      <c r="BA106" s="345"/>
    </row>
    <row r="107" spans="1:53" s="334" customFormat="1">
      <c r="A107" s="334">
        <v>2009</v>
      </c>
      <c r="C107" s="992" t="s">
        <v>615</v>
      </c>
      <c r="D107" s="992"/>
      <c r="E107" s="334">
        <v>365</v>
      </c>
      <c r="G107" s="419">
        <v>15</v>
      </c>
      <c r="H107" s="334">
        <v>7</v>
      </c>
      <c r="J107" s="435">
        <v>22</v>
      </c>
      <c r="K107" s="384">
        <f t="shared" si="7"/>
        <v>68.181818181818173</v>
      </c>
      <c r="L107" s="384">
        <f t="shared" si="8"/>
        <v>31.818181818181817</v>
      </c>
      <c r="M107" s="384">
        <f t="shared" si="9"/>
        <v>0</v>
      </c>
      <c r="N107" s="384">
        <f t="shared" si="6"/>
        <v>99.999999999999986</v>
      </c>
      <c r="O107" s="383">
        <v>35.799999999999997</v>
      </c>
      <c r="P107" s="384">
        <v>15.2</v>
      </c>
      <c r="Q107" s="384"/>
      <c r="R107" s="385">
        <f t="shared" si="10"/>
        <v>51</v>
      </c>
      <c r="S107" s="334">
        <v>2</v>
      </c>
      <c r="T107" s="357"/>
      <c r="V107" s="343" t="s">
        <v>482</v>
      </c>
      <c r="W107" s="334" t="s">
        <v>74</v>
      </c>
      <c r="X107" s="334" t="s">
        <v>11</v>
      </c>
      <c r="Y107" s="344">
        <v>27.8</v>
      </c>
      <c r="Z107" s="343" t="s">
        <v>480</v>
      </c>
      <c r="AA107" s="334" t="s">
        <v>75</v>
      </c>
      <c r="AB107" s="334" t="s">
        <v>18</v>
      </c>
      <c r="AC107" s="334">
        <v>8.3000000000000007</v>
      </c>
      <c r="AD107" s="343" t="s">
        <v>481</v>
      </c>
      <c r="AE107" s="334" t="s">
        <v>22</v>
      </c>
      <c r="AF107" s="334" t="s">
        <v>11</v>
      </c>
      <c r="AG107" s="344">
        <v>8</v>
      </c>
      <c r="AH107" s="343" t="s">
        <v>483</v>
      </c>
      <c r="AI107" s="334" t="s">
        <v>17</v>
      </c>
      <c r="AJ107" s="334" t="s">
        <v>18</v>
      </c>
      <c r="AK107" s="334">
        <v>6.9</v>
      </c>
      <c r="AL107" s="343"/>
      <c r="AO107" s="344"/>
      <c r="AP107" s="343"/>
      <c r="AS107" s="344"/>
      <c r="AW107" s="344"/>
      <c r="BA107" s="345"/>
    </row>
    <row r="108" spans="1:53" s="334" customFormat="1">
      <c r="A108" s="334">
        <v>2010</v>
      </c>
      <c r="C108" s="992" t="s">
        <v>615</v>
      </c>
      <c r="D108" s="992"/>
      <c r="E108" s="334">
        <v>262</v>
      </c>
      <c r="G108" s="419">
        <v>15</v>
      </c>
      <c r="H108" s="334">
        <v>7</v>
      </c>
      <c r="J108" s="435">
        <v>22</v>
      </c>
      <c r="K108" s="384">
        <f t="shared" si="7"/>
        <v>68.181818181818173</v>
      </c>
      <c r="L108" s="384">
        <f t="shared" si="8"/>
        <v>31.818181818181817</v>
      </c>
      <c r="M108" s="384">
        <f t="shared" si="9"/>
        <v>0</v>
      </c>
      <c r="N108" s="384">
        <f t="shared" si="6"/>
        <v>99.999999999999986</v>
      </c>
      <c r="O108" s="383">
        <v>35.799999999999997</v>
      </c>
      <c r="P108" s="384">
        <v>15.2</v>
      </c>
      <c r="Q108" s="384"/>
      <c r="R108" s="385">
        <f t="shared" si="10"/>
        <v>51</v>
      </c>
      <c r="S108" s="334">
        <v>2</v>
      </c>
      <c r="T108" s="357"/>
      <c r="V108" s="343" t="s">
        <v>482</v>
      </c>
      <c r="W108" s="334" t="s">
        <v>74</v>
      </c>
      <c r="X108" s="334" t="s">
        <v>11</v>
      </c>
      <c r="Y108" s="344">
        <v>27.8</v>
      </c>
      <c r="Z108" s="343" t="s">
        <v>480</v>
      </c>
      <c r="AA108" s="334" t="s">
        <v>75</v>
      </c>
      <c r="AB108" s="334" t="s">
        <v>18</v>
      </c>
      <c r="AC108" s="334">
        <v>8.3000000000000007</v>
      </c>
      <c r="AD108" s="343" t="s">
        <v>481</v>
      </c>
      <c r="AE108" s="334" t="s">
        <v>22</v>
      </c>
      <c r="AF108" s="334" t="s">
        <v>11</v>
      </c>
      <c r="AG108" s="344">
        <v>8</v>
      </c>
      <c r="AH108" s="343" t="s">
        <v>483</v>
      </c>
      <c r="AI108" s="334" t="s">
        <v>17</v>
      </c>
      <c r="AJ108" s="334" t="s">
        <v>18</v>
      </c>
      <c r="AK108" s="334">
        <v>6.9</v>
      </c>
      <c r="AL108" s="343"/>
      <c r="AO108" s="344"/>
      <c r="AP108" s="343"/>
      <c r="AS108" s="344"/>
      <c r="AW108" s="344"/>
      <c r="BA108" s="345"/>
    </row>
    <row r="109" spans="1:53" s="208" customFormat="1">
      <c r="A109" s="208">
        <v>2010</v>
      </c>
      <c r="B109" s="207">
        <v>40441</v>
      </c>
      <c r="C109" s="988" t="s">
        <v>616</v>
      </c>
      <c r="D109" s="988"/>
      <c r="E109" s="208">
        <f>365-E108</f>
        <v>103</v>
      </c>
      <c r="F109" s="208">
        <v>1</v>
      </c>
      <c r="G109" s="123">
        <v>17</v>
      </c>
      <c r="H109" s="208">
        <v>7</v>
      </c>
      <c r="J109" s="134">
        <v>24</v>
      </c>
      <c r="K109" s="92">
        <f t="shared" si="7"/>
        <v>70.833333333333343</v>
      </c>
      <c r="L109" s="92">
        <f t="shared" si="8"/>
        <v>29.166666666666668</v>
      </c>
      <c r="M109" s="92">
        <f t="shared" si="9"/>
        <v>0</v>
      </c>
      <c r="N109" s="92">
        <f t="shared" si="6"/>
        <v>100.00000000000001</v>
      </c>
      <c r="O109" s="91">
        <v>37.6</v>
      </c>
      <c r="P109" s="92">
        <v>12</v>
      </c>
      <c r="Q109" s="92"/>
      <c r="R109" s="93">
        <f t="shared" si="10"/>
        <v>49.6</v>
      </c>
      <c r="S109" s="208">
        <v>5</v>
      </c>
      <c r="T109" s="95">
        <v>40440</v>
      </c>
      <c r="U109" s="207">
        <v>40441</v>
      </c>
      <c r="V109" s="82" t="s">
        <v>482</v>
      </c>
      <c r="W109" s="208" t="s">
        <v>74</v>
      </c>
      <c r="X109" s="208" t="s">
        <v>11</v>
      </c>
      <c r="Y109" s="83">
        <v>30.7</v>
      </c>
      <c r="Z109" s="82" t="s">
        <v>480</v>
      </c>
      <c r="AA109" s="208" t="s">
        <v>75</v>
      </c>
      <c r="AB109" s="208" t="s">
        <v>18</v>
      </c>
      <c r="AC109" s="208">
        <v>6.6</v>
      </c>
      <c r="AD109" s="82" t="s">
        <v>481</v>
      </c>
      <c r="AE109" s="208" t="s">
        <v>22</v>
      </c>
      <c r="AF109" s="208" t="s">
        <v>11</v>
      </c>
      <c r="AG109" s="83">
        <v>6.9</v>
      </c>
      <c r="AH109" s="82" t="s">
        <v>483</v>
      </c>
      <c r="AI109" s="208" t="s">
        <v>17</v>
      </c>
      <c r="AJ109" s="208" t="s">
        <v>18</v>
      </c>
      <c r="AK109" s="208">
        <v>5.4</v>
      </c>
      <c r="AL109" s="82"/>
      <c r="AO109" s="83"/>
      <c r="AP109" s="82"/>
      <c r="AS109" s="83"/>
      <c r="AW109" s="83"/>
      <c r="BA109" s="84"/>
    </row>
    <row r="110" spans="1:53" s="208" customFormat="1">
      <c r="A110" s="208">
        <v>2011</v>
      </c>
      <c r="C110" s="988" t="s">
        <v>616</v>
      </c>
      <c r="D110" s="988"/>
      <c r="E110" s="208">
        <v>0</v>
      </c>
      <c r="G110" s="123">
        <v>17</v>
      </c>
      <c r="H110" s="208">
        <v>7</v>
      </c>
      <c r="J110" s="134">
        <v>24</v>
      </c>
      <c r="K110" s="92">
        <f t="shared" ref="K110:K115" si="11">G110/J110*100</f>
        <v>70.833333333333343</v>
      </c>
      <c r="L110" s="92">
        <f t="shared" ref="L110:L115" si="12">H110/J110*100</f>
        <v>29.166666666666668</v>
      </c>
      <c r="M110" s="92">
        <f t="shared" ref="M110:M115" si="13">I110/J110*100</f>
        <v>0</v>
      </c>
      <c r="N110" s="92">
        <f t="shared" si="6"/>
        <v>100.00000000000001</v>
      </c>
      <c r="O110" s="91">
        <v>37.6</v>
      </c>
      <c r="P110" s="92">
        <v>12</v>
      </c>
      <c r="Q110" s="92"/>
      <c r="R110" s="93">
        <f t="shared" si="10"/>
        <v>49.6</v>
      </c>
      <c r="S110" s="208">
        <v>5</v>
      </c>
      <c r="T110" s="81"/>
      <c r="V110" s="82" t="s">
        <v>482</v>
      </c>
      <c r="W110" s="208" t="s">
        <v>74</v>
      </c>
      <c r="X110" s="208" t="s">
        <v>11</v>
      </c>
      <c r="Y110" s="83">
        <v>30.7</v>
      </c>
      <c r="Z110" s="82" t="s">
        <v>480</v>
      </c>
      <c r="AA110" s="208" t="s">
        <v>75</v>
      </c>
      <c r="AB110" s="208" t="s">
        <v>18</v>
      </c>
      <c r="AC110" s="208">
        <v>6.6</v>
      </c>
      <c r="AD110" s="82" t="s">
        <v>481</v>
      </c>
      <c r="AE110" s="208" t="s">
        <v>22</v>
      </c>
      <c r="AF110" s="208" t="s">
        <v>11</v>
      </c>
      <c r="AG110" s="83">
        <v>6.9</v>
      </c>
      <c r="AH110" s="82" t="s">
        <v>483</v>
      </c>
      <c r="AI110" s="208" t="s">
        <v>17</v>
      </c>
      <c r="AJ110" s="208" t="s">
        <v>18</v>
      </c>
      <c r="AK110" s="208">
        <v>5.4</v>
      </c>
      <c r="AL110" s="82"/>
      <c r="AO110" s="83"/>
      <c r="AP110" s="82"/>
      <c r="AS110" s="83"/>
      <c r="AW110" s="83"/>
      <c r="BA110" s="84"/>
    </row>
    <row r="111" spans="1:53" s="208" customFormat="1">
      <c r="A111" s="208">
        <v>2011</v>
      </c>
      <c r="C111" s="988" t="s">
        <v>616</v>
      </c>
      <c r="D111" s="988"/>
      <c r="E111" s="208">
        <v>365</v>
      </c>
      <c r="G111" s="123">
        <v>17</v>
      </c>
      <c r="H111" s="208">
        <v>7</v>
      </c>
      <c r="J111" s="134">
        <v>24</v>
      </c>
      <c r="K111" s="92">
        <f t="shared" si="11"/>
        <v>70.833333333333343</v>
      </c>
      <c r="L111" s="92">
        <f t="shared" si="12"/>
        <v>29.166666666666668</v>
      </c>
      <c r="M111" s="92">
        <f t="shared" si="13"/>
        <v>0</v>
      </c>
      <c r="N111" s="92">
        <f t="shared" si="6"/>
        <v>100.00000000000001</v>
      </c>
      <c r="O111" s="91">
        <v>37.6</v>
      </c>
      <c r="P111" s="92">
        <v>12</v>
      </c>
      <c r="Q111" s="92"/>
      <c r="R111" s="93">
        <f t="shared" si="10"/>
        <v>49.6</v>
      </c>
      <c r="S111" s="208">
        <v>5</v>
      </c>
      <c r="T111" s="81"/>
      <c r="V111" s="82" t="s">
        <v>482</v>
      </c>
      <c r="W111" s="208" t="s">
        <v>74</v>
      </c>
      <c r="X111" s="208" t="s">
        <v>11</v>
      </c>
      <c r="Y111" s="83">
        <v>30.7</v>
      </c>
      <c r="Z111" s="82" t="s">
        <v>480</v>
      </c>
      <c r="AA111" s="208" t="s">
        <v>75</v>
      </c>
      <c r="AB111" s="208" t="s">
        <v>18</v>
      </c>
      <c r="AC111" s="208">
        <v>6.6</v>
      </c>
      <c r="AD111" s="82" t="s">
        <v>481</v>
      </c>
      <c r="AE111" s="208" t="s">
        <v>22</v>
      </c>
      <c r="AF111" s="208" t="s">
        <v>11</v>
      </c>
      <c r="AG111" s="83">
        <v>6.9</v>
      </c>
      <c r="AH111" s="82" t="s">
        <v>483</v>
      </c>
      <c r="AI111" s="208" t="s">
        <v>17</v>
      </c>
      <c r="AJ111" s="208" t="s">
        <v>18</v>
      </c>
      <c r="AK111" s="208">
        <v>5.4</v>
      </c>
      <c r="AL111" s="82"/>
      <c r="AO111" s="83"/>
      <c r="AP111" s="82"/>
      <c r="AS111" s="83"/>
      <c r="AW111" s="83"/>
      <c r="BA111" s="84"/>
    </row>
    <row r="112" spans="1:53" s="208" customFormat="1">
      <c r="A112" s="208">
        <v>2012</v>
      </c>
      <c r="C112" s="988" t="s">
        <v>616</v>
      </c>
      <c r="D112" s="988"/>
      <c r="E112" s="208">
        <v>0</v>
      </c>
      <c r="G112" s="123">
        <v>17</v>
      </c>
      <c r="H112" s="208">
        <v>7</v>
      </c>
      <c r="J112" s="134">
        <v>24</v>
      </c>
      <c r="K112" s="92">
        <f t="shared" si="11"/>
        <v>70.833333333333343</v>
      </c>
      <c r="L112" s="92">
        <f t="shared" si="12"/>
        <v>29.166666666666668</v>
      </c>
      <c r="M112" s="92">
        <f t="shared" si="13"/>
        <v>0</v>
      </c>
      <c r="N112" s="92">
        <f t="shared" si="6"/>
        <v>100.00000000000001</v>
      </c>
      <c r="O112" s="91">
        <v>37.6</v>
      </c>
      <c r="P112" s="92">
        <v>12</v>
      </c>
      <c r="Q112" s="92"/>
      <c r="R112" s="93">
        <f t="shared" si="10"/>
        <v>49.6</v>
      </c>
      <c r="S112" s="208">
        <v>5</v>
      </c>
      <c r="T112" s="81"/>
      <c r="V112" s="82" t="s">
        <v>482</v>
      </c>
      <c r="W112" s="208" t="s">
        <v>74</v>
      </c>
      <c r="X112" s="208" t="s">
        <v>11</v>
      </c>
      <c r="Y112" s="83">
        <v>30.7</v>
      </c>
      <c r="Z112" s="82" t="s">
        <v>480</v>
      </c>
      <c r="AA112" s="208" t="s">
        <v>75</v>
      </c>
      <c r="AB112" s="208" t="s">
        <v>18</v>
      </c>
      <c r="AC112" s="208">
        <v>6.6</v>
      </c>
      <c r="AD112" s="82" t="s">
        <v>481</v>
      </c>
      <c r="AE112" s="208" t="s">
        <v>22</v>
      </c>
      <c r="AF112" s="208" t="s">
        <v>11</v>
      </c>
      <c r="AG112" s="83">
        <v>6.9</v>
      </c>
      <c r="AH112" s="82" t="s">
        <v>483</v>
      </c>
      <c r="AI112" s="208" t="s">
        <v>17</v>
      </c>
      <c r="AJ112" s="208" t="s">
        <v>18</v>
      </c>
      <c r="AK112" s="208">
        <v>5.4</v>
      </c>
      <c r="AL112" s="82"/>
      <c r="AO112" s="83"/>
      <c r="AP112" s="82"/>
      <c r="AS112" s="83"/>
      <c r="AW112" s="83"/>
      <c r="BA112" s="84"/>
    </row>
    <row r="113" spans="1:53" s="208" customFormat="1">
      <c r="A113" s="208">
        <v>2012</v>
      </c>
      <c r="C113" s="988" t="s">
        <v>616</v>
      </c>
      <c r="D113" s="988"/>
      <c r="E113" s="208">
        <v>366</v>
      </c>
      <c r="G113" s="123">
        <v>17</v>
      </c>
      <c r="H113" s="208">
        <v>7</v>
      </c>
      <c r="J113" s="134">
        <v>24</v>
      </c>
      <c r="K113" s="92">
        <f t="shared" si="11"/>
        <v>70.833333333333343</v>
      </c>
      <c r="L113" s="92">
        <f t="shared" si="12"/>
        <v>29.166666666666668</v>
      </c>
      <c r="M113" s="92">
        <f t="shared" si="13"/>
        <v>0</v>
      </c>
      <c r="N113" s="92">
        <f t="shared" si="6"/>
        <v>100.00000000000001</v>
      </c>
      <c r="O113" s="91">
        <v>37.6</v>
      </c>
      <c r="P113" s="92">
        <v>12</v>
      </c>
      <c r="Q113" s="92"/>
      <c r="R113" s="93">
        <f t="shared" si="10"/>
        <v>49.6</v>
      </c>
      <c r="S113" s="208">
        <v>5</v>
      </c>
      <c r="T113" s="81"/>
      <c r="V113" s="82" t="s">
        <v>482</v>
      </c>
      <c r="W113" s="208" t="s">
        <v>74</v>
      </c>
      <c r="X113" s="208" t="s">
        <v>11</v>
      </c>
      <c r="Y113" s="83">
        <v>30.7</v>
      </c>
      <c r="Z113" s="82" t="s">
        <v>480</v>
      </c>
      <c r="AA113" s="208" t="s">
        <v>75</v>
      </c>
      <c r="AB113" s="208" t="s">
        <v>18</v>
      </c>
      <c r="AC113" s="208">
        <v>6.6</v>
      </c>
      <c r="AD113" s="82" t="s">
        <v>481</v>
      </c>
      <c r="AE113" s="208" t="s">
        <v>22</v>
      </c>
      <c r="AF113" s="208" t="s">
        <v>11</v>
      </c>
      <c r="AG113" s="83">
        <v>6.9</v>
      </c>
      <c r="AH113" s="82" t="s">
        <v>483</v>
      </c>
      <c r="AI113" s="208" t="s">
        <v>17</v>
      </c>
      <c r="AJ113" s="208" t="s">
        <v>18</v>
      </c>
      <c r="AK113" s="208">
        <v>5.4</v>
      </c>
      <c r="AL113" s="82"/>
      <c r="AO113" s="83"/>
      <c r="AP113" s="82"/>
      <c r="AS113" s="83"/>
      <c r="AW113" s="83"/>
      <c r="BA113" s="84"/>
    </row>
    <row r="114" spans="1:53" s="310" customFormat="1">
      <c r="A114" s="310">
        <v>2013</v>
      </c>
      <c r="C114" s="988" t="s">
        <v>616</v>
      </c>
      <c r="D114" s="988"/>
      <c r="E114" s="310">
        <v>0</v>
      </c>
      <c r="G114" s="123">
        <v>17</v>
      </c>
      <c r="H114" s="310">
        <v>7</v>
      </c>
      <c r="J114" s="134">
        <v>24</v>
      </c>
      <c r="K114" s="92">
        <f t="shared" si="11"/>
        <v>70.833333333333343</v>
      </c>
      <c r="L114" s="92">
        <f t="shared" si="12"/>
        <v>29.166666666666668</v>
      </c>
      <c r="M114" s="92">
        <f t="shared" si="13"/>
        <v>0</v>
      </c>
      <c r="N114" s="92">
        <f t="shared" si="6"/>
        <v>100.00000000000001</v>
      </c>
      <c r="O114" s="91">
        <v>37.6</v>
      </c>
      <c r="P114" s="92">
        <v>12</v>
      </c>
      <c r="Q114" s="92"/>
      <c r="R114" s="93">
        <f t="shared" si="10"/>
        <v>49.6</v>
      </c>
      <c r="S114" s="310">
        <v>5</v>
      </c>
      <c r="T114" s="81"/>
      <c r="V114" s="82" t="s">
        <v>482</v>
      </c>
      <c r="W114" s="310" t="s">
        <v>74</v>
      </c>
      <c r="X114" s="310" t="s">
        <v>11</v>
      </c>
      <c r="Y114" s="83">
        <v>30.7</v>
      </c>
      <c r="Z114" s="82" t="s">
        <v>480</v>
      </c>
      <c r="AA114" s="310" t="s">
        <v>75</v>
      </c>
      <c r="AB114" s="310" t="s">
        <v>18</v>
      </c>
      <c r="AC114" s="310">
        <v>6.6</v>
      </c>
      <c r="AD114" s="82" t="s">
        <v>481</v>
      </c>
      <c r="AE114" s="310" t="s">
        <v>22</v>
      </c>
      <c r="AF114" s="310" t="s">
        <v>11</v>
      </c>
      <c r="AG114" s="83">
        <v>6.9</v>
      </c>
      <c r="AH114" s="82" t="s">
        <v>483</v>
      </c>
      <c r="AI114" s="310" t="s">
        <v>17</v>
      </c>
      <c r="AJ114" s="310" t="s">
        <v>18</v>
      </c>
      <c r="AK114" s="310">
        <v>5.4</v>
      </c>
      <c r="AL114" s="82"/>
      <c r="AO114" s="83"/>
      <c r="AP114" s="82"/>
      <c r="AS114" s="83"/>
      <c r="AW114" s="83"/>
      <c r="BA114" s="84"/>
    </row>
    <row r="115" spans="1:53" s="310" customFormat="1">
      <c r="A115" s="310">
        <v>2013</v>
      </c>
      <c r="C115" s="988" t="s">
        <v>616</v>
      </c>
      <c r="D115" s="988"/>
      <c r="E115" s="310">
        <v>365</v>
      </c>
      <c r="G115" s="123">
        <v>17</v>
      </c>
      <c r="H115" s="310">
        <v>7</v>
      </c>
      <c r="J115" s="134">
        <v>24</v>
      </c>
      <c r="K115" s="92">
        <f t="shared" si="11"/>
        <v>70.833333333333343</v>
      </c>
      <c r="L115" s="92">
        <f t="shared" si="12"/>
        <v>29.166666666666668</v>
      </c>
      <c r="M115" s="92">
        <f t="shared" si="13"/>
        <v>0</v>
      </c>
      <c r="N115" s="92">
        <f t="shared" si="6"/>
        <v>100.00000000000001</v>
      </c>
      <c r="O115" s="91">
        <v>37.6</v>
      </c>
      <c r="P115" s="92">
        <v>12</v>
      </c>
      <c r="Q115" s="92"/>
      <c r="R115" s="93">
        <f t="shared" si="10"/>
        <v>49.6</v>
      </c>
      <c r="S115" s="310">
        <v>5</v>
      </c>
      <c r="T115" s="81"/>
      <c r="V115" s="82" t="s">
        <v>482</v>
      </c>
      <c r="W115" s="310" t="s">
        <v>74</v>
      </c>
      <c r="X115" s="310" t="s">
        <v>11</v>
      </c>
      <c r="Y115" s="83">
        <v>30.7</v>
      </c>
      <c r="Z115" s="82" t="s">
        <v>480</v>
      </c>
      <c r="AA115" s="310" t="s">
        <v>75</v>
      </c>
      <c r="AB115" s="310" t="s">
        <v>18</v>
      </c>
      <c r="AC115" s="310">
        <v>6.6</v>
      </c>
      <c r="AD115" s="82" t="s">
        <v>481</v>
      </c>
      <c r="AE115" s="310" t="s">
        <v>22</v>
      </c>
      <c r="AF115" s="310" t="s">
        <v>11</v>
      </c>
      <c r="AG115" s="83">
        <v>6.9</v>
      </c>
      <c r="AH115" s="82" t="s">
        <v>483</v>
      </c>
      <c r="AI115" s="310" t="s">
        <v>17</v>
      </c>
      <c r="AJ115" s="310" t="s">
        <v>18</v>
      </c>
      <c r="AK115" s="310">
        <v>5.4</v>
      </c>
      <c r="AL115" s="82"/>
      <c r="AO115" s="83"/>
      <c r="AP115" s="82"/>
      <c r="AS115" s="83"/>
      <c r="AW115" s="83"/>
      <c r="BA115" s="84"/>
    </row>
    <row r="116" spans="1:53" s="656" customFormat="1">
      <c r="A116" s="656">
        <v>2014</v>
      </c>
      <c r="C116" s="988" t="s">
        <v>616</v>
      </c>
      <c r="D116" s="988"/>
      <c r="E116" s="656">
        <v>277</v>
      </c>
      <c r="G116" s="596">
        <v>17</v>
      </c>
      <c r="H116" s="656">
        <v>7</v>
      </c>
      <c r="J116" s="598">
        <v>24</v>
      </c>
      <c r="K116" s="593">
        <f>G116/J116*100</f>
        <v>70.833333333333343</v>
      </c>
      <c r="L116" s="593">
        <f>H116/J116*100</f>
        <v>29.166666666666668</v>
      </c>
      <c r="M116" s="593">
        <f>I116/J116*100</f>
        <v>0</v>
      </c>
      <c r="N116" s="593">
        <f>K116+L116+M116</f>
        <v>100.00000000000001</v>
      </c>
      <c r="O116" s="592">
        <v>37.6</v>
      </c>
      <c r="P116" s="593">
        <v>12</v>
      </c>
      <c r="Q116" s="593"/>
      <c r="R116" s="594">
        <f>O116+P116+Q116</f>
        <v>49.6</v>
      </c>
      <c r="S116" s="656">
        <v>5</v>
      </c>
      <c r="T116" s="575"/>
      <c r="V116" s="588" t="s">
        <v>482</v>
      </c>
      <c r="W116" s="656" t="s">
        <v>74</v>
      </c>
      <c r="X116" s="656" t="s">
        <v>11</v>
      </c>
      <c r="Y116" s="589">
        <v>30.7</v>
      </c>
      <c r="Z116" s="588" t="s">
        <v>480</v>
      </c>
      <c r="AA116" s="656" t="s">
        <v>75</v>
      </c>
      <c r="AB116" s="656" t="s">
        <v>18</v>
      </c>
      <c r="AC116" s="656">
        <v>6.6</v>
      </c>
      <c r="AD116" s="588" t="s">
        <v>481</v>
      </c>
      <c r="AE116" s="656" t="s">
        <v>22</v>
      </c>
      <c r="AF116" s="656" t="s">
        <v>11</v>
      </c>
      <c r="AG116" s="589">
        <v>6.9</v>
      </c>
      <c r="AH116" s="588" t="s">
        <v>483</v>
      </c>
      <c r="AI116" s="656" t="s">
        <v>17</v>
      </c>
      <c r="AJ116" s="656" t="s">
        <v>18</v>
      </c>
      <c r="AK116" s="656">
        <v>5.4</v>
      </c>
      <c r="AL116" s="588"/>
      <c r="AO116" s="589"/>
      <c r="AP116" s="588"/>
      <c r="AS116" s="589"/>
      <c r="AW116" s="589"/>
      <c r="BA116" s="590"/>
    </row>
    <row r="117" spans="1:53" s="657" customFormat="1">
      <c r="A117" s="657">
        <v>2014</v>
      </c>
      <c r="B117" s="654">
        <v>41917</v>
      </c>
      <c r="C117" s="992" t="s">
        <v>1318</v>
      </c>
      <c r="D117" s="992"/>
      <c r="E117" s="657">
        <v>88</v>
      </c>
      <c r="F117" s="657">
        <v>1</v>
      </c>
      <c r="G117" s="642"/>
      <c r="I117" s="657">
        <v>24</v>
      </c>
      <c r="J117" s="644">
        <v>24</v>
      </c>
      <c r="K117" s="640">
        <f>G117/J117*100</f>
        <v>0</v>
      </c>
      <c r="L117" s="640">
        <f>H117/J117*100</f>
        <v>0</v>
      </c>
      <c r="M117" s="640">
        <f>I117/J117*100</f>
        <v>100</v>
      </c>
      <c r="N117" s="640">
        <f>K117+L117+M117</f>
        <v>100</v>
      </c>
      <c r="O117" s="639"/>
      <c r="P117" s="640"/>
      <c r="Q117" s="640">
        <v>39.6</v>
      </c>
      <c r="R117" s="641">
        <f>O117+P117+Q117</f>
        <v>39.6</v>
      </c>
      <c r="S117" s="657">
        <v>5</v>
      </c>
      <c r="T117" s="487">
        <v>41896</v>
      </c>
      <c r="U117" s="654">
        <v>41917</v>
      </c>
      <c r="V117" s="634" t="s">
        <v>479</v>
      </c>
      <c r="W117" s="657" t="s">
        <v>20</v>
      </c>
      <c r="X117" s="657" t="s">
        <v>12</v>
      </c>
      <c r="Y117" s="635">
        <v>32.4</v>
      </c>
      <c r="Z117" s="634" t="s">
        <v>1319</v>
      </c>
      <c r="AA117" s="657" t="s">
        <v>218</v>
      </c>
      <c r="AB117" s="657" t="s">
        <v>12</v>
      </c>
      <c r="AC117" s="657">
        <v>7.2</v>
      </c>
      <c r="AD117" s="634"/>
      <c r="AG117" s="635"/>
      <c r="AH117" s="634"/>
      <c r="AL117" s="634"/>
      <c r="AO117" s="635"/>
      <c r="AP117" s="634"/>
      <c r="AS117" s="635"/>
      <c r="AW117" s="635"/>
      <c r="BA117" s="636"/>
    </row>
    <row r="118" spans="1:53" s="763" customFormat="1">
      <c r="A118" s="763">
        <v>2015</v>
      </c>
      <c r="B118" s="759"/>
      <c r="C118" s="992" t="s">
        <v>1318</v>
      </c>
      <c r="D118" s="992"/>
      <c r="E118" s="763">
        <v>0</v>
      </c>
      <c r="G118" s="642"/>
      <c r="I118" s="763">
        <v>24</v>
      </c>
      <c r="J118" s="644">
        <v>24</v>
      </c>
      <c r="K118" s="640">
        <f t="shared" ref="K118:K119" si="14">G118/J118*100</f>
        <v>0</v>
      </c>
      <c r="L118" s="640">
        <f t="shared" ref="L118:L119" si="15">H118/J118*100</f>
        <v>0</v>
      </c>
      <c r="M118" s="640">
        <f t="shared" ref="M118:M119" si="16">I118/J118*100</f>
        <v>100</v>
      </c>
      <c r="N118" s="640">
        <f t="shared" ref="N118:N119" si="17">K118+L118+M118</f>
        <v>100</v>
      </c>
      <c r="O118" s="639"/>
      <c r="P118" s="640"/>
      <c r="Q118" s="640">
        <v>39.6</v>
      </c>
      <c r="R118" s="641">
        <f t="shared" ref="R118:R119" si="18">O118+P118+Q118</f>
        <v>39.6</v>
      </c>
      <c r="S118" s="763">
        <v>5</v>
      </c>
      <c r="T118" s="487"/>
      <c r="U118" s="759"/>
      <c r="V118" s="634" t="s">
        <v>479</v>
      </c>
      <c r="W118" s="763" t="s">
        <v>20</v>
      </c>
      <c r="X118" s="763" t="s">
        <v>12</v>
      </c>
      <c r="Y118" s="635">
        <v>32.4</v>
      </c>
      <c r="Z118" s="634" t="s">
        <v>1319</v>
      </c>
      <c r="AA118" s="763" t="s">
        <v>218</v>
      </c>
      <c r="AB118" s="763" t="s">
        <v>12</v>
      </c>
      <c r="AC118" s="763">
        <v>7.2</v>
      </c>
      <c r="AD118" s="634"/>
      <c r="AG118" s="635"/>
      <c r="AH118" s="634"/>
      <c r="AL118" s="634"/>
      <c r="AO118" s="635"/>
      <c r="AP118" s="634"/>
      <c r="AS118" s="635"/>
      <c r="AW118" s="635"/>
      <c r="BA118" s="636"/>
    </row>
    <row r="119" spans="1:53" s="763" customFormat="1">
      <c r="A119" s="763">
        <v>2015</v>
      </c>
      <c r="B119" s="759"/>
      <c r="C119" s="992" t="s">
        <v>1318</v>
      </c>
      <c r="D119" s="992"/>
      <c r="E119" s="763">
        <v>365</v>
      </c>
      <c r="G119" s="642"/>
      <c r="I119" s="763">
        <v>24</v>
      </c>
      <c r="J119" s="644">
        <v>24</v>
      </c>
      <c r="K119" s="640">
        <f t="shared" si="14"/>
        <v>0</v>
      </c>
      <c r="L119" s="640">
        <f t="shared" si="15"/>
        <v>0</v>
      </c>
      <c r="M119" s="640">
        <f t="shared" si="16"/>
        <v>100</v>
      </c>
      <c r="N119" s="640">
        <f t="shared" si="17"/>
        <v>100</v>
      </c>
      <c r="O119" s="639"/>
      <c r="P119" s="640"/>
      <c r="Q119" s="640">
        <v>39.6</v>
      </c>
      <c r="R119" s="641">
        <f t="shared" si="18"/>
        <v>39.6</v>
      </c>
      <c r="S119" s="763">
        <v>5</v>
      </c>
      <c r="T119" s="487"/>
      <c r="U119" s="759"/>
      <c r="V119" s="634" t="s">
        <v>479</v>
      </c>
      <c r="W119" s="763" t="s">
        <v>20</v>
      </c>
      <c r="X119" s="763" t="s">
        <v>12</v>
      </c>
      <c r="Y119" s="635">
        <v>32.4</v>
      </c>
      <c r="Z119" s="634" t="s">
        <v>1319</v>
      </c>
      <c r="AA119" s="763" t="s">
        <v>218</v>
      </c>
      <c r="AB119" s="763" t="s">
        <v>12</v>
      </c>
      <c r="AC119" s="763">
        <v>7.2</v>
      </c>
      <c r="AD119" s="634"/>
      <c r="AG119" s="635"/>
      <c r="AH119" s="634"/>
      <c r="AL119" s="634"/>
      <c r="AO119" s="635"/>
      <c r="AP119" s="634"/>
      <c r="AS119" s="635"/>
      <c r="AW119" s="635"/>
      <c r="BA119" s="636"/>
    </row>
    <row r="120" spans="1:53" s="848" customFormat="1">
      <c r="A120" s="848">
        <v>2016</v>
      </c>
      <c r="B120" s="847"/>
      <c r="C120" s="992" t="s">
        <v>1318</v>
      </c>
      <c r="D120" s="992"/>
      <c r="E120" s="848">
        <v>0</v>
      </c>
      <c r="G120" s="642"/>
      <c r="I120" s="848">
        <v>24</v>
      </c>
      <c r="J120" s="644">
        <v>24</v>
      </c>
      <c r="K120" s="640">
        <f t="shared" ref="K120:K121" si="19">G120/J120*100</f>
        <v>0</v>
      </c>
      <c r="L120" s="640">
        <f t="shared" ref="L120:L121" si="20">H120/J120*100</f>
        <v>0</v>
      </c>
      <c r="M120" s="640">
        <f t="shared" ref="M120:M121" si="21">I120/J120*100</f>
        <v>100</v>
      </c>
      <c r="N120" s="640">
        <f t="shared" ref="N120:N121" si="22">K120+L120+M120</f>
        <v>100</v>
      </c>
      <c r="O120" s="639"/>
      <c r="P120" s="640"/>
      <c r="Q120" s="640">
        <v>39.6</v>
      </c>
      <c r="R120" s="641">
        <f t="shared" ref="R120:R121" si="23">O120+P120+Q120</f>
        <v>39.6</v>
      </c>
      <c r="S120" s="848">
        <v>5</v>
      </c>
      <c r="T120" s="487"/>
      <c r="U120" s="847"/>
      <c r="V120" s="634" t="s">
        <v>479</v>
      </c>
      <c r="W120" s="848" t="s">
        <v>20</v>
      </c>
      <c r="X120" s="848" t="s">
        <v>12</v>
      </c>
      <c r="Y120" s="635">
        <v>32.4</v>
      </c>
      <c r="Z120" s="634" t="s">
        <v>1319</v>
      </c>
      <c r="AA120" s="848" t="s">
        <v>218</v>
      </c>
      <c r="AB120" s="848" t="s">
        <v>12</v>
      </c>
      <c r="AC120" s="848">
        <v>7.2</v>
      </c>
      <c r="AD120" s="634"/>
      <c r="AG120" s="635"/>
      <c r="AH120" s="634"/>
      <c r="AL120" s="634"/>
      <c r="AO120" s="635"/>
      <c r="AP120" s="634"/>
      <c r="AS120" s="635"/>
      <c r="AW120" s="635"/>
      <c r="BA120" s="636"/>
    </row>
    <row r="121" spans="1:53" s="848" customFormat="1">
      <c r="A121" s="848">
        <v>2016</v>
      </c>
      <c r="B121" s="847"/>
      <c r="C121" s="992" t="s">
        <v>1318</v>
      </c>
      <c r="D121" s="992"/>
      <c r="E121" s="848">
        <v>366</v>
      </c>
      <c r="G121" s="642"/>
      <c r="I121" s="848">
        <v>24</v>
      </c>
      <c r="J121" s="644">
        <v>24</v>
      </c>
      <c r="K121" s="640">
        <f t="shared" si="19"/>
        <v>0</v>
      </c>
      <c r="L121" s="640">
        <f t="shared" si="20"/>
        <v>0</v>
      </c>
      <c r="M121" s="640">
        <f t="shared" si="21"/>
        <v>100</v>
      </c>
      <c r="N121" s="640">
        <f t="shared" si="22"/>
        <v>100</v>
      </c>
      <c r="O121" s="639"/>
      <c r="P121" s="640"/>
      <c r="Q121" s="640">
        <v>39.6</v>
      </c>
      <c r="R121" s="641">
        <f t="shared" si="23"/>
        <v>39.6</v>
      </c>
      <c r="S121" s="848">
        <v>5</v>
      </c>
      <c r="T121" s="487"/>
      <c r="U121" s="847"/>
      <c r="V121" s="634" t="s">
        <v>479</v>
      </c>
      <c r="W121" s="848" t="s">
        <v>20</v>
      </c>
      <c r="X121" s="848" t="s">
        <v>12</v>
      </c>
      <c r="Y121" s="635">
        <v>32.4</v>
      </c>
      <c r="Z121" s="634" t="s">
        <v>1319</v>
      </c>
      <c r="AA121" s="848" t="s">
        <v>218</v>
      </c>
      <c r="AB121" s="848" t="s">
        <v>12</v>
      </c>
      <c r="AC121" s="848">
        <v>7.2</v>
      </c>
      <c r="AD121" s="634"/>
      <c r="AG121" s="635"/>
      <c r="AH121" s="634"/>
      <c r="AL121" s="634"/>
      <c r="AO121" s="635"/>
      <c r="AP121" s="634"/>
      <c r="AS121" s="635"/>
      <c r="AW121" s="635"/>
      <c r="BA121" s="636"/>
    </row>
    <row r="122" spans="1:53" s="902" customFormat="1">
      <c r="A122" s="902">
        <v>2017</v>
      </c>
      <c r="C122" s="992" t="s">
        <v>1318</v>
      </c>
      <c r="D122" s="992"/>
      <c r="E122" s="902">
        <v>207</v>
      </c>
      <c r="G122" s="642"/>
      <c r="I122" s="902">
        <v>24</v>
      </c>
      <c r="J122" s="644">
        <v>24</v>
      </c>
      <c r="K122" s="640">
        <f t="shared" ref="K122:K125" si="24">G122/J122*100</f>
        <v>0</v>
      </c>
      <c r="L122" s="640">
        <f t="shared" ref="L122:L125" si="25">H122/J122*100</f>
        <v>0</v>
      </c>
      <c r="M122" s="640">
        <f t="shared" ref="M122:M125" si="26">I122/J122*100</f>
        <v>100</v>
      </c>
      <c r="N122" s="640">
        <f t="shared" ref="N122:N125" si="27">K122+L122+M122</f>
        <v>100</v>
      </c>
      <c r="O122" s="639"/>
      <c r="P122" s="640"/>
      <c r="Q122" s="640">
        <v>39.6</v>
      </c>
      <c r="R122" s="641">
        <f t="shared" ref="R122" si="28">O122+P122+Q122</f>
        <v>39.6</v>
      </c>
      <c r="S122" s="902">
        <v>5</v>
      </c>
      <c r="T122" s="487"/>
      <c r="U122" s="901"/>
      <c r="V122" s="634" t="s">
        <v>479</v>
      </c>
      <c r="W122" s="902" t="s">
        <v>20</v>
      </c>
      <c r="X122" s="902" t="s">
        <v>12</v>
      </c>
      <c r="Y122" s="635">
        <v>32.4</v>
      </c>
      <c r="Z122" s="634" t="s">
        <v>1319</v>
      </c>
      <c r="AA122" s="902" t="s">
        <v>218</v>
      </c>
      <c r="AB122" s="902" t="s">
        <v>12</v>
      </c>
      <c r="AC122" s="902">
        <v>7.2</v>
      </c>
      <c r="AD122" s="634"/>
      <c r="AG122" s="635"/>
      <c r="AH122" s="634"/>
      <c r="AL122" s="634"/>
      <c r="AO122" s="635"/>
      <c r="AP122" s="634"/>
      <c r="AS122" s="635"/>
      <c r="AW122" s="635"/>
      <c r="BA122" s="636"/>
    </row>
    <row r="123" spans="1:53" s="902" customFormat="1">
      <c r="A123" s="902">
        <v>2017</v>
      </c>
      <c r="B123" s="502">
        <v>42943</v>
      </c>
      <c r="C123" s="992" t="s">
        <v>1318</v>
      </c>
      <c r="D123" s="992"/>
      <c r="E123" s="902">
        <v>158</v>
      </c>
      <c r="F123" s="501">
        <v>0</v>
      </c>
      <c r="G123" s="642"/>
      <c r="I123" s="902">
        <v>23</v>
      </c>
      <c r="J123" s="644">
        <v>23</v>
      </c>
      <c r="K123" s="640">
        <f t="shared" si="24"/>
        <v>0</v>
      </c>
      <c r="L123" s="640">
        <f t="shared" si="25"/>
        <v>0</v>
      </c>
      <c r="M123" s="640">
        <f t="shared" si="26"/>
        <v>100</v>
      </c>
      <c r="N123" s="640">
        <f t="shared" si="27"/>
        <v>100</v>
      </c>
      <c r="O123" s="639"/>
      <c r="P123" s="640"/>
      <c r="Q123" s="640">
        <v>39.6</v>
      </c>
      <c r="R123" s="641">
        <f t="shared" ref="R123" si="29">O123+P123+Q123</f>
        <v>39.6</v>
      </c>
      <c r="S123" s="902">
        <v>5</v>
      </c>
      <c r="T123" s="487"/>
      <c r="U123" s="901"/>
      <c r="V123" s="634" t="s">
        <v>479</v>
      </c>
      <c r="W123" s="902" t="s">
        <v>20</v>
      </c>
      <c r="X123" s="902" t="s">
        <v>12</v>
      </c>
      <c r="Y123" s="635">
        <v>32.4</v>
      </c>
      <c r="Z123" s="634" t="s">
        <v>1319</v>
      </c>
      <c r="AA123" s="902" t="s">
        <v>218</v>
      </c>
      <c r="AB123" s="902" t="s">
        <v>12</v>
      </c>
      <c r="AC123" s="902">
        <v>7.2</v>
      </c>
      <c r="AD123" s="634"/>
      <c r="AG123" s="635"/>
      <c r="AH123" s="634"/>
      <c r="AL123" s="634"/>
      <c r="AO123" s="635"/>
      <c r="AP123" s="634"/>
      <c r="AS123" s="635"/>
      <c r="AW123" s="635"/>
      <c r="BA123" s="636"/>
    </row>
    <row r="124" spans="1:53" s="945" customFormat="1">
      <c r="A124" s="945">
        <v>2018</v>
      </c>
      <c r="C124" s="992" t="s">
        <v>1318</v>
      </c>
      <c r="D124" s="992"/>
      <c r="E124" s="945">
        <v>0</v>
      </c>
      <c r="G124" s="642"/>
      <c r="I124" s="945">
        <v>23</v>
      </c>
      <c r="J124" s="644">
        <v>23</v>
      </c>
      <c r="K124" s="640">
        <f t="shared" si="24"/>
        <v>0</v>
      </c>
      <c r="L124" s="640">
        <f t="shared" si="25"/>
        <v>0</v>
      </c>
      <c r="M124" s="640">
        <f t="shared" si="26"/>
        <v>100</v>
      </c>
      <c r="N124" s="640">
        <f t="shared" si="27"/>
        <v>100</v>
      </c>
      <c r="O124" s="639"/>
      <c r="P124" s="640"/>
      <c r="Q124" s="640">
        <v>39.6</v>
      </c>
      <c r="R124" s="641">
        <f t="shared" ref="R124:R125" si="30">O124+P124+Q124</f>
        <v>39.6</v>
      </c>
      <c r="S124" s="945">
        <v>5</v>
      </c>
      <c r="T124" s="487"/>
      <c r="U124" s="944"/>
      <c r="V124" s="634" t="s">
        <v>479</v>
      </c>
      <c r="W124" s="945" t="s">
        <v>20</v>
      </c>
      <c r="X124" s="945" t="s">
        <v>12</v>
      </c>
      <c r="Y124" s="635">
        <v>32.4</v>
      </c>
      <c r="Z124" s="634" t="s">
        <v>1319</v>
      </c>
      <c r="AA124" s="945" t="s">
        <v>218</v>
      </c>
      <c r="AB124" s="945" t="s">
        <v>12</v>
      </c>
      <c r="AC124" s="945">
        <v>7.2</v>
      </c>
      <c r="AD124" s="634"/>
      <c r="AG124" s="635"/>
      <c r="AH124" s="634"/>
      <c r="AL124" s="634"/>
      <c r="AO124" s="635"/>
      <c r="AP124" s="634"/>
      <c r="AS124" s="635"/>
      <c r="AW124" s="635"/>
      <c r="BA124" s="636"/>
    </row>
    <row r="125" spans="1:53" s="945" customFormat="1">
      <c r="A125" s="945">
        <v>2018</v>
      </c>
      <c r="C125" s="992" t="s">
        <v>1318</v>
      </c>
      <c r="D125" s="992"/>
      <c r="E125" s="945">
        <v>365</v>
      </c>
      <c r="G125" s="642"/>
      <c r="I125" s="945">
        <v>23</v>
      </c>
      <c r="J125" s="644">
        <v>23</v>
      </c>
      <c r="K125" s="640">
        <f t="shared" si="24"/>
        <v>0</v>
      </c>
      <c r="L125" s="640">
        <f t="shared" si="25"/>
        <v>0</v>
      </c>
      <c r="M125" s="640">
        <f t="shared" si="26"/>
        <v>100</v>
      </c>
      <c r="N125" s="640">
        <f t="shared" si="27"/>
        <v>100</v>
      </c>
      <c r="O125" s="639"/>
      <c r="P125" s="640"/>
      <c r="Q125" s="640">
        <v>39.6</v>
      </c>
      <c r="R125" s="641">
        <f t="shared" si="30"/>
        <v>39.6</v>
      </c>
      <c r="S125" s="945">
        <v>5</v>
      </c>
      <c r="T125" s="487">
        <v>43352</v>
      </c>
      <c r="U125" s="944"/>
      <c r="V125" s="634" t="s">
        <v>479</v>
      </c>
      <c r="W125" s="945" t="s">
        <v>20</v>
      </c>
      <c r="X125" s="945" t="s">
        <v>12</v>
      </c>
      <c r="Y125" s="635">
        <v>32.4</v>
      </c>
      <c r="Z125" s="634" t="s">
        <v>1319</v>
      </c>
      <c r="AA125" s="945" t="s">
        <v>218</v>
      </c>
      <c r="AB125" s="945" t="s">
        <v>12</v>
      </c>
      <c r="AC125" s="945">
        <v>7.2</v>
      </c>
      <c r="AD125" s="634"/>
      <c r="AG125" s="635"/>
      <c r="AH125" s="634"/>
      <c r="AL125" s="634"/>
      <c r="AO125" s="635"/>
      <c r="AP125" s="634"/>
      <c r="AS125" s="635"/>
      <c r="AW125" s="635"/>
      <c r="BA125" s="636"/>
    </row>
    <row r="126" spans="1:53">
      <c r="M126" s="2"/>
      <c r="N126" s="2"/>
    </row>
    <row r="128" spans="1:53" s="2" customFormat="1" ht="18" customHeight="1">
      <c r="B128" s="22" t="s">
        <v>1278</v>
      </c>
      <c r="H128" s="6"/>
    </row>
    <row r="129" spans="1:30" s="2" customFormat="1" ht="9" customHeight="1">
      <c r="H129" s="6"/>
    </row>
    <row r="130" spans="1:30" s="364" customFormat="1" ht="9" customHeight="1">
      <c r="A130" s="362"/>
      <c r="B130" s="363" t="s">
        <v>1229</v>
      </c>
      <c r="C130" s="363"/>
      <c r="D130" s="363"/>
      <c r="E130" s="363"/>
      <c r="F130" s="363"/>
      <c r="G130" s="363" t="s">
        <v>1230</v>
      </c>
      <c r="H130" s="363"/>
      <c r="I130" s="363"/>
      <c r="J130" s="363"/>
      <c r="K130" s="363"/>
      <c r="L130" s="363"/>
      <c r="M130" s="363"/>
      <c r="N130" s="363"/>
      <c r="R130" s="982" t="s">
        <v>1231</v>
      </c>
      <c r="S130" s="982"/>
      <c r="T130" s="982"/>
      <c r="U130" s="982"/>
      <c r="V130" s="982"/>
      <c r="W130" s="982"/>
      <c r="X130" s="365"/>
      <c r="Y130" s="365"/>
      <c r="AA130" s="365"/>
      <c r="AB130" s="365"/>
      <c r="AC130" s="365"/>
      <c r="AD130" s="365"/>
    </row>
    <row r="131" spans="1:30" s="369" customFormat="1" ht="9" customHeight="1">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c r="A132" s="373" t="s">
        <v>3</v>
      </c>
      <c r="B132" s="374" t="s">
        <v>8</v>
      </c>
      <c r="C132" s="374" t="s">
        <v>9</v>
      </c>
      <c r="D132" s="374" t="s">
        <v>10</v>
      </c>
      <c r="E132" s="375" t="s">
        <v>1209</v>
      </c>
      <c r="F132" s="374"/>
      <c r="G132" s="351" t="s">
        <v>3</v>
      </c>
      <c r="H132" s="983" t="s">
        <v>0</v>
      </c>
      <c r="I132" s="983"/>
      <c r="J132" s="983" t="s">
        <v>1</v>
      </c>
      <c r="K132" s="983"/>
      <c r="L132" s="983" t="s">
        <v>2</v>
      </c>
      <c r="M132" s="983"/>
      <c r="N132" s="984" t="s">
        <v>1209</v>
      </c>
      <c r="O132" s="984"/>
      <c r="P132" s="376"/>
      <c r="Q132" s="376"/>
      <c r="R132" s="377" t="s">
        <v>3</v>
      </c>
      <c r="S132" s="378" t="s">
        <v>136</v>
      </c>
      <c r="T132" s="376" t="s">
        <v>134</v>
      </c>
      <c r="U132" s="374" t="s">
        <v>135</v>
      </c>
      <c r="V132" s="376"/>
      <c r="W132" s="379" t="s">
        <v>26</v>
      </c>
    </row>
    <row r="133" spans="1:30" s="273" customFormat="1">
      <c r="A133" s="273">
        <v>1959</v>
      </c>
      <c r="B133" s="260">
        <f>(K6*($E6/365)) + (K7*($E7/365))</f>
        <v>0</v>
      </c>
      <c r="C133" s="260">
        <f>(L6*($E6/365)) + (L7*($E7/365))</f>
        <v>0</v>
      </c>
      <c r="D133" s="260">
        <f>(M6*($E6/365)) + (M7*($E7/365))</f>
        <v>93.333333333333329</v>
      </c>
      <c r="E133" s="261">
        <f>B133+C133+D133</f>
        <v>93.333333333333329</v>
      </c>
      <c r="G133" s="273">
        <v>1959</v>
      </c>
      <c r="H133" s="991">
        <f>(O6/$R6*100*($E6/365))+(O7/$R7*100*($E7/365))</f>
        <v>0</v>
      </c>
      <c r="I133" s="991"/>
      <c r="J133" s="991">
        <f>(P6/$R6*100*($E6/365))+(P7/$R7*100*($E7/365))</f>
        <v>0</v>
      </c>
      <c r="K133" s="991"/>
      <c r="L133" s="991">
        <f>(Q6/$R6*100*($E6/365))+(Q7/$R7*100*($E7/365))</f>
        <v>100</v>
      </c>
      <c r="M133" s="991"/>
      <c r="N133" s="993">
        <f>H133+J133+L133</f>
        <v>100</v>
      </c>
      <c r="O133" s="993"/>
      <c r="R133" s="273">
        <v>1959</v>
      </c>
      <c r="S133" s="260">
        <f>(O6*($E6/365)) + (O7*($E7/365))</f>
        <v>0</v>
      </c>
      <c r="T133" s="260">
        <f>(P6*($E6/365)) + (P7*($E7/365))</f>
        <v>0</v>
      </c>
      <c r="U133" s="260">
        <f>(Q6*($E6/365)) + (Q7*($E7/365))</f>
        <v>48.1</v>
      </c>
      <c r="V133" s="274"/>
      <c r="W133" s="274">
        <f>S133+T133+U133</f>
        <v>48.1</v>
      </c>
    </row>
    <row r="134" spans="1:30">
      <c r="A134" s="1">
        <v>1960</v>
      </c>
      <c r="B134" s="8">
        <f>(K8*($E8/366))+(K9*($E9/366))</f>
        <v>0</v>
      </c>
      <c r="C134" s="8">
        <f>(L8*($E8/366))+(L9*($E9/366))</f>
        <v>0</v>
      </c>
      <c r="D134" s="8">
        <f>(M8*($E8/366))+(M9*($E9/366))</f>
        <v>93.2136351808483</v>
      </c>
      <c r="E134" s="61">
        <f>B134+C134+D134</f>
        <v>93.2136351808483</v>
      </c>
      <c r="G134" s="1">
        <v>1960</v>
      </c>
      <c r="H134" s="989">
        <f>(O8/$R8*100*($E8/366))+(O9/$R9*100*($E9/366))</f>
        <v>0</v>
      </c>
      <c r="I134" s="989"/>
      <c r="J134" s="989">
        <f>(P8/$R8*100*($E8/366))+(P9/$R9*100*($E9/366))</f>
        <v>0</v>
      </c>
      <c r="K134" s="989"/>
      <c r="L134" s="989">
        <f>(Q8/$R8*100*($E8/366))+(Q9/$R9*100*($E9/366))</f>
        <v>100.00000000000001</v>
      </c>
      <c r="M134" s="989"/>
      <c r="N134" s="990">
        <f t="shared" ref="N134:N165" si="31">H134+J134+L134</f>
        <v>100.00000000000001</v>
      </c>
      <c r="O134" s="990"/>
      <c r="R134" s="1">
        <v>1960</v>
      </c>
      <c r="S134" s="8">
        <f>(O8*($E8/366))+(O9*($E9/366))</f>
        <v>0</v>
      </c>
      <c r="T134" s="8">
        <f>(P8*($E8/366))+(P9*($E9/366))</f>
        <v>0</v>
      </c>
      <c r="U134" s="8">
        <f>(Q8*($E8/366))+(Q9*($E9/366))</f>
        <v>48.351366120218586</v>
      </c>
      <c r="V134" s="7"/>
      <c r="W134" s="7">
        <f>S134+T134+U134</f>
        <v>48.351366120218586</v>
      </c>
    </row>
    <row r="135" spans="1:30">
      <c r="A135" s="1">
        <v>1961</v>
      </c>
      <c r="B135" s="8">
        <f>(K10*($E10/365))+(K11*($E11/365))</f>
        <v>0</v>
      </c>
      <c r="C135" s="8">
        <f>(L10*($E10/365))+(L11*($E11/365))</f>
        <v>0</v>
      </c>
      <c r="D135" s="8">
        <f>(M10*($E10/365))+(M11*($E11/365))</f>
        <v>92.857142857142861</v>
      </c>
      <c r="E135" s="61">
        <f t="shared" ref="E135:E187" si="32">B135+C135+D135</f>
        <v>92.857142857142861</v>
      </c>
      <c r="G135" s="1">
        <v>1961</v>
      </c>
      <c r="H135" s="989">
        <f>(O10/$R10*100*($E10/365))+(O11/$R11*100*($E11/365))</f>
        <v>0</v>
      </c>
      <c r="I135" s="989"/>
      <c r="J135" s="989">
        <f>(P10/$R10*100*($E10/365))+(P11/$R11*100*($E11/365))</f>
        <v>0</v>
      </c>
      <c r="K135" s="989"/>
      <c r="L135" s="989">
        <f>(Q10/$R10*100*($E10/365))+(Q11/$R11*100*($E11/365))</f>
        <v>100</v>
      </c>
      <c r="M135" s="989"/>
      <c r="N135" s="959">
        <f t="shared" si="31"/>
        <v>100</v>
      </c>
      <c r="O135" s="959"/>
      <c r="R135" s="1">
        <v>1961</v>
      </c>
      <c r="S135" s="8">
        <f>(O10*($E10/365))+(O11*($E11/365))</f>
        <v>0</v>
      </c>
      <c r="T135" s="8">
        <f>(P10*($E10/365))+(P11*($E11/365))</f>
        <v>0</v>
      </c>
      <c r="U135" s="8">
        <f>(Q10*($E10/365))+(Q11*($E11/365))</f>
        <v>49.1</v>
      </c>
      <c r="V135" s="7"/>
      <c r="W135" s="7">
        <f t="shared" ref="W135:W187" si="33">S135+T135+U135</f>
        <v>49.1</v>
      </c>
    </row>
    <row r="136" spans="1:30">
      <c r="A136" s="1">
        <v>1962</v>
      </c>
      <c r="B136" s="8">
        <f>(K12*($E12/365))+(K13*($E13/365))</f>
        <v>0</v>
      </c>
      <c r="C136" s="8">
        <f>(L12*($E12/365))+(L13*($E13/365))</f>
        <v>0</v>
      </c>
      <c r="D136" s="8">
        <f>(M12*($E12/365))+(M13*($E13/365))</f>
        <v>92.857142857142861</v>
      </c>
      <c r="E136" s="61">
        <f t="shared" si="32"/>
        <v>92.857142857142861</v>
      </c>
      <c r="G136" s="1">
        <v>1962</v>
      </c>
      <c r="H136" s="989">
        <f>(O12/$R12*100*($E12/365))+(O13/$R13*100*($E13/365))</f>
        <v>0</v>
      </c>
      <c r="I136" s="989"/>
      <c r="J136" s="989">
        <f>(P12/$R12*100*($E12/365))+(P13/$R13*100*($E13/365))</f>
        <v>0</v>
      </c>
      <c r="K136" s="989"/>
      <c r="L136" s="989">
        <f>(Q12/$R12*100*($E12/365))+(Q13/$R13*100*($E13/365))</f>
        <v>100</v>
      </c>
      <c r="M136" s="989"/>
      <c r="N136" s="959">
        <f t="shared" si="31"/>
        <v>100</v>
      </c>
      <c r="O136" s="959"/>
      <c r="R136" s="1">
        <v>1962</v>
      </c>
      <c r="S136" s="8">
        <f>(O12*($E12/365))+(O13*($E13/365))</f>
        <v>0</v>
      </c>
      <c r="T136" s="8">
        <f>(P12*($E12/365))+(P13*($E13/365))</f>
        <v>0</v>
      </c>
      <c r="U136" s="8">
        <f>(Q12*($E12/365))+(Q13*($E13/365))</f>
        <v>49.1</v>
      </c>
      <c r="V136" s="7"/>
      <c r="W136" s="7">
        <f t="shared" si="33"/>
        <v>49.1</v>
      </c>
    </row>
    <row r="137" spans="1:30">
      <c r="A137" s="1">
        <v>1963</v>
      </c>
      <c r="B137" s="8">
        <f>(K14*($E14/365))+(K15*($E15/365))</f>
        <v>0</v>
      </c>
      <c r="C137" s="8">
        <f>(L14*($E14/365))+(L15*($E15/365))</f>
        <v>0</v>
      </c>
      <c r="D137" s="8">
        <f>(M14*($E14/365))+(M15*($E15/365))</f>
        <v>92.857142857142861</v>
      </c>
      <c r="E137" s="61">
        <f t="shared" si="32"/>
        <v>92.857142857142861</v>
      </c>
      <c r="G137" s="1">
        <v>1963</v>
      </c>
      <c r="H137" s="989">
        <f>(O14/$R14*100*($E14/365))+(O15/$R15*100*($E15/365))</f>
        <v>0</v>
      </c>
      <c r="I137" s="989"/>
      <c r="J137" s="989">
        <f>(P14/$R14*100*($E14/365))+(P15/$R15*100*($E15/365))</f>
        <v>0</v>
      </c>
      <c r="K137" s="989"/>
      <c r="L137" s="989">
        <f>(Q14/$R14*100*($E14/365))+(Q15/$R15*100*($E15/365))</f>
        <v>100</v>
      </c>
      <c r="M137" s="989"/>
      <c r="N137" s="959">
        <f t="shared" si="31"/>
        <v>100</v>
      </c>
      <c r="O137" s="959"/>
      <c r="R137" s="1">
        <v>1963</v>
      </c>
      <c r="S137" s="8">
        <f>(O14*($E14/365))+(O15*($E15/365))</f>
        <v>0</v>
      </c>
      <c r="T137" s="8">
        <f>(P14*($E14/365))+(P15*($E15/365))</f>
        <v>0</v>
      </c>
      <c r="U137" s="8">
        <f>(Q14*($E14/365))+(Q15*($E15/365))</f>
        <v>49.1</v>
      </c>
      <c r="V137" s="7"/>
      <c r="W137" s="7">
        <f t="shared" si="33"/>
        <v>49.1</v>
      </c>
    </row>
    <row r="138" spans="1:30">
      <c r="A138" s="1">
        <v>1964</v>
      </c>
      <c r="B138" s="8">
        <f>(K16*($E16/366))+(K17*($E17/366))</f>
        <v>0</v>
      </c>
      <c r="C138" s="8">
        <f>(L16*($E16/366))+(L17*($E17/366))</f>
        <v>0</v>
      </c>
      <c r="D138" s="8">
        <f>(M16*($E16/366))+(M17*($E17/366))</f>
        <v>94.59406713505075</v>
      </c>
      <c r="E138" s="61">
        <f t="shared" si="32"/>
        <v>94.59406713505075</v>
      </c>
      <c r="G138" s="1">
        <v>1964</v>
      </c>
      <c r="H138" s="989">
        <f>(O16/$R16*100*($E16/366))+(O17/$R17*100*($E17/366))</f>
        <v>0</v>
      </c>
      <c r="I138" s="989"/>
      <c r="J138" s="989">
        <f>(P16/$R16*100*($E16/366))+(P17/$R17*100*($E17/366))</f>
        <v>0</v>
      </c>
      <c r="K138" s="989"/>
      <c r="L138" s="989">
        <f>(Q16/$R16*100*($E16/366))+(Q17/$R17*100*($E17/366))</f>
        <v>100</v>
      </c>
      <c r="M138" s="989"/>
      <c r="N138" s="959">
        <f t="shared" si="31"/>
        <v>100</v>
      </c>
      <c r="O138" s="959"/>
      <c r="R138" s="1">
        <v>1964</v>
      </c>
      <c r="S138" s="8">
        <f>(O16*($E16/366))+(O17*($E17/366))</f>
        <v>0</v>
      </c>
      <c r="T138" s="8">
        <f>(P16*($E16/366))+(P17*($E17/366))</f>
        <v>0</v>
      </c>
      <c r="U138" s="8">
        <f>(Q16*($E16/366))+(Q17*($E17/366))</f>
        <v>48.954098360655735</v>
      </c>
      <c r="V138" s="7"/>
      <c r="W138" s="7">
        <f t="shared" si="33"/>
        <v>48.954098360655735</v>
      </c>
    </row>
    <row r="139" spans="1:30">
      <c r="A139" s="1">
        <v>1965</v>
      </c>
      <c r="B139" s="8">
        <f>(K18*($E18/365))+(K19*($E19/365))</f>
        <v>0</v>
      </c>
      <c r="C139" s="8">
        <f>(L18*($E18/365))+(L19*($E19/365))</f>
        <v>0</v>
      </c>
      <c r="D139" s="8">
        <f>(M18*($E18/365))+(M19*($E19/365))</f>
        <v>100</v>
      </c>
      <c r="E139" s="61">
        <f t="shared" si="32"/>
        <v>100</v>
      </c>
      <c r="G139" s="1">
        <v>1965</v>
      </c>
      <c r="H139" s="989">
        <f>(O18/$R18*100*($E18/365))+(O19/$R19*100*($E19/365))</f>
        <v>0</v>
      </c>
      <c r="I139" s="989"/>
      <c r="J139" s="989">
        <f>(P18/$R18*100*($E18/365))+(P19/$R19*100*($E19/365))</f>
        <v>0</v>
      </c>
      <c r="K139" s="989"/>
      <c r="L139" s="989">
        <f>(Q18/$R18*100*($E18/365))+(Q19/$R19*100*($E19/365))</f>
        <v>100</v>
      </c>
      <c r="M139" s="989"/>
      <c r="N139" s="959">
        <f t="shared" si="31"/>
        <v>100</v>
      </c>
      <c r="O139" s="959"/>
      <c r="R139" s="1">
        <v>1965</v>
      </c>
      <c r="S139" s="8">
        <f>(O18*($E18/365))+(O19*($E19/365))</f>
        <v>0</v>
      </c>
      <c r="T139" s="8">
        <f>(P18*($E18/365))+(P19*($E19/365))</f>
        <v>0</v>
      </c>
      <c r="U139" s="8">
        <f>(Q18*($E18/365))+(Q19*($E19/365))</f>
        <v>48.5</v>
      </c>
      <c r="V139" s="7"/>
      <c r="W139" s="7">
        <f t="shared" si="33"/>
        <v>48.5</v>
      </c>
    </row>
    <row r="140" spans="1:30">
      <c r="A140" s="1">
        <v>1966</v>
      </c>
      <c r="B140" s="8">
        <f>(K20*($E20/365))+(K21*($E21/365))</f>
        <v>0</v>
      </c>
      <c r="C140" s="8">
        <f>(L20*($E20/365))+(L21*($E21/365))</f>
        <v>0</v>
      </c>
      <c r="D140" s="8">
        <f>(M20*($E20/365))+(M21*($E21/365))</f>
        <v>100</v>
      </c>
      <c r="E140" s="61">
        <f t="shared" si="32"/>
        <v>100</v>
      </c>
      <c r="G140" s="1">
        <v>1966</v>
      </c>
      <c r="H140" s="989">
        <f>(O20/$R20*100*($E20/365))+(O21/$R21*100*($E21/365))</f>
        <v>0</v>
      </c>
      <c r="I140" s="989"/>
      <c r="J140" s="989">
        <f>(P20/$R20*100*($E20/365))+(P21/$R21*100*($E21/365))</f>
        <v>0</v>
      </c>
      <c r="K140" s="989"/>
      <c r="L140" s="989">
        <f>(Q20/$R20*100*($E20/365))+(Q21/$R21*100*($E21/365))</f>
        <v>100</v>
      </c>
      <c r="M140" s="989"/>
      <c r="N140" s="959">
        <f t="shared" si="31"/>
        <v>100</v>
      </c>
      <c r="O140" s="959"/>
      <c r="R140" s="1">
        <v>1966</v>
      </c>
      <c r="S140" s="8">
        <f>(O20*($E20/365))+(O21*($E21/365))</f>
        <v>0</v>
      </c>
      <c r="T140" s="8">
        <f>(P20*($E20/365))+(P21*($E21/365))</f>
        <v>0</v>
      </c>
      <c r="U140" s="8">
        <f>(Q20*($E20/365))+(Q21*($E21/365))</f>
        <v>48.5</v>
      </c>
      <c r="V140" s="7"/>
      <c r="W140" s="7">
        <f t="shared" si="33"/>
        <v>48.5</v>
      </c>
    </row>
    <row r="141" spans="1:30">
      <c r="A141" s="1">
        <v>1967</v>
      </c>
      <c r="B141" s="8">
        <f>(K22*($E22/365))+(K23*($E23/365))</f>
        <v>0</v>
      </c>
      <c r="C141" s="8">
        <f>(L22*($E22/365))+(L23*($E23/365))</f>
        <v>0</v>
      </c>
      <c r="D141" s="8">
        <f>(M22*($E22/365))+(M23*($E23/365))</f>
        <v>100</v>
      </c>
      <c r="E141" s="61">
        <f t="shared" si="32"/>
        <v>100</v>
      </c>
      <c r="G141" s="1">
        <v>1967</v>
      </c>
      <c r="H141" s="989">
        <f>(O22/$R22*100*($E22/365))+(O23/$R23*100*($E23/365))</f>
        <v>0</v>
      </c>
      <c r="I141" s="989"/>
      <c r="J141" s="989">
        <f>(P22/$R22*100*($E22/365))+(P23/$R23*100*($E23/365))</f>
        <v>0</v>
      </c>
      <c r="K141" s="989"/>
      <c r="L141" s="989">
        <f>(Q22/$R22*100*($E22/365))+(Q23/$R23*100*($E23/365))</f>
        <v>100</v>
      </c>
      <c r="M141" s="989"/>
      <c r="N141" s="959">
        <f t="shared" si="31"/>
        <v>100</v>
      </c>
      <c r="O141" s="959"/>
      <c r="R141" s="1">
        <v>1967</v>
      </c>
      <c r="S141" s="8">
        <f>(O22*($E22/365))+(O23*($E23/365))</f>
        <v>0</v>
      </c>
      <c r="T141" s="8">
        <f>(P22*($E22/365))+(P23*($E23/365))</f>
        <v>0</v>
      </c>
      <c r="U141" s="8">
        <f>(Q22*($E22/365))+(Q23*($E23/365))</f>
        <v>48.5</v>
      </c>
      <c r="V141" s="7"/>
      <c r="W141" s="7">
        <f t="shared" si="33"/>
        <v>48.5</v>
      </c>
    </row>
    <row r="142" spans="1:30">
      <c r="A142" s="1">
        <v>1968</v>
      </c>
      <c r="B142" s="8">
        <f>(K24*($E24/366))+(K25*($E25/366))</f>
        <v>0</v>
      </c>
      <c r="C142" s="8">
        <f>(L24*($E24/366))+(L25*($E25/366))</f>
        <v>0</v>
      </c>
      <c r="D142" s="8">
        <f>(M24*($E24/366))+(M25*($E25/366))</f>
        <v>100</v>
      </c>
      <c r="E142" s="61">
        <f t="shared" si="32"/>
        <v>100</v>
      </c>
      <c r="G142" s="1">
        <v>1968</v>
      </c>
      <c r="H142" s="989">
        <f>(O24/$R24*100*($E24/366))+(O25/$R25*100*($E25/366))</f>
        <v>0</v>
      </c>
      <c r="I142" s="989"/>
      <c r="J142" s="989">
        <f>(P24/$R24*100*($E24/366))+(P25/$R25*100*($E25/366))</f>
        <v>0</v>
      </c>
      <c r="K142" s="989"/>
      <c r="L142" s="989">
        <f>(Q24/$R24*100*($E24/366))+(Q25/$R25*100*($E25/366))</f>
        <v>100</v>
      </c>
      <c r="M142" s="989"/>
      <c r="N142" s="959">
        <f t="shared" si="31"/>
        <v>100</v>
      </c>
      <c r="O142" s="959"/>
      <c r="R142" s="1">
        <v>1968</v>
      </c>
      <c r="S142" s="8">
        <f>(O24*($E24/366))+(O25*($E25/366))</f>
        <v>0</v>
      </c>
      <c r="T142" s="8">
        <f>(P24*($E24/366))+(P25*($E25/366))</f>
        <v>0</v>
      </c>
      <c r="U142" s="8">
        <f>(Q24*($E24/366))+(Q25*($E25/366))</f>
        <v>49.809836065573776</v>
      </c>
      <c r="V142" s="7"/>
      <c r="W142" s="7">
        <f t="shared" si="33"/>
        <v>49.809836065573776</v>
      </c>
    </row>
    <row r="143" spans="1:30">
      <c r="A143" s="1">
        <v>1969</v>
      </c>
      <c r="B143" s="8">
        <f>(K26*($E26/365))+(K27*($E27/365))</f>
        <v>0</v>
      </c>
      <c r="C143" s="8">
        <f>(L26*($E26/365))+(L27*($E27/365))</f>
        <v>0</v>
      </c>
      <c r="D143" s="8">
        <f>(M26*($E26/365))+(M27*($E27/365))</f>
        <v>100</v>
      </c>
      <c r="E143" s="61">
        <f t="shared" si="32"/>
        <v>100</v>
      </c>
      <c r="G143" s="1">
        <v>1969</v>
      </c>
      <c r="H143" s="989">
        <f>(O26/$R26*100*($E26/365))+(O27/$R27*100*($E27/365))</f>
        <v>0</v>
      </c>
      <c r="I143" s="989"/>
      <c r="J143" s="989">
        <f>(P26/$R26*100*($E26/365))+(P27/$R27*100*($E27/365))</f>
        <v>0</v>
      </c>
      <c r="K143" s="989"/>
      <c r="L143" s="989">
        <f>(Q26/$R26*100*($E26/365))+(Q27/$R27*100*($E27/365))</f>
        <v>100</v>
      </c>
      <c r="M143" s="989"/>
      <c r="N143" s="959">
        <f t="shared" si="31"/>
        <v>100</v>
      </c>
      <c r="O143" s="959"/>
      <c r="R143" s="1">
        <v>1969</v>
      </c>
      <c r="S143" s="8">
        <f>(O26*($E26/365))+(O27*($E27/365))</f>
        <v>0</v>
      </c>
      <c r="T143" s="8">
        <f>(P26*($E26/365))+(P27*($E27/365))</f>
        <v>0</v>
      </c>
      <c r="U143" s="8">
        <f>(Q26*($E26/365))+(Q27*($E27/365))</f>
        <v>53.6</v>
      </c>
      <c r="V143" s="7"/>
      <c r="W143" s="7">
        <f t="shared" si="33"/>
        <v>53.6</v>
      </c>
    </row>
    <row r="144" spans="1:30">
      <c r="A144" s="1">
        <v>1970</v>
      </c>
      <c r="B144" s="8">
        <f>(K28*($E28/365))+(K29*($E29/365))</f>
        <v>0</v>
      </c>
      <c r="C144" s="8">
        <f>(L28*($E28/365))+(L29*($E29/365))</f>
        <v>0</v>
      </c>
      <c r="D144" s="8">
        <f>(M28*($E28/365))+(M29*($E29/365))</f>
        <v>100</v>
      </c>
      <c r="E144" s="61">
        <f t="shared" si="32"/>
        <v>100</v>
      </c>
      <c r="G144" s="1">
        <v>1970</v>
      </c>
      <c r="H144" s="989">
        <f>(O28/$R28*100*($E28/365))+(O29/$R29*100*($E29/365))</f>
        <v>0</v>
      </c>
      <c r="I144" s="989"/>
      <c r="J144" s="989">
        <f>(P28/$R28*100*($E28/365))+(P29/$R29*100*($E29/365))</f>
        <v>0</v>
      </c>
      <c r="K144" s="989"/>
      <c r="L144" s="989">
        <f>(Q28/$R28*100*($E28/365))+(Q29/$R29*100*($E29/365))</f>
        <v>100</v>
      </c>
      <c r="M144" s="989"/>
      <c r="N144" s="959">
        <f t="shared" si="31"/>
        <v>100</v>
      </c>
      <c r="O144" s="959"/>
      <c r="R144" s="1">
        <v>1970</v>
      </c>
      <c r="S144" s="8">
        <f>(O28*($E28/365))+(O29*($E29/365))</f>
        <v>0</v>
      </c>
      <c r="T144" s="8">
        <f>(P28*($E28/365))+(P29*($E29/365))</f>
        <v>0</v>
      </c>
      <c r="U144" s="8">
        <f>(Q28*($E28/365))+(Q29*($E29/365))</f>
        <v>51.797260273972597</v>
      </c>
      <c r="V144" s="7"/>
      <c r="W144" s="7">
        <f t="shared" si="33"/>
        <v>51.797260273972597</v>
      </c>
    </row>
    <row r="145" spans="1:23">
      <c r="A145" s="1">
        <v>1971</v>
      </c>
      <c r="B145" s="8">
        <f>(K30*($E30/365))+(K31*($E31/365))</f>
        <v>0</v>
      </c>
      <c r="C145" s="8">
        <f>(L30*($E30/365))+(L31*($E31/365))</f>
        <v>0</v>
      </c>
      <c r="D145" s="8">
        <f>(M30*($E30/365))+(M31*($E31/365))</f>
        <v>100</v>
      </c>
      <c r="E145" s="61">
        <f t="shared" si="32"/>
        <v>100</v>
      </c>
      <c r="G145" s="1">
        <v>1971</v>
      </c>
      <c r="H145" s="989">
        <f>(O30/$R30*100*($E30/365))+(O31/$R31*100*($E31/365))</f>
        <v>0</v>
      </c>
      <c r="I145" s="989"/>
      <c r="J145" s="989">
        <f>(P30/$R30*100*($E30/365))+(P31/$R31*100*($E31/365))</f>
        <v>0</v>
      </c>
      <c r="K145" s="989"/>
      <c r="L145" s="989">
        <f>(Q30/$R30*100*($E30/365))+(Q31/$R31*100*($E31/365))</f>
        <v>100</v>
      </c>
      <c r="M145" s="989"/>
      <c r="N145" s="959">
        <f t="shared" si="31"/>
        <v>100</v>
      </c>
      <c r="O145" s="959"/>
      <c r="R145" s="1">
        <v>1971</v>
      </c>
      <c r="S145" s="8">
        <f>(O30*($E30/365))+(O31*($E31/365))</f>
        <v>0</v>
      </c>
      <c r="T145" s="8">
        <f>(P30*($E30/365))+(P31*($E31/365))</f>
        <v>0</v>
      </c>
      <c r="U145" s="8">
        <f>(Q30*($E30/365))+(Q31*($E31/365))</f>
        <v>46.6</v>
      </c>
      <c r="V145" s="7"/>
      <c r="W145" s="7">
        <f t="shared" si="33"/>
        <v>46.6</v>
      </c>
    </row>
    <row r="146" spans="1:23">
      <c r="A146" s="1">
        <v>1972</v>
      </c>
      <c r="B146" s="8">
        <f>(K32*($E32/366))+(K33*($E33/366))</f>
        <v>0</v>
      </c>
      <c r="C146" s="8">
        <f>(L32*($E32/366))+(L33*($E33/366))</f>
        <v>0</v>
      </c>
      <c r="D146" s="8">
        <f>(M32*($E32/366))+(M33*($E33/366))</f>
        <v>100</v>
      </c>
      <c r="E146" s="61">
        <f t="shared" si="32"/>
        <v>100</v>
      </c>
      <c r="G146" s="1">
        <v>1972</v>
      </c>
      <c r="H146" s="989">
        <f>(O32/$R32*100*($E32/366))+(O33/$R33*100*($E33/366))</f>
        <v>0</v>
      </c>
      <c r="I146" s="989"/>
      <c r="J146" s="989">
        <f>(P32/$R32*100*($E32/366))+(P33/$R33*100*($E33/366))</f>
        <v>0</v>
      </c>
      <c r="K146" s="989"/>
      <c r="L146" s="989">
        <f>(Q32/$R32*100*($E32/366))+(Q33/$R33*100*($E33/366))</f>
        <v>100</v>
      </c>
      <c r="M146" s="989"/>
      <c r="N146" s="959">
        <f t="shared" si="31"/>
        <v>100</v>
      </c>
      <c r="O146" s="959"/>
      <c r="R146" s="1">
        <v>1972</v>
      </c>
      <c r="S146" s="8">
        <f>(O32*($E32/366))+(O33*($E33/366))</f>
        <v>0</v>
      </c>
      <c r="T146" s="8">
        <f>(P32*($E32/366))+(P33*($E33/366))</f>
        <v>0</v>
      </c>
      <c r="U146" s="8">
        <f>(Q32*($E32/366))+(Q33*($E33/366))</f>
        <v>46.6</v>
      </c>
      <c r="V146" s="7"/>
      <c r="W146" s="7">
        <f t="shared" si="33"/>
        <v>46.6</v>
      </c>
    </row>
    <row r="147" spans="1:23">
      <c r="A147" s="1">
        <v>1973</v>
      </c>
      <c r="B147" s="8">
        <f>(K34*($E34/365))+(K35*($E35/365))</f>
        <v>0</v>
      </c>
      <c r="C147" s="8">
        <f>(L34*($E34/365))+(L35*($E35/365))</f>
        <v>0</v>
      </c>
      <c r="D147" s="8">
        <f>(M34*($E34/365))+(M35*($E35/365))</f>
        <v>100</v>
      </c>
      <c r="E147" s="61">
        <f t="shared" si="32"/>
        <v>100</v>
      </c>
      <c r="G147" s="1">
        <v>1973</v>
      </c>
      <c r="H147" s="989">
        <f>(O34/$R34*100*($E34/365))+(O35/$R35*100*($E35/365))</f>
        <v>0</v>
      </c>
      <c r="I147" s="989"/>
      <c r="J147" s="989">
        <f>(P34/$R34*100*($E34/365))+(P35/$R35*100*($E35/365))</f>
        <v>0</v>
      </c>
      <c r="K147" s="989"/>
      <c r="L147" s="989">
        <f>(Q34/$R34*100*($E34/365))+(Q35/$R35*100*($E35/365))</f>
        <v>100</v>
      </c>
      <c r="M147" s="989"/>
      <c r="N147" s="959">
        <f t="shared" si="31"/>
        <v>100</v>
      </c>
      <c r="O147" s="959"/>
      <c r="R147" s="1">
        <v>1973</v>
      </c>
      <c r="S147" s="8">
        <f>(O34*($E34/365))+(O35*($E35/365))</f>
        <v>0</v>
      </c>
      <c r="T147" s="8">
        <f>(P34*($E34/365))+(P35*($E35/365))</f>
        <v>0</v>
      </c>
      <c r="U147" s="8">
        <f>(Q34*($E34/365))+(Q35*($E35/365))</f>
        <v>46.260273972602747</v>
      </c>
      <c r="V147" s="7"/>
      <c r="W147" s="7">
        <f t="shared" si="33"/>
        <v>46.260273972602747</v>
      </c>
    </row>
    <row r="148" spans="1:23">
      <c r="A148" s="1">
        <v>1974</v>
      </c>
      <c r="B148" s="8">
        <f>(K36*($E36/365))+(K37*($E37/365))</f>
        <v>0</v>
      </c>
      <c r="C148" s="8">
        <f>(L36*($E36/365))+(L37*($E37/365))</f>
        <v>0</v>
      </c>
      <c r="D148" s="8">
        <f>(M36*($E36/365))+(M37*($E37/365))</f>
        <v>100</v>
      </c>
      <c r="E148" s="61">
        <f t="shared" si="32"/>
        <v>100</v>
      </c>
      <c r="G148" s="1">
        <v>1974</v>
      </c>
      <c r="H148" s="989">
        <f>(O36/$R36*100*($E36/365))+(O37/$R37*100*($E37/365))</f>
        <v>0</v>
      </c>
      <c r="I148" s="989"/>
      <c r="J148" s="989">
        <f>(P36/$R36*100*($E36/365))+(P37/$R37*100*($E37/365))</f>
        <v>0</v>
      </c>
      <c r="K148" s="989"/>
      <c r="L148" s="989">
        <f>(Q36/$R36*100*($E36/365))+(Q37/$R37*100*($E37/365))</f>
        <v>100</v>
      </c>
      <c r="M148" s="989"/>
      <c r="N148" s="959">
        <f t="shared" si="31"/>
        <v>100</v>
      </c>
      <c r="O148" s="959"/>
      <c r="R148" s="1">
        <v>1974</v>
      </c>
      <c r="S148" s="8">
        <f>(O36*($E36/365))+(O37*($E37/365))</f>
        <v>0</v>
      </c>
      <c r="T148" s="8">
        <f>(P36*($E36/365))+(P37*($E37/365))</f>
        <v>0</v>
      </c>
      <c r="U148" s="8">
        <f>(Q36*($E36/365))+(Q37*($E37/365))</f>
        <v>44.6</v>
      </c>
      <c r="V148" s="7"/>
      <c r="W148" s="7">
        <f t="shared" si="33"/>
        <v>44.6</v>
      </c>
    </row>
    <row r="149" spans="1:23">
      <c r="A149" s="1">
        <v>1975</v>
      </c>
      <c r="B149" s="8">
        <f>(K38*($E38/365))+(K39*($E39/365))</f>
        <v>0</v>
      </c>
      <c r="C149" s="8">
        <f>(L38*($E38/365))+(L39*($E39/365))</f>
        <v>0</v>
      </c>
      <c r="D149" s="8">
        <f>(M38*($E38/365))+(M39*($E39/365))</f>
        <v>100</v>
      </c>
      <c r="E149" s="61">
        <f t="shared" si="32"/>
        <v>100</v>
      </c>
      <c r="G149" s="1">
        <v>1975</v>
      </c>
      <c r="H149" s="989">
        <f>(O38/$R38*100*($E38/365))+(O39/$R39*100*($E39/365))</f>
        <v>0</v>
      </c>
      <c r="I149" s="989"/>
      <c r="J149" s="989">
        <f>(P38/$R38*100*($E38/365))+(P39/$R39*100*($E39/365))</f>
        <v>0</v>
      </c>
      <c r="K149" s="989"/>
      <c r="L149" s="989">
        <f>(Q38/$R38*100*($E38/365))+(Q39/$R39*100*($E39/365))</f>
        <v>100</v>
      </c>
      <c r="M149" s="989"/>
      <c r="N149" s="959">
        <f t="shared" si="31"/>
        <v>100</v>
      </c>
      <c r="O149" s="959"/>
      <c r="R149" s="1">
        <v>1975</v>
      </c>
      <c r="S149" s="8">
        <f>(O38*($E38/365))+(O39*($E39/365))</f>
        <v>0</v>
      </c>
      <c r="T149" s="8">
        <f>(P38*($E38/365))+(P39*($E39/365))</f>
        <v>0</v>
      </c>
      <c r="U149" s="8">
        <f>(Q38*($E38/365))+(Q39*($E39/365))</f>
        <v>44.6</v>
      </c>
      <c r="V149" s="7"/>
      <c r="W149" s="7">
        <f t="shared" si="33"/>
        <v>44.6</v>
      </c>
    </row>
    <row r="150" spans="1:23">
      <c r="A150" s="1">
        <v>1976</v>
      </c>
      <c r="B150" s="8">
        <f>(K40*($E40/366))+(K41*($E41/366))</f>
        <v>12.158469945355192</v>
      </c>
      <c r="C150" s="8">
        <f>(L40*($E40/366))+(L41*($E41/366))</f>
        <v>10.942622950819672</v>
      </c>
      <c r="D150" s="8">
        <f>(M40*($E40/366))+(M41*($E41/366))</f>
        <v>75.683060109289613</v>
      </c>
      <c r="E150" s="61">
        <f t="shared" si="32"/>
        <v>98.784153005464475</v>
      </c>
      <c r="G150" s="1">
        <v>1976</v>
      </c>
      <c r="H150" s="989">
        <f>(O40/$R40*100*($E40/366))+(O41/$R41*100*($E41/366))</f>
        <v>12.723980175371709</v>
      </c>
      <c r="I150" s="989"/>
      <c r="J150" s="989">
        <f>(P40/$R40*100*($E40/366))+(P41/$R41*100*($E41/366))</f>
        <v>11.592959715338671</v>
      </c>
      <c r="K150" s="989"/>
      <c r="L150" s="989">
        <f>(Q40/$R40*100*($E40/366))+(Q41/$R41*100*($E41/366))</f>
        <v>75.683060109289613</v>
      </c>
      <c r="M150" s="989"/>
      <c r="N150" s="959">
        <f t="shared" si="31"/>
        <v>100</v>
      </c>
      <c r="O150" s="959"/>
      <c r="R150" s="1">
        <v>1976</v>
      </c>
      <c r="S150" s="8">
        <f>(O40*($E40/366))+(O41*($E41/366))</f>
        <v>6.5655737704918034</v>
      </c>
      <c r="T150" s="8">
        <f>(P40*($E40/366))+(P41*($E41/366))</f>
        <v>5.9819672131147543</v>
      </c>
      <c r="U150" s="8">
        <f>(Q40*($E40/366))+(Q41*($E41/366))</f>
        <v>33.754644808743166</v>
      </c>
      <c r="V150" s="7"/>
      <c r="W150" s="7">
        <f t="shared" si="33"/>
        <v>46.302185792349725</v>
      </c>
    </row>
    <row r="151" spans="1:23">
      <c r="A151" s="1">
        <v>1977</v>
      </c>
      <c r="B151" s="8">
        <f>(K42*($E42/365))+(K43*($E43/365))</f>
        <v>50</v>
      </c>
      <c r="C151" s="8">
        <f>(L42*($E42/365))+(L43*($E43/365))</f>
        <v>45</v>
      </c>
      <c r="D151" s="8">
        <f>(M42*($E42/365))+(M43*($E43/365))</f>
        <v>0</v>
      </c>
      <c r="E151" s="61">
        <f t="shared" si="32"/>
        <v>95</v>
      </c>
      <c r="G151" s="1">
        <v>1977</v>
      </c>
      <c r="H151" s="989">
        <f>(O42/$R42*100*($E42/365))+(O43/$R43*100*($E43/365))</f>
        <v>52.325581395348827</v>
      </c>
      <c r="I151" s="989"/>
      <c r="J151" s="989">
        <f>(P42/$R42*100*($E42/365))+(P43/$R43*100*($E43/365))</f>
        <v>47.674418604651166</v>
      </c>
      <c r="K151" s="989"/>
      <c r="L151" s="989">
        <f>(Q42/$R42*100*($E42/365))+(Q43/$R43*100*($E43/365))</f>
        <v>0</v>
      </c>
      <c r="M151" s="989"/>
      <c r="N151" s="959">
        <f t="shared" si="31"/>
        <v>100</v>
      </c>
      <c r="O151" s="959"/>
      <c r="R151" s="1">
        <v>1977</v>
      </c>
      <c r="S151" s="8">
        <f>(O42*($E42/365))+(O43*($E43/365))</f>
        <v>27</v>
      </c>
      <c r="T151" s="8">
        <f>(P42*($E42/365))+(P43*($E43/365))</f>
        <v>24.6</v>
      </c>
      <c r="U151" s="8">
        <f>(Q42*($E42/365))+(Q43*($E43/365))</f>
        <v>0</v>
      </c>
      <c r="V151" s="7"/>
      <c r="W151" s="7">
        <f t="shared" si="33"/>
        <v>51.6</v>
      </c>
    </row>
    <row r="152" spans="1:23">
      <c r="A152" s="1">
        <v>1978</v>
      </c>
      <c r="B152" s="8">
        <f>(K44*($E44/365))+(K45*($E45/365))</f>
        <v>59.805335255948087</v>
      </c>
      <c r="C152" s="8">
        <f>(L44*($E44/365))+(L45*($E45/365))</f>
        <v>35.136986301369866</v>
      </c>
      <c r="D152" s="8">
        <f>(M44*($E44/365))+(M45*($E45/365))</f>
        <v>0</v>
      </c>
      <c r="E152" s="61">
        <f t="shared" si="32"/>
        <v>94.942321557317953</v>
      </c>
      <c r="G152" s="1">
        <v>1978</v>
      </c>
      <c r="H152" s="989">
        <f>(O44/$R44*100*($E44/365))+(O45/$R45*100*($E45/365))</f>
        <v>62.774769034724429</v>
      </c>
      <c r="I152" s="989"/>
      <c r="J152" s="989">
        <f>(P44/$R44*100*($E44/365))+(P45/$R45*100*($E45/365))</f>
        <v>37.225230965275571</v>
      </c>
      <c r="K152" s="989"/>
      <c r="L152" s="989">
        <f>(Q44/$R44*100*($E44/365))+(Q45/$R45*100*($E45/365))</f>
        <v>0</v>
      </c>
      <c r="M152" s="989"/>
      <c r="N152" s="959">
        <f t="shared" si="31"/>
        <v>100</v>
      </c>
      <c r="O152" s="959"/>
      <c r="R152" s="1">
        <v>1978</v>
      </c>
      <c r="S152" s="8">
        <f>(O44*($E44/365))+(O45*($E45/365))</f>
        <v>23.536986301369865</v>
      </c>
      <c r="T152" s="8">
        <f>(P44*($E44/365))+(P45*($E45/365))</f>
        <v>19.208219178082192</v>
      </c>
      <c r="U152" s="8">
        <f>(Q44*($E44/365))+(Q45*($E45/365))</f>
        <v>0</v>
      </c>
      <c r="V152" s="7"/>
      <c r="W152" s="7">
        <f t="shared" si="33"/>
        <v>42.745205479452054</v>
      </c>
    </row>
    <row r="153" spans="1:23">
      <c r="A153" s="1">
        <v>1979</v>
      </c>
      <c r="B153" s="7">
        <f>(K46*($E46/365))+(K47*($E47/365))</f>
        <v>87.450818827891652</v>
      </c>
      <c r="C153" s="7">
        <f>(L46*($E46/365))+(L47*($E47/365))</f>
        <v>7.3972602739726021</v>
      </c>
      <c r="D153" s="7">
        <f>(M46*($E46/365))+(M47*($E47/365))</f>
        <v>0</v>
      </c>
      <c r="E153" s="61">
        <f t="shared" si="32"/>
        <v>94.848079101864258</v>
      </c>
      <c r="G153" s="1">
        <v>1979</v>
      </c>
      <c r="H153" s="989">
        <f>(O46/$R46*100*($E46/365))+(O47/$R47*100*($E47/365))</f>
        <v>91.89402017882044</v>
      </c>
      <c r="I153" s="989"/>
      <c r="J153" s="989">
        <f>(P46/$R46*100*($E46/365))+(P47/$R47*100*($E47/365))</f>
        <v>8.1059798211795595</v>
      </c>
      <c r="K153" s="989"/>
      <c r="L153" s="989">
        <f>(Q46/$R46*100*($E46/365))+(Q47/$R47*100*($E47/365))</f>
        <v>0</v>
      </c>
      <c r="M153" s="989"/>
      <c r="N153" s="959">
        <f t="shared" si="31"/>
        <v>100</v>
      </c>
      <c r="O153" s="959"/>
      <c r="R153" s="1">
        <v>1979</v>
      </c>
      <c r="S153" s="7">
        <f>(O46*($E46/365))+(O47*($E47/365))</f>
        <v>15.771506849315069</v>
      </c>
      <c r="T153" s="7">
        <f>(P46*($E46/365))+(P47*($E47/365))</f>
        <v>4.0610958904109591</v>
      </c>
      <c r="U153" s="7">
        <f>(Q46*($E46/365))+(Q47*($E47/365))</f>
        <v>0</v>
      </c>
      <c r="V153" s="7"/>
      <c r="W153" s="7">
        <f t="shared" si="33"/>
        <v>19.832602739726028</v>
      </c>
    </row>
    <row r="154" spans="1:23">
      <c r="A154" s="1">
        <v>1980</v>
      </c>
      <c r="B154" s="7">
        <f>(K48*($E48/366))+(K49*($E49/366))</f>
        <v>61.904761904761905</v>
      </c>
      <c r="C154" s="7">
        <f>(L48*($E48/366))+(L49*($E49/366))</f>
        <v>33.333333333333329</v>
      </c>
      <c r="D154" s="7">
        <f>(M48*($E48/366))+(M49*($E49/366))</f>
        <v>0</v>
      </c>
      <c r="E154" s="61">
        <f t="shared" si="32"/>
        <v>95.238095238095241</v>
      </c>
      <c r="G154" s="1">
        <v>1980</v>
      </c>
      <c r="H154" s="989">
        <f>(O48/$R48*100*($E48/366))+(O49/$R49*100*($E49/366))</f>
        <v>63.473053892215567</v>
      </c>
      <c r="I154" s="989"/>
      <c r="J154" s="989">
        <f>(P48/$R48*100*($E48/366))+(P49/$R49*100*($E49/366))</f>
        <v>36.526946107784433</v>
      </c>
      <c r="K154" s="989"/>
      <c r="L154" s="989">
        <f>(Q48/$R48*100*($E48/366))+(Q49/$R49*100*($E49/366))</f>
        <v>0</v>
      </c>
      <c r="M154" s="989"/>
      <c r="N154" s="959">
        <f t="shared" si="31"/>
        <v>100</v>
      </c>
      <c r="O154" s="959"/>
      <c r="R154" s="1">
        <v>1980</v>
      </c>
      <c r="S154" s="7">
        <f>(O48*($E48/366))+(O49*($E49/366))</f>
        <v>31.799999999999997</v>
      </c>
      <c r="T154" s="7">
        <f>(P48*($E48/366))+(P49*($E49/366))</f>
        <v>18.3</v>
      </c>
      <c r="U154" s="7">
        <f>(Q48*($E48/366))+(Q49*($E49/366))</f>
        <v>0</v>
      </c>
      <c r="V154" s="7"/>
      <c r="W154" s="7">
        <f t="shared" si="33"/>
        <v>50.099999999999994</v>
      </c>
    </row>
    <row r="155" spans="1:23">
      <c r="A155" s="1">
        <v>1981</v>
      </c>
      <c r="B155" s="7">
        <f>(K50*($E50/365))+(K51*($E51/365))</f>
        <v>47.779952163513812</v>
      </c>
      <c r="C155" s="7">
        <f>(L50*($E50/365))+(L51*($E51/365))</f>
        <v>46.971080669710808</v>
      </c>
      <c r="D155" s="7">
        <f>(M50*($E50/365))+(M51*($E51/365))</f>
        <v>0</v>
      </c>
      <c r="E155" s="61">
        <f t="shared" si="32"/>
        <v>94.751032833224627</v>
      </c>
      <c r="G155" s="1">
        <v>1981</v>
      </c>
      <c r="H155" s="989">
        <f>(O50/$R50*100*($E50/365))+(O51/$R51*100*($E51/365))</f>
        <v>47.428340916215987</v>
      </c>
      <c r="I155" s="989"/>
      <c r="J155" s="989">
        <f>(P50/$R50*100*($E50/365))+(P51/$R51*100*($E51/365))</f>
        <v>52.57165908378402</v>
      </c>
      <c r="K155" s="989"/>
      <c r="L155" s="989">
        <f>(Q50/$R50*100*($E50/365))+(Q51/$R51*100*($E51/365))</f>
        <v>0</v>
      </c>
      <c r="M155" s="989"/>
      <c r="N155" s="959">
        <f t="shared" si="31"/>
        <v>100</v>
      </c>
      <c r="O155" s="959"/>
      <c r="R155" s="1">
        <v>1981</v>
      </c>
      <c r="S155" s="7">
        <f>(O50*($E50/365))+(O51*($E51/365))</f>
        <v>18.973698630136987</v>
      </c>
      <c r="T155" s="7">
        <f>(P50*($E50/365))+(P51*($E51/365))</f>
        <v>18.3</v>
      </c>
      <c r="U155" s="7">
        <f>(Q50*($E50/365))+(Q51*($E51/365))</f>
        <v>0</v>
      </c>
      <c r="V155" s="7"/>
      <c r="W155" s="7">
        <f t="shared" si="33"/>
        <v>37.273698630136991</v>
      </c>
    </row>
    <row r="156" spans="1:23">
      <c r="A156" s="1">
        <v>1982</v>
      </c>
      <c r="B156" s="7">
        <f>(K52*($E52/365))+(K53*($E53/365))</f>
        <v>29.832572298325726</v>
      </c>
      <c r="C156" s="7">
        <f>(L52*($E52/365))+(L53*($E53/365))</f>
        <v>42.6179604261796</v>
      </c>
      <c r="D156" s="7">
        <f>(M52*($E52/365))+(M53*($E53/365))</f>
        <v>23.287671232876711</v>
      </c>
      <c r="E156" s="61">
        <f t="shared" si="32"/>
        <v>95.738203957382041</v>
      </c>
      <c r="G156" s="1">
        <v>1982</v>
      </c>
      <c r="H156" s="1001">
        <f>(O52/$R52*100*($E52/365))+(O53/$R53*100*($E53/365))</f>
        <v>28.635766560330264</v>
      </c>
      <c r="I156" s="1001"/>
      <c r="J156" s="1001">
        <f>(P52/$R52*100*($E52/365))+(P53/$R53*100*($E53/365))</f>
        <v>48.076562206793014</v>
      </c>
      <c r="K156" s="1001"/>
      <c r="L156" s="1001">
        <f>(Q52/$R52*100*($E52/365))+(Q53/$R53*100*($E53/365))</f>
        <v>23.287671232876711</v>
      </c>
      <c r="M156" s="1001"/>
      <c r="N156" s="959">
        <f t="shared" si="31"/>
        <v>100</v>
      </c>
      <c r="O156" s="959"/>
      <c r="R156" s="1">
        <v>1982</v>
      </c>
      <c r="S156" s="7">
        <f>(O52*($E52/365))+(O53*($E53/365))</f>
        <v>8.3616438356164373</v>
      </c>
      <c r="T156" s="7">
        <f>(P52*($E52/365))+(P53*($E53/365))</f>
        <v>14.038356164383561</v>
      </c>
      <c r="U156" s="7">
        <f>(Q52*($E52/365))+(Q53*($E53/365))</f>
        <v>11.084931506849315</v>
      </c>
      <c r="V156" s="7"/>
      <c r="W156" s="7">
        <f t="shared" si="33"/>
        <v>33.484931506849314</v>
      </c>
    </row>
    <row r="157" spans="1:23">
      <c r="A157" s="1">
        <v>1983</v>
      </c>
      <c r="B157" s="7">
        <f>(K54*($E54/365))+(K55*($E55/365))</f>
        <v>0</v>
      </c>
      <c r="C157" s="7">
        <f>(L54*($E54/365))+(L55*($E55/365))</f>
        <v>0</v>
      </c>
      <c r="D157" s="7">
        <f>(M54*($E54/365))+(M55*($E55/365))</f>
        <v>100</v>
      </c>
      <c r="E157" s="61">
        <f t="shared" si="32"/>
        <v>100</v>
      </c>
      <c r="G157" s="1">
        <v>1983</v>
      </c>
      <c r="H157" s="1001">
        <f>(O54/$R54*100*($E54/365))+(O55/$R55*100*($E55/365))</f>
        <v>0</v>
      </c>
      <c r="I157" s="1001"/>
      <c r="J157" s="1001">
        <f>(P54/$R54*100*($E54/365))+(P55/$R55*100*($E55/365))</f>
        <v>0</v>
      </c>
      <c r="K157" s="1001"/>
      <c r="L157" s="1001">
        <f>(Q54/$R54*100*($E54/365))+(Q55/$R55*100*($E55/365))</f>
        <v>100</v>
      </c>
      <c r="M157" s="1001"/>
      <c r="N157" s="959">
        <f t="shared" si="31"/>
        <v>100</v>
      </c>
      <c r="O157" s="959"/>
      <c r="R157" s="1">
        <v>1983</v>
      </c>
      <c r="S157" s="7">
        <f>(O54*($E54/365))+(O55*($E55/365))</f>
        <v>0</v>
      </c>
      <c r="T157" s="7">
        <f>(P54*($E54/365))+(P55*($E55/365))</f>
        <v>0</v>
      </c>
      <c r="U157" s="7">
        <f>(Q54*($E54/365))+(Q55*($E55/365))</f>
        <v>47.6</v>
      </c>
      <c r="V157" s="7"/>
      <c r="W157" s="7">
        <f t="shared" si="33"/>
        <v>47.6</v>
      </c>
    </row>
    <row r="158" spans="1:23">
      <c r="A158" s="1">
        <v>1984</v>
      </c>
      <c r="B158" s="7">
        <f>(K56*($E56/366))+(K57*($E57/366))</f>
        <v>0</v>
      </c>
      <c r="C158" s="7">
        <f>(L56*($E56/366))+(L57*($E57/366))</f>
        <v>0</v>
      </c>
      <c r="D158" s="7">
        <f>(M56*($E56/366))+(M57*($E57/366))</f>
        <v>100</v>
      </c>
      <c r="E158" s="61">
        <f t="shared" si="32"/>
        <v>100</v>
      </c>
      <c r="G158" s="1">
        <v>1984</v>
      </c>
      <c r="H158" s="1001">
        <f>(O56/$R56*100*($E56/366))+(O57/$R57*100*($E57/366))</f>
        <v>0</v>
      </c>
      <c r="I158" s="1001"/>
      <c r="J158" s="1001">
        <f>(P56/$R56*100*($E56/366))+(P57/$R57*100*($E57/366))</f>
        <v>0</v>
      </c>
      <c r="K158" s="1001"/>
      <c r="L158" s="1001">
        <f>(Q56/$R56*100*($E56/366))+(Q57/$R57*100*($E57/366))</f>
        <v>100</v>
      </c>
      <c r="M158" s="1001"/>
      <c r="N158" s="959">
        <f t="shared" si="31"/>
        <v>100</v>
      </c>
      <c r="O158" s="959"/>
      <c r="R158" s="1">
        <v>1984</v>
      </c>
      <c r="S158" s="7">
        <f>(O56*($E56/366))+(O57*($E57/366))</f>
        <v>0</v>
      </c>
      <c r="T158" s="7">
        <f>(P56*($E56/366))+(P57*($E57/366))</f>
        <v>0</v>
      </c>
      <c r="U158" s="7">
        <f>(Q56*($E56/366))+(Q57*($E57/366))</f>
        <v>47.6</v>
      </c>
      <c r="V158" s="7"/>
      <c r="W158" s="7">
        <f t="shared" si="33"/>
        <v>47.6</v>
      </c>
    </row>
    <row r="159" spans="1:23">
      <c r="A159" s="1">
        <v>1985</v>
      </c>
      <c r="B159" s="7">
        <f>(K58*($E58/365))+(K59*($E59/365))</f>
        <v>0</v>
      </c>
      <c r="C159" s="7">
        <f>(L58*($E58/365))+(L59*($E59/365))</f>
        <v>0</v>
      </c>
      <c r="D159" s="7">
        <f>(M58*($E58/365))+(M59*($E59/365))</f>
        <v>100</v>
      </c>
      <c r="E159" s="61">
        <f t="shared" si="32"/>
        <v>100</v>
      </c>
      <c r="G159" s="1">
        <v>1985</v>
      </c>
      <c r="H159" s="1001">
        <f>(O58/$R58*100*($E58/365))+(O59/$R59*100*($E59/365))</f>
        <v>0</v>
      </c>
      <c r="I159" s="1001"/>
      <c r="J159" s="1001">
        <f>(P58/$R58*100*($E58/365))+(P59/$R59*100*($E59/365))</f>
        <v>0</v>
      </c>
      <c r="K159" s="1001"/>
      <c r="L159" s="1001">
        <f>(Q58/$R58*100*($E58/365))+(Q59/$R59*100*($E59/365))</f>
        <v>100</v>
      </c>
      <c r="M159" s="1001"/>
      <c r="N159" s="959">
        <f t="shared" si="31"/>
        <v>100</v>
      </c>
      <c r="O159" s="959"/>
      <c r="R159" s="1">
        <v>1985</v>
      </c>
      <c r="S159" s="7">
        <f>(O58*($E58/365))+(O59*($E59/365))</f>
        <v>0</v>
      </c>
      <c r="T159" s="7">
        <f>(P58*($E58/365))+(P59*($E59/365))</f>
        <v>0</v>
      </c>
      <c r="U159" s="7">
        <f>(Q58*($E58/365))+(Q59*($E59/365))</f>
        <v>47.112328767123287</v>
      </c>
      <c r="V159" s="7"/>
      <c r="W159" s="7">
        <f t="shared" si="33"/>
        <v>47.112328767123287</v>
      </c>
    </row>
    <row r="160" spans="1:23">
      <c r="A160" s="1">
        <v>1986</v>
      </c>
      <c r="B160" s="7">
        <f>(K60*($E60/365))+(K61*($E61/365))</f>
        <v>0</v>
      </c>
      <c r="C160" s="7">
        <f>(L60*($E60/365))+(L61*($E61/365))</f>
        <v>0</v>
      </c>
      <c r="D160" s="7">
        <f>(M60*($E60/365))+(M61*($E61/365))</f>
        <v>100</v>
      </c>
      <c r="E160" s="61">
        <f t="shared" si="32"/>
        <v>100</v>
      </c>
      <c r="G160" s="1">
        <v>1986</v>
      </c>
      <c r="H160" s="1001">
        <f>(O60/$R60*100*($E60/365))+(O61/$R61*100*($E61/365))</f>
        <v>0</v>
      </c>
      <c r="I160" s="1001"/>
      <c r="J160" s="1001">
        <f>(P60/$R60*100*($E60/365))+(P61/$R61*100*($E61/365))</f>
        <v>0</v>
      </c>
      <c r="K160" s="1001"/>
      <c r="L160" s="1001">
        <f>(Q60/$R60*100*($E60/365))+(Q61/$R61*100*($E61/365))</f>
        <v>100</v>
      </c>
      <c r="M160" s="1001"/>
      <c r="N160" s="959">
        <f t="shared" si="31"/>
        <v>100</v>
      </c>
      <c r="O160" s="959"/>
      <c r="R160" s="1">
        <v>1986</v>
      </c>
      <c r="S160" s="7">
        <f>(O60*($E60/365))+(O61*($E61/365))</f>
        <v>0</v>
      </c>
      <c r="T160" s="7">
        <f>(P60*($E60/365))+(P61*($E61/365))</f>
        <v>0</v>
      </c>
      <c r="U160" s="7">
        <f>(Q60*($E60/365))+(Q61*($E61/365))</f>
        <v>45.6</v>
      </c>
      <c r="V160" s="7"/>
      <c r="W160" s="7">
        <f t="shared" si="33"/>
        <v>45.6</v>
      </c>
    </row>
    <row r="161" spans="1:23">
      <c r="A161" s="1">
        <v>1987</v>
      </c>
      <c r="B161" s="7">
        <f>(K62*($E62/365))+(K63*($E63/365))</f>
        <v>0</v>
      </c>
      <c r="C161" s="7">
        <f>(L62*($E62/365))+(L63*($E63/365))</f>
        <v>0</v>
      </c>
      <c r="D161" s="7">
        <f>(M62*($E62/365))+(M63*($E63/365))</f>
        <v>100</v>
      </c>
      <c r="E161" s="61">
        <f>B161+C161+D161</f>
        <v>100</v>
      </c>
      <c r="G161" s="1">
        <v>1987</v>
      </c>
      <c r="H161" s="1001">
        <f>(O62/$R62*100*($E62/365))+(O63/$R63*100*($E63/365))</f>
        <v>0</v>
      </c>
      <c r="I161" s="1001"/>
      <c r="J161" s="1001">
        <f>(P62/$R62*100*($E62/365))+(P63/$R63*100*($E63/365))</f>
        <v>0</v>
      </c>
      <c r="K161" s="1001"/>
      <c r="L161" s="1001">
        <f>(Q62/$R62*100*($E62/365))+(Q63/$R63*100*($E63/365))</f>
        <v>100</v>
      </c>
      <c r="M161" s="1001"/>
      <c r="N161" s="959">
        <f t="shared" si="31"/>
        <v>100</v>
      </c>
      <c r="O161" s="959"/>
      <c r="R161" s="1">
        <v>1987</v>
      </c>
      <c r="S161" s="7">
        <f>(O62*($E62/365))+(O63*($E63/365))</f>
        <v>0</v>
      </c>
      <c r="T161" s="7">
        <f>(P62*($E62/365))+(P63*($E63/365))</f>
        <v>0</v>
      </c>
      <c r="U161" s="7">
        <f>(Q62*($E62/365))+(Q63*($E63/365))</f>
        <v>45.6</v>
      </c>
      <c r="V161" s="7"/>
      <c r="W161" s="7">
        <f t="shared" si="33"/>
        <v>45.6</v>
      </c>
    </row>
    <row r="162" spans="1:23">
      <c r="A162" s="1">
        <v>1988</v>
      </c>
      <c r="B162" s="7">
        <f>(K64*($E64/366))+(K65*($E65/366))</f>
        <v>0</v>
      </c>
      <c r="C162" s="7">
        <f>(L64*($E64/366))+(L65*($E65/366))</f>
        <v>0</v>
      </c>
      <c r="D162" s="7">
        <f>(M64*($E64/366))+(M65*($E65/366))</f>
        <v>100</v>
      </c>
      <c r="E162" s="61">
        <f t="shared" si="32"/>
        <v>100</v>
      </c>
      <c r="G162" s="1">
        <v>1988</v>
      </c>
      <c r="H162" s="1001">
        <f>(O64/$R64*100*($E64/366))+(O65/$R65*100*($E65/366))</f>
        <v>0</v>
      </c>
      <c r="I162" s="1001"/>
      <c r="J162" s="1001">
        <f>(P64/$R64*100*($E64/366))+(P65/$R65*100*($E65/366))</f>
        <v>0</v>
      </c>
      <c r="K162" s="1001"/>
      <c r="L162" s="1001">
        <f>(Q64/$R64*100*($E64/366))+(Q65/$R65*100*($E65/366))</f>
        <v>100</v>
      </c>
      <c r="M162" s="1001"/>
      <c r="N162" s="959">
        <f t="shared" si="31"/>
        <v>100</v>
      </c>
      <c r="O162" s="959"/>
      <c r="R162" s="1">
        <v>1988</v>
      </c>
      <c r="S162" s="7">
        <f>(O64*($E64/366))+(O65*($E65/366))</f>
        <v>0</v>
      </c>
      <c r="T162" s="7">
        <f>(P64*($E64/366))+(P65*($E65/366))</f>
        <v>0</v>
      </c>
      <c r="U162" s="7">
        <f>(Q64*($E64/366))+(Q65*($E65/366))</f>
        <v>45.381147540983605</v>
      </c>
      <c r="V162" s="7"/>
      <c r="W162" s="7">
        <f t="shared" si="33"/>
        <v>45.381147540983605</v>
      </c>
    </row>
    <row r="163" spans="1:23">
      <c r="A163" s="1">
        <v>1989</v>
      </c>
      <c r="B163" s="7">
        <f>(K66*($E66/365))+(K67*($E67/365))</f>
        <v>0</v>
      </c>
      <c r="C163" s="7">
        <f>(L66*($E66/365))+(L67*($E67/365))</f>
        <v>0</v>
      </c>
      <c r="D163" s="7">
        <f>(M66*($E66/365))+(M67*($E67/365))</f>
        <v>100</v>
      </c>
      <c r="E163" s="61">
        <f t="shared" si="32"/>
        <v>100</v>
      </c>
      <c r="G163" s="1">
        <v>1989</v>
      </c>
      <c r="H163" s="1001">
        <f>(O66/$R66*100*($E66/365))+(O67/$R67*100*($E67/365))</f>
        <v>0</v>
      </c>
      <c r="I163" s="1001"/>
      <c r="J163" s="1001">
        <f>(P66/$R66*100*($E66/365))+(P67/$R67*100*($E67/365))</f>
        <v>0</v>
      </c>
      <c r="K163" s="1001"/>
      <c r="L163" s="1001">
        <f>(Q66/$R66*100*($E66/365))+(Q67/$R67*100*($E67/365))</f>
        <v>100</v>
      </c>
      <c r="M163" s="1001"/>
      <c r="N163" s="959">
        <f t="shared" si="31"/>
        <v>100</v>
      </c>
      <c r="O163" s="959"/>
      <c r="R163" s="1">
        <v>1989</v>
      </c>
      <c r="S163" s="7">
        <f>(O66*($E66/365))+(O67*($E67/365))</f>
        <v>0</v>
      </c>
      <c r="T163" s="7">
        <f>(P66*($E66/365))+(P67*($E67/365))</f>
        <v>0</v>
      </c>
      <c r="U163" s="7">
        <f>(Q66*($E66/365))+(Q67*($E67/365))</f>
        <v>44.7</v>
      </c>
      <c r="V163" s="7"/>
      <c r="W163" s="7">
        <f t="shared" si="33"/>
        <v>44.7</v>
      </c>
    </row>
    <row r="164" spans="1:23">
      <c r="A164" s="1">
        <v>1990</v>
      </c>
      <c r="B164" s="7">
        <f>(K68*($E68/365))+(K69*($E69/365))</f>
        <v>0</v>
      </c>
      <c r="C164" s="7">
        <f>(L68*($E68/365))+(L69*($E69/365))</f>
        <v>0</v>
      </c>
      <c r="D164" s="7">
        <f>(M68*($E68/365))+(M69*($E69/365))</f>
        <v>100</v>
      </c>
      <c r="E164" s="61">
        <f t="shared" si="32"/>
        <v>100</v>
      </c>
      <c r="G164" s="1">
        <v>1990</v>
      </c>
      <c r="H164" s="1001">
        <f>(O68/$R68*100*($E68/365))+(O69/$R69*100*($E69/365))</f>
        <v>0</v>
      </c>
      <c r="I164" s="1001"/>
      <c r="J164" s="1001">
        <f>(P68/$R68*100*($E68/365))+(P69/$R69*100*($E69/365))</f>
        <v>0</v>
      </c>
      <c r="K164" s="1001"/>
      <c r="L164" s="1001">
        <f>(Q68/$R68*100*($E68/365))+(Q69/$R69*100*($E69/365))</f>
        <v>100</v>
      </c>
      <c r="M164" s="1001"/>
      <c r="N164" s="959">
        <f t="shared" si="31"/>
        <v>100</v>
      </c>
      <c r="O164" s="959"/>
      <c r="R164" s="1">
        <v>1990</v>
      </c>
      <c r="S164" s="7">
        <f>(O68*($E68/365))+(O69*($E69/365))</f>
        <v>0</v>
      </c>
      <c r="T164" s="7">
        <f>(P68*($E68/365))+(P69*($E69/365))</f>
        <v>0</v>
      </c>
      <c r="U164" s="7">
        <f>(Q68*($E68/365))+(Q69*($E69/365))</f>
        <v>44.7</v>
      </c>
      <c r="V164" s="7"/>
      <c r="W164" s="7">
        <f t="shared" si="33"/>
        <v>44.7</v>
      </c>
    </row>
    <row r="165" spans="1:23">
      <c r="A165" s="1">
        <v>1991</v>
      </c>
      <c r="B165" s="7">
        <f>(K70*($E70/365))+(K71*($E71/365))</f>
        <v>15.264187866927593</v>
      </c>
      <c r="C165" s="7">
        <f>(L70*($E70/365))+(L71*($E71/365))</f>
        <v>8.2191780821917799</v>
      </c>
      <c r="D165" s="7">
        <f>(M70*($E70/365))+(M71*($E71/365))</f>
        <v>75.342465753424662</v>
      </c>
      <c r="E165" s="61">
        <f t="shared" si="32"/>
        <v>98.825831702544036</v>
      </c>
      <c r="G165" s="1">
        <v>1991</v>
      </c>
      <c r="H165" s="1001">
        <f>(O70/$R70*100*($E70/365))+(O71/$R71*100*($E71/365))</f>
        <v>16.404601839610699</v>
      </c>
      <c r="I165" s="1001"/>
      <c r="J165" s="1001">
        <f>(P70/$R70*100*($E70/365))+(P71/$R71*100*($E71/365))</f>
        <v>8.252932406964641</v>
      </c>
      <c r="K165" s="1001"/>
      <c r="L165" s="1001">
        <f>(Q70/$R70*100*($E70/365))+(Q71/$R71*100*($E71/365))</f>
        <v>75.342465753424662</v>
      </c>
      <c r="M165" s="1001"/>
      <c r="N165" s="959">
        <f t="shared" si="31"/>
        <v>100</v>
      </c>
      <c r="O165" s="959"/>
      <c r="R165" s="1">
        <v>1991</v>
      </c>
      <c r="S165" s="7">
        <f>(O70*($E70/365))+(O71*($E71/365))</f>
        <v>7.9890410958904106</v>
      </c>
      <c r="T165" s="7">
        <f>(P70*($E70/365))+(P71*($E71/365))</f>
        <v>4.0191780821917806</v>
      </c>
      <c r="U165" s="7">
        <f>(Q70*($E70/365))+(Q71*($E71/365))</f>
        <v>33.678082191780824</v>
      </c>
      <c r="V165" s="7"/>
      <c r="W165" s="7">
        <f t="shared" si="33"/>
        <v>45.686301369863017</v>
      </c>
    </row>
    <row r="166" spans="1:23">
      <c r="A166" s="1">
        <v>1992</v>
      </c>
      <c r="B166" s="7">
        <f>(K72*($E72/366))+(K73*($E73/366))</f>
        <v>65</v>
      </c>
      <c r="C166" s="7">
        <f>(L72*($E72/366))+(L73*($E73/366))</f>
        <v>30</v>
      </c>
      <c r="D166" s="7">
        <f>(M72*($E72/366))+(M73*($E73/366))</f>
        <v>0</v>
      </c>
      <c r="E166" s="61">
        <f t="shared" si="32"/>
        <v>95</v>
      </c>
      <c r="G166" s="1">
        <v>1992</v>
      </c>
      <c r="H166" s="1001">
        <f>(O72/$R72*100*($E72/366))+(O73/$R73*100*($E73/366))</f>
        <v>66.529774127310063</v>
      </c>
      <c r="I166" s="1001"/>
      <c r="J166" s="1001">
        <f>(P72/$R72*100*($E72/366))+(P73/$R73*100*($E73/366))</f>
        <v>33.470225872689937</v>
      </c>
      <c r="K166" s="1001"/>
      <c r="L166" s="1001">
        <f>(Q72/$R72*100*($E72/366))+(Q73/$R73*100*($E73/366))</f>
        <v>0</v>
      </c>
      <c r="M166" s="1001"/>
      <c r="N166" s="959">
        <f t="shared" ref="N166:N186" si="34">H166+J166+L166</f>
        <v>100</v>
      </c>
      <c r="O166" s="959"/>
      <c r="R166" s="1">
        <v>1992</v>
      </c>
      <c r="S166" s="7">
        <f>(O72*($E72/366))+(O73*($E73/366))</f>
        <v>32.4</v>
      </c>
      <c r="T166" s="7">
        <f>(P72*($E72/366))+(P73*($E73/366))</f>
        <v>16.3</v>
      </c>
      <c r="U166" s="7">
        <f>(Q72*($E72/366))+(Q73*($E73/366))</f>
        <v>0</v>
      </c>
      <c r="V166" s="7"/>
      <c r="W166" s="7">
        <f t="shared" si="33"/>
        <v>48.7</v>
      </c>
    </row>
    <row r="167" spans="1:23">
      <c r="A167" s="1">
        <v>1993</v>
      </c>
      <c r="B167" s="7">
        <f>(K74*($E74/365))+(K75*($E75/365))</f>
        <v>61.904761904761905</v>
      </c>
      <c r="C167" s="7">
        <f>(L74*($E74/365))+(L75*($E75/365))</f>
        <v>33.333333333333329</v>
      </c>
      <c r="D167" s="7">
        <f>(M74*($E74/365))+(M75*($E75/365))</f>
        <v>0</v>
      </c>
      <c r="E167" s="61">
        <f t="shared" si="32"/>
        <v>95.238095238095241</v>
      </c>
      <c r="G167" s="1">
        <v>1993</v>
      </c>
      <c r="H167" s="1001">
        <f>(O74/$R74*100*($E74/365))+(O75/$R75*100*($E75/365))</f>
        <v>66.529774127310063</v>
      </c>
      <c r="I167" s="1001"/>
      <c r="J167" s="1001">
        <f>(P74/$R74*100*($E74/365))+(P75/$R75*100*($E75/365))</f>
        <v>33.470225872689937</v>
      </c>
      <c r="K167" s="1001"/>
      <c r="L167" s="1001">
        <f>(Q74/$R74*100*($E74/365))+(Q75/$R75*100*($E75/365))</f>
        <v>0</v>
      </c>
      <c r="M167" s="1001"/>
      <c r="N167" s="959">
        <f t="shared" si="34"/>
        <v>100</v>
      </c>
      <c r="O167" s="959"/>
      <c r="R167" s="1">
        <v>1993</v>
      </c>
      <c r="S167" s="7">
        <f>(O74*($E74/365))+(O75*($E75/365))</f>
        <v>32.4</v>
      </c>
      <c r="T167" s="7">
        <f>(P74*($E74/365))+(P75*($E75/365))</f>
        <v>16.3</v>
      </c>
      <c r="U167" s="7">
        <f>(Q74*($E74/365))+(Q75*($E75/365))</f>
        <v>0</v>
      </c>
      <c r="V167" s="7"/>
      <c r="W167" s="7">
        <f t="shared" si="33"/>
        <v>48.7</v>
      </c>
    </row>
    <row r="168" spans="1:23">
      <c r="A168" s="1">
        <v>1994</v>
      </c>
      <c r="B168" s="7">
        <f>(K76*($E76/365))+(K77*($E77/365))</f>
        <v>47.149380300065232</v>
      </c>
      <c r="C168" s="7">
        <f>(L76*($E76/365))+(L77*($E77/365))</f>
        <v>25.388127853881276</v>
      </c>
      <c r="D168" s="7">
        <f>(M76*($E76/365))+(M77*($E77/365))</f>
        <v>23.835616438356162</v>
      </c>
      <c r="E168" s="61">
        <f t="shared" si="32"/>
        <v>96.373124592302673</v>
      </c>
      <c r="G168" s="1">
        <v>1994</v>
      </c>
      <c r="H168" s="1001">
        <f>(O76/$R76*100*($E76/365))+(O77/$R77*100*($E77/365))</f>
        <v>50.671992349019717</v>
      </c>
      <c r="I168" s="1001"/>
      <c r="J168" s="1001">
        <f>(P76/$R76*100*($E76/365))+(P77/$R77*100*($E77/365))</f>
        <v>25.492391212624117</v>
      </c>
      <c r="K168" s="1001"/>
      <c r="L168" s="1001">
        <f>(Q76/$R76*100*($E76/365))+(Q77/$R77*100*($E77/365))</f>
        <v>23.835616438356162</v>
      </c>
      <c r="M168" s="1001"/>
      <c r="N168" s="959">
        <f t="shared" si="34"/>
        <v>100</v>
      </c>
      <c r="O168" s="959"/>
      <c r="R168" s="1">
        <v>1994</v>
      </c>
      <c r="S168" s="7">
        <f>(O76*($E76/365))+(O77*($E77/365))</f>
        <v>24.6772602739726</v>
      </c>
      <c r="T168" s="7">
        <f>(P76*($E76/365))+(P77*($E77/365))</f>
        <v>12.414794520547945</v>
      </c>
      <c r="U168" s="7">
        <f>(Q76*($E76/365))+(Q77*($E77/365))</f>
        <v>10.988219178082192</v>
      </c>
      <c r="V168" s="7"/>
      <c r="W168" s="7">
        <f t="shared" si="33"/>
        <v>48.080273972602733</v>
      </c>
    </row>
    <row r="169" spans="1:23">
      <c r="A169" s="1">
        <v>1995</v>
      </c>
      <c r="B169" s="7">
        <f>(K78*($E78/365))+(K79*($E79/365))</f>
        <v>0</v>
      </c>
      <c r="C169" s="7">
        <f>(L78*($E78/365))+(L79*($E79/365))</f>
        <v>0</v>
      </c>
      <c r="D169" s="7">
        <f>(M78*($E78/365))+(M79*($E79/365))</f>
        <v>100</v>
      </c>
      <c r="E169" s="61">
        <f t="shared" si="32"/>
        <v>100</v>
      </c>
      <c r="G169" s="1">
        <v>1995</v>
      </c>
      <c r="H169" s="1001">
        <f>(O78/$R78*100*($E78/365))+(O79/$R79*100*($E79/365))</f>
        <v>0</v>
      </c>
      <c r="I169" s="1001"/>
      <c r="J169" s="1001">
        <f>(P78/$R78*100*($E78/365))+(P79/$R79*100*($E79/365))</f>
        <v>0</v>
      </c>
      <c r="K169" s="1001"/>
      <c r="L169" s="1001">
        <f>(Q78/$R78*100*($E78/365))+(Q79/$R79*100*($E79/365))</f>
        <v>100</v>
      </c>
      <c r="M169" s="1001"/>
      <c r="N169" s="959">
        <f t="shared" si="34"/>
        <v>100</v>
      </c>
      <c r="O169" s="959"/>
      <c r="R169" s="1">
        <v>1995</v>
      </c>
      <c r="S169" s="7">
        <f>(O78*($E78/365))+(O79*($E79/365))</f>
        <v>0</v>
      </c>
      <c r="T169" s="7">
        <f>(P78*($E78/365))+(P79*($E79/365))</f>
        <v>0</v>
      </c>
      <c r="U169" s="7">
        <f>(Q78*($E78/365))+(Q79*($E79/365))</f>
        <v>46.1</v>
      </c>
      <c r="V169" s="7"/>
      <c r="W169" s="7">
        <f t="shared" si="33"/>
        <v>46.1</v>
      </c>
    </row>
    <row r="170" spans="1:23">
      <c r="A170" s="1">
        <v>1996</v>
      </c>
      <c r="B170" s="7">
        <f>(K80*($E80/366))+(K81*($E81/366))</f>
        <v>0</v>
      </c>
      <c r="C170" s="7">
        <f>(L80*($E80/366))+(L81*($E81/366))</f>
        <v>0</v>
      </c>
      <c r="D170" s="7">
        <f>(M80*($E80/366))+(M81*($E81/366))</f>
        <v>100</v>
      </c>
      <c r="E170" s="61">
        <f t="shared" si="32"/>
        <v>100</v>
      </c>
      <c r="G170" s="1">
        <v>1996</v>
      </c>
      <c r="H170" s="1001">
        <f>(O80/$R80*100*($E80/366))+(O81/$R81*100*($E81/366))</f>
        <v>0</v>
      </c>
      <c r="I170" s="1001"/>
      <c r="J170" s="1001">
        <f>(P80/$R80*100*($E80/366))+(P81/$R81*100*($E81/366))</f>
        <v>0</v>
      </c>
      <c r="K170" s="1001"/>
      <c r="L170" s="1001">
        <f>(Q80/$R80*100*($E80/366))+(Q81/$R81*100*($E81/366))</f>
        <v>100</v>
      </c>
      <c r="M170" s="1001"/>
      <c r="N170" s="959">
        <f t="shared" si="34"/>
        <v>100</v>
      </c>
      <c r="O170" s="959"/>
      <c r="R170" s="1">
        <v>1996</v>
      </c>
      <c r="S170" s="7">
        <f>(O80*($E80/366))+(O81*($E81/366))</f>
        <v>0</v>
      </c>
      <c r="T170" s="7">
        <f>(P80*($E80/366))+(P81*($E81/366))</f>
        <v>0</v>
      </c>
      <c r="U170" s="7">
        <f>(Q80*($E80/366))+(Q81*($E81/366))</f>
        <v>46.1</v>
      </c>
      <c r="V170" s="7"/>
      <c r="W170" s="7">
        <f t="shared" si="33"/>
        <v>46.1</v>
      </c>
    </row>
    <row r="171" spans="1:23">
      <c r="A171" s="1">
        <v>1997</v>
      </c>
      <c r="B171" s="7">
        <f>(K82*($E82/365))+(K83*($E83/365))</f>
        <v>0</v>
      </c>
      <c r="C171" s="7">
        <f>(L82*($E82/365))+(L83*($E83/365))</f>
        <v>0</v>
      </c>
      <c r="D171" s="7">
        <f>(M82*($E82/365))+(M83*($E83/365))</f>
        <v>100</v>
      </c>
      <c r="E171" s="61">
        <f t="shared" si="32"/>
        <v>100</v>
      </c>
      <c r="G171" s="1">
        <v>1997</v>
      </c>
      <c r="H171" s="1001">
        <f>(O82/$R82*100*($E82/365))+(O83/$R83*100*($E83/365))</f>
        <v>0</v>
      </c>
      <c r="I171" s="1001"/>
      <c r="J171" s="1001">
        <f>(P82/$R82*100*($E82/365))+(P83/$R83*100*($E83/365))</f>
        <v>0</v>
      </c>
      <c r="K171" s="1001"/>
      <c r="L171" s="1001">
        <f>(Q82/$R82*100*($E82/365))+(Q83/$R83*100*($E83/365))</f>
        <v>100</v>
      </c>
      <c r="M171" s="1001"/>
      <c r="N171" s="959">
        <f t="shared" si="34"/>
        <v>100</v>
      </c>
      <c r="O171" s="959"/>
      <c r="R171" s="1">
        <v>1997</v>
      </c>
      <c r="S171" s="7">
        <f>(O82*($E82/365))+(O83*($E83/365))</f>
        <v>0</v>
      </c>
      <c r="T171" s="7">
        <f>(P82*($E82/365))+(P83*($E83/365))</f>
        <v>0</v>
      </c>
      <c r="U171" s="7">
        <f>(Q82*($E82/365))+(Q83*($E83/365))</f>
        <v>46.1</v>
      </c>
      <c r="V171" s="7"/>
      <c r="W171" s="7">
        <f t="shared" si="33"/>
        <v>46.1</v>
      </c>
    </row>
    <row r="172" spans="1:23">
      <c r="A172" s="1">
        <v>1998</v>
      </c>
      <c r="B172" s="7">
        <f>(K84*($E84/365))+(K85*($E85/365))</f>
        <v>0</v>
      </c>
      <c r="C172" s="7">
        <f>(L84*($E84/365))+(L85*($E85/365))</f>
        <v>0</v>
      </c>
      <c r="D172" s="7">
        <f>(M84*($E84/365))+(M85*($E85/365))</f>
        <v>100</v>
      </c>
      <c r="E172" s="61">
        <f t="shared" si="32"/>
        <v>100</v>
      </c>
      <c r="G172" s="1">
        <v>1998</v>
      </c>
      <c r="H172" s="1001">
        <f>(O84/$R84*100*($E84/365))+(O85/$R85*100*($E85/365))</f>
        <v>0</v>
      </c>
      <c r="I172" s="1001"/>
      <c r="J172" s="1001">
        <f>(P84/$R84*100*($E84/365))+(P85/$R85*100*($E85/365))</f>
        <v>0</v>
      </c>
      <c r="K172" s="1001"/>
      <c r="L172" s="1001">
        <f>(Q84/$R84*100*($E84/365))+(Q85/$R85*100*($E85/365))</f>
        <v>100</v>
      </c>
      <c r="M172" s="1001"/>
      <c r="N172" s="959">
        <f t="shared" si="34"/>
        <v>100</v>
      </c>
      <c r="O172" s="959"/>
      <c r="R172" s="1">
        <v>1998</v>
      </c>
      <c r="S172" s="7">
        <f>(O84*($E84/365))+(O85*($E85/365))</f>
        <v>0</v>
      </c>
      <c r="T172" s="7">
        <f>(P84*($E84/365))+(P85*($E85/365))</f>
        <v>0</v>
      </c>
      <c r="U172" s="7">
        <f>(Q84*($E84/365))+(Q85*($E85/365))</f>
        <v>44.050136986301375</v>
      </c>
      <c r="V172" s="7"/>
      <c r="W172" s="7">
        <f t="shared" si="33"/>
        <v>44.050136986301375</v>
      </c>
    </row>
    <row r="173" spans="1:23">
      <c r="A173" s="1">
        <v>1999</v>
      </c>
      <c r="B173" s="7">
        <f>(K86*($E86/365))+(K87*($E87/365))</f>
        <v>0</v>
      </c>
      <c r="C173" s="7">
        <f>(L86*($E86/365))+(L87*($E87/365))</f>
        <v>0</v>
      </c>
      <c r="D173" s="7">
        <f>(M86*($E86/365))+(M87*($E87/365))</f>
        <v>100</v>
      </c>
      <c r="E173" s="61">
        <f t="shared" si="32"/>
        <v>100</v>
      </c>
      <c r="G173" s="1">
        <v>1999</v>
      </c>
      <c r="H173" s="1001">
        <f>(O86/$R86*100*($E86/365))+(O87/$R87*100*($E87/365))</f>
        <v>0</v>
      </c>
      <c r="I173" s="1001"/>
      <c r="J173" s="1001">
        <f>(P86/$R86*100*($E86/365))+(P87/$R87*100*($E87/365))</f>
        <v>0</v>
      </c>
      <c r="K173" s="1001"/>
      <c r="L173" s="1001">
        <f>(Q86/$R86*100*($E86/365))+(Q87/$R87*100*($E87/365))</f>
        <v>100</v>
      </c>
      <c r="M173" s="1001"/>
      <c r="N173" s="959">
        <f t="shared" si="34"/>
        <v>100</v>
      </c>
      <c r="O173" s="959"/>
      <c r="R173" s="1">
        <v>1999</v>
      </c>
      <c r="S173" s="7">
        <f>(O86*($E86/365))+(O87*($E87/365))</f>
        <v>0</v>
      </c>
      <c r="T173" s="7">
        <f>(P86*($E86/365))+(P87*($E87/365))</f>
        <v>0</v>
      </c>
      <c r="U173" s="7">
        <f>(Q86*($E86/365))+(Q87*($E87/365))</f>
        <v>37.5</v>
      </c>
      <c r="V173" s="7"/>
      <c r="W173" s="7">
        <f t="shared" si="33"/>
        <v>37.5</v>
      </c>
    </row>
    <row r="174" spans="1:23">
      <c r="A174" s="1">
        <v>2000</v>
      </c>
      <c r="B174" s="7">
        <f>(K88*($E88/366))+(K89*($E89/366))</f>
        <v>0</v>
      </c>
      <c r="C174" s="7">
        <f>(L88*($E88/366))+(L89*($E89/366))</f>
        <v>0</v>
      </c>
      <c r="D174" s="7">
        <f>(M88*($E88/366))+(M89*($E89/366))</f>
        <v>100</v>
      </c>
      <c r="E174" s="61">
        <f t="shared" si="32"/>
        <v>100</v>
      </c>
      <c r="G174" s="1">
        <v>2000</v>
      </c>
      <c r="H174" s="1001">
        <f>(O88/$R88*100*($E88/366))+(O89/$R89*100*($E89/366))</f>
        <v>0</v>
      </c>
      <c r="I174" s="1001"/>
      <c r="J174" s="1001">
        <f>(P88/$R88*100*($E88/366))+(P89/$R89*100*($E89/366))</f>
        <v>0</v>
      </c>
      <c r="K174" s="1001"/>
      <c r="L174" s="1001">
        <f>(Q88/$R88*100*($E88/366))+(Q89/$R89*100*($E89/366))</f>
        <v>100</v>
      </c>
      <c r="M174" s="1001"/>
      <c r="N174" s="959">
        <f t="shared" si="34"/>
        <v>100</v>
      </c>
      <c r="O174" s="959"/>
      <c r="R174" s="1">
        <v>2000</v>
      </c>
      <c r="S174" s="7">
        <f>(O88*($E88/366))+(O89*($E89/366))</f>
        <v>0</v>
      </c>
      <c r="T174" s="7">
        <f>(P88*($E88/366))+(P89*($E89/366))</f>
        <v>0</v>
      </c>
      <c r="U174" s="7">
        <f>(Q88*($E88/366))+(Q89*($E89/366))</f>
        <v>37.5</v>
      </c>
      <c r="V174" s="7"/>
      <c r="W174" s="7">
        <f t="shared" si="33"/>
        <v>37.5</v>
      </c>
    </row>
    <row r="175" spans="1:23">
      <c r="A175" s="1">
        <v>2001</v>
      </c>
      <c r="B175" s="7">
        <f>(K90*($E90/365))+(K91*($E91/365))</f>
        <v>0</v>
      </c>
      <c r="C175" s="7">
        <f>(L90*($E90/365))+(L91*($E91/365))</f>
        <v>0</v>
      </c>
      <c r="D175" s="7">
        <f>(M90*($E90/365))+(M91*($E91/365))</f>
        <v>100</v>
      </c>
      <c r="E175" s="61">
        <f t="shared" si="32"/>
        <v>100</v>
      </c>
      <c r="G175" s="1">
        <v>2001</v>
      </c>
      <c r="H175" s="1001">
        <f>(O90/$R90*100*($E90/365))+(O91/$R91*100*($E91/365))</f>
        <v>0</v>
      </c>
      <c r="I175" s="1001"/>
      <c r="J175" s="1001">
        <f>(P90/$R90*100*($E90/365))+(P91/$R91*100*($E91/365))</f>
        <v>0</v>
      </c>
      <c r="K175" s="1001"/>
      <c r="L175" s="1001">
        <f>(Q90/$R90*100*($E90/365))+(Q91/$R91*100*($E91/365))</f>
        <v>100</v>
      </c>
      <c r="M175" s="1001"/>
      <c r="N175" s="959">
        <f t="shared" si="34"/>
        <v>100</v>
      </c>
      <c r="O175" s="959"/>
      <c r="R175" s="1">
        <v>2001</v>
      </c>
      <c r="S175" s="7">
        <f>(O90*($E90/365))+(O91*($E91/365))</f>
        <v>0</v>
      </c>
      <c r="T175" s="7">
        <f>(P90*($E90/365))+(P91*($E91/365))</f>
        <v>0</v>
      </c>
      <c r="U175" s="7">
        <f>(Q90*($E90/365))+(Q91*($E91/365))</f>
        <v>37.5</v>
      </c>
      <c r="V175" s="7"/>
      <c r="W175" s="7">
        <f t="shared" si="33"/>
        <v>37.5</v>
      </c>
    </row>
    <row r="176" spans="1:23">
      <c r="A176" s="1">
        <v>2002</v>
      </c>
      <c r="B176" s="7">
        <f>(K92*($E92/365))+(K93*($E93/365))</f>
        <v>0</v>
      </c>
      <c r="C176" s="7">
        <f>(L92*($E92/365))+(L93*($E93/365))</f>
        <v>0</v>
      </c>
      <c r="D176" s="7">
        <f>(M92*($E92/365))+(M93*($E93/365))</f>
        <v>100</v>
      </c>
      <c r="E176" s="61">
        <f t="shared" si="32"/>
        <v>100</v>
      </c>
      <c r="G176" s="1">
        <v>2002</v>
      </c>
      <c r="H176" s="1001">
        <f>(O92/$R92*100*($E92/365))+(O93/$R93*100*($E93/365))</f>
        <v>0</v>
      </c>
      <c r="I176" s="1001"/>
      <c r="J176" s="1001">
        <f>(P92/$R92*100*($E92/365))+(P93/$R93*100*($E93/365))</f>
        <v>0</v>
      </c>
      <c r="K176" s="1001"/>
      <c r="L176" s="1001">
        <f>(Q92/$R92*100*($E92/365))+(Q93/$R93*100*($E93/365))</f>
        <v>100</v>
      </c>
      <c r="M176" s="1001"/>
      <c r="N176" s="959">
        <f t="shared" si="34"/>
        <v>100</v>
      </c>
      <c r="O176" s="959"/>
      <c r="R176" s="1">
        <v>2002</v>
      </c>
      <c r="S176" s="7">
        <f>(O92*($E92/365))+(O93*($E93/365))</f>
        <v>0</v>
      </c>
      <c r="T176" s="7">
        <f>(P92*($E92/365))+(P93*($E93/365))</f>
        <v>0</v>
      </c>
      <c r="U176" s="7">
        <f>(Q92*($E92/365))+(Q93*($E93/365))</f>
        <v>38.447397260273974</v>
      </c>
      <c r="V176" s="7"/>
      <c r="W176" s="7">
        <f t="shared" si="33"/>
        <v>38.447397260273974</v>
      </c>
    </row>
    <row r="177" spans="1:23">
      <c r="A177" s="1">
        <v>2003</v>
      </c>
      <c r="B177" s="7">
        <f>(K94*($E94/365))+(K95*($E95/365))</f>
        <v>0</v>
      </c>
      <c r="C177" s="7">
        <f>(L94*($E94/365))+(L95*($E95/365))</f>
        <v>0</v>
      </c>
      <c r="D177" s="7">
        <f>(M94*($E94/365))+(M95*($E95/365))</f>
        <v>100</v>
      </c>
      <c r="E177" s="61">
        <f t="shared" si="32"/>
        <v>100</v>
      </c>
      <c r="G177" s="1">
        <v>2003</v>
      </c>
      <c r="H177" s="1001">
        <f>(O94/$R94*100*($E94/365))+(O95/$R95*100*($E95/365))</f>
        <v>0</v>
      </c>
      <c r="I177" s="1001"/>
      <c r="J177" s="1001">
        <f>(P94/$R94*100*($E94/365))+(P95/$R95*100*($E95/365))</f>
        <v>0</v>
      </c>
      <c r="K177" s="1001"/>
      <c r="L177" s="1001">
        <f>(Q94/$R94*100*($E94/365))+(Q95/$R95*100*($E95/365))</f>
        <v>100</v>
      </c>
      <c r="M177" s="1001"/>
      <c r="N177" s="959">
        <f t="shared" si="34"/>
        <v>100</v>
      </c>
      <c r="O177" s="959"/>
      <c r="R177" s="1">
        <v>2003</v>
      </c>
      <c r="S177" s="7">
        <f>(O94*($E94/365))+(O95*($E95/365))</f>
        <v>0</v>
      </c>
      <c r="T177" s="7">
        <f>(P94*($E94/365))+(P95*($E95/365))</f>
        <v>0</v>
      </c>
      <c r="U177" s="7">
        <f>(Q94*($E94/365))+(Q95*($E95/365))</f>
        <v>41.3</v>
      </c>
      <c r="V177" s="7"/>
      <c r="W177" s="7">
        <f t="shared" si="33"/>
        <v>41.3</v>
      </c>
    </row>
    <row r="178" spans="1:23">
      <c r="A178" s="1">
        <v>2004</v>
      </c>
      <c r="B178" s="7">
        <f>(K96*($E96/366))+(K97*($E97/366))</f>
        <v>0</v>
      </c>
      <c r="C178" s="7">
        <f>(L96*($E96/366))+(L97*($E97/366))</f>
        <v>0</v>
      </c>
      <c r="D178" s="7">
        <f>(M96*($E96/366))+(M97*($E97/366))</f>
        <v>100</v>
      </c>
      <c r="E178" s="61">
        <f t="shared" si="32"/>
        <v>100</v>
      </c>
      <c r="G178" s="1">
        <v>2004</v>
      </c>
      <c r="H178" s="1001">
        <f>(O96/$R96*100*($E96/366))+(O97/$R97*100*($E97/366))</f>
        <v>0</v>
      </c>
      <c r="I178" s="1001"/>
      <c r="J178" s="1001">
        <f>(P96/$R96*100*($E96/366))+(P97/$R97*100*($E97/366))</f>
        <v>0</v>
      </c>
      <c r="K178" s="1001"/>
      <c r="L178" s="1001">
        <f>(Q96/$R96*100*($E96/366))+(Q97/$R97*100*($E97/366))</f>
        <v>100</v>
      </c>
      <c r="M178" s="1001"/>
      <c r="N178" s="959">
        <f t="shared" si="34"/>
        <v>100</v>
      </c>
      <c r="O178" s="959"/>
      <c r="R178" s="1">
        <v>2004</v>
      </c>
      <c r="S178" s="7">
        <f>(O96*($E96/366))+(O97*($E97/366))</f>
        <v>0</v>
      </c>
      <c r="T178" s="7">
        <f>(P96*($E96/366))+(P97*($E97/366))</f>
        <v>0</v>
      </c>
      <c r="U178" s="7">
        <f>(Q96*($E96/366))+(Q97*($E97/366))</f>
        <v>41.3</v>
      </c>
      <c r="V178" s="7"/>
      <c r="W178" s="7">
        <f t="shared" si="33"/>
        <v>41.3</v>
      </c>
    </row>
    <row r="179" spans="1:23">
      <c r="A179" s="1">
        <v>2005</v>
      </c>
      <c r="B179" s="7">
        <f>(K98*($E98/365))+(K99*($E99/365))</f>
        <v>0</v>
      </c>
      <c r="C179" s="7">
        <f>(L98*($E98/365))+(L99*($E99/365))</f>
        <v>0</v>
      </c>
      <c r="D179" s="7">
        <f>(M98*($E98/365))+(M99*($E99/365))</f>
        <v>100</v>
      </c>
      <c r="E179" s="61">
        <f t="shared" si="32"/>
        <v>100</v>
      </c>
      <c r="G179" s="1">
        <v>2005</v>
      </c>
      <c r="H179" s="1001">
        <f>(O98/$R98*100*($E98/365))+(O99/$R99*100*($E99/365))</f>
        <v>0</v>
      </c>
      <c r="I179" s="1001"/>
      <c r="J179" s="1001">
        <f>(P98/$R98*100*($E98/365))+(P99/$R99*100*($E99/365))</f>
        <v>0</v>
      </c>
      <c r="K179" s="1001"/>
      <c r="L179" s="1001">
        <f>(Q98/$R98*100*($E98/365))+(Q99/$R99*100*($E99/365))</f>
        <v>100</v>
      </c>
      <c r="M179" s="1001"/>
      <c r="N179" s="959">
        <f t="shared" si="34"/>
        <v>100</v>
      </c>
      <c r="O179" s="959"/>
      <c r="R179" s="1">
        <v>2005</v>
      </c>
      <c r="S179" s="7">
        <f>(O98*($E98/365))+(O99*($E99/365))</f>
        <v>0</v>
      </c>
      <c r="T179" s="7">
        <f>(P98*($E98/365))+(P99*($E99/365))</f>
        <v>0</v>
      </c>
      <c r="U179" s="7">
        <f>(Q98*($E98/365))+(Q99*($E99/365))</f>
        <v>41.3</v>
      </c>
      <c r="V179" s="7"/>
      <c r="W179" s="7">
        <f t="shared" si="33"/>
        <v>41.3</v>
      </c>
    </row>
    <row r="180" spans="1:23">
      <c r="A180" s="1">
        <v>2006</v>
      </c>
      <c r="B180" s="7">
        <f>(K100*($E100/365))+(K101*($E101/365))</f>
        <v>16.43835616438356</v>
      </c>
      <c r="C180" s="7">
        <f>(L100*($E100/365))+(L101*($E101/365))</f>
        <v>7.6712328767123283</v>
      </c>
      <c r="D180" s="7">
        <f>(M100*($E100/365))+(M101*($E101/365))</f>
        <v>75.890410958904113</v>
      </c>
      <c r="E180" s="61">
        <f t="shared" si="32"/>
        <v>100</v>
      </c>
      <c r="G180" s="1">
        <v>2006</v>
      </c>
      <c r="H180" s="1001">
        <f>(O100/$R100*100*($E100/365))+(O101/$R101*100*($E101/365))</f>
        <v>16.923986032769271</v>
      </c>
      <c r="I180" s="1001"/>
      <c r="J180" s="1001">
        <f>(P100/$R100*100*($E100/365))+(P101/$R101*100*($E101/365))</f>
        <v>7.1856030083266189</v>
      </c>
      <c r="K180" s="1001"/>
      <c r="L180" s="1001">
        <f>(Q100/$R100*100*($E100/365))+(Q101/$R101*100*($E101/365))</f>
        <v>75.890410958904113</v>
      </c>
      <c r="M180" s="1001"/>
      <c r="N180" s="959">
        <f t="shared" si="34"/>
        <v>100</v>
      </c>
      <c r="O180" s="959"/>
      <c r="R180" s="1">
        <v>2006</v>
      </c>
      <c r="S180" s="7">
        <f>(O100*($E100/365))+(O101*($E101/365))</f>
        <v>8.6312328767123283</v>
      </c>
      <c r="T180" s="7">
        <f>(P100*($E100/365))+(P101*($E101/365))</f>
        <v>3.6646575342465755</v>
      </c>
      <c r="U180" s="7">
        <f>(Q100*($E100/365))+(Q101*($E101/365))</f>
        <v>31.342739726027396</v>
      </c>
      <c r="V180" s="7"/>
      <c r="W180" s="7">
        <f t="shared" si="33"/>
        <v>43.638630136986301</v>
      </c>
    </row>
    <row r="181" spans="1:23">
      <c r="A181" s="1">
        <v>2007</v>
      </c>
      <c r="B181" s="7">
        <f>(K102*($E102/365))+(K103*($E103/365))</f>
        <v>68.181818181818173</v>
      </c>
      <c r="C181" s="7">
        <f>(L102*($E102/365))+(L103*($E103/365))</f>
        <v>31.818181818181817</v>
      </c>
      <c r="D181" s="7">
        <f>(M102*($E102/365))+(M103*($E103/365))</f>
        <v>0</v>
      </c>
      <c r="E181" s="61">
        <f t="shared" si="32"/>
        <v>99.999999999999986</v>
      </c>
      <c r="G181" s="1">
        <v>2007</v>
      </c>
      <c r="H181" s="1001">
        <f>(O102/$R102*100*($E102/365))+(O103/$R103*100*($E103/365))</f>
        <v>70.196078431372541</v>
      </c>
      <c r="I181" s="1001"/>
      <c r="J181" s="1001">
        <f>(P102/$R102*100*($E102/365))+(P103/$R103*100*($E103/365))</f>
        <v>29.803921568627452</v>
      </c>
      <c r="K181" s="1001"/>
      <c r="L181" s="1001">
        <f>(Q102/$R102*100*($E102/365))+(Q103/$R103*100*($E103/365))</f>
        <v>0</v>
      </c>
      <c r="M181" s="1001"/>
      <c r="N181" s="959">
        <f t="shared" si="34"/>
        <v>100</v>
      </c>
      <c r="O181" s="959"/>
      <c r="R181" s="1">
        <v>2007</v>
      </c>
      <c r="S181" s="7">
        <f>(O102*($E102/365))+(O103*($E103/365))</f>
        <v>35.799999999999997</v>
      </c>
      <c r="T181" s="7">
        <f>(P102*($E102/365))+(P103*($E103/365))</f>
        <v>15.2</v>
      </c>
      <c r="U181" s="7">
        <f>(Q102*($E102/365))+(Q103*($E103/365))</f>
        <v>0</v>
      </c>
      <c r="V181" s="7"/>
      <c r="W181" s="7">
        <f t="shared" si="33"/>
        <v>51</v>
      </c>
    </row>
    <row r="182" spans="1:23">
      <c r="A182" s="1">
        <v>2008</v>
      </c>
      <c r="B182" s="7">
        <f>(K104*($E104/366))+(K105*($E105/366))</f>
        <v>68.181818181818173</v>
      </c>
      <c r="C182" s="7">
        <f>(L104*($E104/366))+(L105*($E105/366))</f>
        <v>31.818181818181817</v>
      </c>
      <c r="D182" s="7">
        <f>(M104*($E104/366))+(M105*($E105/366))</f>
        <v>0</v>
      </c>
      <c r="E182" s="61">
        <f t="shared" si="32"/>
        <v>99.999999999999986</v>
      </c>
      <c r="G182" s="1">
        <v>2008</v>
      </c>
      <c r="H182" s="1001">
        <f>(O104/$R104*100*($E104/366))+(O105/$R105*100*($E105/366))</f>
        <v>70.196078431372541</v>
      </c>
      <c r="I182" s="1001"/>
      <c r="J182" s="1001">
        <f>(P104/$R104*100*($E104/366))+(P105/$R105*100*($E105/366))</f>
        <v>29.803921568627452</v>
      </c>
      <c r="K182" s="1001"/>
      <c r="L182" s="1001">
        <f>(Q104/$R104*100*($E104/366))+(Q105/$R105*100*($E105/366))</f>
        <v>0</v>
      </c>
      <c r="M182" s="1001"/>
      <c r="N182" s="959">
        <f t="shared" si="34"/>
        <v>100</v>
      </c>
      <c r="O182" s="959"/>
      <c r="R182" s="1">
        <v>2008</v>
      </c>
      <c r="S182" s="7">
        <f>(O104*($E104/366))+(O105*($E105/366))</f>
        <v>35.799999999999997</v>
      </c>
      <c r="T182" s="7">
        <f>(P104*($E104/366))+(P105*($E105/366))</f>
        <v>15.2</v>
      </c>
      <c r="U182" s="7">
        <f>(Q104*($E104/366))+(Q105*($E105/366))</f>
        <v>0</v>
      </c>
      <c r="V182" s="7"/>
      <c r="W182" s="7">
        <f t="shared" si="33"/>
        <v>51</v>
      </c>
    </row>
    <row r="183" spans="1:23">
      <c r="A183" s="1">
        <v>2009</v>
      </c>
      <c r="B183" s="7">
        <f>(K106*($E106/365))+(K107*($E107/365))</f>
        <v>68.181818181818173</v>
      </c>
      <c r="C183" s="7">
        <f>(L106*($E106/365))+(L107*($E107/365))</f>
        <v>31.818181818181817</v>
      </c>
      <c r="D183" s="7">
        <f>(M106*($E106/365))+(M107*($E107/365))</f>
        <v>0</v>
      </c>
      <c r="E183" s="61">
        <f t="shared" si="32"/>
        <v>99.999999999999986</v>
      </c>
      <c r="G183" s="1">
        <v>2009</v>
      </c>
      <c r="H183" s="1001">
        <f>(O106/$R106*100*($E106/365))+(O107/$R107*100*($E107/365))</f>
        <v>70.196078431372541</v>
      </c>
      <c r="I183" s="1001"/>
      <c r="J183" s="1001">
        <f>(P106/$R106*100*($E106/365))+(P107/$R107*100*($E107/365))</f>
        <v>29.803921568627452</v>
      </c>
      <c r="K183" s="1001"/>
      <c r="L183" s="1001">
        <f>(Q106/$R106*100*($E106/365))+(Q107/$R107*100*($E107/365))</f>
        <v>0</v>
      </c>
      <c r="M183" s="1001"/>
      <c r="N183" s="959">
        <f t="shared" si="34"/>
        <v>100</v>
      </c>
      <c r="O183" s="959"/>
      <c r="R183" s="1">
        <v>2009</v>
      </c>
      <c r="S183" s="7">
        <f>(O106*($E106/365))+(O107*($E107/365))</f>
        <v>35.799999999999997</v>
      </c>
      <c r="T183" s="7">
        <f>(P106*($E106/365))+(P107*($E107/365))</f>
        <v>15.2</v>
      </c>
      <c r="U183" s="7">
        <f>(Q106*($E106/365))+(Q107*($E107/365))</f>
        <v>0</v>
      </c>
      <c r="V183" s="7"/>
      <c r="W183" s="7">
        <f t="shared" si="33"/>
        <v>51</v>
      </c>
    </row>
    <row r="184" spans="1:23">
      <c r="A184" s="1">
        <v>2010</v>
      </c>
      <c r="B184" s="7">
        <f>(K108*($E108/365))+(K109*($E109/365))</f>
        <v>68.930053964300541</v>
      </c>
      <c r="C184" s="7">
        <f>(L108*($E108/365))+(L109*($E109/365))</f>
        <v>31.069946035699459</v>
      </c>
      <c r="D184" s="7">
        <f>(M108*($E108/365))+(M109*($E109/365))</f>
        <v>0</v>
      </c>
      <c r="E184" s="61">
        <f t="shared" si="32"/>
        <v>100</v>
      </c>
      <c r="G184" s="1">
        <v>2010</v>
      </c>
      <c r="H184" s="1001">
        <f>(O108/$R108*100*($E108/365))+(O109/$R109*100*($E109/365))</f>
        <v>71.779279630544224</v>
      </c>
      <c r="I184" s="1001"/>
      <c r="J184" s="1001">
        <f>(P108/$R108*100*($E108/365))+(P109/$R109*100*($E109/365))</f>
        <v>28.220720369455783</v>
      </c>
      <c r="K184" s="1001"/>
      <c r="L184" s="1001">
        <f>(Q108/$R108*100*($E108/365))+(Q109/$R109*100*($E109/365))</f>
        <v>0</v>
      </c>
      <c r="M184" s="1001"/>
      <c r="N184" s="959">
        <f t="shared" si="34"/>
        <v>100</v>
      </c>
      <c r="O184" s="959"/>
      <c r="R184" s="1">
        <v>2010</v>
      </c>
      <c r="S184" s="7">
        <f>(O108*($E108/365))+(O109*($E109/365))</f>
        <v>36.307945205479449</v>
      </c>
      <c r="T184" s="7">
        <f>(P108*($E108/365))+(P109*($E109/365))</f>
        <v>14.296986301369863</v>
      </c>
      <c r="U184" s="7">
        <f>(Q108*($E108/365))+(Q109*($E109/365))</f>
        <v>0</v>
      </c>
      <c r="V184" s="7"/>
      <c r="W184" s="7">
        <f t="shared" si="33"/>
        <v>50.604931506849312</v>
      </c>
    </row>
    <row r="185" spans="1:23">
      <c r="A185" s="1">
        <v>2011</v>
      </c>
      <c r="B185" s="7">
        <f>(K110*($E110/365))+(K111*($E111/365))</f>
        <v>70.833333333333343</v>
      </c>
      <c r="C185" s="7">
        <f>(L110*($E110/365))+(L111*($E111/365))</f>
        <v>29.166666666666668</v>
      </c>
      <c r="D185" s="7">
        <f>(M110*($E110/365))+(M111*($E111/365))</f>
        <v>0</v>
      </c>
      <c r="E185" s="61">
        <f t="shared" si="32"/>
        <v>100.00000000000001</v>
      </c>
      <c r="G185" s="1">
        <v>2011</v>
      </c>
      <c r="H185" s="1001">
        <f>(O110/$R110*100*($E110/365))+(O111/$R111*100*($E111/365))</f>
        <v>75.806451612903231</v>
      </c>
      <c r="I185" s="1001"/>
      <c r="J185" s="1001">
        <f>(P110/$R110*100*($E110/365))+(P111/$R111*100*($E111/365))</f>
        <v>24.193548387096772</v>
      </c>
      <c r="K185" s="1001"/>
      <c r="L185" s="1001">
        <f>(Q110/$R110*100*($E110/365))+(Q111/$R111*100*($E111/365))</f>
        <v>0</v>
      </c>
      <c r="M185" s="1001"/>
      <c r="N185" s="959">
        <f t="shared" si="34"/>
        <v>100</v>
      </c>
      <c r="O185" s="959"/>
      <c r="R185" s="1">
        <v>2011</v>
      </c>
      <c r="S185" s="7">
        <f>(O110*($E110/365))+(O111*($E111/365))</f>
        <v>37.6</v>
      </c>
      <c r="T185" s="7">
        <f>(P110*($E110/365))+(P111*($E111/365))</f>
        <v>12</v>
      </c>
      <c r="U185" s="7">
        <f>(Q110*($E110/365))+(Q111*($E111/365))</f>
        <v>0</v>
      </c>
      <c r="V185" s="7"/>
      <c r="W185" s="7">
        <f t="shared" si="33"/>
        <v>49.6</v>
      </c>
    </row>
    <row r="186" spans="1:23">
      <c r="A186" s="1">
        <v>2012</v>
      </c>
      <c r="B186" s="7">
        <f>(K112*($E112/366))+(K113*($E113/366))</f>
        <v>70.833333333333343</v>
      </c>
      <c r="C186" s="7">
        <f>(L112*($E112/366))+(L113*($E113/366))</f>
        <v>29.166666666666668</v>
      </c>
      <c r="D186" s="7">
        <f>(M112*($E112/366))+(M113*($E113/366))</f>
        <v>0</v>
      </c>
      <c r="E186" s="61">
        <f t="shared" si="32"/>
        <v>100.00000000000001</v>
      </c>
      <c r="G186" s="1">
        <v>2012</v>
      </c>
      <c r="H186" s="1001">
        <f>(O112/$R112*100*($E112/366))+(O113/$R113*100*($E113/366))</f>
        <v>75.806451612903231</v>
      </c>
      <c r="I186" s="1001"/>
      <c r="J186" s="1001">
        <f>(P112/$R112*100*($E112/366))+(P113/$R113*100*($E113/366))</f>
        <v>24.193548387096772</v>
      </c>
      <c r="K186" s="1001"/>
      <c r="L186" s="1001">
        <f>(Q112/$R112*100*($E112/366))+(Q113/$R113*100*($E113/366))</f>
        <v>0</v>
      </c>
      <c r="M186" s="1001"/>
      <c r="N186" s="959">
        <f t="shared" si="34"/>
        <v>100</v>
      </c>
      <c r="O186" s="959"/>
      <c r="R186" s="1">
        <v>2012</v>
      </c>
      <c r="S186" s="7">
        <f>(O112*($E112/366))+(O113*($E113/366))</f>
        <v>37.6</v>
      </c>
      <c r="T186" s="7">
        <f>(P112*($E112/366))+(P113*($E113/366))</f>
        <v>12</v>
      </c>
      <c r="U186" s="7">
        <f>(Q112*($E112/366))+(Q113*($E113/366))</f>
        <v>0</v>
      </c>
      <c r="V186" s="7"/>
      <c r="W186" s="7">
        <f t="shared" si="33"/>
        <v>49.6</v>
      </c>
    </row>
    <row r="187" spans="1:23">
      <c r="A187" s="1">
        <v>2013</v>
      </c>
      <c r="B187" s="7">
        <f>(K114*($E114/365))+(K115*($E115/365))</f>
        <v>70.833333333333343</v>
      </c>
      <c r="C187" s="7">
        <f>(L114*($E114/365))+(L115*($E115/365))</f>
        <v>29.166666666666668</v>
      </c>
      <c r="D187" s="7">
        <f>(M114*($E114/365))+(M115*($E115/365))</f>
        <v>0</v>
      </c>
      <c r="E187" s="309">
        <f t="shared" si="32"/>
        <v>100.00000000000001</v>
      </c>
      <c r="G187" s="1">
        <v>2013</v>
      </c>
      <c r="H187" s="1001">
        <f>(O114/$R114*100*($E114/365))+(O115/$R115*100*($E115/365))</f>
        <v>75.806451612903231</v>
      </c>
      <c r="I187" s="1001"/>
      <c r="J187" s="1001">
        <f>(P114/$R114*100*($E114/365))+(P115/$R115*100*($E115/365))</f>
        <v>24.193548387096772</v>
      </c>
      <c r="K187" s="1001"/>
      <c r="L187" s="1001">
        <f>(Q114/$R114*100*($E114/365))+(Q115/$R115*100*($E115/365))</f>
        <v>0</v>
      </c>
      <c r="M187" s="1001"/>
      <c r="N187" s="959">
        <f>H187+J187+L187</f>
        <v>100</v>
      </c>
      <c r="O187" s="959"/>
      <c r="R187" s="1">
        <v>2013</v>
      </c>
      <c r="S187" s="7">
        <f>(O114*($E114/365))+(O115*($E115/365))</f>
        <v>37.6</v>
      </c>
      <c r="T187" s="7">
        <f>(P114*($E114/365))+(P115*($E115/365))</f>
        <v>12</v>
      </c>
      <c r="U187" s="7">
        <f>(Q114*($E114/365))+(Q115*($E115/365))</f>
        <v>0</v>
      </c>
      <c r="W187" s="7">
        <f t="shared" si="33"/>
        <v>49.6</v>
      </c>
    </row>
    <row r="188" spans="1:23">
      <c r="A188" s="1">
        <v>2014</v>
      </c>
      <c r="B188" s="7">
        <f>(K116*($E116/365))+(K117*($E117/365))</f>
        <v>53.755707762557087</v>
      </c>
      <c r="C188" s="7">
        <f>(L116*($E116/365))+(L117*($E117/365))</f>
        <v>22.134703196347033</v>
      </c>
      <c r="D188" s="7">
        <f>(M116*($E116/365))+(M117*($E117/365))</f>
        <v>24.109589041095891</v>
      </c>
      <c r="E188" s="655">
        <f>B188+C188+D188</f>
        <v>100</v>
      </c>
      <c r="G188" s="1">
        <v>2014</v>
      </c>
      <c r="H188" s="1001">
        <f>(O116/$R116*100*($E116/365))+(O117/$R117*100*($E117/365))</f>
        <v>57.529827662395057</v>
      </c>
      <c r="I188" s="1001"/>
      <c r="J188" s="1001">
        <f>(P116/$R116*100*($E116/365))+(P117/$R117*100*($E117/365))</f>
        <v>18.360583296509056</v>
      </c>
      <c r="K188" s="1001"/>
      <c r="L188" s="1001">
        <f>(Q116/$R116*100*($E116/365))+(Q117/$R117*100*($E117/365))</f>
        <v>24.109589041095891</v>
      </c>
      <c r="M188" s="1001"/>
      <c r="N188" s="959">
        <f>H188+J188+L188</f>
        <v>100</v>
      </c>
      <c r="O188" s="959"/>
      <c r="R188" s="1">
        <v>2014</v>
      </c>
      <c r="S188" s="7">
        <f>(O116*($E116/365))+(O117*($E117/365))</f>
        <v>28.534794520547948</v>
      </c>
      <c r="T188" s="7">
        <f>(P116*($E116/365))+(P117*($E117/365))</f>
        <v>9.1068493150684926</v>
      </c>
      <c r="U188" s="7">
        <f>(Q116*($E116/365))+(Q117*($E117/365))</f>
        <v>9.5473972602739732</v>
      </c>
      <c r="W188" s="7">
        <f>S188+T188+U188</f>
        <v>47.189041095890417</v>
      </c>
    </row>
    <row r="189" spans="1:23" s="765" customFormat="1">
      <c r="A189" s="765">
        <v>2015</v>
      </c>
      <c r="B189" s="764">
        <f>(K118*($E118/365))+(K119*($E119/365))</f>
        <v>0</v>
      </c>
      <c r="C189" s="764">
        <f>(L118*($E118/365))+(L119*($E119/365))</f>
        <v>0</v>
      </c>
      <c r="D189" s="764">
        <f>(M118*($E118/365))+(M119*($E119/365))</f>
        <v>100</v>
      </c>
      <c r="E189" s="761">
        <f>B189+C189+D189</f>
        <v>100</v>
      </c>
      <c r="G189" s="765">
        <v>2015</v>
      </c>
      <c r="H189" s="1001">
        <f>(O118/$R118*100*($E118/365))+(O119/$R119*100*($E119/365))</f>
        <v>0</v>
      </c>
      <c r="I189" s="1001"/>
      <c r="J189" s="1001">
        <f>(P118/$R118*100*($E118/365))+(P119/$R119*100*($E119/365))</f>
        <v>0</v>
      </c>
      <c r="K189" s="1001"/>
      <c r="L189" s="1001">
        <f>(Q118/$R118*100*($E118/365))+(Q119/$R119*100*($E119/365))</f>
        <v>100</v>
      </c>
      <c r="M189" s="1001"/>
      <c r="N189" s="959">
        <f>H189+J189+L189</f>
        <v>100</v>
      </c>
      <c r="O189" s="959"/>
      <c r="R189" s="765">
        <v>2015</v>
      </c>
      <c r="S189" s="764">
        <f>(O118*($E118/365))+(O119*($E119/365))</f>
        <v>0</v>
      </c>
      <c r="T189" s="764">
        <f>(P118*($E118/365))+(P119*($E119/365))</f>
        <v>0</v>
      </c>
      <c r="U189" s="764">
        <f>(Q118*($E118/365))+(Q119*($E119/365))</f>
        <v>39.6</v>
      </c>
      <c r="W189" s="764">
        <f>S189+T189+U189</f>
        <v>39.6</v>
      </c>
    </row>
    <row r="190" spans="1:23">
      <c r="A190" s="853">
        <v>2016</v>
      </c>
      <c r="B190" s="852">
        <f>(K120*($E120/366))+(K121*($E121/366))</f>
        <v>0</v>
      </c>
      <c r="C190" s="852">
        <f>(L120*($E120/366))+(L121*($E121/366))</f>
        <v>0</v>
      </c>
      <c r="D190" s="852">
        <f>(M120*($E120/366))+(M121*($E121/366))</f>
        <v>100</v>
      </c>
      <c r="E190" s="851">
        <f t="shared" ref="E190" si="35">B190+C190+D190</f>
        <v>100</v>
      </c>
      <c r="F190" s="853"/>
      <c r="G190" s="853">
        <v>2016</v>
      </c>
      <c r="H190" s="1001">
        <f>(O120/$R120*100*($E120/366))+(O121/$R121*100*($E121/366))</f>
        <v>0</v>
      </c>
      <c r="I190" s="1001"/>
      <c r="J190" s="1001">
        <f>(P120/$R120*100*($E120/366))+(P121/$R121*100*($E121/366))</f>
        <v>0</v>
      </c>
      <c r="K190" s="1001"/>
      <c r="L190" s="1001">
        <f>(Q120/$R120*100*($E120/366))+(Q121/$R121*100*($E121/366))</f>
        <v>100</v>
      </c>
      <c r="M190" s="1001"/>
      <c r="N190" s="959">
        <f t="shared" ref="N190" si="36">H190+J190+L190</f>
        <v>100</v>
      </c>
      <c r="O190" s="959"/>
      <c r="P190" s="853"/>
      <c r="Q190" s="853"/>
      <c r="R190" s="853">
        <v>2016</v>
      </c>
      <c r="S190" s="852">
        <f>(O120*($E120/366))+(O121*($E121/366))</f>
        <v>0</v>
      </c>
      <c r="T190" s="852">
        <f>(P120*($E120/366))+(P121*($E121/366))</f>
        <v>0</v>
      </c>
      <c r="U190" s="852">
        <f>(Q120*($E120/366))+(Q121*($E121/366))</f>
        <v>39.6</v>
      </c>
      <c r="V190" s="853"/>
      <c r="W190" s="852">
        <f t="shared" ref="W190" si="37">S190+T190+U190</f>
        <v>39.6</v>
      </c>
    </row>
    <row r="191" spans="1:23">
      <c r="A191" s="920">
        <v>2017</v>
      </c>
      <c r="B191" s="917">
        <f>(K122*($E122/365))+(K123*($E123/365))</f>
        <v>0</v>
      </c>
      <c r="C191" s="917">
        <f t="shared" ref="C191:D191" si="38">(L122*($E122/365))+(L123*($E123/365))</f>
        <v>0</v>
      </c>
      <c r="D191" s="917">
        <f t="shared" si="38"/>
        <v>100</v>
      </c>
      <c r="E191" s="916">
        <f t="shared" ref="E191" si="39">B191+C191+D191</f>
        <v>100</v>
      </c>
      <c r="F191" s="920"/>
      <c r="G191" s="920">
        <v>2017</v>
      </c>
      <c r="H191" s="1001">
        <f>(O122/$R122*100*($E122/365))+(O123/$R123*100*($E123/365))</f>
        <v>0</v>
      </c>
      <c r="I191" s="1001"/>
      <c r="J191" s="1001">
        <f>(P122/$R122*100*($E122/365))+(P123/$R123*100*($E123/365))</f>
        <v>0</v>
      </c>
      <c r="K191" s="1001"/>
      <c r="L191" s="1001">
        <f>(Q122/$R122*100*($E122/365))+(Q123/$R123*100*($E123/365))</f>
        <v>100</v>
      </c>
      <c r="M191" s="1001"/>
      <c r="N191" s="959">
        <f t="shared" ref="N191" si="40">H191+J191+L191</f>
        <v>100</v>
      </c>
      <c r="O191" s="959"/>
      <c r="P191" s="920"/>
      <c r="Q191" s="920"/>
      <c r="R191" s="920">
        <v>2017</v>
      </c>
      <c r="S191" s="917">
        <f>(O122*($E122/365))+(O123*($E123/365))</f>
        <v>0</v>
      </c>
      <c r="T191" s="917">
        <f t="shared" ref="T191:U191" si="41">(P122*($E122/365))+(P123*($E123/365))</f>
        <v>0</v>
      </c>
      <c r="U191" s="917">
        <f t="shared" si="41"/>
        <v>39.6</v>
      </c>
      <c r="V191" s="920"/>
      <c r="W191" s="917">
        <f t="shared" ref="W191" si="42">S191+T191+U191</f>
        <v>39.6</v>
      </c>
    </row>
    <row r="192" spans="1:23">
      <c r="A192" s="950">
        <v>2018</v>
      </c>
      <c r="B192" s="949">
        <f>(K124*($E124/365))+(K125*($E125/365))</f>
        <v>0</v>
      </c>
      <c r="C192" s="949">
        <f>(L124*($E124/365))+(L125*($E125/365))</f>
        <v>0</v>
      </c>
      <c r="D192" s="949">
        <f>(M124*($E124/365))+(M125*($E125/365))</f>
        <v>100</v>
      </c>
      <c r="E192" s="948">
        <f t="shared" ref="E192" si="43">B192+C192+D192</f>
        <v>100</v>
      </c>
      <c r="F192" s="950"/>
      <c r="G192" s="950">
        <v>2018</v>
      </c>
      <c r="H192" s="1001">
        <f>(O124/$R124*100*($E124/365))+(O125/$R125*100*($E125/365))</f>
        <v>0</v>
      </c>
      <c r="I192" s="1001"/>
      <c r="J192" s="1001">
        <f>(P124/$R124*100*($E124/365))+(P125/$R125*100*($E125/365))</f>
        <v>0</v>
      </c>
      <c r="K192" s="1001"/>
      <c r="L192" s="1001">
        <f>(Q124/$R124*100*($E124/365))+(Q125/$R125*100*($E125/365))</f>
        <v>100</v>
      </c>
      <c r="M192" s="1001"/>
      <c r="N192" s="959">
        <f t="shared" ref="N192" si="44">H192+J192+L192</f>
        <v>100</v>
      </c>
      <c r="O192" s="959"/>
      <c r="P192" s="950"/>
      <c r="Q192" s="950"/>
      <c r="R192" s="950">
        <v>2018</v>
      </c>
      <c r="S192" s="949">
        <f>(O124*($E124/365))+(O125*($E125/365))</f>
        <v>0</v>
      </c>
      <c r="T192" s="949">
        <f>(P124*($E124/365))+(P125*($E125/365))</f>
        <v>0</v>
      </c>
      <c r="U192" s="949">
        <f>(Q124*($E124/365))+(Q125*($E125/365))</f>
        <v>39.6</v>
      </c>
      <c r="V192" s="950"/>
      <c r="W192" s="949">
        <f t="shared" ref="W192" si="45">S192+T192+U192</f>
        <v>39.6</v>
      </c>
    </row>
  </sheetData>
  <mergeCells count="386">
    <mergeCell ref="C125:D125"/>
    <mergeCell ref="H192:I192"/>
    <mergeCell ref="J192:K192"/>
    <mergeCell ref="L192:M192"/>
    <mergeCell ref="N192:O192"/>
    <mergeCell ref="H190:I190"/>
    <mergeCell ref="J190:K190"/>
    <mergeCell ref="L190:M190"/>
    <mergeCell ref="N190:O190"/>
    <mergeCell ref="H173:I173"/>
    <mergeCell ref="H174:I174"/>
    <mergeCell ref="H175:I175"/>
    <mergeCell ref="H177:I177"/>
    <mergeCell ref="H163:I163"/>
    <mergeCell ref="J163:K163"/>
    <mergeCell ref="N163:O163"/>
    <mergeCell ref="H186:I186"/>
    <mergeCell ref="H180:I180"/>
    <mergeCell ref="H181:I181"/>
    <mergeCell ref="J185:K185"/>
    <mergeCell ref="J186:K186"/>
    <mergeCell ref="J182:K182"/>
    <mergeCell ref="J183:K183"/>
    <mergeCell ref="J184:K184"/>
    <mergeCell ref="H189:I189"/>
    <mergeCell ref="J189:K189"/>
    <mergeCell ref="L189:M189"/>
    <mergeCell ref="N189:O189"/>
    <mergeCell ref="N187:O187"/>
    <mergeCell ref="N173:O173"/>
    <mergeCell ref="N174:O174"/>
    <mergeCell ref="N175:O175"/>
    <mergeCell ref="N176:O176"/>
    <mergeCell ref="N177:O177"/>
    <mergeCell ref="N178:O178"/>
    <mergeCell ref="H183:I183"/>
    <mergeCell ref="H184:I184"/>
    <mergeCell ref="H185:I185"/>
    <mergeCell ref="L184:M184"/>
    <mergeCell ref="N167:O167"/>
    <mergeCell ref="N168:O168"/>
    <mergeCell ref="L182:M182"/>
    <mergeCell ref="L169:M169"/>
    <mergeCell ref="L168:M168"/>
    <mergeCell ref="L180:M180"/>
    <mergeCell ref="L181:M181"/>
    <mergeCell ref="H187:I187"/>
    <mergeCell ref="J187:K187"/>
    <mergeCell ref="L187:M187"/>
    <mergeCell ref="N185:O185"/>
    <mergeCell ref="N186:O186"/>
    <mergeCell ref="N179:O179"/>
    <mergeCell ref="N180:O180"/>
    <mergeCell ref="N181:O181"/>
    <mergeCell ref="N182:O182"/>
    <mergeCell ref="N183:O183"/>
    <mergeCell ref="N184:O184"/>
    <mergeCell ref="L183:M183"/>
    <mergeCell ref="J179:K179"/>
    <mergeCell ref="H179:I179"/>
    <mergeCell ref="L185:M185"/>
    <mergeCell ref="L186:M186"/>
    <mergeCell ref="H182:I182"/>
    <mergeCell ref="AT4:AW4"/>
    <mergeCell ref="AX4:BA4"/>
    <mergeCell ref="N164:O164"/>
    <mergeCell ref="N165:O165"/>
    <mergeCell ref="N166:O166"/>
    <mergeCell ref="L176:M176"/>
    <mergeCell ref="L177:M177"/>
    <mergeCell ref="L178:M178"/>
    <mergeCell ref="L179:M179"/>
    <mergeCell ref="L170:M170"/>
    <mergeCell ref="L171:M171"/>
    <mergeCell ref="L172:M172"/>
    <mergeCell ref="L173:M173"/>
    <mergeCell ref="L174:M174"/>
    <mergeCell ref="L175:M175"/>
    <mergeCell ref="N169:O169"/>
    <mergeCell ref="N170:O170"/>
    <mergeCell ref="N171:O171"/>
    <mergeCell ref="N172:O172"/>
    <mergeCell ref="L164:M164"/>
    <mergeCell ref="L165:M165"/>
    <mergeCell ref="L166:M166"/>
    <mergeCell ref="L167:M167"/>
    <mergeCell ref="L163:M163"/>
    <mergeCell ref="H169:I169"/>
    <mergeCell ref="J169:K169"/>
    <mergeCell ref="J170:K170"/>
    <mergeCell ref="J171:K171"/>
    <mergeCell ref="J180:K180"/>
    <mergeCell ref="J181:K181"/>
    <mergeCell ref="J173:K173"/>
    <mergeCell ref="J174:K174"/>
    <mergeCell ref="J175:K175"/>
    <mergeCell ref="J176:K176"/>
    <mergeCell ref="J177:K177"/>
    <mergeCell ref="J178:K178"/>
    <mergeCell ref="J172:K172"/>
    <mergeCell ref="H176:I176"/>
    <mergeCell ref="H178:I178"/>
    <mergeCell ref="H170:I170"/>
    <mergeCell ref="H171:I171"/>
    <mergeCell ref="H172:I172"/>
    <mergeCell ref="J167:K167"/>
    <mergeCell ref="J168:K168"/>
    <mergeCell ref="J164:K164"/>
    <mergeCell ref="J165:K165"/>
    <mergeCell ref="J166:K166"/>
    <mergeCell ref="H164:I164"/>
    <mergeCell ref="H165:I165"/>
    <mergeCell ref="H166:I166"/>
    <mergeCell ref="H167:I167"/>
    <mergeCell ref="H168:I168"/>
    <mergeCell ref="H159:I159"/>
    <mergeCell ref="J159:K159"/>
    <mergeCell ref="L159:M159"/>
    <mergeCell ref="N159:O159"/>
    <mergeCell ref="H160:I160"/>
    <mergeCell ref="J160:K160"/>
    <mergeCell ref="L160:M160"/>
    <mergeCell ref="N160:O160"/>
    <mergeCell ref="J162:K162"/>
    <mergeCell ref="L162:M162"/>
    <mergeCell ref="N162:O162"/>
    <mergeCell ref="H161:I161"/>
    <mergeCell ref="J161:K161"/>
    <mergeCell ref="L161:M161"/>
    <mergeCell ref="N161:O161"/>
    <mergeCell ref="H162:I16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H141:I141"/>
    <mergeCell ref="J141:K141"/>
    <mergeCell ref="L141:M141"/>
    <mergeCell ref="N141:O141"/>
    <mergeCell ref="H142:I142"/>
    <mergeCell ref="J142:K142"/>
    <mergeCell ref="L142:M142"/>
    <mergeCell ref="N142:O142"/>
    <mergeCell ref="H139:I139"/>
    <mergeCell ref="J139:K139"/>
    <mergeCell ref="L139:M139"/>
    <mergeCell ref="N139:O139"/>
    <mergeCell ref="H140:I140"/>
    <mergeCell ref="J140:K140"/>
    <mergeCell ref="L140:M140"/>
    <mergeCell ref="N140:O140"/>
    <mergeCell ref="R130:W130"/>
    <mergeCell ref="H132:I132"/>
    <mergeCell ref="J132:K132"/>
    <mergeCell ref="L132:M132"/>
    <mergeCell ref="N132:O132"/>
    <mergeCell ref="H134:I134"/>
    <mergeCell ref="J134:K134"/>
    <mergeCell ref="L134:M134"/>
    <mergeCell ref="N134:O134"/>
    <mergeCell ref="H133:I133"/>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9:D109"/>
    <mergeCell ref="C97:D97"/>
    <mergeCell ref="C98:D98"/>
    <mergeCell ref="C99:D99"/>
    <mergeCell ref="C100:D100"/>
    <mergeCell ref="C101:D101"/>
    <mergeCell ref="C102:D102"/>
    <mergeCell ref="N135:O135"/>
    <mergeCell ref="H136:I136"/>
    <mergeCell ref="J136:K136"/>
    <mergeCell ref="L136:M136"/>
    <mergeCell ref="C110:D110"/>
    <mergeCell ref="C103:D103"/>
    <mergeCell ref="C104:D104"/>
    <mergeCell ref="C111:D111"/>
    <mergeCell ref="C112:D112"/>
    <mergeCell ref="C113:D113"/>
    <mergeCell ref="C105:D105"/>
    <mergeCell ref="C106:D106"/>
    <mergeCell ref="C107:D107"/>
    <mergeCell ref="C108:D108"/>
    <mergeCell ref="N136:O136"/>
    <mergeCell ref="C114:D114"/>
    <mergeCell ref="C115:D115"/>
    <mergeCell ref="C119:D119"/>
    <mergeCell ref="C118:D118"/>
    <mergeCell ref="C122:D122"/>
    <mergeCell ref="C123:D123"/>
    <mergeCell ref="C120:D120"/>
    <mergeCell ref="C121:D121"/>
    <mergeCell ref="C124:D124"/>
    <mergeCell ref="H191:I191"/>
    <mergeCell ref="J191:K191"/>
    <mergeCell ref="L191:M191"/>
    <mergeCell ref="N191:O191"/>
    <mergeCell ref="H188:I188"/>
    <mergeCell ref="J188:K188"/>
    <mergeCell ref="L188:M188"/>
    <mergeCell ref="N188:O188"/>
    <mergeCell ref="C116:D116"/>
    <mergeCell ref="C117:D117"/>
    <mergeCell ref="J133:K133"/>
    <mergeCell ref="L133:M133"/>
    <mergeCell ref="N133:O133"/>
    <mergeCell ref="H135:I135"/>
    <mergeCell ref="H137:I137"/>
    <mergeCell ref="J137:K137"/>
    <mergeCell ref="L137:M137"/>
    <mergeCell ref="N137:O137"/>
    <mergeCell ref="H138:I138"/>
    <mergeCell ref="J138:K138"/>
    <mergeCell ref="L138:M138"/>
    <mergeCell ref="N138:O138"/>
    <mergeCell ref="J135:K135"/>
    <mergeCell ref="L135:M13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A193"/>
  <sheetViews>
    <sheetView zoomScale="120" zoomScaleNormal="120" workbookViewId="0">
      <pane xSplit="1" ySplit="5" topLeftCell="B123" activePane="bottomRight" state="frozen"/>
      <selection pane="topRight" activeCell="B1" sqref="B1"/>
      <selection pane="bottomLeft" activeCell="A6" sqref="A6"/>
      <selection pane="bottomRight" activeCell="B193" sqref="B19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69</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1248</v>
      </c>
      <c r="D6" s="995"/>
      <c r="E6" s="257">
        <v>350</v>
      </c>
      <c r="G6" s="265">
        <v>4</v>
      </c>
      <c r="H6" s="257">
        <v>3</v>
      </c>
      <c r="J6" s="272">
        <v>7</v>
      </c>
      <c r="K6" s="248">
        <f t="shared" ref="K6:M7" si="0">G6/$J6*100</f>
        <v>57.142857142857139</v>
      </c>
      <c r="L6" s="248">
        <f t="shared" si="0"/>
        <v>42.857142857142854</v>
      </c>
      <c r="M6" s="248">
        <f t="shared" si="0"/>
        <v>0</v>
      </c>
      <c r="N6" s="267">
        <f>K6+L6+M6</f>
        <v>100</v>
      </c>
      <c r="O6" s="247">
        <f>Y6+AG6</f>
        <v>36.700000000000003</v>
      </c>
      <c r="P6" s="248">
        <v>24</v>
      </c>
      <c r="Q6" s="248"/>
      <c r="R6" s="249">
        <f>O6+P6+Q6</f>
        <v>60.7</v>
      </c>
      <c r="S6" s="257">
        <v>2</v>
      </c>
      <c r="T6" s="278"/>
      <c r="V6" s="256" t="s">
        <v>132</v>
      </c>
      <c r="W6" s="257" t="s">
        <v>22</v>
      </c>
      <c r="X6" s="257" t="s">
        <v>11</v>
      </c>
      <c r="Y6" s="258">
        <v>25.5</v>
      </c>
      <c r="Z6" s="257" t="s">
        <v>81</v>
      </c>
      <c r="AA6" s="257" t="s">
        <v>17</v>
      </c>
      <c r="AB6" s="257" t="s">
        <v>18</v>
      </c>
      <c r="AC6" s="258">
        <v>24</v>
      </c>
      <c r="AD6" s="257" t="s">
        <v>338</v>
      </c>
      <c r="AE6" s="257" t="s">
        <v>75</v>
      </c>
      <c r="AF6" s="257" t="s">
        <v>11</v>
      </c>
      <c r="AG6" s="258">
        <v>11.2</v>
      </c>
      <c r="AL6" s="256"/>
      <c r="AO6" s="258"/>
      <c r="AP6" s="256"/>
      <c r="AS6" s="258"/>
      <c r="AW6" s="258"/>
      <c r="BA6" s="259"/>
    </row>
    <row r="7" spans="1:53" s="257" customFormat="1">
      <c r="A7" s="263">
        <v>1959</v>
      </c>
      <c r="B7" s="252">
        <v>21901</v>
      </c>
      <c r="C7" s="995" t="s">
        <v>459</v>
      </c>
      <c r="D7" s="995"/>
      <c r="E7" s="257">
        <f>365-E6</f>
        <v>15</v>
      </c>
      <c r="F7" s="257">
        <v>1</v>
      </c>
      <c r="G7" s="265">
        <v>3</v>
      </c>
      <c r="H7" s="257">
        <v>2</v>
      </c>
      <c r="I7" s="257">
        <v>2</v>
      </c>
      <c r="J7" s="272">
        <v>7</v>
      </c>
      <c r="K7" s="248">
        <f t="shared" si="0"/>
        <v>42.857142857142854</v>
      </c>
      <c r="L7" s="248">
        <f t="shared" si="0"/>
        <v>28.571428571428569</v>
      </c>
      <c r="M7" s="248">
        <f t="shared" si="0"/>
        <v>28.571428571428569</v>
      </c>
      <c r="N7" s="267">
        <f>K7+L7+M7</f>
        <v>99.999999999999986</v>
      </c>
      <c r="O7" s="247">
        <v>37.700000000000003</v>
      </c>
      <c r="P7" s="248">
        <v>24</v>
      </c>
      <c r="Q7" s="248">
        <v>26</v>
      </c>
      <c r="R7" s="249">
        <f>O7+P7+Q7</f>
        <v>87.7</v>
      </c>
      <c r="S7" s="278">
        <v>3</v>
      </c>
      <c r="T7" s="252">
        <v>21848</v>
      </c>
      <c r="U7" s="269">
        <v>21901</v>
      </c>
      <c r="V7" s="256" t="s">
        <v>132</v>
      </c>
      <c r="W7" s="257" t="s">
        <v>22</v>
      </c>
      <c r="X7" s="257" t="s">
        <v>11</v>
      </c>
      <c r="Y7" s="258">
        <v>26</v>
      </c>
      <c r="Z7" s="257" t="s">
        <v>81</v>
      </c>
      <c r="AA7" s="257" t="s">
        <v>17</v>
      </c>
      <c r="AB7" s="257" t="s">
        <v>18</v>
      </c>
      <c r="AC7" s="257">
        <v>24</v>
      </c>
      <c r="AD7" s="256" t="s">
        <v>464</v>
      </c>
      <c r="AE7" s="257" t="s">
        <v>20</v>
      </c>
      <c r="AF7" s="257" t="s">
        <v>12</v>
      </c>
      <c r="AG7" s="258">
        <v>26</v>
      </c>
      <c r="AH7" s="257" t="s">
        <v>338</v>
      </c>
      <c r="AI7" s="257" t="s">
        <v>75</v>
      </c>
      <c r="AJ7" s="257" t="s">
        <v>11</v>
      </c>
      <c r="AK7" s="257">
        <v>11.7</v>
      </c>
      <c r="AL7" s="256"/>
      <c r="AO7" s="258"/>
      <c r="AP7" s="256"/>
      <c r="AS7" s="258"/>
      <c r="AW7" s="258"/>
      <c r="BA7" s="259"/>
    </row>
    <row r="8" spans="1:53" s="208" customFormat="1">
      <c r="A8" s="102">
        <v>1960</v>
      </c>
      <c r="B8" s="207"/>
      <c r="C8" s="988" t="s">
        <v>459</v>
      </c>
      <c r="D8" s="988"/>
      <c r="E8" s="208">
        <v>0</v>
      </c>
      <c r="G8" s="123">
        <v>3</v>
      </c>
      <c r="H8" s="208">
        <v>2</v>
      </c>
      <c r="I8" s="208">
        <v>2</v>
      </c>
      <c r="J8" s="134">
        <v>7</v>
      </c>
      <c r="K8" s="92">
        <f t="shared" ref="K8:M23" si="1">G8/$J8*100</f>
        <v>42.857142857142854</v>
      </c>
      <c r="L8" s="92">
        <f t="shared" si="1"/>
        <v>28.571428571428569</v>
      </c>
      <c r="M8" s="92">
        <f t="shared" si="1"/>
        <v>28.571428571428569</v>
      </c>
      <c r="N8" s="125">
        <f>K8+L8+M8</f>
        <v>99.999999999999986</v>
      </c>
      <c r="O8" s="91">
        <v>37.700000000000003</v>
      </c>
      <c r="P8" s="92">
        <v>24</v>
      </c>
      <c r="Q8" s="92">
        <v>26</v>
      </c>
      <c r="R8" s="93">
        <f>O8+P8+Q8</f>
        <v>87.7</v>
      </c>
      <c r="S8" s="208">
        <v>3</v>
      </c>
      <c r="T8" s="81"/>
      <c r="V8" s="82" t="s">
        <v>132</v>
      </c>
      <c r="W8" s="208" t="s">
        <v>22</v>
      </c>
      <c r="X8" s="208" t="s">
        <v>11</v>
      </c>
      <c r="Y8" s="83">
        <v>26</v>
      </c>
      <c r="Z8" s="208" t="s">
        <v>81</v>
      </c>
      <c r="AA8" s="208" t="s">
        <v>17</v>
      </c>
      <c r="AB8" s="208" t="s">
        <v>18</v>
      </c>
      <c r="AC8" s="208">
        <v>24</v>
      </c>
      <c r="AD8" s="82" t="s">
        <v>464</v>
      </c>
      <c r="AE8" s="208" t="s">
        <v>20</v>
      </c>
      <c r="AF8" s="208" t="s">
        <v>12</v>
      </c>
      <c r="AG8" s="83">
        <v>26</v>
      </c>
      <c r="AH8" s="208" t="s">
        <v>338</v>
      </c>
      <c r="AI8" s="208" t="s">
        <v>75</v>
      </c>
      <c r="AJ8" s="208" t="s">
        <v>11</v>
      </c>
      <c r="AK8" s="208">
        <v>11.7</v>
      </c>
      <c r="AL8" s="82"/>
      <c r="AO8" s="83"/>
      <c r="AP8" s="82"/>
      <c r="AS8" s="83"/>
      <c r="AW8" s="83"/>
      <c r="BA8" s="84"/>
    </row>
    <row r="9" spans="1:53" s="208" customFormat="1">
      <c r="A9" s="102">
        <v>1960</v>
      </c>
      <c r="B9" s="207"/>
      <c r="C9" s="988" t="s">
        <v>458</v>
      </c>
      <c r="D9" s="988"/>
      <c r="E9" s="208">
        <v>366</v>
      </c>
      <c r="F9" s="208">
        <v>1</v>
      </c>
      <c r="G9" s="123">
        <v>3</v>
      </c>
      <c r="H9" s="208">
        <v>2</v>
      </c>
      <c r="I9" s="208">
        <v>2</v>
      </c>
      <c r="J9" s="134">
        <v>7</v>
      </c>
      <c r="K9" s="92">
        <f t="shared" si="1"/>
        <v>42.857142857142854</v>
      </c>
      <c r="L9" s="92">
        <f t="shared" si="1"/>
        <v>28.571428571428569</v>
      </c>
      <c r="M9" s="92">
        <f t="shared" si="1"/>
        <v>28.571428571428569</v>
      </c>
      <c r="N9" s="125">
        <f>K9+L9+M9</f>
        <v>99.999999999999986</v>
      </c>
      <c r="O9" s="91">
        <v>37.700000000000003</v>
      </c>
      <c r="P9" s="92">
        <v>24</v>
      </c>
      <c r="Q9" s="92">
        <v>26</v>
      </c>
      <c r="R9" s="93">
        <f t="shared" ref="R9:R67" si="2">O9+P9+Q9</f>
        <v>87.7</v>
      </c>
      <c r="S9" s="208">
        <v>3</v>
      </c>
      <c r="T9" s="81"/>
      <c r="V9" s="82" t="s">
        <v>132</v>
      </c>
      <c r="W9" s="208" t="s">
        <v>22</v>
      </c>
      <c r="X9" s="208" t="s">
        <v>11</v>
      </c>
      <c r="Y9" s="83">
        <v>26</v>
      </c>
      <c r="Z9" s="208" t="s">
        <v>81</v>
      </c>
      <c r="AA9" s="208" t="s">
        <v>17</v>
      </c>
      <c r="AB9" s="208" t="s">
        <v>18</v>
      </c>
      <c r="AC9" s="208">
        <v>24</v>
      </c>
      <c r="AD9" s="82" t="s">
        <v>464</v>
      </c>
      <c r="AE9" s="208" t="s">
        <v>20</v>
      </c>
      <c r="AF9" s="208" t="s">
        <v>12</v>
      </c>
      <c r="AG9" s="83">
        <v>26</v>
      </c>
      <c r="AH9" s="208" t="s">
        <v>338</v>
      </c>
      <c r="AI9" s="208" t="s">
        <v>75</v>
      </c>
      <c r="AJ9" s="208" t="s">
        <v>11</v>
      </c>
      <c r="AK9" s="208">
        <v>11.7</v>
      </c>
      <c r="AL9" s="82"/>
      <c r="AO9" s="83"/>
      <c r="AP9" s="82"/>
      <c r="AS9" s="83"/>
      <c r="AW9" s="83"/>
      <c r="BA9" s="84"/>
    </row>
    <row r="10" spans="1:53" s="208" customFormat="1">
      <c r="A10" s="102">
        <v>1961</v>
      </c>
      <c r="B10" s="207"/>
      <c r="C10" s="988" t="s">
        <v>458</v>
      </c>
      <c r="D10" s="988"/>
      <c r="E10" s="208">
        <v>0</v>
      </c>
      <c r="G10" s="123">
        <v>3</v>
      </c>
      <c r="H10" s="208">
        <v>2</v>
      </c>
      <c r="I10" s="208">
        <v>2</v>
      </c>
      <c r="J10" s="134">
        <v>7</v>
      </c>
      <c r="K10" s="92">
        <f t="shared" si="1"/>
        <v>42.857142857142854</v>
      </c>
      <c r="L10" s="92">
        <f t="shared" si="1"/>
        <v>28.571428571428569</v>
      </c>
      <c r="M10" s="92">
        <f t="shared" si="1"/>
        <v>28.571428571428569</v>
      </c>
      <c r="N10" s="125">
        <f t="shared" ref="N10:N73" si="3">K10+L10+M10</f>
        <v>99.999999999999986</v>
      </c>
      <c r="O10" s="91">
        <v>37.700000000000003</v>
      </c>
      <c r="P10" s="92">
        <v>24</v>
      </c>
      <c r="Q10" s="92">
        <v>26</v>
      </c>
      <c r="R10" s="93">
        <f t="shared" si="2"/>
        <v>87.7</v>
      </c>
      <c r="S10" s="208">
        <v>3</v>
      </c>
      <c r="T10" s="81"/>
      <c r="V10" s="82" t="s">
        <v>132</v>
      </c>
      <c r="W10" s="208" t="s">
        <v>22</v>
      </c>
      <c r="X10" s="208" t="s">
        <v>11</v>
      </c>
      <c r="Y10" s="83">
        <v>26</v>
      </c>
      <c r="Z10" s="208" t="s">
        <v>81</v>
      </c>
      <c r="AA10" s="208" t="s">
        <v>17</v>
      </c>
      <c r="AB10" s="208" t="s">
        <v>18</v>
      </c>
      <c r="AC10" s="208">
        <v>24</v>
      </c>
      <c r="AD10" s="82" t="s">
        <v>464</v>
      </c>
      <c r="AE10" s="208" t="s">
        <v>20</v>
      </c>
      <c r="AF10" s="208" t="s">
        <v>12</v>
      </c>
      <c r="AG10" s="83">
        <v>26</v>
      </c>
      <c r="AH10" s="208" t="s">
        <v>338</v>
      </c>
      <c r="AI10" s="208" t="s">
        <v>75</v>
      </c>
      <c r="AJ10" s="208" t="s">
        <v>11</v>
      </c>
      <c r="AK10" s="208">
        <v>11.7</v>
      </c>
      <c r="AL10" s="82"/>
      <c r="AO10" s="83"/>
      <c r="AP10" s="82"/>
      <c r="AS10" s="83"/>
      <c r="AW10" s="83"/>
      <c r="BA10" s="84"/>
    </row>
    <row r="11" spans="1:53" s="208" customFormat="1">
      <c r="A11" s="102">
        <v>1961</v>
      </c>
      <c r="B11" s="207"/>
      <c r="C11" s="988" t="s">
        <v>426</v>
      </c>
      <c r="D11" s="988"/>
      <c r="E11" s="208">
        <v>365</v>
      </c>
      <c r="F11" s="208">
        <v>1</v>
      </c>
      <c r="G11" s="123">
        <v>3</v>
      </c>
      <c r="H11" s="208">
        <v>2</v>
      </c>
      <c r="I11" s="208">
        <v>2</v>
      </c>
      <c r="J11" s="134">
        <v>7</v>
      </c>
      <c r="K11" s="92">
        <f t="shared" si="1"/>
        <v>42.857142857142854</v>
      </c>
      <c r="L11" s="92">
        <f t="shared" si="1"/>
        <v>28.571428571428569</v>
      </c>
      <c r="M11" s="92">
        <f t="shared" si="1"/>
        <v>28.571428571428569</v>
      </c>
      <c r="N11" s="125">
        <f t="shared" si="3"/>
        <v>99.999999999999986</v>
      </c>
      <c r="O11" s="91">
        <v>37.700000000000003</v>
      </c>
      <c r="P11" s="92">
        <v>24</v>
      </c>
      <c r="Q11" s="92">
        <v>26</v>
      </c>
      <c r="R11" s="93">
        <f t="shared" si="2"/>
        <v>87.7</v>
      </c>
      <c r="S11" s="208">
        <v>3</v>
      </c>
      <c r="T11" s="81"/>
      <c r="V11" s="82" t="s">
        <v>132</v>
      </c>
      <c r="W11" s="208" t="s">
        <v>22</v>
      </c>
      <c r="X11" s="208" t="s">
        <v>11</v>
      </c>
      <c r="Y11" s="83">
        <v>26</v>
      </c>
      <c r="Z11" s="208" t="s">
        <v>81</v>
      </c>
      <c r="AA11" s="208" t="s">
        <v>17</v>
      </c>
      <c r="AB11" s="208" t="s">
        <v>18</v>
      </c>
      <c r="AC11" s="208">
        <v>24</v>
      </c>
      <c r="AD11" s="82" t="s">
        <v>464</v>
      </c>
      <c r="AE11" s="208" t="s">
        <v>20</v>
      </c>
      <c r="AF11" s="208" t="s">
        <v>12</v>
      </c>
      <c r="AG11" s="83">
        <v>26</v>
      </c>
      <c r="AH11" s="208" t="s">
        <v>338</v>
      </c>
      <c r="AI11" s="208" t="s">
        <v>75</v>
      </c>
      <c r="AJ11" s="208" t="s">
        <v>11</v>
      </c>
      <c r="AK11" s="208">
        <v>11.7</v>
      </c>
      <c r="AL11" s="82"/>
      <c r="AO11" s="83"/>
      <c r="AP11" s="82"/>
      <c r="AS11" s="83"/>
      <c r="AW11" s="83"/>
      <c r="BA11" s="84"/>
    </row>
    <row r="12" spans="1:53" s="208" customFormat="1">
      <c r="A12" s="102">
        <v>1962</v>
      </c>
      <c r="B12" s="207"/>
      <c r="C12" s="988" t="s">
        <v>426</v>
      </c>
      <c r="D12" s="988"/>
      <c r="E12" s="208">
        <v>0</v>
      </c>
      <c r="G12" s="123">
        <v>3</v>
      </c>
      <c r="H12" s="208">
        <v>2</v>
      </c>
      <c r="I12" s="208">
        <v>2</v>
      </c>
      <c r="J12" s="134">
        <v>7</v>
      </c>
      <c r="K12" s="92">
        <f t="shared" si="1"/>
        <v>42.857142857142854</v>
      </c>
      <c r="L12" s="92">
        <f t="shared" si="1"/>
        <v>28.571428571428569</v>
      </c>
      <c r="M12" s="92">
        <f t="shared" si="1"/>
        <v>28.571428571428569</v>
      </c>
      <c r="N12" s="125">
        <f t="shared" si="3"/>
        <v>99.999999999999986</v>
      </c>
      <c r="O12" s="91">
        <v>37.700000000000003</v>
      </c>
      <c r="P12" s="92">
        <v>24</v>
      </c>
      <c r="Q12" s="92">
        <v>26</v>
      </c>
      <c r="R12" s="93">
        <f t="shared" si="2"/>
        <v>87.7</v>
      </c>
      <c r="S12" s="208">
        <v>3</v>
      </c>
      <c r="T12" s="81"/>
      <c r="V12" s="82" t="s">
        <v>132</v>
      </c>
      <c r="W12" s="208" t="s">
        <v>22</v>
      </c>
      <c r="X12" s="208" t="s">
        <v>11</v>
      </c>
      <c r="Y12" s="83">
        <v>26</v>
      </c>
      <c r="Z12" s="208" t="s">
        <v>81</v>
      </c>
      <c r="AA12" s="208" t="s">
        <v>17</v>
      </c>
      <c r="AB12" s="208" t="s">
        <v>18</v>
      </c>
      <c r="AC12" s="208">
        <v>24</v>
      </c>
      <c r="AD12" s="82" t="s">
        <v>464</v>
      </c>
      <c r="AE12" s="208" t="s">
        <v>20</v>
      </c>
      <c r="AF12" s="208" t="s">
        <v>12</v>
      </c>
      <c r="AG12" s="83">
        <v>26</v>
      </c>
      <c r="AH12" s="208" t="s">
        <v>338</v>
      </c>
      <c r="AI12" s="208" t="s">
        <v>75</v>
      </c>
      <c r="AJ12" s="208" t="s">
        <v>11</v>
      </c>
      <c r="AK12" s="208">
        <v>11.7</v>
      </c>
      <c r="AL12" s="82"/>
      <c r="AO12" s="83"/>
      <c r="AP12" s="82"/>
      <c r="AS12" s="83"/>
      <c r="AW12" s="83"/>
      <c r="BA12" s="84"/>
    </row>
    <row r="13" spans="1:53" s="208" customFormat="1">
      <c r="A13" s="102">
        <v>1962</v>
      </c>
      <c r="B13" s="207"/>
      <c r="C13" s="988" t="s">
        <v>823</v>
      </c>
      <c r="D13" s="988"/>
      <c r="E13" s="208">
        <v>365</v>
      </c>
      <c r="F13" s="208">
        <v>1</v>
      </c>
      <c r="G13" s="123">
        <v>3</v>
      </c>
      <c r="H13" s="208">
        <v>2</v>
      </c>
      <c r="I13" s="208">
        <v>2</v>
      </c>
      <c r="J13" s="134">
        <v>7</v>
      </c>
      <c r="K13" s="92">
        <f t="shared" si="1"/>
        <v>42.857142857142854</v>
      </c>
      <c r="L13" s="92">
        <f t="shared" si="1"/>
        <v>28.571428571428569</v>
      </c>
      <c r="M13" s="92">
        <f t="shared" si="1"/>
        <v>28.571428571428569</v>
      </c>
      <c r="N13" s="125">
        <f t="shared" si="3"/>
        <v>99.999999999999986</v>
      </c>
      <c r="O13" s="91">
        <v>37.700000000000003</v>
      </c>
      <c r="P13" s="92">
        <v>24</v>
      </c>
      <c r="Q13" s="92">
        <v>26</v>
      </c>
      <c r="R13" s="93">
        <f t="shared" si="2"/>
        <v>87.7</v>
      </c>
      <c r="S13" s="208">
        <v>3</v>
      </c>
      <c r="T13" s="81"/>
      <c r="V13" s="82" t="s">
        <v>132</v>
      </c>
      <c r="W13" s="208" t="s">
        <v>22</v>
      </c>
      <c r="X13" s="208" t="s">
        <v>11</v>
      </c>
      <c r="Y13" s="83">
        <v>26</v>
      </c>
      <c r="Z13" s="208" t="s">
        <v>81</v>
      </c>
      <c r="AA13" s="208" t="s">
        <v>17</v>
      </c>
      <c r="AB13" s="208" t="s">
        <v>18</v>
      </c>
      <c r="AC13" s="208">
        <v>24</v>
      </c>
      <c r="AD13" s="82" t="s">
        <v>464</v>
      </c>
      <c r="AE13" s="208" t="s">
        <v>20</v>
      </c>
      <c r="AF13" s="208" t="s">
        <v>12</v>
      </c>
      <c r="AG13" s="83">
        <v>26</v>
      </c>
      <c r="AH13" s="208" t="s">
        <v>338</v>
      </c>
      <c r="AI13" s="208" t="s">
        <v>75</v>
      </c>
      <c r="AJ13" s="208" t="s">
        <v>11</v>
      </c>
      <c r="AK13" s="208">
        <v>11.7</v>
      </c>
      <c r="AL13" s="82"/>
      <c r="AO13" s="83"/>
      <c r="AP13" s="82"/>
      <c r="AS13" s="83"/>
      <c r="AW13" s="83"/>
      <c r="BA13" s="84"/>
    </row>
    <row r="14" spans="1:53" s="208" customFormat="1">
      <c r="A14" s="102">
        <v>1962.6</v>
      </c>
      <c r="B14" s="207"/>
      <c r="C14" s="988" t="s">
        <v>823</v>
      </c>
      <c r="D14" s="988"/>
      <c r="E14" s="208">
        <v>345</v>
      </c>
      <c r="G14" s="123">
        <v>3</v>
      </c>
      <c r="H14" s="208">
        <v>2</v>
      </c>
      <c r="I14" s="208">
        <v>2</v>
      </c>
      <c r="J14" s="134">
        <v>7</v>
      </c>
      <c r="K14" s="92">
        <f t="shared" si="1"/>
        <v>42.857142857142854</v>
      </c>
      <c r="L14" s="92">
        <f t="shared" si="1"/>
        <v>28.571428571428569</v>
      </c>
      <c r="M14" s="92">
        <f t="shared" si="1"/>
        <v>28.571428571428569</v>
      </c>
      <c r="N14" s="125">
        <f t="shared" si="3"/>
        <v>99.999999999999986</v>
      </c>
      <c r="O14" s="91">
        <v>37.700000000000003</v>
      </c>
      <c r="P14" s="92">
        <v>24</v>
      </c>
      <c r="Q14" s="92">
        <v>26</v>
      </c>
      <c r="R14" s="93">
        <f t="shared" si="2"/>
        <v>87.7</v>
      </c>
      <c r="S14" s="208">
        <v>3</v>
      </c>
      <c r="T14" s="81"/>
      <c r="V14" s="82" t="s">
        <v>132</v>
      </c>
      <c r="W14" s="208" t="s">
        <v>22</v>
      </c>
      <c r="X14" s="208" t="s">
        <v>11</v>
      </c>
      <c r="Y14" s="83">
        <v>26</v>
      </c>
      <c r="Z14" s="208" t="s">
        <v>81</v>
      </c>
      <c r="AA14" s="208" t="s">
        <v>17</v>
      </c>
      <c r="AB14" s="208" t="s">
        <v>18</v>
      </c>
      <c r="AC14" s="208">
        <v>24</v>
      </c>
      <c r="AD14" s="82" t="s">
        <v>464</v>
      </c>
      <c r="AE14" s="208" t="s">
        <v>20</v>
      </c>
      <c r="AF14" s="208" t="s">
        <v>12</v>
      </c>
      <c r="AG14" s="83">
        <v>26</v>
      </c>
      <c r="AH14" s="208" t="s">
        <v>338</v>
      </c>
      <c r="AI14" s="208" t="s">
        <v>75</v>
      </c>
      <c r="AJ14" s="208" t="s">
        <v>11</v>
      </c>
      <c r="AK14" s="208">
        <v>11.7</v>
      </c>
      <c r="AL14" s="82"/>
      <c r="AO14" s="83"/>
      <c r="AP14" s="82"/>
      <c r="AS14" s="83"/>
      <c r="AW14" s="83"/>
      <c r="BA14" s="84"/>
    </row>
    <row r="15" spans="1:53" s="334" customFormat="1">
      <c r="A15" s="386">
        <v>1963.05714285714</v>
      </c>
      <c r="B15" s="355">
        <v>23357</v>
      </c>
      <c r="C15" s="992" t="s">
        <v>861</v>
      </c>
      <c r="D15" s="992"/>
      <c r="E15" s="334">
        <f>365-E14</f>
        <v>20</v>
      </c>
      <c r="F15" s="334">
        <v>1</v>
      </c>
      <c r="G15" s="419">
        <v>3</v>
      </c>
      <c r="H15" s="334">
        <v>2</v>
      </c>
      <c r="I15" s="334">
        <v>2</v>
      </c>
      <c r="J15" s="435">
        <v>7</v>
      </c>
      <c r="K15" s="384">
        <f t="shared" si="1"/>
        <v>42.857142857142854</v>
      </c>
      <c r="L15" s="384">
        <f t="shared" si="1"/>
        <v>28.571428571428569</v>
      </c>
      <c r="M15" s="384">
        <f t="shared" si="1"/>
        <v>28.571428571428569</v>
      </c>
      <c r="N15" s="421">
        <f t="shared" si="3"/>
        <v>99.999999999999986</v>
      </c>
      <c r="O15" s="383">
        <v>36.5</v>
      </c>
      <c r="P15" s="384">
        <v>24</v>
      </c>
      <c r="Q15" s="384">
        <v>26.5</v>
      </c>
      <c r="R15" s="385">
        <f t="shared" si="2"/>
        <v>87</v>
      </c>
      <c r="S15" s="334">
        <v>3</v>
      </c>
      <c r="T15" s="342">
        <v>23311</v>
      </c>
      <c r="U15" s="355">
        <v>23357</v>
      </c>
      <c r="V15" s="343" t="s">
        <v>132</v>
      </c>
      <c r="W15" s="334" t="s">
        <v>22</v>
      </c>
      <c r="X15" s="334" t="s">
        <v>11</v>
      </c>
      <c r="Y15" s="344">
        <v>25.5</v>
      </c>
      <c r="Z15" s="334" t="s">
        <v>81</v>
      </c>
      <c r="AA15" s="334" t="s">
        <v>17</v>
      </c>
      <c r="AB15" s="334" t="s">
        <v>18</v>
      </c>
      <c r="AC15" s="334">
        <v>24</v>
      </c>
      <c r="AD15" s="343" t="s">
        <v>464</v>
      </c>
      <c r="AE15" s="334" t="s">
        <v>20</v>
      </c>
      <c r="AF15" s="334" t="s">
        <v>12</v>
      </c>
      <c r="AG15" s="344">
        <v>26.5</v>
      </c>
      <c r="AH15" s="334" t="s">
        <v>338</v>
      </c>
      <c r="AI15" s="334" t="s">
        <v>75</v>
      </c>
      <c r="AJ15" s="334" t="s">
        <v>11</v>
      </c>
      <c r="AK15" s="334">
        <v>11</v>
      </c>
      <c r="AL15" s="343"/>
      <c r="AO15" s="344"/>
      <c r="AP15" s="343"/>
      <c r="AS15" s="344"/>
      <c r="AW15" s="344"/>
      <c r="BA15" s="345"/>
    </row>
    <row r="16" spans="1:53" s="334" customFormat="1">
      <c r="A16" s="386">
        <v>1963.5142857142901</v>
      </c>
      <c r="B16" s="355"/>
      <c r="C16" s="992" t="s">
        <v>861</v>
      </c>
      <c r="D16" s="992"/>
      <c r="E16" s="334">
        <v>0</v>
      </c>
      <c r="G16" s="419">
        <v>3</v>
      </c>
      <c r="H16" s="334">
        <v>2</v>
      </c>
      <c r="I16" s="334">
        <v>2</v>
      </c>
      <c r="J16" s="435">
        <v>7</v>
      </c>
      <c r="K16" s="384">
        <f t="shared" si="1"/>
        <v>42.857142857142854</v>
      </c>
      <c r="L16" s="384">
        <f t="shared" si="1"/>
        <v>28.571428571428569</v>
      </c>
      <c r="M16" s="384">
        <f t="shared" si="1"/>
        <v>28.571428571428569</v>
      </c>
      <c r="N16" s="421">
        <f t="shared" si="3"/>
        <v>99.999999999999986</v>
      </c>
      <c r="O16" s="383">
        <v>36.5</v>
      </c>
      <c r="P16" s="384">
        <v>24</v>
      </c>
      <c r="Q16" s="384">
        <v>26.5</v>
      </c>
      <c r="R16" s="385">
        <f t="shared" si="2"/>
        <v>87</v>
      </c>
      <c r="S16" s="334">
        <v>3</v>
      </c>
      <c r="T16" s="357"/>
      <c r="V16" s="343" t="s">
        <v>132</v>
      </c>
      <c r="W16" s="334" t="s">
        <v>22</v>
      </c>
      <c r="X16" s="334" t="s">
        <v>11</v>
      </c>
      <c r="Y16" s="344">
        <v>25.5</v>
      </c>
      <c r="Z16" s="334" t="s">
        <v>81</v>
      </c>
      <c r="AA16" s="334" t="s">
        <v>17</v>
      </c>
      <c r="AB16" s="334" t="s">
        <v>18</v>
      </c>
      <c r="AC16" s="334">
        <v>24</v>
      </c>
      <c r="AD16" s="343" t="s">
        <v>464</v>
      </c>
      <c r="AE16" s="334" t="s">
        <v>20</v>
      </c>
      <c r="AF16" s="334" t="s">
        <v>12</v>
      </c>
      <c r="AG16" s="344">
        <v>26.5</v>
      </c>
      <c r="AH16" s="334" t="s">
        <v>338</v>
      </c>
      <c r="AI16" s="334" t="s">
        <v>75</v>
      </c>
      <c r="AJ16" s="334" t="s">
        <v>11</v>
      </c>
      <c r="AK16" s="334">
        <v>11</v>
      </c>
      <c r="AL16" s="343"/>
      <c r="AO16" s="344"/>
      <c r="AP16" s="343"/>
      <c r="AS16" s="344"/>
      <c r="AW16" s="344"/>
      <c r="BA16" s="345"/>
    </row>
    <row r="17" spans="1:53" s="334" customFormat="1">
      <c r="A17" s="386">
        <v>1963.9714285714299</v>
      </c>
      <c r="B17" s="355"/>
      <c r="C17" s="992" t="s">
        <v>465</v>
      </c>
      <c r="D17" s="992"/>
      <c r="E17" s="334">
        <v>366</v>
      </c>
      <c r="F17" s="334">
        <v>1</v>
      </c>
      <c r="G17" s="419">
        <v>3</v>
      </c>
      <c r="H17" s="334">
        <v>2</v>
      </c>
      <c r="I17" s="334">
        <v>2</v>
      </c>
      <c r="J17" s="435">
        <v>7</v>
      </c>
      <c r="K17" s="384">
        <f t="shared" si="1"/>
        <v>42.857142857142854</v>
      </c>
      <c r="L17" s="384">
        <f t="shared" si="1"/>
        <v>28.571428571428569</v>
      </c>
      <c r="M17" s="384">
        <f t="shared" si="1"/>
        <v>28.571428571428569</v>
      </c>
      <c r="N17" s="421">
        <f t="shared" si="3"/>
        <v>99.999999999999986</v>
      </c>
      <c r="O17" s="383">
        <v>36.5</v>
      </c>
      <c r="P17" s="384">
        <v>24</v>
      </c>
      <c r="Q17" s="384">
        <v>26.5</v>
      </c>
      <c r="R17" s="385">
        <f t="shared" si="2"/>
        <v>87</v>
      </c>
      <c r="S17" s="334">
        <v>3</v>
      </c>
      <c r="T17" s="357"/>
      <c r="V17" s="343" t="s">
        <v>132</v>
      </c>
      <c r="W17" s="334" t="s">
        <v>22</v>
      </c>
      <c r="X17" s="334" t="s">
        <v>11</v>
      </c>
      <c r="Y17" s="344">
        <v>25.5</v>
      </c>
      <c r="Z17" s="334" t="s">
        <v>81</v>
      </c>
      <c r="AA17" s="334" t="s">
        <v>17</v>
      </c>
      <c r="AB17" s="334" t="s">
        <v>18</v>
      </c>
      <c r="AC17" s="334">
        <v>24</v>
      </c>
      <c r="AD17" s="343" t="s">
        <v>464</v>
      </c>
      <c r="AE17" s="334" t="s">
        <v>20</v>
      </c>
      <c r="AF17" s="334" t="s">
        <v>12</v>
      </c>
      <c r="AG17" s="344">
        <v>26.5</v>
      </c>
      <c r="AH17" s="334" t="s">
        <v>338</v>
      </c>
      <c r="AI17" s="334" t="s">
        <v>75</v>
      </c>
      <c r="AJ17" s="334" t="s">
        <v>11</v>
      </c>
      <c r="AK17" s="334">
        <v>11</v>
      </c>
      <c r="AL17" s="343"/>
      <c r="AO17" s="344"/>
      <c r="AP17" s="343"/>
      <c r="AS17" s="344"/>
      <c r="AW17" s="344"/>
      <c r="BA17" s="345"/>
    </row>
    <row r="18" spans="1:53" s="334" customFormat="1">
      <c r="A18" s="386">
        <v>1965</v>
      </c>
      <c r="B18" s="355"/>
      <c r="C18" s="992" t="s">
        <v>465</v>
      </c>
      <c r="D18" s="992"/>
      <c r="E18" s="334">
        <v>0</v>
      </c>
      <c r="G18" s="419">
        <v>3</v>
      </c>
      <c r="H18" s="334">
        <v>2</v>
      </c>
      <c r="I18" s="334">
        <v>2</v>
      </c>
      <c r="J18" s="435">
        <v>7</v>
      </c>
      <c r="K18" s="384">
        <f t="shared" si="1"/>
        <v>42.857142857142854</v>
      </c>
      <c r="L18" s="384">
        <f t="shared" si="1"/>
        <v>28.571428571428569</v>
      </c>
      <c r="M18" s="384">
        <f t="shared" si="1"/>
        <v>28.571428571428569</v>
      </c>
      <c r="N18" s="421">
        <f t="shared" si="3"/>
        <v>99.999999999999986</v>
      </c>
      <c r="O18" s="383">
        <v>36.5</v>
      </c>
      <c r="P18" s="384">
        <v>24</v>
      </c>
      <c r="Q18" s="384">
        <v>26.5</v>
      </c>
      <c r="R18" s="385">
        <f t="shared" si="2"/>
        <v>87</v>
      </c>
      <c r="S18" s="334">
        <v>3</v>
      </c>
      <c r="T18" s="357"/>
      <c r="V18" s="343" t="s">
        <v>132</v>
      </c>
      <c r="W18" s="334" t="s">
        <v>22</v>
      </c>
      <c r="X18" s="334" t="s">
        <v>11</v>
      </c>
      <c r="Y18" s="344">
        <v>25.5</v>
      </c>
      <c r="Z18" s="334" t="s">
        <v>81</v>
      </c>
      <c r="AA18" s="334" t="s">
        <v>17</v>
      </c>
      <c r="AB18" s="334" t="s">
        <v>18</v>
      </c>
      <c r="AC18" s="334">
        <v>24</v>
      </c>
      <c r="AD18" s="343" t="s">
        <v>464</v>
      </c>
      <c r="AE18" s="334" t="s">
        <v>20</v>
      </c>
      <c r="AF18" s="334" t="s">
        <v>12</v>
      </c>
      <c r="AG18" s="344">
        <v>26.5</v>
      </c>
      <c r="AH18" s="334" t="s">
        <v>338</v>
      </c>
      <c r="AI18" s="334" t="s">
        <v>75</v>
      </c>
      <c r="AJ18" s="334" t="s">
        <v>11</v>
      </c>
      <c r="AK18" s="334">
        <v>11</v>
      </c>
      <c r="AL18" s="343"/>
      <c r="AO18" s="344"/>
      <c r="AP18" s="343"/>
      <c r="AS18" s="344"/>
      <c r="AW18" s="344"/>
      <c r="BA18" s="345"/>
    </row>
    <row r="19" spans="1:53" s="334" customFormat="1">
      <c r="A19" s="386">
        <v>1964.88571428572</v>
      </c>
      <c r="B19" s="355"/>
      <c r="C19" s="1043" t="s">
        <v>424</v>
      </c>
      <c r="D19" s="992"/>
      <c r="E19" s="334">
        <v>365</v>
      </c>
      <c r="F19" s="334">
        <v>1</v>
      </c>
      <c r="G19" s="419">
        <v>3</v>
      </c>
      <c r="H19" s="334">
        <v>2</v>
      </c>
      <c r="I19" s="334">
        <v>2</v>
      </c>
      <c r="J19" s="435">
        <v>7</v>
      </c>
      <c r="K19" s="384">
        <f t="shared" si="1"/>
        <v>42.857142857142854</v>
      </c>
      <c r="L19" s="384">
        <f t="shared" si="1"/>
        <v>28.571428571428569</v>
      </c>
      <c r="M19" s="384">
        <f t="shared" si="1"/>
        <v>28.571428571428569</v>
      </c>
      <c r="N19" s="421">
        <f t="shared" si="3"/>
        <v>99.999999999999986</v>
      </c>
      <c r="O19" s="383">
        <v>36.5</v>
      </c>
      <c r="P19" s="384">
        <v>24</v>
      </c>
      <c r="Q19" s="384">
        <v>26.5</v>
      </c>
      <c r="R19" s="385">
        <f t="shared" si="2"/>
        <v>87</v>
      </c>
      <c r="S19" s="334">
        <v>3</v>
      </c>
      <c r="T19" s="357"/>
      <c r="V19" s="343" t="s">
        <v>132</v>
      </c>
      <c r="W19" s="334" t="s">
        <v>22</v>
      </c>
      <c r="X19" s="334" t="s">
        <v>11</v>
      </c>
      <c r="Y19" s="344">
        <v>25.5</v>
      </c>
      <c r="Z19" s="334" t="s">
        <v>81</v>
      </c>
      <c r="AA19" s="334" t="s">
        <v>17</v>
      </c>
      <c r="AB19" s="334" t="s">
        <v>18</v>
      </c>
      <c r="AC19" s="334">
        <v>24</v>
      </c>
      <c r="AD19" s="343" t="s">
        <v>464</v>
      </c>
      <c r="AE19" s="334" t="s">
        <v>20</v>
      </c>
      <c r="AF19" s="334" t="s">
        <v>12</v>
      </c>
      <c r="AG19" s="344">
        <v>26.5</v>
      </c>
      <c r="AH19" s="334" t="s">
        <v>338</v>
      </c>
      <c r="AI19" s="334" t="s">
        <v>75</v>
      </c>
      <c r="AJ19" s="334" t="s">
        <v>11</v>
      </c>
      <c r="AK19" s="334">
        <v>11</v>
      </c>
      <c r="AL19" s="343"/>
      <c r="AO19" s="344"/>
      <c r="AP19" s="343"/>
      <c r="AS19" s="344"/>
      <c r="AW19" s="344"/>
      <c r="BA19" s="345"/>
    </row>
    <row r="20" spans="1:53" s="334" customFormat="1">
      <c r="A20" s="386">
        <v>1966</v>
      </c>
      <c r="B20" s="355"/>
      <c r="C20" s="1043" t="s">
        <v>424</v>
      </c>
      <c r="D20" s="992"/>
      <c r="E20" s="334">
        <v>0</v>
      </c>
      <c r="G20" s="419">
        <v>3</v>
      </c>
      <c r="H20" s="334">
        <v>2</v>
      </c>
      <c r="I20" s="334">
        <v>2</v>
      </c>
      <c r="J20" s="435">
        <v>7</v>
      </c>
      <c r="K20" s="384">
        <f t="shared" si="1"/>
        <v>42.857142857142854</v>
      </c>
      <c r="L20" s="384">
        <f t="shared" si="1"/>
        <v>28.571428571428569</v>
      </c>
      <c r="M20" s="384">
        <f t="shared" si="1"/>
        <v>28.571428571428569</v>
      </c>
      <c r="N20" s="421">
        <f t="shared" si="3"/>
        <v>99.999999999999986</v>
      </c>
      <c r="O20" s="383">
        <v>36.5</v>
      </c>
      <c r="P20" s="384">
        <v>24</v>
      </c>
      <c r="Q20" s="384">
        <v>26.5</v>
      </c>
      <c r="R20" s="385">
        <f t="shared" si="2"/>
        <v>87</v>
      </c>
      <c r="S20" s="334">
        <v>3</v>
      </c>
      <c r="T20" s="357"/>
      <c r="V20" s="343" t="s">
        <v>132</v>
      </c>
      <c r="W20" s="334" t="s">
        <v>22</v>
      </c>
      <c r="X20" s="334" t="s">
        <v>11</v>
      </c>
      <c r="Y20" s="344">
        <v>25.5</v>
      </c>
      <c r="Z20" s="334" t="s">
        <v>81</v>
      </c>
      <c r="AA20" s="334" t="s">
        <v>17</v>
      </c>
      <c r="AB20" s="334" t="s">
        <v>18</v>
      </c>
      <c r="AC20" s="334">
        <v>24</v>
      </c>
      <c r="AD20" s="343" t="s">
        <v>464</v>
      </c>
      <c r="AE20" s="334" t="s">
        <v>20</v>
      </c>
      <c r="AF20" s="334" t="s">
        <v>12</v>
      </c>
      <c r="AG20" s="344">
        <v>26.5</v>
      </c>
      <c r="AH20" s="334" t="s">
        <v>338</v>
      </c>
      <c r="AI20" s="334" t="s">
        <v>75</v>
      </c>
      <c r="AJ20" s="334" t="s">
        <v>11</v>
      </c>
      <c r="AK20" s="334">
        <v>11</v>
      </c>
      <c r="AL20" s="343"/>
      <c r="AO20" s="344"/>
      <c r="AP20" s="343"/>
      <c r="AS20" s="344"/>
      <c r="AW20" s="344"/>
      <c r="BA20" s="345"/>
    </row>
    <row r="21" spans="1:53" s="334" customFormat="1">
      <c r="A21" s="386">
        <v>1965.8</v>
      </c>
      <c r="B21" s="355"/>
      <c r="C21" s="992" t="s">
        <v>425</v>
      </c>
      <c r="D21" s="992"/>
      <c r="E21" s="334">
        <v>365</v>
      </c>
      <c r="F21" s="334">
        <v>1</v>
      </c>
      <c r="G21" s="419">
        <v>3</v>
      </c>
      <c r="H21" s="334">
        <v>2</v>
      </c>
      <c r="I21" s="334">
        <v>2</v>
      </c>
      <c r="J21" s="435">
        <v>7</v>
      </c>
      <c r="K21" s="384">
        <f t="shared" si="1"/>
        <v>42.857142857142854</v>
      </c>
      <c r="L21" s="384">
        <f t="shared" si="1"/>
        <v>28.571428571428569</v>
      </c>
      <c r="M21" s="384">
        <f t="shared" si="1"/>
        <v>28.571428571428569</v>
      </c>
      <c r="N21" s="421">
        <f t="shared" si="3"/>
        <v>99.999999999999986</v>
      </c>
      <c r="O21" s="383">
        <v>36.5</v>
      </c>
      <c r="P21" s="384">
        <v>24</v>
      </c>
      <c r="Q21" s="384">
        <v>26.5</v>
      </c>
      <c r="R21" s="385">
        <f t="shared" si="2"/>
        <v>87</v>
      </c>
      <c r="S21" s="334">
        <v>3</v>
      </c>
      <c r="T21" s="357"/>
      <c r="V21" s="343" t="s">
        <v>132</v>
      </c>
      <c r="W21" s="334" t="s">
        <v>22</v>
      </c>
      <c r="X21" s="334" t="s">
        <v>11</v>
      </c>
      <c r="Y21" s="344">
        <v>25.5</v>
      </c>
      <c r="Z21" s="334" t="s">
        <v>81</v>
      </c>
      <c r="AA21" s="334" t="s">
        <v>17</v>
      </c>
      <c r="AB21" s="334" t="s">
        <v>18</v>
      </c>
      <c r="AC21" s="334">
        <v>24</v>
      </c>
      <c r="AD21" s="343" t="s">
        <v>464</v>
      </c>
      <c r="AE21" s="334" t="s">
        <v>20</v>
      </c>
      <c r="AF21" s="334" t="s">
        <v>12</v>
      </c>
      <c r="AG21" s="344">
        <v>26.5</v>
      </c>
      <c r="AH21" s="334" t="s">
        <v>338</v>
      </c>
      <c r="AI21" s="334" t="s">
        <v>75</v>
      </c>
      <c r="AJ21" s="334" t="s">
        <v>11</v>
      </c>
      <c r="AK21" s="334">
        <v>11</v>
      </c>
      <c r="AL21" s="343"/>
      <c r="AO21" s="344"/>
      <c r="AP21" s="343"/>
      <c r="AS21" s="344"/>
      <c r="AW21" s="344"/>
      <c r="BA21" s="345"/>
    </row>
    <row r="22" spans="1:53" s="334" customFormat="1">
      <c r="A22" s="386">
        <v>1967</v>
      </c>
      <c r="B22" s="355"/>
      <c r="C22" s="992" t="s">
        <v>425</v>
      </c>
      <c r="D22" s="992"/>
      <c r="E22" s="334">
        <v>363</v>
      </c>
      <c r="G22" s="419">
        <v>3</v>
      </c>
      <c r="H22" s="334">
        <v>2</v>
      </c>
      <c r="I22" s="334">
        <v>2</v>
      </c>
      <c r="J22" s="435">
        <v>7</v>
      </c>
      <c r="K22" s="384">
        <f t="shared" si="1"/>
        <v>42.857142857142854</v>
      </c>
      <c r="L22" s="384">
        <f t="shared" si="1"/>
        <v>28.571428571428569</v>
      </c>
      <c r="M22" s="384">
        <f t="shared" si="1"/>
        <v>28.571428571428569</v>
      </c>
      <c r="N22" s="421">
        <f t="shared" si="3"/>
        <v>99.999999999999986</v>
      </c>
      <c r="O22" s="383">
        <v>36.5</v>
      </c>
      <c r="P22" s="384">
        <v>24</v>
      </c>
      <c r="Q22" s="384">
        <v>26.5</v>
      </c>
      <c r="R22" s="385">
        <f t="shared" si="2"/>
        <v>87</v>
      </c>
      <c r="S22" s="334">
        <v>3</v>
      </c>
      <c r="T22" s="357"/>
      <c r="V22" s="343" t="s">
        <v>132</v>
      </c>
      <c r="W22" s="334" t="s">
        <v>22</v>
      </c>
      <c r="X22" s="334" t="s">
        <v>11</v>
      </c>
      <c r="Y22" s="344">
        <v>25.5</v>
      </c>
      <c r="Z22" s="334" t="s">
        <v>81</v>
      </c>
      <c r="AA22" s="334" t="s">
        <v>17</v>
      </c>
      <c r="AB22" s="334" t="s">
        <v>18</v>
      </c>
      <c r="AC22" s="334">
        <v>24</v>
      </c>
      <c r="AD22" s="343" t="s">
        <v>464</v>
      </c>
      <c r="AE22" s="334" t="s">
        <v>20</v>
      </c>
      <c r="AF22" s="334" t="s">
        <v>12</v>
      </c>
      <c r="AG22" s="344">
        <v>26.5</v>
      </c>
      <c r="AH22" s="334" t="s">
        <v>338</v>
      </c>
      <c r="AI22" s="334" t="s">
        <v>75</v>
      </c>
      <c r="AJ22" s="334" t="s">
        <v>11</v>
      </c>
      <c r="AK22" s="334">
        <v>11</v>
      </c>
      <c r="AL22" s="343"/>
      <c r="AO22" s="344"/>
      <c r="AP22" s="343"/>
      <c r="AS22" s="344"/>
      <c r="AW22" s="344"/>
      <c r="BA22" s="345"/>
    </row>
    <row r="23" spans="1:53" s="208" customFormat="1">
      <c r="A23" s="102">
        <v>1966.7142857142901</v>
      </c>
      <c r="B23" s="207">
        <v>24836</v>
      </c>
      <c r="C23" s="988" t="s">
        <v>824</v>
      </c>
      <c r="D23" s="988"/>
      <c r="E23" s="208">
        <f>365-E22</f>
        <v>2</v>
      </c>
      <c r="F23" s="208">
        <v>1</v>
      </c>
      <c r="G23" s="123">
        <v>3</v>
      </c>
      <c r="H23" s="208">
        <v>2</v>
      </c>
      <c r="I23" s="208">
        <v>2</v>
      </c>
      <c r="J23" s="134">
        <v>7</v>
      </c>
      <c r="K23" s="92">
        <f t="shared" si="1"/>
        <v>42.857142857142854</v>
      </c>
      <c r="L23" s="92">
        <f t="shared" si="1"/>
        <v>28.571428571428569</v>
      </c>
      <c r="M23" s="92">
        <f t="shared" si="1"/>
        <v>28.571428571428569</v>
      </c>
      <c r="N23" s="125">
        <f t="shared" si="3"/>
        <v>99.999999999999986</v>
      </c>
      <c r="O23" s="91">
        <v>35</v>
      </c>
      <c r="P23" s="92">
        <v>22.5</v>
      </c>
      <c r="Q23" s="92">
        <v>25.5</v>
      </c>
      <c r="R23" s="93">
        <f t="shared" si="2"/>
        <v>83</v>
      </c>
      <c r="S23" s="208">
        <v>3</v>
      </c>
      <c r="T23" s="95">
        <v>24774</v>
      </c>
      <c r="U23" s="207">
        <v>24836</v>
      </c>
      <c r="V23" s="82" t="s">
        <v>132</v>
      </c>
      <c r="W23" s="208" t="s">
        <v>22</v>
      </c>
      <c r="X23" s="208" t="s">
        <v>11</v>
      </c>
      <c r="Y23" s="83">
        <v>24.5</v>
      </c>
      <c r="Z23" s="208" t="s">
        <v>81</v>
      </c>
      <c r="AA23" s="208" t="s">
        <v>17</v>
      </c>
      <c r="AB23" s="208" t="s">
        <v>18</v>
      </c>
      <c r="AC23" s="208">
        <v>22.5</v>
      </c>
      <c r="AD23" s="82" t="s">
        <v>464</v>
      </c>
      <c r="AE23" s="208" t="s">
        <v>20</v>
      </c>
      <c r="AF23" s="208" t="s">
        <v>12</v>
      </c>
      <c r="AG23" s="83">
        <v>25.5</v>
      </c>
      <c r="AH23" s="208" t="s">
        <v>338</v>
      </c>
      <c r="AI23" s="208" t="s">
        <v>75</v>
      </c>
      <c r="AJ23" s="208" t="s">
        <v>11</v>
      </c>
      <c r="AK23" s="208">
        <v>10.5</v>
      </c>
      <c r="AL23" s="82"/>
      <c r="AO23" s="83"/>
      <c r="AP23" s="82"/>
      <c r="AS23" s="83"/>
      <c r="AW23" s="83"/>
      <c r="BA23" s="84"/>
    </row>
    <row r="24" spans="1:53" s="208" customFormat="1">
      <c r="A24" s="102">
        <v>1968</v>
      </c>
      <c r="B24" s="207"/>
      <c r="C24" s="988" t="s">
        <v>824</v>
      </c>
      <c r="D24" s="988"/>
      <c r="E24" s="208">
        <v>0</v>
      </c>
      <c r="G24" s="123">
        <v>3</v>
      </c>
      <c r="H24" s="208">
        <v>2</v>
      </c>
      <c r="I24" s="208">
        <v>2</v>
      </c>
      <c r="J24" s="134">
        <v>7</v>
      </c>
      <c r="K24" s="92">
        <f t="shared" ref="K24:M59" si="4">G24/$J24*100</f>
        <v>42.857142857142854</v>
      </c>
      <c r="L24" s="92">
        <f t="shared" si="4"/>
        <v>28.571428571428569</v>
      </c>
      <c r="M24" s="92">
        <f t="shared" si="4"/>
        <v>28.571428571428569</v>
      </c>
      <c r="N24" s="125">
        <f t="shared" si="3"/>
        <v>99.999999999999986</v>
      </c>
      <c r="O24" s="91">
        <v>35</v>
      </c>
      <c r="P24" s="92">
        <v>22.5</v>
      </c>
      <c r="Q24" s="92">
        <v>25.5</v>
      </c>
      <c r="R24" s="93">
        <f t="shared" si="2"/>
        <v>83</v>
      </c>
      <c r="S24" s="208">
        <v>3</v>
      </c>
      <c r="T24" s="81"/>
      <c r="V24" s="82" t="s">
        <v>132</v>
      </c>
      <c r="W24" s="208" t="s">
        <v>22</v>
      </c>
      <c r="X24" s="208" t="s">
        <v>11</v>
      </c>
      <c r="Y24" s="83">
        <v>24.5</v>
      </c>
      <c r="Z24" s="208" t="s">
        <v>81</v>
      </c>
      <c r="AA24" s="208" t="s">
        <v>17</v>
      </c>
      <c r="AB24" s="208" t="s">
        <v>18</v>
      </c>
      <c r="AC24" s="208">
        <v>22.5</v>
      </c>
      <c r="AD24" s="82" t="s">
        <v>464</v>
      </c>
      <c r="AE24" s="208" t="s">
        <v>20</v>
      </c>
      <c r="AF24" s="208" t="s">
        <v>12</v>
      </c>
      <c r="AG24" s="83">
        <v>25.5</v>
      </c>
      <c r="AH24" s="208" t="s">
        <v>338</v>
      </c>
      <c r="AI24" s="208" t="s">
        <v>75</v>
      </c>
      <c r="AJ24" s="208" t="s">
        <v>11</v>
      </c>
      <c r="AK24" s="208">
        <v>10.5</v>
      </c>
      <c r="AL24" s="82"/>
      <c r="AO24" s="83"/>
      <c r="AP24" s="82"/>
      <c r="AS24" s="83"/>
      <c r="AW24" s="83"/>
      <c r="BA24" s="84"/>
    </row>
    <row r="25" spans="1:53" s="208" customFormat="1">
      <c r="A25" s="102">
        <v>1967.62857142857</v>
      </c>
      <c r="B25" s="207"/>
      <c r="C25" s="988" t="s">
        <v>862</v>
      </c>
      <c r="D25" s="988"/>
      <c r="E25" s="208">
        <v>366</v>
      </c>
      <c r="F25" s="208">
        <v>1</v>
      </c>
      <c r="G25" s="123">
        <v>3</v>
      </c>
      <c r="H25" s="208">
        <v>2</v>
      </c>
      <c r="I25" s="208">
        <v>2</v>
      </c>
      <c r="J25" s="134">
        <v>7</v>
      </c>
      <c r="K25" s="92">
        <f t="shared" si="4"/>
        <v>42.857142857142854</v>
      </c>
      <c r="L25" s="92">
        <f t="shared" si="4"/>
        <v>28.571428571428569</v>
      </c>
      <c r="M25" s="92">
        <f t="shared" si="4"/>
        <v>28.571428571428569</v>
      </c>
      <c r="N25" s="125">
        <f t="shared" si="3"/>
        <v>99.999999999999986</v>
      </c>
      <c r="O25" s="91">
        <v>35</v>
      </c>
      <c r="P25" s="92">
        <v>22.5</v>
      </c>
      <c r="Q25" s="92">
        <v>25.5</v>
      </c>
      <c r="R25" s="93">
        <f t="shared" si="2"/>
        <v>83</v>
      </c>
      <c r="S25" s="208">
        <v>3</v>
      </c>
      <c r="T25" s="81"/>
      <c r="V25" s="82" t="s">
        <v>132</v>
      </c>
      <c r="W25" s="208" t="s">
        <v>22</v>
      </c>
      <c r="X25" s="208" t="s">
        <v>11</v>
      </c>
      <c r="Y25" s="83">
        <v>24.5</v>
      </c>
      <c r="Z25" s="208" t="s">
        <v>81</v>
      </c>
      <c r="AA25" s="208" t="s">
        <v>17</v>
      </c>
      <c r="AB25" s="208" t="s">
        <v>18</v>
      </c>
      <c r="AC25" s="208">
        <v>22.5</v>
      </c>
      <c r="AD25" s="82" t="s">
        <v>464</v>
      </c>
      <c r="AE25" s="208" t="s">
        <v>20</v>
      </c>
      <c r="AF25" s="208" t="s">
        <v>12</v>
      </c>
      <c r="AG25" s="83">
        <v>25.5</v>
      </c>
      <c r="AH25" s="208" t="s">
        <v>338</v>
      </c>
      <c r="AI25" s="208" t="s">
        <v>75</v>
      </c>
      <c r="AJ25" s="208" t="s">
        <v>11</v>
      </c>
      <c r="AK25" s="208">
        <v>10.5</v>
      </c>
      <c r="AL25" s="82"/>
      <c r="AO25" s="83"/>
      <c r="AP25" s="82"/>
      <c r="AS25" s="83"/>
      <c r="AW25" s="83"/>
      <c r="BA25" s="84"/>
    </row>
    <row r="26" spans="1:53" s="208" customFormat="1">
      <c r="A26" s="102">
        <v>1969</v>
      </c>
      <c r="B26" s="207"/>
      <c r="C26" s="988" t="s">
        <v>862</v>
      </c>
      <c r="D26" s="988"/>
      <c r="E26" s="208">
        <v>0</v>
      </c>
      <c r="G26" s="123">
        <v>3</v>
      </c>
      <c r="H26" s="208">
        <v>2</v>
      </c>
      <c r="I26" s="208">
        <v>2</v>
      </c>
      <c r="J26" s="134">
        <v>7</v>
      </c>
      <c r="K26" s="92">
        <f t="shared" si="4"/>
        <v>42.857142857142854</v>
      </c>
      <c r="L26" s="92">
        <f t="shared" si="4"/>
        <v>28.571428571428569</v>
      </c>
      <c r="M26" s="92">
        <f t="shared" si="4"/>
        <v>28.571428571428569</v>
      </c>
      <c r="N26" s="125">
        <f t="shared" si="3"/>
        <v>99.999999999999986</v>
      </c>
      <c r="O26" s="91">
        <v>35</v>
      </c>
      <c r="P26" s="92">
        <v>22.5</v>
      </c>
      <c r="Q26" s="92">
        <v>25.5</v>
      </c>
      <c r="R26" s="93">
        <f t="shared" si="2"/>
        <v>83</v>
      </c>
      <c r="S26" s="208">
        <v>3</v>
      </c>
      <c r="T26" s="81"/>
      <c r="V26" s="82" t="s">
        <v>132</v>
      </c>
      <c r="W26" s="208" t="s">
        <v>22</v>
      </c>
      <c r="X26" s="208" t="s">
        <v>11</v>
      </c>
      <c r="Y26" s="83">
        <v>24.5</v>
      </c>
      <c r="Z26" s="208" t="s">
        <v>81</v>
      </c>
      <c r="AA26" s="208" t="s">
        <v>17</v>
      </c>
      <c r="AB26" s="208" t="s">
        <v>18</v>
      </c>
      <c r="AC26" s="208">
        <v>22.5</v>
      </c>
      <c r="AD26" s="82" t="s">
        <v>464</v>
      </c>
      <c r="AE26" s="208" t="s">
        <v>20</v>
      </c>
      <c r="AF26" s="208" t="s">
        <v>12</v>
      </c>
      <c r="AG26" s="83">
        <v>25.5</v>
      </c>
      <c r="AH26" s="208" t="s">
        <v>338</v>
      </c>
      <c r="AI26" s="208" t="s">
        <v>75</v>
      </c>
      <c r="AJ26" s="208" t="s">
        <v>11</v>
      </c>
      <c r="AK26" s="208">
        <v>10.5</v>
      </c>
      <c r="AL26" s="82"/>
      <c r="AO26" s="83"/>
      <c r="AP26" s="82"/>
      <c r="AS26" s="83"/>
      <c r="AW26" s="83"/>
      <c r="BA26" s="84"/>
    </row>
    <row r="27" spans="1:53" s="208" customFormat="1">
      <c r="A27" s="102">
        <v>1968.5428571428599</v>
      </c>
      <c r="B27" s="207"/>
      <c r="C27" s="988" t="s">
        <v>466</v>
      </c>
      <c r="D27" s="988"/>
      <c r="E27" s="208">
        <v>365</v>
      </c>
      <c r="F27" s="208">
        <v>1</v>
      </c>
      <c r="G27" s="123">
        <v>3</v>
      </c>
      <c r="H27" s="208">
        <v>2</v>
      </c>
      <c r="I27" s="208">
        <v>2</v>
      </c>
      <c r="J27" s="134">
        <v>7</v>
      </c>
      <c r="K27" s="92">
        <f t="shared" si="4"/>
        <v>42.857142857142854</v>
      </c>
      <c r="L27" s="92">
        <f t="shared" si="4"/>
        <v>28.571428571428569</v>
      </c>
      <c r="M27" s="92">
        <f t="shared" si="4"/>
        <v>28.571428571428569</v>
      </c>
      <c r="N27" s="125">
        <f t="shared" si="3"/>
        <v>99.999999999999986</v>
      </c>
      <c r="O27" s="91">
        <v>35</v>
      </c>
      <c r="P27" s="92">
        <v>22.5</v>
      </c>
      <c r="Q27" s="92">
        <v>25.5</v>
      </c>
      <c r="R27" s="93">
        <f t="shared" si="2"/>
        <v>83</v>
      </c>
      <c r="S27" s="208">
        <v>3</v>
      </c>
      <c r="T27" s="81"/>
      <c r="V27" s="82" t="s">
        <v>132</v>
      </c>
      <c r="W27" s="208" t="s">
        <v>22</v>
      </c>
      <c r="X27" s="208" t="s">
        <v>11</v>
      </c>
      <c r="Y27" s="83">
        <v>24.5</v>
      </c>
      <c r="Z27" s="208" t="s">
        <v>81</v>
      </c>
      <c r="AA27" s="208" t="s">
        <v>17</v>
      </c>
      <c r="AB27" s="208" t="s">
        <v>18</v>
      </c>
      <c r="AC27" s="208">
        <v>22.5</v>
      </c>
      <c r="AD27" s="82" t="s">
        <v>464</v>
      </c>
      <c r="AE27" s="208" t="s">
        <v>20</v>
      </c>
      <c r="AF27" s="208" t="s">
        <v>12</v>
      </c>
      <c r="AG27" s="83">
        <v>25.5</v>
      </c>
      <c r="AH27" s="208" t="s">
        <v>338</v>
      </c>
      <c r="AI27" s="208" t="s">
        <v>75</v>
      </c>
      <c r="AJ27" s="208" t="s">
        <v>11</v>
      </c>
      <c r="AK27" s="208">
        <v>10.5</v>
      </c>
      <c r="AL27" s="82"/>
      <c r="AO27" s="83"/>
      <c r="AP27" s="82"/>
      <c r="AS27" s="83"/>
      <c r="AW27" s="83"/>
      <c r="BA27" s="84"/>
    </row>
    <row r="28" spans="1:53" s="208" customFormat="1">
      <c r="A28" s="102">
        <v>1970</v>
      </c>
      <c r="B28" s="207"/>
      <c r="C28" s="988" t="s">
        <v>466</v>
      </c>
      <c r="D28" s="988"/>
      <c r="E28" s="208">
        <v>0</v>
      </c>
      <c r="G28" s="123">
        <v>3</v>
      </c>
      <c r="H28" s="208">
        <v>2</v>
      </c>
      <c r="I28" s="208">
        <v>2</v>
      </c>
      <c r="J28" s="134">
        <v>7</v>
      </c>
      <c r="K28" s="92">
        <f t="shared" si="4"/>
        <v>42.857142857142854</v>
      </c>
      <c r="L28" s="92">
        <f t="shared" si="4"/>
        <v>28.571428571428569</v>
      </c>
      <c r="M28" s="92">
        <f t="shared" si="4"/>
        <v>28.571428571428569</v>
      </c>
      <c r="N28" s="125">
        <f t="shared" si="3"/>
        <v>99.999999999999986</v>
      </c>
      <c r="O28" s="91">
        <v>35</v>
      </c>
      <c r="P28" s="92">
        <v>22.5</v>
      </c>
      <c r="Q28" s="92">
        <v>25.5</v>
      </c>
      <c r="R28" s="93">
        <f t="shared" si="2"/>
        <v>83</v>
      </c>
      <c r="S28" s="208">
        <v>3</v>
      </c>
      <c r="T28" s="81"/>
      <c r="V28" s="82" t="s">
        <v>132</v>
      </c>
      <c r="W28" s="208" t="s">
        <v>22</v>
      </c>
      <c r="X28" s="208" t="s">
        <v>11</v>
      </c>
      <c r="Y28" s="83">
        <v>24.5</v>
      </c>
      <c r="Z28" s="208" t="s">
        <v>81</v>
      </c>
      <c r="AA28" s="208" t="s">
        <v>17</v>
      </c>
      <c r="AB28" s="208" t="s">
        <v>18</v>
      </c>
      <c r="AC28" s="208">
        <v>22.5</v>
      </c>
      <c r="AD28" s="82" t="s">
        <v>464</v>
      </c>
      <c r="AE28" s="208" t="s">
        <v>20</v>
      </c>
      <c r="AF28" s="208" t="s">
        <v>12</v>
      </c>
      <c r="AG28" s="83">
        <v>25.5</v>
      </c>
      <c r="AH28" s="208" t="s">
        <v>338</v>
      </c>
      <c r="AI28" s="208" t="s">
        <v>75</v>
      </c>
      <c r="AJ28" s="208" t="s">
        <v>11</v>
      </c>
      <c r="AK28" s="208">
        <v>10.5</v>
      </c>
      <c r="AL28" s="82"/>
      <c r="AO28" s="83"/>
      <c r="AP28" s="82"/>
      <c r="AS28" s="83"/>
      <c r="AW28" s="83"/>
      <c r="BA28" s="84"/>
    </row>
    <row r="29" spans="1:53" s="208" customFormat="1">
      <c r="A29" s="102">
        <v>1970</v>
      </c>
      <c r="B29" s="207"/>
      <c r="C29" s="988" t="s">
        <v>427</v>
      </c>
      <c r="D29" s="988"/>
      <c r="E29" s="208">
        <v>365</v>
      </c>
      <c r="F29" s="208">
        <v>1</v>
      </c>
      <c r="G29" s="123">
        <v>3</v>
      </c>
      <c r="H29" s="208">
        <v>2</v>
      </c>
      <c r="I29" s="208">
        <v>2</v>
      </c>
      <c r="J29" s="134">
        <v>7</v>
      </c>
      <c r="K29" s="92">
        <f t="shared" si="4"/>
        <v>42.857142857142854</v>
      </c>
      <c r="L29" s="92">
        <f t="shared" si="4"/>
        <v>28.571428571428569</v>
      </c>
      <c r="M29" s="92">
        <f t="shared" si="4"/>
        <v>28.571428571428569</v>
      </c>
      <c r="N29" s="125">
        <f t="shared" si="3"/>
        <v>99.999999999999986</v>
      </c>
      <c r="O29" s="91">
        <v>35</v>
      </c>
      <c r="P29" s="92">
        <v>22.5</v>
      </c>
      <c r="Q29" s="92">
        <v>25.5</v>
      </c>
      <c r="R29" s="93">
        <f t="shared" si="2"/>
        <v>83</v>
      </c>
      <c r="S29" s="208">
        <v>3</v>
      </c>
      <c r="T29" s="81"/>
      <c r="V29" s="82" t="s">
        <v>132</v>
      </c>
      <c r="W29" s="208" t="s">
        <v>22</v>
      </c>
      <c r="X29" s="208" t="s">
        <v>11</v>
      </c>
      <c r="Y29" s="83">
        <v>24.5</v>
      </c>
      <c r="Z29" s="208" t="s">
        <v>81</v>
      </c>
      <c r="AA29" s="208" t="s">
        <v>17</v>
      </c>
      <c r="AB29" s="208" t="s">
        <v>18</v>
      </c>
      <c r="AC29" s="208">
        <v>22.5</v>
      </c>
      <c r="AD29" s="82" t="s">
        <v>464</v>
      </c>
      <c r="AE29" s="208" t="s">
        <v>20</v>
      </c>
      <c r="AF29" s="208" t="s">
        <v>12</v>
      </c>
      <c r="AG29" s="83">
        <v>25.5</v>
      </c>
      <c r="AH29" s="208" t="s">
        <v>338</v>
      </c>
      <c r="AI29" s="208" t="s">
        <v>75</v>
      </c>
      <c r="AJ29" s="208" t="s">
        <v>11</v>
      </c>
      <c r="AK29" s="208">
        <v>10.5</v>
      </c>
      <c r="AL29" s="82"/>
      <c r="AO29" s="83"/>
      <c r="AP29" s="82"/>
      <c r="AS29" s="83"/>
      <c r="AW29" s="83"/>
      <c r="BA29" s="84"/>
    </row>
    <row r="30" spans="1:53" s="208" customFormat="1">
      <c r="A30" s="102">
        <v>1971</v>
      </c>
      <c r="B30" s="207"/>
      <c r="C30" s="988" t="s">
        <v>427</v>
      </c>
      <c r="D30" s="988"/>
      <c r="E30" s="208">
        <v>341</v>
      </c>
      <c r="G30" s="123">
        <v>3</v>
      </c>
      <c r="H30" s="208">
        <v>2</v>
      </c>
      <c r="I30" s="208">
        <v>2</v>
      </c>
      <c r="J30" s="134">
        <v>7</v>
      </c>
      <c r="K30" s="92">
        <f t="shared" si="4"/>
        <v>42.857142857142854</v>
      </c>
      <c r="L30" s="92">
        <f t="shared" si="4"/>
        <v>28.571428571428569</v>
      </c>
      <c r="M30" s="92">
        <f t="shared" si="4"/>
        <v>28.571428571428569</v>
      </c>
      <c r="N30" s="125">
        <f t="shared" si="3"/>
        <v>99.999999999999986</v>
      </c>
      <c r="O30" s="91">
        <v>35</v>
      </c>
      <c r="P30" s="92">
        <v>22.5</v>
      </c>
      <c r="Q30" s="92">
        <v>25.5</v>
      </c>
      <c r="R30" s="93">
        <f t="shared" si="2"/>
        <v>83</v>
      </c>
      <c r="S30" s="208">
        <v>3</v>
      </c>
      <c r="T30" s="81"/>
      <c r="V30" s="82" t="s">
        <v>132</v>
      </c>
      <c r="W30" s="208" t="s">
        <v>22</v>
      </c>
      <c r="X30" s="208" t="s">
        <v>11</v>
      </c>
      <c r="Y30" s="83">
        <v>24.5</v>
      </c>
      <c r="Z30" s="208" t="s">
        <v>81</v>
      </c>
      <c r="AA30" s="208" t="s">
        <v>17</v>
      </c>
      <c r="AB30" s="208" t="s">
        <v>18</v>
      </c>
      <c r="AC30" s="208">
        <v>22.5</v>
      </c>
      <c r="AD30" s="82" t="s">
        <v>464</v>
      </c>
      <c r="AE30" s="208" t="s">
        <v>20</v>
      </c>
      <c r="AF30" s="208" t="s">
        <v>12</v>
      </c>
      <c r="AG30" s="83">
        <v>25.5</v>
      </c>
      <c r="AH30" s="208" t="s">
        <v>338</v>
      </c>
      <c r="AI30" s="208" t="s">
        <v>75</v>
      </c>
      <c r="AJ30" s="208" t="s">
        <v>11</v>
      </c>
      <c r="AK30" s="208">
        <v>10.5</v>
      </c>
      <c r="AL30" s="82"/>
      <c r="AO30" s="83"/>
      <c r="AP30" s="82"/>
      <c r="AS30" s="83"/>
      <c r="AW30" s="83"/>
      <c r="BA30" s="84"/>
    </row>
    <row r="31" spans="1:53" s="334" customFormat="1">
      <c r="A31" s="386">
        <v>1971</v>
      </c>
      <c r="B31" s="355">
        <v>26275</v>
      </c>
      <c r="C31" s="992" t="s">
        <v>428</v>
      </c>
      <c r="D31" s="992"/>
      <c r="E31" s="334">
        <f xml:space="preserve"> 365-E30</f>
        <v>24</v>
      </c>
      <c r="F31" s="334">
        <v>1</v>
      </c>
      <c r="G31" s="419">
        <v>3</v>
      </c>
      <c r="H31" s="334">
        <v>2</v>
      </c>
      <c r="I31" s="334">
        <v>2</v>
      </c>
      <c r="J31" s="435">
        <v>7</v>
      </c>
      <c r="K31" s="384">
        <f t="shared" si="4"/>
        <v>42.857142857142854</v>
      </c>
      <c r="L31" s="384">
        <f t="shared" si="4"/>
        <v>28.571428571428569</v>
      </c>
      <c r="M31" s="384">
        <f t="shared" si="4"/>
        <v>28.571428571428569</v>
      </c>
      <c r="N31" s="421">
        <f t="shared" si="3"/>
        <v>99.999999999999986</v>
      </c>
      <c r="O31" s="383">
        <v>36</v>
      </c>
      <c r="P31" s="384">
        <v>22</v>
      </c>
      <c r="Q31" s="384">
        <v>23</v>
      </c>
      <c r="R31" s="385">
        <f t="shared" si="2"/>
        <v>81</v>
      </c>
      <c r="S31" s="334">
        <v>3</v>
      </c>
      <c r="T31" s="342">
        <v>26237</v>
      </c>
      <c r="U31" s="355">
        <v>26275</v>
      </c>
      <c r="V31" s="343" t="s">
        <v>132</v>
      </c>
      <c r="W31" s="334" t="s">
        <v>22</v>
      </c>
      <c r="X31" s="334" t="s">
        <v>11</v>
      </c>
      <c r="Y31" s="344">
        <v>24.5</v>
      </c>
      <c r="Z31" s="334" t="s">
        <v>81</v>
      </c>
      <c r="AA31" s="334" t="s">
        <v>17</v>
      </c>
      <c r="AB31" s="334" t="s">
        <v>18</v>
      </c>
      <c r="AC31" s="334">
        <v>22</v>
      </c>
      <c r="AD31" s="343" t="s">
        <v>464</v>
      </c>
      <c r="AE31" s="334" t="s">
        <v>20</v>
      </c>
      <c r="AF31" s="334" t="s">
        <v>12</v>
      </c>
      <c r="AG31" s="344">
        <v>23</v>
      </c>
      <c r="AH31" s="334" t="s">
        <v>338</v>
      </c>
      <c r="AI31" s="334" t="s">
        <v>75</v>
      </c>
      <c r="AJ31" s="334" t="s">
        <v>11</v>
      </c>
      <c r="AK31" s="334">
        <v>11.5</v>
      </c>
      <c r="AL31" s="343"/>
      <c r="AO31" s="344"/>
      <c r="AP31" s="343"/>
      <c r="AS31" s="344"/>
      <c r="AW31" s="344"/>
      <c r="BA31" s="345"/>
    </row>
    <row r="32" spans="1:53" s="334" customFormat="1">
      <c r="A32" s="386">
        <v>1972</v>
      </c>
      <c r="B32" s="355"/>
      <c r="C32" s="992" t="s">
        <v>428</v>
      </c>
      <c r="D32" s="992"/>
      <c r="E32" s="334">
        <v>0</v>
      </c>
      <c r="G32" s="419">
        <v>3</v>
      </c>
      <c r="H32" s="334">
        <v>2</v>
      </c>
      <c r="I32" s="334">
        <v>2</v>
      </c>
      <c r="J32" s="435">
        <v>7</v>
      </c>
      <c r="K32" s="384">
        <f t="shared" si="4"/>
        <v>42.857142857142854</v>
      </c>
      <c r="L32" s="384">
        <f t="shared" si="4"/>
        <v>28.571428571428569</v>
      </c>
      <c r="M32" s="384">
        <f t="shared" si="4"/>
        <v>28.571428571428569</v>
      </c>
      <c r="N32" s="421">
        <f t="shared" si="3"/>
        <v>99.999999999999986</v>
      </c>
      <c r="O32" s="383">
        <v>36</v>
      </c>
      <c r="P32" s="384">
        <v>22</v>
      </c>
      <c r="Q32" s="384">
        <v>23</v>
      </c>
      <c r="R32" s="385">
        <f t="shared" si="2"/>
        <v>81</v>
      </c>
      <c r="S32" s="334">
        <v>3</v>
      </c>
      <c r="T32" s="357"/>
      <c r="V32" s="343" t="s">
        <v>132</v>
      </c>
      <c r="W32" s="334" t="s">
        <v>22</v>
      </c>
      <c r="X32" s="334" t="s">
        <v>11</v>
      </c>
      <c r="Y32" s="344">
        <v>24.5</v>
      </c>
      <c r="Z32" s="334" t="s">
        <v>81</v>
      </c>
      <c r="AA32" s="334" t="s">
        <v>17</v>
      </c>
      <c r="AB32" s="334" t="s">
        <v>18</v>
      </c>
      <c r="AC32" s="334">
        <v>22</v>
      </c>
      <c r="AD32" s="343" t="s">
        <v>464</v>
      </c>
      <c r="AE32" s="334" t="s">
        <v>20</v>
      </c>
      <c r="AF32" s="334" t="s">
        <v>12</v>
      </c>
      <c r="AG32" s="344">
        <v>23</v>
      </c>
      <c r="AH32" s="334" t="s">
        <v>338</v>
      </c>
      <c r="AI32" s="334" t="s">
        <v>75</v>
      </c>
      <c r="AJ32" s="334" t="s">
        <v>11</v>
      </c>
      <c r="AK32" s="334">
        <v>11.5</v>
      </c>
      <c r="AL32" s="343"/>
      <c r="AO32" s="344"/>
      <c r="AP32" s="343"/>
      <c r="AS32" s="344"/>
      <c r="AW32" s="344"/>
      <c r="BA32" s="345"/>
    </row>
    <row r="33" spans="1:53" s="334" customFormat="1">
      <c r="A33" s="386">
        <v>1972</v>
      </c>
      <c r="B33" s="355"/>
      <c r="C33" s="992" t="s">
        <v>429</v>
      </c>
      <c r="D33" s="992"/>
      <c r="E33" s="334">
        <v>366</v>
      </c>
      <c r="F33" s="334">
        <v>1</v>
      </c>
      <c r="G33" s="419">
        <v>3</v>
      </c>
      <c r="H33" s="334">
        <v>2</v>
      </c>
      <c r="I33" s="334">
        <v>2</v>
      </c>
      <c r="J33" s="435">
        <v>7</v>
      </c>
      <c r="K33" s="384">
        <f t="shared" si="4"/>
        <v>42.857142857142854</v>
      </c>
      <c r="L33" s="384">
        <f t="shared" si="4"/>
        <v>28.571428571428569</v>
      </c>
      <c r="M33" s="384">
        <f t="shared" si="4"/>
        <v>28.571428571428569</v>
      </c>
      <c r="N33" s="421">
        <f t="shared" si="3"/>
        <v>99.999999999999986</v>
      </c>
      <c r="O33" s="383">
        <v>36</v>
      </c>
      <c r="P33" s="384">
        <v>22</v>
      </c>
      <c r="Q33" s="384">
        <v>23</v>
      </c>
      <c r="R33" s="385">
        <f t="shared" si="2"/>
        <v>81</v>
      </c>
      <c r="S33" s="334">
        <v>3</v>
      </c>
      <c r="T33" s="357"/>
      <c r="V33" s="343" t="s">
        <v>132</v>
      </c>
      <c r="W33" s="334" t="s">
        <v>22</v>
      </c>
      <c r="X33" s="334" t="s">
        <v>11</v>
      </c>
      <c r="Y33" s="344">
        <v>24.5</v>
      </c>
      <c r="Z33" s="334" t="s">
        <v>81</v>
      </c>
      <c r="AA33" s="334" t="s">
        <v>17</v>
      </c>
      <c r="AB33" s="334" t="s">
        <v>18</v>
      </c>
      <c r="AC33" s="334">
        <v>22</v>
      </c>
      <c r="AD33" s="343" t="s">
        <v>464</v>
      </c>
      <c r="AE33" s="334" t="s">
        <v>20</v>
      </c>
      <c r="AF33" s="334" t="s">
        <v>12</v>
      </c>
      <c r="AG33" s="344">
        <v>23</v>
      </c>
      <c r="AH33" s="334" t="s">
        <v>338</v>
      </c>
      <c r="AI33" s="334" t="s">
        <v>75</v>
      </c>
      <c r="AJ33" s="334" t="s">
        <v>11</v>
      </c>
      <c r="AK33" s="334">
        <v>11.5</v>
      </c>
      <c r="AL33" s="343"/>
      <c r="AO33" s="344"/>
      <c r="AP33" s="343"/>
      <c r="AS33" s="344"/>
      <c r="AW33" s="344"/>
      <c r="BA33" s="345"/>
    </row>
    <row r="34" spans="1:53" s="334" customFormat="1">
      <c r="A34" s="386">
        <v>1973</v>
      </c>
      <c r="B34" s="355"/>
      <c r="C34" s="992" t="s">
        <v>429</v>
      </c>
      <c r="D34" s="992"/>
      <c r="E34" s="334">
        <v>0</v>
      </c>
      <c r="G34" s="419">
        <v>3</v>
      </c>
      <c r="H34" s="334">
        <v>2</v>
      </c>
      <c r="I34" s="334">
        <v>2</v>
      </c>
      <c r="J34" s="435">
        <v>7</v>
      </c>
      <c r="K34" s="384">
        <f t="shared" si="4"/>
        <v>42.857142857142854</v>
      </c>
      <c r="L34" s="384">
        <f t="shared" si="4"/>
        <v>28.571428571428569</v>
      </c>
      <c r="M34" s="384">
        <f t="shared" si="4"/>
        <v>28.571428571428569</v>
      </c>
      <c r="N34" s="421">
        <f t="shared" si="3"/>
        <v>99.999999999999986</v>
      </c>
      <c r="O34" s="383">
        <v>36</v>
      </c>
      <c r="P34" s="384">
        <v>22</v>
      </c>
      <c r="Q34" s="384">
        <v>23</v>
      </c>
      <c r="R34" s="385">
        <f t="shared" si="2"/>
        <v>81</v>
      </c>
      <c r="S34" s="334">
        <v>3</v>
      </c>
      <c r="T34" s="357"/>
      <c r="V34" s="343" t="s">
        <v>132</v>
      </c>
      <c r="W34" s="334" t="s">
        <v>22</v>
      </c>
      <c r="X34" s="334" t="s">
        <v>11</v>
      </c>
      <c r="Y34" s="344">
        <v>24.5</v>
      </c>
      <c r="Z34" s="334" t="s">
        <v>81</v>
      </c>
      <c r="AA34" s="334" t="s">
        <v>17</v>
      </c>
      <c r="AB34" s="334" t="s">
        <v>18</v>
      </c>
      <c r="AC34" s="334">
        <v>22</v>
      </c>
      <c r="AD34" s="343" t="s">
        <v>464</v>
      </c>
      <c r="AE34" s="334" t="s">
        <v>20</v>
      </c>
      <c r="AF34" s="334" t="s">
        <v>12</v>
      </c>
      <c r="AG34" s="344">
        <v>23</v>
      </c>
      <c r="AH34" s="334" t="s">
        <v>338</v>
      </c>
      <c r="AI34" s="334" t="s">
        <v>75</v>
      </c>
      <c r="AJ34" s="334" t="s">
        <v>11</v>
      </c>
      <c r="AK34" s="334">
        <v>11.5</v>
      </c>
      <c r="AL34" s="343"/>
      <c r="AO34" s="344"/>
      <c r="AP34" s="343"/>
      <c r="AS34" s="344"/>
      <c r="AW34" s="344"/>
      <c r="BA34" s="345"/>
    </row>
    <row r="35" spans="1:53" s="334" customFormat="1">
      <c r="A35" s="386">
        <v>1973</v>
      </c>
      <c r="B35" s="355"/>
      <c r="C35" s="992" t="s">
        <v>430</v>
      </c>
      <c r="D35" s="992"/>
      <c r="E35" s="334">
        <v>365</v>
      </c>
      <c r="F35" s="334">
        <v>1</v>
      </c>
      <c r="G35" s="419">
        <v>3</v>
      </c>
      <c r="H35" s="334">
        <v>2</v>
      </c>
      <c r="I35" s="334">
        <v>2</v>
      </c>
      <c r="J35" s="435">
        <v>7</v>
      </c>
      <c r="K35" s="384">
        <f t="shared" si="4"/>
        <v>42.857142857142854</v>
      </c>
      <c r="L35" s="384">
        <f t="shared" si="4"/>
        <v>28.571428571428569</v>
      </c>
      <c r="M35" s="384">
        <f t="shared" si="4"/>
        <v>28.571428571428569</v>
      </c>
      <c r="N35" s="421">
        <f t="shared" si="3"/>
        <v>99.999999999999986</v>
      </c>
      <c r="O35" s="383">
        <v>36</v>
      </c>
      <c r="P35" s="384">
        <v>22</v>
      </c>
      <c r="Q35" s="384">
        <v>23</v>
      </c>
      <c r="R35" s="385">
        <f t="shared" si="2"/>
        <v>81</v>
      </c>
      <c r="S35" s="334">
        <v>3</v>
      </c>
      <c r="T35" s="357"/>
      <c r="V35" s="343" t="s">
        <v>132</v>
      </c>
      <c r="W35" s="334" t="s">
        <v>22</v>
      </c>
      <c r="X35" s="334" t="s">
        <v>11</v>
      </c>
      <c r="Y35" s="344">
        <v>24.5</v>
      </c>
      <c r="Z35" s="334" t="s">
        <v>81</v>
      </c>
      <c r="AA35" s="334" t="s">
        <v>17</v>
      </c>
      <c r="AB35" s="334" t="s">
        <v>18</v>
      </c>
      <c r="AC35" s="334">
        <v>22</v>
      </c>
      <c r="AD35" s="343" t="s">
        <v>464</v>
      </c>
      <c r="AE35" s="334" t="s">
        <v>20</v>
      </c>
      <c r="AF35" s="334" t="s">
        <v>12</v>
      </c>
      <c r="AG35" s="344">
        <v>23</v>
      </c>
      <c r="AH35" s="334" t="s">
        <v>338</v>
      </c>
      <c r="AI35" s="334" t="s">
        <v>75</v>
      </c>
      <c r="AJ35" s="334" t="s">
        <v>11</v>
      </c>
      <c r="AK35" s="334">
        <v>11.5</v>
      </c>
      <c r="AL35" s="343"/>
      <c r="AO35" s="344"/>
      <c r="AP35" s="343"/>
      <c r="AS35" s="344"/>
      <c r="AW35" s="344"/>
      <c r="BA35" s="345"/>
    </row>
    <row r="36" spans="1:53" s="334" customFormat="1">
      <c r="A36" s="386">
        <v>1974</v>
      </c>
      <c r="B36" s="355"/>
      <c r="C36" s="992" t="s">
        <v>430</v>
      </c>
      <c r="D36" s="992"/>
      <c r="E36" s="334">
        <v>0</v>
      </c>
      <c r="G36" s="419">
        <v>3</v>
      </c>
      <c r="H36" s="334">
        <v>2</v>
      </c>
      <c r="I36" s="334">
        <v>2</v>
      </c>
      <c r="J36" s="435">
        <v>7</v>
      </c>
      <c r="K36" s="384">
        <f t="shared" si="4"/>
        <v>42.857142857142854</v>
      </c>
      <c r="L36" s="384">
        <f t="shared" si="4"/>
        <v>28.571428571428569</v>
      </c>
      <c r="M36" s="384">
        <f t="shared" si="4"/>
        <v>28.571428571428569</v>
      </c>
      <c r="N36" s="421">
        <f t="shared" si="3"/>
        <v>99.999999999999986</v>
      </c>
      <c r="O36" s="383">
        <v>36</v>
      </c>
      <c r="P36" s="384">
        <v>22</v>
      </c>
      <c r="Q36" s="384">
        <v>23</v>
      </c>
      <c r="R36" s="385">
        <f t="shared" si="2"/>
        <v>81</v>
      </c>
      <c r="S36" s="334">
        <v>3</v>
      </c>
      <c r="T36" s="357"/>
      <c r="V36" s="343" t="s">
        <v>132</v>
      </c>
      <c r="W36" s="334" t="s">
        <v>22</v>
      </c>
      <c r="X36" s="334" t="s">
        <v>11</v>
      </c>
      <c r="Y36" s="344">
        <v>24.5</v>
      </c>
      <c r="Z36" s="334" t="s">
        <v>81</v>
      </c>
      <c r="AA36" s="334" t="s">
        <v>17</v>
      </c>
      <c r="AB36" s="334" t="s">
        <v>18</v>
      </c>
      <c r="AC36" s="334">
        <v>22</v>
      </c>
      <c r="AD36" s="343" t="s">
        <v>464</v>
      </c>
      <c r="AE36" s="334" t="s">
        <v>20</v>
      </c>
      <c r="AF36" s="334" t="s">
        <v>12</v>
      </c>
      <c r="AG36" s="344">
        <v>23</v>
      </c>
      <c r="AH36" s="334" t="s">
        <v>338</v>
      </c>
      <c r="AI36" s="334" t="s">
        <v>75</v>
      </c>
      <c r="AJ36" s="334" t="s">
        <v>11</v>
      </c>
      <c r="AK36" s="334">
        <v>11.5</v>
      </c>
      <c r="AL36" s="343"/>
      <c r="AO36" s="344"/>
      <c r="AP36" s="343"/>
      <c r="AS36" s="344"/>
      <c r="AW36" s="344"/>
      <c r="BA36" s="345"/>
    </row>
    <row r="37" spans="1:53" s="334" customFormat="1">
      <c r="A37" s="386">
        <v>1974</v>
      </c>
      <c r="B37" s="355"/>
      <c r="C37" s="992" t="s">
        <v>467</v>
      </c>
      <c r="D37" s="992"/>
      <c r="E37" s="334">
        <v>365</v>
      </c>
      <c r="F37" s="334">
        <v>1</v>
      </c>
      <c r="G37" s="419">
        <v>3</v>
      </c>
      <c r="H37" s="334">
        <v>2</v>
      </c>
      <c r="I37" s="334">
        <v>2</v>
      </c>
      <c r="J37" s="435">
        <v>7</v>
      </c>
      <c r="K37" s="384">
        <f t="shared" si="4"/>
        <v>42.857142857142854</v>
      </c>
      <c r="L37" s="384">
        <f t="shared" si="4"/>
        <v>28.571428571428569</v>
      </c>
      <c r="M37" s="384">
        <f t="shared" si="4"/>
        <v>28.571428571428569</v>
      </c>
      <c r="N37" s="421">
        <f t="shared" si="3"/>
        <v>99.999999999999986</v>
      </c>
      <c r="O37" s="383">
        <v>36</v>
      </c>
      <c r="P37" s="384">
        <v>22</v>
      </c>
      <c r="Q37" s="384">
        <v>23</v>
      </c>
      <c r="R37" s="385">
        <f t="shared" si="2"/>
        <v>81</v>
      </c>
      <c r="S37" s="334">
        <v>3</v>
      </c>
      <c r="T37" s="357"/>
      <c r="V37" s="343" t="s">
        <v>132</v>
      </c>
      <c r="W37" s="334" t="s">
        <v>22</v>
      </c>
      <c r="X37" s="334" t="s">
        <v>11</v>
      </c>
      <c r="Y37" s="344">
        <v>24.5</v>
      </c>
      <c r="Z37" s="334" t="s">
        <v>81</v>
      </c>
      <c r="AA37" s="334" t="s">
        <v>17</v>
      </c>
      <c r="AB37" s="334" t="s">
        <v>18</v>
      </c>
      <c r="AC37" s="334">
        <v>22</v>
      </c>
      <c r="AD37" s="343" t="s">
        <v>464</v>
      </c>
      <c r="AE37" s="334" t="s">
        <v>20</v>
      </c>
      <c r="AF37" s="334" t="s">
        <v>12</v>
      </c>
      <c r="AG37" s="344">
        <v>23</v>
      </c>
      <c r="AH37" s="334" t="s">
        <v>338</v>
      </c>
      <c r="AI37" s="334" t="s">
        <v>75</v>
      </c>
      <c r="AJ37" s="334" t="s">
        <v>11</v>
      </c>
      <c r="AK37" s="334">
        <v>11.5</v>
      </c>
      <c r="AL37" s="343"/>
      <c r="AO37" s="344"/>
      <c r="AP37" s="343"/>
      <c r="AS37" s="344"/>
      <c r="AW37" s="344"/>
      <c r="BA37" s="345"/>
    </row>
    <row r="38" spans="1:53" s="334" customFormat="1" ht="8.25" customHeight="1">
      <c r="A38" s="386">
        <v>1975</v>
      </c>
      <c r="B38" s="355"/>
      <c r="C38" s="992" t="s">
        <v>467</v>
      </c>
      <c r="D38" s="992"/>
      <c r="E38" s="334">
        <v>343</v>
      </c>
      <c r="G38" s="419">
        <v>3</v>
      </c>
      <c r="H38" s="334">
        <v>2</v>
      </c>
      <c r="I38" s="334">
        <v>2</v>
      </c>
      <c r="J38" s="435">
        <v>7</v>
      </c>
      <c r="K38" s="384">
        <f t="shared" si="4"/>
        <v>42.857142857142854</v>
      </c>
      <c r="L38" s="384">
        <f t="shared" si="4"/>
        <v>28.571428571428569</v>
      </c>
      <c r="M38" s="384">
        <f t="shared" si="4"/>
        <v>28.571428571428569</v>
      </c>
      <c r="N38" s="421">
        <f t="shared" si="3"/>
        <v>99.999999999999986</v>
      </c>
      <c r="O38" s="383">
        <v>36</v>
      </c>
      <c r="P38" s="384">
        <v>22</v>
      </c>
      <c r="Q38" s="384">
        <v>23</v>
      </c>
      <c r="R38" s="385">
        <f t="shared" si="2"/>
        <v>81</v>
      </c>
      <c r="S38" s="334">
        <v>3</v>
      </c>
      <c r="T38" s="357"/>
      <c r="V38" s="343" t="s">
        <v>132</v>
      </c>
      <c r="W38" s="334" t="s">
        <v>22</v>
      </c>
      <c r="X38" s="334" t="s">
        <v>11</v>
      </c>
      <c r="Y38" s="344">
        <v>24.5</v>
      </c>
      <c r="Z38" s="334" t="s">
        <v>81</v>
      </c>
      <c r="AA38" s="334" t="s">
        <v>17</v>
      </c>
      <c r="AB38" s="334" t="s">
        <v>18</v>
      </c>
      <c r="AC38" s="334">
        <v>22</v>
      </c>
      <c r="AD38" s="343" t="s">
        <v>464</v>
      </c>
      <c r="AE38" s="334" t="s">
        <v>20</v>
      </c>
      <c r="AF38" s="334" t="s">
        <v>12</v>
      </c>
      <c r="AG38" s="344">
        <v>23</v>
      </c>
      <c r="AH38" s="334" t="s">
        <v>338</v>
      </c>
      <c r="AI38" s="334" t="s">
        <v>75</v>
      </c>
      <c r="AJ38" s="334" t="s">
        <v>11</v>
      </c>
      <c r="AK38" s="334">
        <v>11.5</v>
      </c>
      <c r="AL38" s="343"/>
      <c r="AO38" s="344"/>
      <c r="AP38" s="343"/>
      <c r="AS38" s="344"/>
      <c r="AW38" s="344"/>
      <c r="BA38" s="345"/>
    </row>
    <row r="39" spans="1:53" s="208" customFormat="1">
      <c r="A39" s="102">
        <v>1975</v>
      </c>
      <c r="B39" s="207">
        <v>27738</v>
      </c>
      <c r="C39" s="988" t="s">
        <v>431</v>
      </c>
      <c r="D39" s="988"/>
      <c r="E39" s="208">
        <f>365-E38</f>
        <v>22</v>
      </c>
      <c r="F39" s="208">
        <v>1</v>
      </c>
      <c r="G39" s="123">
        <v>3</v>
      </c>
      <c r="H39" s="208">
        <v>2</v>
      </c>
      <c r="I39" s="208">
        <v>2</v>
      </c>
      <c r="J39" s="134">
        <v>7</v>
      </c>
      <c r="K39" s="92">
        <f t="shared" si="4"/>
        <v>42.857142857142854</v>
      </c>
      <c r="L39" s="92">
        <f t="shared" si="4"/>
        <v>28.571428571428569</v>
      </c>
      <c r="M39" s="92">
        <f t="shared" si="4"/>
        <v>28.571428571428569</v>
      </c>
      <c r="N39" s="125">
        <f t="shared" si="3"/>
        <v>99.999999999999986</v>
      </c>
      <c r="O39" s="91">
        <v>34</v>
      </c>
      <c r="P39" s="92">
        <v>23</v>
      </c>
      <c r="Q39" s="92">
        <v>27.5</v>
      </c>
      <c r="R39" s="93">
        <f t="shared" si="2"/>
        <v>84.5</v>
      </c>
      <c r="S39" s="208">
        <v>3</v>
      </c>
      <c r="T39" s="95">
        <v>27693</v>
      </c>
      <c r="U39" s="207">
        <v>27738</v>
      </c>
      <c r="V39" s="82" t="s">
        <v>132</v>
      </c>
      <c r="W39" s="208" t="s">
        <v>22</v>
      </c>
      <c r="X39" s="208" t="s">
        <v>11</v>
      </c>
      <c r="Y39" s="83">
        <v>23.5</v>
      </c>
      <c r="Z39" s="208" t="s">
        <v>81</v>
      </c>
      <c r="AA39" s="208" t="s">
        <v>17</v>
      </c>
      <c r="AB39" s="208" t="s">
        <v>18</v>
      </c>
      <c r="AC39" s="208">
        <v>23</v>
      </c>
      <c r="AD39" s="82" t="s">
        <v>464</v>
      </c>
      <c r="AE39" s="208" t="s">
        <v>20</v>
      </c>
      <c r="AF39" s="208" t="s">
        <v>12</v>
      </c>
      <c r="AG39" s="83">
        <v>27.5</v>
      </c>
      <c r="AH39" s="208" t="s">
        <v>338</v>
      </c>
      <c r="AI39" s="208" t="s">
        <v>75</v>
      </c>
      <c r="AJ39" s="208" t="s">
        <v>11</v>
      </c>
      <c r="AK39" s="208">
        <v>10.5</v>
      </c>
      <c r="AL39" s="82"/>
      <c r="AO39" s="83"/>
      <c r="AP39" s="82"/>
      <c r="AS39" s="83"/>
      <c r="AW39" s="83"/>
      <c r="BA39" s="84"/>
    </row>
    <row r="40" spans="1:53" s="208" customFormat="1">
      <c r="A40" s="102">
        <v>1976</v>
      </c>
      <c r="B40" s="207"/>
      <c r="C40" s="988" t="s">
        <v>431</v>
      </c>
      <c r="D40" s="988"/>
      <c r="E40" s="208">
        <v>0</v>
      </c>
      <c r="G40" s="123">
        <v>3</v>
      </c>
      <c r="H40" s="208">
        <v>2</v>
      </c>
      <c r="I40" s="208">
        <v>2</v>
      </c>
      <c r="J40" s="134">
        <v>7</v>
      </c>
      <c r="K40" s="92">
        <f t="shared" si="4"/>
        <v>42.857142857142854</v>
      </c>
      <c r="L40" s="92">
        <f t="shared" si="4"/>
        <v>28.571428571428569</v>
      </c>
      <c r="M40" s="92">
        <f t="shared" si="4"/>
        <v>28.571428571428569</v>
      </c>
      <c r="N40" s="125">
        <f t="shared" si="3"/>
        <v>99.999999999999986</v>
      </c>
      <c r="O40" s="91">
        <v>34</v>
      </c>
      <c r="P40" s="92">
        <v>23</v>
      </c>
      <c r="Q40" s="92">
        <v>27.5</v>
      </c>
      <c r="R40" s="93">
        <f t="shared" si="2"/>
        <v>84.5</v>
      </c>
      <c r="S40" s="208">
        <v>3</v>
      </c>
      <c r="T40" s="81"/>
      <c r="V40" s="82" t="s">
        <v>132</v>
      </c>
      <c r="W40" s="208" t="s">
        <v>22</v>
      </c>
      <c r="X40" s="208" t="s">
        <v>11</v>
      </c>
      <c r="Y40" s="83">
        <v>23.5</v>
      </c>
      <c r="Z40" s="208" t="s">
        <v>81</v>
      </c>
      <c r="AA40" s="208" t="s">
        <v>17</v>
      </c>
      <c r="AB40" s="208" t="s">
        <v>18</v>
      </c>
      <c r="AC40" s="208">
        <v>23</v>
      </c>
      <c r="AD40" s="82" t="s">
        <v>464</v>
      </c>
      <c r="AE40" s="208" t="s">
        <v>20</v>
      </c>
      <c r="AF40" s="208" t="s">
        <v>12</v>
      </c>
      <c r="AG40" s="83">
        <v>27.5</v>
      </c>
      <c r="AH40" s="208" t="s">
        <v>338</v>
      </c>
      <c r="AI40" s="208" t="s">
        <v>75</v>
      </c>
      <c r="AJ40" s="208" t="s">
        <v>11</v>
      </c>
      <c r="AK40" s="208">
        <v>10.5</v>
      </c>
      <c r="AL40" s="82"/>
      <c r="AO40" s="83"/>
      <c r="AP40" s="82"/>
      <c r="AS40" s="83"/>
      <c r="AW40" s="83"/>
      <c r="BA40" s="84"/>
    </row>
    <row r="41" spans="1:53" s="208" customFormat="1">
      <c r="A41" s="102">
        <v>1976</v>
      </c>
      <c r="B41" s="207"/>
      <c r="C41" s="988" t="s">
        <v>432</v>
      </c>
      <c r="D41" s="988"/>
      <c r="E41" s="208">
        <v>366</v>
      </c>
      <c r="F41" s="208">
        <v>1</v>
      </c>
      <c r="G41" s="123">
        <v>3</v>
      </c>
      <c r="H41" s="208">
        <v>2</v>
      </c>
      <c r="I41" s="208">
        <v>2</v>
      </c>
      <c r="J41" s="134">
        <v>7</v>
      </c>
      <c r="K41" s="92">
        <f t="shared" si="4"/>
        <v>42.857142857142854</v>
      </c>
      <c r="L41" s="92">
        <f t="shared" si="4"/>
        <v>28.571428571428569</v>
      </c>
      <c r="M41" s="92">
        <f t="shared" si="4"/>
        <v>28.571428571428569</v>
      </c>
      <c r="N41" s="125">
        <f t="shared" si="3"/>
        <v>99.999999999999986</v>
      </c>
      <c r="O41" s="91">
        <v>34</v>
      </c>
      <c r="P41" s="92">
        <v>23</v>
      </c>
      <c r="Q41" s="92">
        <v>27.5</v>
      </c>
      <c r="R41" s="93">
        <f t="shared" si="2"/>
        <v>84.5</v>
      </c>
      <c r="S41" s="208">
        <v>3</v>
      </c>
      <c r="T41" s="81"/>
      <c r="V41" s="82" t="s">
        <v>132</v>
      </c>
      <c r="W41" s="208" t="s">
        <v>22</v>
      </c>
      <c r="X41" s="208" t="s">
        <v>11</v>
      </c>
      <c r="Y41" s="83">
        <v>23.5</v>
      </c>
      <c r="Z41" s="208" t="s">
        <v>81</v>
      </c>
      <c r="AA41" s="208" t="s">
        <v>17</v>
      </c>
      <c r="AB41" s="208" t="s">
        <v>18</v>
      </c>
      <c r="AC41" s="208">
        <v>23</v>
      </c>
      <c r="AD41" s="82" t="s">
        <v>464</v>
      </c>
      <c r="AE41" s="208" t="s">
        <v>20</v>
      </c>
      <c r="AF41" s="208" t="s">
        <v>12</v>
      </c>
      <c r="AG41" s="83">
        <v>27.5</v>
      </c>
      <c r="AH41" s="208" t="s">
        <v>338</v>
      </c>
      <c r="AI41" s="208" t="s">
        <v>75</v>
      </c>
      <c r="AJ41" s="208" t="s">
        <v>11</v>
      </c>
      <c r="AK41" s="208">
        <v>10.5</v>
      </c>
      <c r="AL41" s="82"/>
      <c r="AO41" s="83"/>
      <c r="AP41" s="82"/>
      <c r="AS41" s="83"/>
      <c r="AW41" s="83"/>
      <c r="BA41" s="84"/>
    </row>
    <row r="42" spans="1:53" s="208" customFormat="1">
      <c r="A42" s="102">
        <v>1977</v>
      </c>
      <c r="B42" s="207"/>
      <c r="C42" s="988" t="s">
        <v>432</v>
      </c>
      <c r="D42" s="988"/>
      <c r="E42" s="208">
        <v>0</v>
      </c>
      <c r="G42" s="123">
        <v>3</v>
      </c>
      <c r="H42" s="208">
        <v>2</v>
      </c>
      <c r="I42" s="208">
        <v>2</v>
      </c>
      <c r="J42" s="134">
        <v>7</v>
      </c>
      <c r="K42" s="92">
        <f t="shared" si="4"/>
        <v>42.857142857142854</v>
      </c>
      <c r="L42" s="92">
        <f t="shared" si="4"/>
        <v>28.571428571428569</v>
      </c>
      <c r="M42" s="92">
        <f t="shared" si="4"/>
        <v>28.571428571428569</v>
      </c>
      <c r="N42" s="125">
        <f t="shared" si="3"/>
        <v>99.999999999999986</v>
      </c>
      <c r="O42" s="91">
        <v>34</v>
      </c>
      <c r="P42" s="92">
        <v>23</v>
      </c>
      <c r="Q42" s="92">
        <v>27.5</v>
      </c>
      <c r="R42" s="93">
        <f t="shared" si="2"/>
        <v>84.5</v>
      </c>
      <c r="S42" s="208">
        <v>3</v>
      </c>
      <c r="T42" s="81"/>
      <c r="V42" s="82" t="s">
        <v>132</v>
      </c>
      <c r="W42" s="208" t="s">
        <v>22</v>
      </c>
      <c r="X42" s="208" t="s">
        <v>11</v>
      </c>
      <c r="Y42" s="83">
        <v>23.5</v>
      </c>
      <c r="Z42" s="208" t="s">
        <v>81</v>
      </c>
      <c r="AA42" s="208" t="s">
        <v>17</v>
      </c>
      <c r="AB42" s="208" t="s">
        <v>18</v>
      </c>
      <c r="AC42" s="208">
        <v>23</v>
      </c>
      <c r="AD42" s="82" t="s">
        <v>464</v>
      </c>
      <c r="AE42" s="208" t="s">
        <v>20</v>
      </c>
      <c r="AF42" s="208" t="s">
        <v>12</v>
      </c>
      <c r="AG42" s="83">
        <v>27.5</v>
      </c>
      <c r="AH42" s="208" t="s">
        <v>338</v>
      </c>
      <c r="AI42" s="208" t="s">
        <v>75</v>
      </c>
      <c r="AJ42" s="208" t="s">
        <v>11</v>
      </c>
      <c r="AK42" s="208">
        <v>10.5</v>
      </c>
      <c r="AL42" s="82"/>
      <c r="AO42" s="83"/>
      <c r="AP42" s="82"/>
      <c r="AS42" s="83"/>
      <c r="AW42" s="83"/>
      <c r="BA42" s="84"/>
    </row>
    <row r="43" spans="1:53" s="208" customFormat="1">
      <c r="A43" s="102">
        <v>1977</v>
      </c>
      <c r="B43" s="207"/>
      <c r="C43" s="988" t="s">
        <v>468</v>
      </c>
      <c r="D43" s="988"/>
      <c r="E43" s="208">
        <v>365</v>
      </c>
      <c r="F43" s="208">
        <v>1</v>
      </c>
      <c r="G43" s="123">
        <v>3</v>
      </c>
      <c r="H43" s="208">
        <v>2</v>
      </c>
      <c r="I43" s="208">
        <v>2</v>
      </c>
      <c r="J43" s="134">
        <v>7</v>
      </c>
      <c r="K43" s="92">
        <f t="shared" si="4"/>
        <v>42.857142857142854</v>
      </c>
      <c r="L43" s="92">
        <f t="shared" si="4"/>
        <v>28.571428571428569</v>
      </c>
      <c r="M43" s="92">
        <f t="shared" si="4"/>
        <v>28.571428571428569</v>
      </c>
      <c r="N43" s="125">
        <f t="shared" si="3"/>
        <v>99.999999999999986</v>
      </c>
      <c r="O43" s="91">
        <v>34</v>
      </c>
      <c r="P43" s="92">
        <v>23</v>
      </c>
      <c r="Q43" s="92">
        <v>27.5</v>
      </c>
      <c r="R43" s="93">
        <f t="shared" si="2"/>
        <v>84.5</v>
      </c>
      <c r="S43" s="208">
        <v>3</v>
      </c>
      <c r="T43" s="81"/>
      <c r="V43" s="82" t="s">
        <v>132</v>
      </c>
      <c r="W43" s="208" t="s">
        <v>22</v>
      </c>
      <c r="X43" s="208" t="s">
        <v>11</v>
      </c>
      <c r="Y43" s="83">
        <v>23.5</v>
      </c>
      <c r="Z43" s="208" t="s">
        <v>81</v>
      </c>
      <c r="AA43" s="208" t="s">
        <v>17</v>
      </c>
      <c r="AB43" s="208" t="s">
        <v>18</v>
      </c>
      <c r="AC43" s="208">
        <v>23</v>
      </c>
      <c r="AD43" s="82" t="s">
        <v>464</v>
      </c>
      <c r="AE43" s="208" t="s">
        <v>20</v>
      </c>
      <c r="AF43" s="208" t="s">
        <v>12</v>
      </c>
      <c r="AG43" s="83">
        <v>27.5</v>
      </c>
      <c r="AH43" s="208" t="s">
        <v>338</v>
      </c>
      <c r="AI43" s="208" t="s">
        <v>75</v>
      </c>
      <c r="AJ43" s="208" t="s">
        <v>11</v>
      </c>
      <c r="AK43" s="208">
        <v>10.5</v>
      </c>
      <c r="AL43" s="82"/>
      <c r="AO43" s="83"/>
      <c r="AP43" s="82"/>
      <c r="AS43" s="83"/>
      <c r="AW43" s="83"/>
      <c r="BA43" s="84"/>
    </row>
    <row r="44" spans="1:53" s="208" customFormat="1">
      <c r="A44" s="102">
        <v>1978</v>
      </c>
      <c r="B44" s="207"/>
      <c r="C44" s="988" t="s">
        <v>468</v>
      </c>
      <c r="D44" s="988"/>
      <c r="E44" s="208">
        <v>0</v>
      </c>
      <c r="G44" s="123">
        <v>3</v>
      </c>
      <c r="H44" s="208">
        <v>2</v>
      </c>
      <c r="I44" s="208">
        <v>2</v>
      </c>
      <c r="J44" s="134">
        <v>7</v>
      </c>
      <c r="K44" s="92">
        <f t="shared" si="4"/>
        <v>42.857142857142854</v>
      </c>
      <c r="L44" s="92">
        <f t="shared" si="4"/>
        <v>28.571428571428569</v>
      </c>
      <c r="M44" s="92">
        <f t="shared" si="4"/>
        <v>28.571428571428569</v>
      </c>
      <c r="N44" s="125">
        <f t="shared" si="3"/>
        <v>99.999999999999986</v>
      </c>
      <c r="O44" s="91">
        <v>34</v>
      </c>
      <c r="P44" s="92">
        <v>23</v>
      </c>
      <c r="Q44" s="92">
        <v>27.5</v>
      </c>
      <c r="R44" s="93">
        <f t="shared" si="2"/>
        <v>84.5</v>
      </c>
      <c r="S44" s="208">
        <v>3</v>
      </c>
      <c r="T44" s="81"/>
      <c r="V44" s="82" t="s">
        <v>132</v>
      </c>
      <c r="W44" s="208" t="s">
        <v>22</v>
      </c>
      <c r="X44" s="208" t="s">
        <v>11</v>
      </c>
      <c r="Y44" s="83">
        <v>23.5</v>
      </c>
      <c r="Z44" s="208" t="s">
        <v>81</v>
      </c>
      <c r="AA44" s="208" t="s">
        <v>17</v>
      </c>
      <c r="AB44" s="208" t="s">
        <v>18</v>
      </c>
      <c r="AC44" s="208">
        <v>23</v>
      </c>
      <c r="AD44" s="82" t="s">
        <v>464</v>
      </c>
      <c r="AE44" s="208" t="s">
        <v>20</v>
      </c>
      <c r="AF44" s="208" t="s">
        <v>12</v>
      </c>
      <c r="AG44" s="83">
        <v>27.5</v>
      </c>
      <c r="AH44" s="208" t="s">
        <v>338</v>
      </c>
      <c r="AI44" s="208" t="s">
        <v>75</v>
      </c>
      <c r="AJ44" s="208" t="s">
        <v>11</v>
      </c>
      <c r="AK44" s="208">
        <v>10.5</v>
      </c>
      <c r="AL44" s="82"/>
      <c r="AO44" s="83"/>
      <c r="AP44" s="82"/>
      <c r="AS44" s="83"/>
      <c r="AW44" s="83"/>
      <c r="BA44" s="84"/>
    </row>
    <row r="45" spans="1:53" s="208" customFormat="1">
      <c r="A45" s="102">
        <v>1978</v>
      </c>
      <c r="B45" s="207"/>
      <c r="C45" s="988" t="s">
        <v>433</v>
      </c>
      <c r="D45" s="988"/>
      <c r="E45" s="208">
        <v>365</v>
      </c>
      <c r="F45" s="208">
        <v>1</v>
      </c>
      <c r="G45" s="123">
        <v>3</v>
      </c>
      <c r="H45" s="208">
        <v>2</v>
      </c>
      <c r="I45" s="208">
        <v>2</v>
      </c>
      <c r="J45" s="134">
        <v>7</v>
      </c>
      <c r="K45" s="92">
        <f t="shared" si="4"/>
        <v>42.857142857142854</v>
      </c>
      <c r="L45" s="92">
        <f t="shared" si="4"/>
        <v>28.571428571428569</v>
      </c>
      <c r="M45" s="92">
        <f t="shared" si="4"/>
        <v>28.571428571428569</v>
      </c>
      <c r="N45" s="125">
        <f t="shared" si="3"/>
        <v>99.999999999999986</v>
      </c>
      <c r="O45" s="91">
        <v>34</v>
      </c>
      <c r="P45" s="92">
        <v>23</v>
      </c>
      <c r="Q45" s="92">
        <v>27.5</v>
      </c>
      <c r="R45" s="93">
        <f t="shared" si="2"/>
        <v>84.5</v>
      </c>
      <c r="S45" s="208">
        <v>3</v>
      </c>
      <c r="T45" s="81"/>
      <c r="V45" s="82" t="s">
        <v>132</v>
      </c>
      <c r="W45" s="208" t="s">
        <v>22</v>
      </c>
      <c r="X45" s="208" t="s">
        <v>11</v>
      </c>
      <c r="Y45" s="83">
        <v>23.5</v>
      </c>
      <c r="Z45" s="208" t="s">
        <v>81</v>
      </c>
      <c r="AA45" s="208" t="s">
        <v>17</v>
      </c>
      <c r="AB45" s="208" t="s">
        <v>18</v>
      </c>
      <c r="AC45" s="208">
        <v>23</v>
      </c>
      <c r="AD45" s="82" t="s">
        <v>464</v>
      </c>
      <c r="AE45" s="208" t="s">
        <v>20</v>
      </c>
      <c r="AF45" s="208" t="s">
        <v>12</v>
      </c>
      <c r="AG45" s="83">
        <v>27.5</v>
      </c>
      <c r="AH45" s="208" t="s">
        <v>338</v>
      </c>
      <c r="AI45" s="208" t="s">
        <v>75</v>
      </c>
      <c r="AJ45" s="208" t="s">
        <v>11</v>
      </c>
      <c r="AK45" s="208">
        <v>10.5</v>
      </c>
      <c r="AL45" s="82"/>
      <c r="AO45" s="83"/>
      <c r="AP45" s="82"/>
      <c r="AS45" s="83"/>
      <c r="AW45" s="83"/>
      <c r="BA45" s="84"/>
    </row>
    <row r="46" spans="1:53" s="208" customFormat="1">
      <c r="A46" s="102">
        <v>1979</v>
      </c>
      <c r="B46" s="207"/>
      <c r="C46" s="988" t="s">
        <v>433</v>
      </c>
      <c r="D46" s="988"/>
      <c r="E46" s="208">
        <v>360</v>
      </c>
      <c r="G46" s="123">
        <v>3</v>
      </c>
      <c r="H46" s="208">
        <v>2</v>
      </c>
      <c r="I46" s="208">
        <v>2</v>
      </c>
      <c r="J46" s="134">
        <v>7</v>
      </c>
      <c r="K46" s="92">
        <f t="shared" si="4"/>
        <v>42.857142857142854</v>
      </c>
      <c r="L46" s="92">
        <f t="shared" si="4"/>
        <v>28.571428571428569</v>
      </c>
      <c r="M46" s="92">
        <f t="shared" si="4"/>
        <v>28.571428571428569</v>
      </c>
      <c r="N46" s="125">
        <f t="shared" si="3"/>
        <v>99.999999999999986</v>
      </c>
      <c r="O46" s="91">
        <v>34</v>
      </c>
      <c r="P46" s="92">
        <v>23</v>
      </c>
      <c r="Q46" s="92">
        <v>27.5</v>
      </c>
      <c r="R46" s="93">
        <f t="shared" si="2"/>
        <v>84.5</v>
      </c>
      <c r="S46" s="208">
        <v>3</v>
      </c>
      <c r="T46" s="81"/>
      <c r="V46" s="82" t="s">
        <v>132</v>
      </c>
      <c r="W46" s="208" t="s">
        <v>22</v>
      </c>
      <c r="X46" s="208" t="s">
        <v>11</v>
      </c>
      <c r="Y46" s="83">
        <v>23.5</v>
      </c>
      <c r="Z46" s="208" t="s">
        <v>81</v>
      </c>
      <c r="AA46" s="208" t="s">
        <v>17</v>
      </c>
      <c r="AB46" s="208" t="s">
        <v>18</v>
      </c>
      <c r="AC46" s="208">
        <v>23</v>
      </c>
      <c r="AD46" s="82" t="s">
        <v>464</v>
      </c>
      <c r="AE46" s="208" t="s">
        <v>20</v>
      </c>
      <c r="AF46" s="208" t="s">
        <v>12</v>
      </c>
      <c r="AG46" s="83">
        <v>27.5</v>
      </c>
      <c r="AH46" s="208" t="s">
        <v>338</v>
      </c>
      <c r="AI46" s="208" t="s">
        <v>75</v>
      </c>
      <c r="AJ46" s="208" t="s">
        <v>11</v>
      </c>
      <c r="AK46" s="208">
        <v>10.5</v>
      </c>
      <c r="AL46" s="82"/>
      <c r="AO46" s="83"/>
      <c r="AP46" s="82"/>
      <c r="AS46" s="83"/>
      <c r="AW46" s="83"/>
      <c r="BA46" s="84"/>
    </row>
    <row r="47" spans="1:53" s="334" customFormat="1">
      <c r="A47" s="386">
        <v>1979</v>
      </c>
      <c r="B47" s="355">
        <v>29216</v>
      </c>
      <c r="C47" s="992" t="s">
        <v>434</v>
      </c>
      <c r="D47" s="992"/>
      <c r="E47" s="334">
        <f>365-E46</f>
        <v>5</v>
      </c>
      <c r="F47" s="334">
        <v>1</v>
      </c>
      <c r="G47" s="419">
        <v>3</v>
      </c>
      <c r="H47" s="334">
        <v>2</v>
      </c>
      <c r="I47" s="334">
        <v>2</v>
      </c>
      <c r="J47" s="435">
        <v>7</v>
      </c>
      <c r="K47" s="384">
        <f t="shared" si="4"/>
        <v>42.857142857142854</v>
      </c>
      <c r="L47" s="384">
        <f t="shared" si="4"/>
        <v>28.571428571428569</v>
      </c>
      <c r="M47" s="384">
        <f t="shared" si="4"/>
        <v>28.571428571428569</v>
      </c>
      <c r="N47" s="421">
        <f t="shared" si="3"/>
        <v>99.999999999999986</v>
      </c>
      <c r="O47" s="383">
        <v>37</v>
      </c>
      <c r="P47" s="384">
        <v>22</v>
      </c>
      <c r="Q47" s="384">
        <v>25.5</v>
      </c>
      <c r="R47" s="385">
        <f t="shared" si="2"/>
        <v>84.5</v>
      </c>
      <c r="S47" s="334">
        <v>3</v>
      </c>
      <c r="T47" s="342">
        <v>29149</v>
      </c>
      <c r="U47" s="355">
        <v>29216</v>
      </c>
      <c r="V47" s="343" t="s">
        <v>132</v>
      </c>
      <c r="W47" s="334" t="s">
        <v>22</v>
      </c>
      <c r="X47" s="334" t="s">
        <v>11</v>
      </c>
      <c r="Y47" s="344">
        <v>25.5</v>
      </c>
      <c r="Z47" s="334" t="s">
        <v>81</v>
      </c>
      <c r="AA47" s="334" t="s">
        <v>17</v>
      </c>
      <c r="AB47" s="334" t="s">
        <v>18</v>
      </c>
      <c r="AC47" s="334">
        <v>22</v>
      </c>
      <c r="AD47" s="343" t="s">
        <v>464</v>
      </c>
      <c r="AE47" s="334" t="s">
        <v>20</v>
      </c>
      <c r="AF47" s="334" t="s">
        <v>12</v>
      </c>
      <c r="AG47" s="344">
        <v>25.5</v>
      </c>
      <c r="AH47" s="334" t="s">
        <v>338</v>
      </c>
      <c r="AI47" s="334" t="s">
        <v>75</v>
      </c>
      <c r="AJ47" s="334" t="s">
        <v>11</v>
      </c>
      <c r="AK47" s="334">
        <v>11.5</v>
      </c>
      <c r="AL47" s="343"/>
      <c r="AO47" s="344"/>
      <c r="AP47" s="343"/>
      <c r="AS47" s="344"/>
      <c r="AW47" s="344"/>
      <c r="BA47" s="345"/>
    </row>
    <row r="48" spans="1:53" s="334" customFormat="1">
      <c r="A48" s="386">
        <v>1980</v>
      </c>
      <c r="B48" s="355"/>
      <c r="C48" s="992" t="s">
        <v>434</v>
      </c>
      <c r="D48" s="992"/>
      <c r="E48" s="334">
        <v>0</v>
      </c>
      <c r="G48" s="419">
        <v>3</v>
      </c>
      <c r="H48" s="334">
        <v>2</v>
      </c>
      <c r="I48" s="334">
        <v>2</v>
      </c>
      <c r="J48" s="435">
        <v>7</v>
      </c>
      <c r="K48" s="384">
        <f t="shared" si="4"/>
        <v>42.857142857142854</v>
      </c>
      <c r="L48" s="384">
        <f t="shared" si="4"/>
        <v>28.571428571428569</v>
      </c>
      <c r="M48" s="384">
        <f t="shared" si="4"/>
        <v>28.571428571428569</v>
      </c>
      <c r="N48" s="421">
        <f t="shared" si="3"/>
        <v>99.999999999999986</v>
      </c>
      <c r="O48" s="383">
        <v>37</v>
      </c>
      <c r="P48" s="384">
        <v>22</v>
      </c>
      <c r="Q48" s="384">
        <v>25.5</v>
      </c>
      <c r="R48" s="385">
        <f t="shared" si="2"/>
        <v>84.5</v>
      </c>
      <c r="S48" s="334">
        <v>3</v>
      </c>
      <c r="T48" s="357"/>
      <c r="V48" s="343" t="s">
        <v>132</v>
      </c>
      <c r="W48" s="334" t="s">
        <v>22</v>
      </c>
      <c r="X48" s="334" t="s">
        <v>11</v>
      </c>
      <c r="Y48" s="344">
        <v>25.5</v>
      </c>
      <c r="Z48" s="334" t="s">
        <v>81</v>
      </c>
      <c r="AA48" s="334" t="s">
        <v>17</v>
      </c>
      <c r="AB48" s="334" t="s">
        <v>18</v>
      </c>
      <c r="AC48" s="334">
        <v>22</v>
      </c>
      <c r="AD48" s="343" t="s">
        <v>464</v>
      </c>
      <c r="AE48" s="334" t="s">
        <v>20</v>
      </c>
      <c r="AF48" s="334" t="s">
        <v>12</v>
      </c>
      <c r="AG48" s="344">
        <v>25.5</v>
      </c>
      <c r="AH48" s="334" t="s">
        <v>338</v>
      </c>
      <c r="AI48" s="334" t="s">
        <v>75</v>
      </c>
      <c r="AJ48" s="334" t="s">
        <v>11</v>
      </c>
      <c r="AK48" s="334">
        <v>11.5</v>
      </c>
      <c r="AL48" s="343"/>
      <c r="AO48" s="344"/>
      <c r="AP48" s="343"/>
      <c r="AS48" s="344"/>
      <c r="AW48" s="344"/>
      <c r="BA48" s="345"/>
    </row>
    <row r="49" spans="1:53" s="334" customFormat="1">
      <c r="A49" s="386">
        <v>1980</v>
      </c>
      <c r="B49" s="355"/>
      <c r="C49" s="992" t="s">
        <v>435</v>
      </c>
      <c r="D49" s="992"/>
      <c r="E49" s="334">
        <v>366</v>
      </c>
      <c r="F49" s="334">
        <v>1</v>
      </c>
      <c r="G49" s="419">
        <v>3</v>
      </c>
      <c r="H49" s="334">
        <v>2</v>
      </c>
      <c r="I49" s="334">
        <v>2</v>
      </c>
      <c r="J49" s="435">
        <v>7</v>
      </c>
      <c r="K49" s="384">
        <f t="shared" si="4"/>
        <v>42.857142857142854</v>
      </c>
      <c r="L49" s="384">
        <f t="shared" si="4"/>
        <v>28.571428571428569</v>
      </c>
      <c r="M49" s="384">
        <f t="shared" si="4"/>
        <v>28.571428571428569</v>
      </c>
      <c r="N49" s="421">
        <f t="shared" si="3"/>
        <v>99.999999999999986</v>
      </c>
      <c r="O49" s="383">
        <v>37</v>
      </c>
      <c r="P49" s="384">
        <v>22</v>
      </c>
      <c r="Q49" s="384">
        <v>25.5</v>
      </c>
      <c r="R49" s="385">
        <f t="shared" si="2"/>
        <v>84.5</v>
      </c>
      <c r="S49" s="334">
        <v>3</v>
      </c>
      <c r="T49" s="357"/>
      <c r="V49" s="343" t="s">
        <v>132</v>
      </c>
      <c r="W49" s="334" t="s">
        <v>22</v>
      </c>
      <c r="X49" s="334" t="s">
        <v>11</v>
      </c>
      <c r="Y49" s="344">
        <v>25.5</v>
      </c>
      <c r="Z49" s="334" t="s">
        <v>81</v>
      </c>
      <c r="AA49" s="334" t="s">
        <v>17</v>
      </c>
      <c r="AB49" s="334" t="s">
        <v>18</v>
      </c>
      <c r="AC49" s="334">
        <v>22</v>
      </c>
      <c r="AD49" s="343" t="s">
        <v>464</v>
      </c>
      <c r="AE49" s="334" t="s">
        <v>20</v>
      </c>
      <c r="AF49" s="334" t="s">
        <v>12</v>
      </c>
      <c r="AG49" s="344">
        <v>25.5</v>
      </c>
      <c r="AH49" s="334" t="s">
        <v>338</v>
      </c>
      <c r="AI49" s="334" t="s">
        <v>75</v>
      </c>
      <c r="AJ49" s="334" t="s">
        <v>11</v>
      </c>
      <c r="AK49" s="334">
        <v>11.5</v>
      </c>
      <c r="AL49" s="343"/>
      <c r="AO49" s="344"/>
      <c r="AP49" s="343"/>
      <c r="AS49" s="344"/>
      <c r="AW49" s="344"/>
      <c r="BA49" s="345"/>
    </row>
    <row r="50" spans="1:53" s="334" customFormat="1">
      <c r="A50" s="386">
        <v>1981</v>
      </c>
      <c r="B50" s="355"/>
      <c r="C50" s="992" t="s">
        <v>435</v>
      </c>
      <c r="D50" s="992"/>
      <c r="E50" s="334">
        <v>0</v>
      </c>
      <c r="G50" s="419">
        <v>3</v>
      </c>
      <c r="H50" s="334">
        <v>2</v>
      </c>
      <c r="I50" s="334">
        <v>2</v>
      </c>
      <c r="J50" s="435">
        <v>7</v>
      </c>
      <c r="K50" s="384">
        <f t="shared" si="4"/>
        <v>42.857142857142854</v>
      </c>
      <c r="L50" s="384">
        <f t="shared" si="4"/>
        <v>28.571428571428569</v>
      </c>
      <c r="M50" s="384">
        <f t="shared" si="4"/>
        <v>28.571428571428569</v>
      </c>
      <c r="N50" s="421">
        <f t="shared" si="3"/>
        <v>99.999999999999986</v>
      </c>
      <c r="O50" s="383">
        <v>37</v>
      </c>
      <c r="P50" s="384">
        <v>22</v>
      </c>
      <c r="Q50" s="384">
        <v>25.5</v>
      </c>
      <c r="R50" s="385">
        <f t="shared" si="2"/>
        <v>84.5</v>
      </c>
      <c r="S50" s="334">
        <v>3</v>
      </c>
      <c r="T50" s="357"/>
      <c r="V50" s="343" t="s">
        <v>132</v>
      </c>
      <c r="W50" s="334" t="s">
        <v>22</v>
      </c>
      <c r="X50" s="334" t="s">
        <v>11</v>
      </c>
      <c r="Y50" s="344">
        <v>25.5</v>
      </c>
      <c r="Z50" s="334" t="s">
        <v>81</v>
      </c>
      <c r="AA50" s="334" t="s">
        <v>17</v>
      </c>
      <c r="AB50" s="334" t="s">
        <v>18</v>
      </c>
      <c r="AC50" s="334">
        <v>22</v>
      </c>
      <c r="AD50" s="343" t="s">
        <v>464</v>
      </c>
      <c r="AE50" s="334" t="s">
        <v>20</v>
      </c>
      <c r="AF50" s="334" t="s">
        <v>12</v>
      </c>
      <c r="AG50" s="344">
        <v>25.5</v>
      </c>
      <c r="AH50" s="334" t="s">
        <v>338</v>
      </c>
      <c r="AI50" s="334" t="s">
        <v>75</v>
      </c>
      <c r="AJ50" s="334" t="s">
        <v>11</v>
      </c>
      <c r="AK50" s="334">
        <v>11.5</v>
      </c>
      <c r="AL50" s="343"/>
      <c r="AO50" s="344"/>
      <c r="AP50" s="343"/>
      <c r="AS50" s="344"/>
      <c r="AW50" s="344"/>
      <c r="BA50" s="345"/>
    </row>
    <row r="51" spans="1:53" s="334" customFormat="1">
      <c r="A51" s="386">
        <v>1981</v>
      </c>
      <c r="B51" s="355"/>
      <c r="C51" s="992" t="s">
        <v>436</v>
      </c>
      <c r="D51" s="992"/>
      <c r="E51" s="334">
        <v>365</v>
      </c>
      <c r="F51" s="334">
        <v>1</v>
      </c>
      <c r="G51" s="419">
        <v>3</v>
      </c>
      <c r="H51" s="334">
        <v>2</v>
      </c>
      <c r="I51" s="334">
        <v>2</v>
      </c>
      <c r="J51" s="435">
        <v>7</v>
      </c>
      <c r="K51" s="384">
        <f t="shared" si="4"/>
        <v>42.857142857142854</v>
      </c>
      <c r="L51" s="384">
        <f t="shared" si="4"/>
        <v>28.571428571428569</v>
      </c>
      <c r="M51" s="384">
        <f t="shared" si="4"/>
        <v>28.571428571428569</v>
      </c>
      <c r="N51" s="421">
        <f t="shared" si="3"/>
        <v>99.999999999999986</v>
      </c>
      <c r="O51" s="383">
        <v>37</v>
      </c>
      <c r="P51" s="384">
        <v>22</v>
      </c>
      <c r="Q51" s="384">
        <v>25.5</v>
      </c>
      <c r="R51" s="385">
        <f t="shared" si="2"/>
        <v>84.5</v>
      </c>
      <c r="S51" s="334">
        <v>3</v>
      </c>
      <c r="T51" s="357"/>
      <c r="V51" s="343" t="s">
        <v>132</v>
      </c>
      <c r="W51" s="334" t="s">
        <v>22</v>
      </c>
      <c r="X51" s="334" t="s">
        <v>11</v>
      </c>
      <c r="Y51" s="344">
        <v>25.5</v>
      </c>
      <c r="Z51" s="334" t="s">
        <v>81</v>
      </c>
      <c r="AA51" s="334" t="s">
        <v>17</v>
      </c>
      <c r="AB51" s="334" t="s">
        <v>18</v>
      </c>
      <c r="AC51" s="334">
        <v>22</v>
      </c>
      <c r="AD51" s="343" t="s">
        <v>464</v>
      </c>
      <c r="AE51" s="334" t="s">
        <v>20</v>
      </c>
      <c r="AF51" s="334" t="s">
        <v>12</v>
      </c>
      <c r="AG51" s="344">
        <v>25.5</v>
      </c>
      <c r="AH51" s="334" t="s">
        <v>338</v>
      </c>
      <c r="AI51" s="334" t="s">
        <v>75</v>
      </c>
      <c r="AJ51" s="334" t="s">
        <v>11</v>
      </c>
      <c r="AK51" s="334">
        <v>11.5</v>
      </c>
      <c r="AL51" s="343"/>
      <c r="AO51" s="344"/>
      <c r="AP51" s="343"/>
      <c r="AS51" s="344"/>
      <c r="AW51" s="344"/>
      <c r="BA51" s="345"/>
    </row>
    <row r="52" spans="1:53" s="334" customFormat="1">
      <c r="A52" s="386">
        <v>1982</v>
      </c>
      <c r="B52" s="355"/>
      <c r="C52" s="992" t="s">
        <v>436</v>
      </c>
      <c r="D52" s="992"/>
      <c r="E52" s="334">
        <v>0</v>
      </c>
      <c r="G52" s="419">
        <v>3</v>
      </c>
      <c r="H52" s="334">
        <v>2</v>
      </c>
      <c r="I52" s="334">
        <v>2</v>
      </c>
      <c r="J52" s="435">
        <v>7</v>
      </c>
      <c r="K52" s="384">
        <f t="shared" si="4"/>
        <v>42.857142857142854</v>
      </c>
      <c r="L52" s="384">
        <f t="shared" si="4"/>
        <v>28.571428571428569</v>
      </c>
      <c r="M52" s="384">
        <f t="shared" si="4"/>
        <v>28.571428571428569</v>
      </c>
      <c r="N52" s="421">
        <f t="shared" si="3"/>
        <v>99.999999999999986</v>
      </c>
      <c r="O52" s="383">
        <v>37</v>
      </c>
      <c r="P52" s="384">
        <v>22</v>
      </c>
      <c r="Q52" s="384">
        <v>25.5</v>
      </c>
      <c r="R52" s="385">
        <f t="shared" si="2"/>
        <v>84.5</v>
      </c>
      <c r="S52" s="334">
        <v>3</v>
      </c>
      <c r="T52" s="357"/>
      <c r="V52" s="343" t="s">
        <v>132</v>
      </c>
      <c r="W52" s="334" t="s">
        <v>22</v>
      </c>
      <c r="X52" s="334" t="s">
        <v>11</v>
      </c>
      <c r="Y52" s="344">
        <v>25.5</v>
      </c>
      <c r="Z52" s="334" t="s">
        <v>81</v>
      </c>
      <c r="AA52" s="334" t="s">
        <v>17</v>
      </c>
      <c r="AB52" s="334" t="s">
        <v>18</v>
      </c>
      <c r="AC52" s="334">
        <v>22</v>
      </c>
      <c r="AD52" s="343" t="s">
        <v>464</v>
      </c>
      <c r="AE52" s="334" t="s">
        <v>20</v>
      </c>
      <c r="AF52" s="334" t="s">
        <v>12</v>
      </c>
      <c r="AG52" s="344">
        <v>25.5</v>
      </c>
      <c r="AH52" s="334" t="s">
        <v>338</v>
      </c>
      <c r="AI52" s="334" t="s">
        <v>75</v>
      </c>
      <c r="AJ52" s="334" t="s">
        <v>11</v>
      </c>
      <c r="AK52" s="334">
        <v>11.5</v>
      </c>
      <c r="AL52" s="343"/>
      <c r="AO52" s="344"/>
      <c r="AP52" s="343"/>
      <c r="AS52" s="344"/>
      <c r="AW52" s="344"/>
      <c r="BA52" s="345"/>
    </row>
    <row r="53" spans="1:53" s="334" customFormat="1">
      <c r="A53" s="386">
        <v>1982</v>
      </c>
      <c r="B53" s="355"/>
      <c r="C53" s="992" t="s">
        <v>469</v>
      </c>
      <c r="D53" s="992"/>
      <c r="E53" s="334">
        <v>365</v>
      </c>
      <c r="F53" s="334">
        <v>1</v>
      </c>
      <c r="G53" s="419">
        <v>3</v>
      </c>
      <c r="H53" s="334">
        <v>2</v>
      </c>
      <c r="I53" s="334">
        <v>2</v>
      </c>
      <c r="J53" s="435">
        <v>7</v>
      </c>
      <c r="K53" s="384">
        <f t="shared" si="4"/>
        <v>42.857142857142854</v>
      </c>
      <c r="L53" s="384">
        <f t="shared" si="4"/>
        <v>28.571428571428569</v>
      </c>
      <c r="M53" s="384">
        <f t="shared" si="4"/>
        <v>28.571428571428569</v>
      </c>
      <c r="N53" s="421">
        <f t="shared" si="3"/>
        <v>99.999999999999986</v>
      </c>
      <c r="O53" s="383">
        <v>37</v>
      </c>
      <c r="P53" s="384">
        <v>22</v>
      </c>
      <c r="Q53" s="384">
        <v>25.5</v>
      </c>
      <c r="R53" s="385">
        <f t="shared" si="2"/>
        <v>84.5</v>
      </c>
      <c r="S53" s="334">
        <v>3</v>
      </c>
      <c r="T53" s="357"/>
      <c r="V53" s="343" t="s">
        <v>132</v>
      </c>
      <c r="W53" s="334" t="s">
        <v>22</v>
      </c>
      <c r="X53" s="334" t="s">
        <v>11</v>
      </c>
      <c r="Y53" s="344">
        <v>25.5</v>
      </c>
      <c r="Z53" s="334" t="s">
        <v>81</v>
      </c>
      <c r="AA53" s="334" t="s">
        <v>17</v>
      </c>
      <c r="AB53" s="334" t="s">
        <v>18</v>
      </c>
      <c r="AC53" s="334">
        <v>22</v>
      </c>
      <c r="AD53" s="343" t="s">
        <v>464</v>
      </c>
      <c r="AE53" s="334" t="s">
        <v>20</v>
      </c>
      <c r="AF53" s="334" t="s">
        <v>12</v>
      </c>
      <c r="AG53" s="344">
        <v>25.5</v>
      </c>
      <c r="AH53" s="334" t="s">
        <v>338</v>
      </c>
      <c r="AI53" s="334" t="s">
        <v>75</v>
      </c>
      <c r="AJ53" s="334" t="s">
        <v>11</v>
      </c>
      <c r="AK53" s="334">
        <v>11.5</v>
      </c>
      <c r="AL53" s="343"/>
      <c r="AO53" s="344"/>
      <c r="AP53" s="343"/>
      <c r="AS53" s="344"/>
      <c r="AW53" s="344"/>
      <c r="BA53" s="345"/>
    </row>
    <row r="54" spans="1:53" s="334" customFormat="1">
      <c r="A54" s="386">
        <v>1983</v>
      </c>
      <c r="B54" s="355"/>
      <c r="C54" s="992" t="s">
        <v>469</v>
      </c>
      <c r="D54" s="992"/>
      <c r="E54" s="334">
        <v>352</v>
      </c>
      <c r="G54" s="419">
        <v>3</v>
      </c>
      <c r="H54" s="334">
        <v>2</v>
      </c>
      <c r="I54" s="334">
        <v>2</v>
      </c>
      <c r="J54" s="435">
        <v>7</v>
      </c>
      <c r="K54" s="384">
        <f t="shared" si="4"/>
        <v>42.857142857142854</v>
      </c>
      <c r="L54" s="384">
        <f t="shared" si="4"/>
        <v>28.571428571428569</v>
      </c>
      <c r="M54" s="384">
        <f t="shared" si="4"/>
        <v>28.571428571428569</v>
      </c>
      <c r="N54" s="421">
        <f t="shared" si="3"/>
        <v>99.999999999999986</v>
      </c>
      <c r="O54" s="383">
        <v>37</v>
      </c>
      <c r="P54" s="384">
        <v>22</v>
      </c>
      <c r="Q54" s="384">
        <v>25.5</v>
      </c>
      <c r="R54" s="385">
        <f t="shared" si="2"/>
        <v>84.5</v>
      </c>
      <c r="S54" s="334">
        <v>3</v>
      </c>
      <c r="T54" s="357"/>
      <c r="V54" s="343" t="s">
        <v>132</v>
      </c>
      <c r="W54" s="334" t="s">
        <v>22</v>
      </c>
      <c r="X54" s="334" t="s">
        <v>11</v>
      </c>
      <c r="Y54" s="344">
        <v>25.5</v>
      </c>
      <c r="Z54" s="334" t="s">
        <v>81</v>
      </c>
      <c r="AA54" s="334" t="s">
        <v>17</v>
      </c>
      <c r="AB54" s="334" t="s">
        <v>18</v>
      </c>
      <c r="AC54" s="334">
        <v>22</v>
      </c>
      <c r="AD54" s="343" t="s">
        <v>464</v>
      </c>
      <c r="AE54" s="334" t="s">
        <v>20</v>
      </c>
      <c r="AF54" s="334" t="s">
        <v>12</v>
      </c>
      <c r="AG54" s="344">
        <v>25.5</v>
      </c>
      <c r="AH54" s="334" t="s">
        <v>338</v>
      </c>
      <c r="AI54" s="334" t="s">
        <v>75</v>
      </c>
      <c r="AJ54" s="334" t="s">
        <v>11</v>
      </c>
      <c r="AK54" s="334">
        <v>11.5</v>
      </c>
      <c r="AL54" s="343"/>
      <c r="AO54" s="344"/>
      <c r="AP54" s="343"/>
      <c r="AS54" s="344"/>
      <c r="AW54" s="344"/>
      <c r="BA54" s="345"/>
    </row>
    <row r="55" spans="1:53" s="208" customFormat="1">
      <c r="A55" s="102">
        <v>1983</v>
      </c>
      <c r="B55" s="207">
        <v>30669</v>
      </c>
      <c r="C55" s="988" t="s">
        <v>437</v>
      </c>
      <c r="D55" s="988"/>
      <c r="E55" s="208">
        <f>365-E54</f>
        <v>13</v>
      </c>
      <c r="F55" s="208">
        <v>1</v>
      </c>
      <c r="G55" s="123">
        <v>3</v>
      </c>
      <c r="H55" s="208">
        <v>2</v>
      </c>
      <c r="I55" s="208">
        <v>2</v>
      </c>
      <c r="J55" s="134">
        <v>7</v>
      </c>
      <c r="K55" s="92">
        <f t="shared" si="4"/>
        <v>42.857142857142854</v>
      </c>
      <c r="L55" s="92">
        <f t="shared" si="4"/>
        <v>28.571428571428569</v>
      </c>
      <c r="M55" s="92">
        <f t="shared" si="4"/>
        <v>28.571428571428569</v>
      </c>
      <c r="N55" s="125">
        <f t="shared" si="3"/>
        <v>99.999999999999986</v>
      </c>
      <c r="O55" s="91">
        <v>38.5</v>
      </c>
      <c r="P55" s="92">
        <v>21</v>
      </c>
      <c r="Q55" s="92">
        <v>23.5</v>
      </c>
      <c r="R55" s="93">
        <f t="shared" si="2"/>
        <v>83</v>
      </c>
      <c r="S55" s="208">
        <v>3</v>
      </c>
      <c r="T55" s="95">
        <v>30612</v>
      </c>
      <c r="U55" s="207">
        <v>30669</v>
      </c>
      <c r="V55" s="82" t="s">
        <v>132</v>
      </c>
      <c r="W55" s="208" t="s">
        <v>22</v>
      </c>
      <c r="X55" s="208" t="s">
        <v>11</v>
      </c>
      <c r="Y55" s="83">
        <v>27</v>
      </c>
      <c r="Z55" s="208" t="s">
        <v>81</v>
      </c>
      <c r="AA55" s="208" t="s">
        <v>17</v>
      </c>
      <c r="AB55" s="208" t="s">
        <v>18</v>
      </c>
      <c r="AC55" s="208">
        <v>21</v>
      </c>
      <c r="AD55" s="82" t="s">
        <v>464</v>
      </c>
      <c r="AE55" s="208" t="s">
        <v>20</v>
      </c>
      <c r="AF55" s="208" t="s">
        <v>12</v>
      </c>
      <c r="AG55" s="83">
        <v>23.5</v>
      </c>
      <c r="AH55" s="208" t="s">
        <v>338</v>
      </c>
      <c r="AI55" s="208" t="s">
        <v>75</v>
      </c>
      <c r="AJ55" s="208" t="s">
        <v>11</v>
      </c>
      <c r="AK55" s="208">
        <v>11.5</v>
      </c>
      <c r="AL55" s="82"/>
      <c r="AO55" s="83"/>
      <c r="AP55" s="82"/>
      <c r="AS55" s="83"/>
      <c r="AW55" s="83"/>
      <c r="BA55" s="84"/>
    </row>
    <row r="56" spans="1:53" s="208" customFormat="1">
      <c r="A56" s="102">
        <v>1984</v>
      </c>
      <c r="B56" s="207"/>
      <c r="C56" s="988" t="s">
        <v>437</v>
      </c>
      <c r="D56" s="988"/>
      <c r="E56" s="208">
        <v>0</v>
      </c>
      <c r="G56" s="123">
        <v>3</v>
      </c>
      <c r="H56" s="208">
        <v>2</v>
      </c>
      <c r="I56" s="208">
        <v>2</v>
      </c>
      <c r="J56" s="134">
        <v>7</v>
      </c>
      <c r="K56" s="92">
        <f t="shared" si="4"/>
        <v>42.857142857142854</v>
      </c>
      <c r="L56" s="92">
        <f t="shared" si="4"/>
        <v>28.571428571428569</v>
      </c>
      <c r="M56" s="92">
        <f t="shared" si="4"/>
        <v>28.571428571428569</v>
      </c>
      <c r="N56" s="125">
        <f t="shared" si="3"/>
        <v>99.999999999999986</v>
      </c>
      <c r="O56" s="91">
        <v>38.5</v>
      </c>
      <c r="P56" s="92">
        <v>21</v>
      </c>
      <c r="Q56" s="92">
        <v>23.5</v>
      </c>
      <c r="R56" s="93">
        <f t="shared" si="2"/>
        <v>83</v>
      </c>
      <c r="S56" s="208">
        <v>3</v>
      </c>
      <c r="T56" s="81"/>
      <c r="V56" s="82" t="s">
        <v>132</v>
      </c>
      <c r="W56" s="208" t="s">
        <v>22</v>
      </c>
      <c r="X56" s="208" t="s">
        <v>11</v>
      </c>
      <c r="Y56" s="83">
        <v>27</v>
      </c>
      <c r="Z56" s="208" t="s">
        <v>81</v>
      </c>
      <c r="AA56" s="208" t="s">
        <v>17</v>
      </c>
      <c r="AB56" s="208" t="s">
        <v>18</v>
      </c>
      <c r="AC56" s="208">
        <v>21</v>
      </c>
      <c r="AD56" s="82" t="s">
        <v>464</v>
      </c>
      <c r="AE56" s="208" t="s">
        <v>20</v>
      </c>
      <c r="AF56" s="208" t="s">
        <v>12</v>
      </c>
      <c r="AG56" s="83">
        <v>23.5</v>
      </c>
      <c r="AH56" s="208" t="s">
        <v>338</v>
      </c>
      <c r="AI56" s="208" t="s">
        <v>75</v>
      </c>
      <c r="AJ56" s="208" t="s">
        <v>11</v>
      </c>
      <c r="AK56" s="208">
        <v>11.5</v>
      </c>
      <c r="AL56" s="82"/>
      <c r="AO56" s="83"/>
      <c r="AP56" s="82"/>
      <c r="AS56" s="83"/>
      <c r="AW56" s="83"/>
      <c r="BA56" s="84"/>
    </row>
    <row r="57" spans="1:53" s="208" customFormat="1">
      <c r="A57" s="102">
        <v>1984</v>
      </c>
      <c r="B57" s="207"/>
      <c r="C57" s="988" t="s">
        <v>438</v>
      </c>
      <c r="D57" s="988"/>
      <c r="E57" s="208">
        <v>366</v>
      </c>
      <c r="F57" s="208">
        <v>1</v>
      </c>
      <c r="G57" s="123">
        <v>3</v>
      </c>
      <c r="H57" s="208">
        <v>2</v>
      </c>
      <c r="I57" s="208">
        <v>2</v>
      </c>
      <c r="J57" s="134">
        <v>7</v>
      </c>
      <c r="K57" s="92">
        <f t="shared" si="4"/>
        <v>42.857142857142854</v>
      </c>
      <c r="L57" s="92">
        <f t="shared" si="4"/>
        <v>28.571428571428569</v>
      </c>
      <c r="M57" s="92">
        <f t="shared" si="4"/>
        <v>28.571428571428569</v>
      </c>
      <c r="N57" s="125">
        <f t="shared" si="3"/>
        <v>99.999999999999986</v>
      </c>
      <c r="O57" s="91">
        <v>38.5</v>
      </c>
      <c r="P57" s="92">
        <v>21</v>
      </c>
      <c r="Q57" s="92">
        <v>23.5</v>
      </c>
      <c r="R57" s="93">
        <f t="shared" si="2"/>
        <v>83</v>
      </c>
      <c r="S57" s="208">
        <v>3</v>
      </c>
      <c r="T57" s="81"/>
      <c r="V57" s="82" t="s">
        <v>132</v>
      </c>
      <c r="W57" s="208" t="s">
        <v>22</v>
      </c>
      <c r="X57" s="208" t="s">
        <v>11</v>
      </c>
      <c r="Y57" s="83">
        <v>27</v>
      </c>
      <c r="Z57" s="208" t="s">
        <v>81</v>
      </c>
      <c r="AA57" s="208" t="s">
        <v>17</v>
      </c>
      <c r="AB57" s="208" t="s">
        <v>18</v>
      </c>
      <c r="AC57" s="208">
        <v>21</v>
      </c>
      <c r="AD57" s="82" t="s">
        <v>464</v>
      </c>
      <c r="AE57" s="208" t="s">
        <v>20</v>
      </c>
      <c r="AF57" s="208" t="s">
        <v>12</v>
      </c>
      <c r="AG57" s="83">
        <v>23.5</v>
      </c>
      <c r="AH57" s="208" t="s">
        <v>338</v>
      </c>
      <c r="AI57" s="208" t="s">
        <v>75</v>
      </c>
      <c r="AJ57" s="208" t="s">
        <v>11</v>
      </c>
      <c r="AK57" s="208">
        <v>11.5</v>
      </c>
      <c r="AL57" s="82"/>
      <c r="AO57" s="83"/>
      <c r="AP57" s="82"/>
      <c r="AS57" s="83"/>
      <c r="AW57" s="83"/>
      <c r="BA57" s="84"/>
    </row>
    <row r="58" spans="1:53" s="208" customFormat="1">
      <c r="A58" s="102">
        <v>1985</v>
      </c>
      <c r="B58" s="207"/>
      <c r="C58" s="988" t="s">
        <v>438</v>
      </c>
      <c r="D58" s="988"/>
      <c r="E58" s="208">
        <v>0</v>
      </c>
      <c r="G58" s="123">
        <v>3</v>
      </c>
      <c r="H58" s="208">
        <v>2</v>
      </c>
      <c r="I58" s="208">
        <v>2</v>
      </c>
      <c r="J58" s="134">
        <v>7</v>
      </c>
      <c r="K58" s="92">
        <f t="shared" si="4"/>
        <v>42.857142857142854</v>
      </c>
      <c r="L58" s="92">
        <f t="shared" si="4"/>
        <v>28.571428571428569</v>
      </c>
      <c r="M58" s="92">
        <f t="shared" si="4"/>
        <v>28.571428571428569</v>
      </c>
      <c r="N58" s="125">
        <f t="shared" si="3"/>
        <v>99.999999999999986</v>
      </c>
      <c r="O58" s="91">
        <v>38.5</v>
      </c>
      <c r="P58" s="92">
        <v>21</v>
      </c>
      <c r="Q58" s="92">
        <v>23.5</v>
      </c>
      <c r="R58" s="93">
        <f t="shared" si="2"/>
        <v>83</v>
      </c>
      <c r="S58" s="208">
        <v>3</v>
      </c>
      <c r="T58" s="81"/>
      <c r="V58" s="82" t="s">
        <v>132</v>
      </c>
      <c r="W58" s="208" t="s">
        <v>22</v>
      </c>
      <c r="X58" s="208" t="s">
        <v>11</v>
      </c>
      <c r="Y58" s="83">
        <v>27</v>
      </c>
      <c r="Z58" s="208" t="s">
        <v>81</v>
      </c>
      <c r="AA58" s="208" t="s">
        <v>17</v>
      </c>
      <c r="AB58" s="208" t="s">
        <v>18</v>
      </c>
      <c r="AC58" s="208">
        <v>21</v>
      </c>
      <c r="AD58" s="82" t="s">
        <v>464</v>
      </c>
      <c r="AE58" s="208" t="s">
        <v>20</v>
      </c>
      <c r="AF58" s="208" t="s">
        <v>12</v>
      </c>
      <c r="AG58" s="83">
        <v>23.5</v>
      </c>
      <c r="AH58" s="208" t="s">
        <v>338</v>
      </c>
      <c r="AI58" s="208" t="s">
        <v>75</v>
      </c>
      <c r="AJ58" s="208" t="s">
        <v>11</v>
      </c>
      <c r="AK58" s="208">
        <v>11.5</v>
      </c>
      <c r="AL58" s="82"/>
      <c r="AO58" s="83"/>
      <c r="AP58" s="82"/>
      <c r="AS58" s="83"/>
      <c r="AW58" s="83"/>
      <c r="BA58" s="84"/>
    </row>
    <row r="59" spans="1:53" s="208" customFormat="1">
      <c r="A59" s="102">
        <v>1985</v>
      </c>
      <c r="B59" s="207"/>
      <c r="C59" s="988" t="s">
        <v>439</v>
      </c>
      <c r="D59" s="988"/>
      <c r="E59" s="208">
        <v>365</v>
      </c>
      <c r="F59" s="208">
        <v>1</v>
      </c>
      <c r="G59" s="123">
        <v>3</v>
      </c>
      <c r="H59" s="208">
        <v>2</v>
      </c>
      <c r="I59" s="208">
        <v>2</v>
      </c>
      <c r="J59" s="134">
        <v>7</v>
      </c>
      <c r="K59" s="92">
        <f t="shared" si="4"/>
        <v>42.857142857142854</v>
      </c>
      <c r="L59" s="92">
        <f t="shared" si="4"/>
        <v>28.571428571428569</v>
      </c>
      <c r="M59" s="92">
        <f t="shared" si="4"/>
        <v>28.571428571428569</v>
      </c>
      <c r="N59" s="125">
        <f t="shared" si="3"/>
        <v>99.999999999999986</v>
      </c>
      <c r="O59" s="91">
        <v>38.5</v>
      </c>
      <c r="P59" s="92">
        <v>21</v>
      </c>
      <c r="Q59" s="92">
        <v>23.5</v>
      </c>
      <c r="R59" s="93">
        <f t="shared" si="2"/>
        <v>83</v>
      </c>
      <c r="S59" s="208">
        <v>3</v>
      </c>
      <c r="T59" s="81"/>
      <c r="V59" s="82" t="s">
        <v>132</v>
      </c>
      <c r="W59" s="208" t="s">
        <v>22</v>
      </c>
      <c r="X59" s="208" t="s">
        <v>11</v>
      </c>
      <c r="Y59" s="83">
        <v>27</v>
      </c>
      <c r="Z59" s="208" t="s">
        <v>81</v>
      </c>
      <c r="AA59" s="208" t="s">
        <v>17</v>
      </c>
      <c r="AB59" s="208" t="s">
        <v>18</v>
      </c>
      <c r="AC59" s="208">
        <v>21</v>
      </c>
      <c r="AD59" s="82" t="s">
        <v>464</v>
      </c>
      <c r="AE59" s="208" t="s">
        <v>20</v>
      </c>
      <c r="AF59" s="208" t="s">
        <v>12</v>
      </c>
      <c r="AG59" s="83">
        <v>23.5</v>
      </c>
      <c r="AH59" s="208" t="s">
        <v>338</v>
      </c>
      <c r="AI59" s="208" t="s">
        <v>75</v>
      </c>
      <c r="AJ59" s="208" t="s">
        <v>11</v>
      </c>
      <c r="AK59" s="208">
        <v>11.5</v>
      </c>
      <c r="AL59" s="82"/>
      <c r="AO59" s="83"/>
      <c r="AP59" s="82"/>
      <c r="AS59" s="83"/>
      <c r="AW59" s="83"/>
      <c r="BA59" s="84"/>
    </row>
    <row r="60" spans="1:53" s="208" customFormat="1">
      <c r="A60" s="102">
        <v>1986</v>
      </c>
      <c r="B60" s="207"/>
      <c r="C60" s="988" t="s">
        <v>439</v>
      </c>
      <c r="D60" s="988"/>
      <c r="E60" s="208">
        <v>0</v>
      </c>
      <c r="G60" s="123">
        <v>3</v>
      </c>
      <c r="H60" s="208">
        <v>2</v>
      </c>
      <c r="I60" s="208">
        <v>2</v>
      </c>
      <c r="J60" s="134">
        <v>7</v>
      </c>
      <c r="K60" s="92">
        <f>G60/J60*100</f>
        <v>42.857142857142854</v>
      </c>
      <c r="L60" s="92">
        <f>H60/J60*100</f>
        <v>28.571428571428569</v>
      </c>
      <c r="M60" s="92">
        <f>I60/J60*100</f>
        <v>28.571428571428569</v>
      </c>
      <c r="N60" s="125">
        <f t="shared" si="3"/>
        <v>99.999999999999986</v>
      </c>
      <c r="O60" s="91">
        <v>38.5</v>
      </c>
      <c r="P60" s="92">
        <v>21</v>
      </c>
      <c r="Q60" s="92">
        <v>23.5</v>
      </c>
      <c r="R60" s="93">
        <f t="shared" si="2"/>
        <v>83</v>
      </c>
      <c r="S60" s="208">
        <v>3</v>
      </c>
      <c r="T60" s="81"/>
      <c r="V60" s="82" t="s">
        <v>132</v>
      </c>
      <c r="W60" s="208" t="s">
        <v>22</v>
      </c>
      <c r="X60" s="208" t="s">
        <v>11</v>
      </c>
      <c r="Y60" s="83">
        <v>27</v>
      </c>
      <c r="Z60" s="208" t="s">
        <v>81</v>
      </c>
      <c r="AA60" s="208" t="s">
        <v>17</v>
      </c>
      <c r="AB60" s="208" t="s">
        <v>18</v>
      </c>
      <c r="AC60" s="208">
        <v>21</v>
      </c>
      <c r="AD60" s="82" t="s">
        <v>464</v>
      </c>
      <c r="AE60" s="208" t="s">
        <v>20</v>
      </c>
      <c r="AF60" s="208" t="s">
        <v>12</v>
      </c>
      <c r="AG60" s="83">
        <v>23.5</v>
      </c>
      <c r="AH60" s="208" t="s">
        <v>338</v>
      </c>
      <c r="AI60" s="208" t="s">
        <v>75</v>
      </c>
      <c r="AJ60" s="208" t="s">
        <v>11</v>
      </c>
      <c r="AK60" s="208">
        <v>11.5</v>
      </c>
      <c r="AL60" s="82"/>
      <c r="AO60" s="83"/>
      <c r="AP60" s="82"/>
      <c r="AS60" s="83"/>
      <c r="AW60" s="83"/>
      <c r="BA60" s="84"/>
    </row>
    <row r="61" spans="1:53" s="208" customFormat="1">
      <c r="A61" s="102">
        <v>1986</v>
      </c>
      <c r="B61" s="207"/>
      <c r="C61" s="988" t="s">
        <v>470</v>
      </c>
      <c r="D61" s="988"/>
      <c r="E61" s="208">
        <v>365</v>
      </c>
      <c r="F61" s="208">
        <v>1</v>
      </c>
      <c r="G61" s="123">
        <v>3</v>
      </c>
      <c r="H61" s="208">
        <v>2</v>
      </c>
      <c r="I61" s="208">
        <v>2</v>
      </c>
      <c r="J61" s="134">
        <v>7</v>
      </c>
      <c r="K61" s="92">
        <f t="shared" ref="K61:K68" si="5">G61/J61*100</f>
        <v>42.857142857142854</v>
      </c>
      <c r="L61" s="92">
        <f t="shared" ref="L61:L68" si="6">H61/J61*100</f>
        <v>28.571428571428569</v>
      </c>
      <c r="M61" s="92">
        <f t="shared" ref="M61:M68" si="7">I61/J61*100</f>
        <v>28.571428571428569</v>
      </c>
      <c r="N61" s="125">
        <f t="shared" si="3"/>
        <v>99.999999999999986</v>
      </c>
      <c r="O61" s="91">
        <v>38.5</v>
      </c>
      <c r="P61" s="92">
        <v>21</v>
      </c>
      <c r="Q61" s="92">
        <v>23.5</v>
      </c>
      <c r="R61" s="93">
        <f t="shared" si="2"/>
        <v>83</v>
      </c>
      <c r="S61" s="208">
        <v>3</v>
      </c>
      <c r="T61" s="81"/>
      <c r="V61" s="82" t="s">
        <v>132</v>
      </c>
      <c r="W61" s="208" t="s">
        <v>22</v>
      </c>
      <c r="X61" s="208" t="s">
        <v>11</v>
      </c>
      <c r="Y61" s="83">
        <v>27</v>
      </c>
      <c r="Z61" s="208" t="s">
        <v>81</v>
      </c>
      <c r="AA61" s="208" t="s">
        <v>17</v>
      </c>
      <c r="AB61" s="208" t="s">
        <v>18</v>
      </c>
      <c r="AC61" s="208">
        <v>21</v>
      </c>
      <c r="AD61" s="82" t="s">
        <v>464</v>
      </c>
      <c r="AE61" s="208" t="s">
        <v>20</v>
      </c>
      <c r="AF61" s="208" t="s">
        <v>12</v>
      </c>
      <c r="AG61" s="83">
        <v>23.5</v>
      </c>
      <c r="AH61" s="208" t="s">
        <v>338</v>
      </c>
      <c r="AI61" s="208" t="s">
        <v>75</v>
      </c>
      <c r="AJ61" s="208" t="s">
        <v>11</v>
      </c>
      <c r="AK61" s="208">
        <v>11.5</v>
      </c>
      <c r="AL61" s="82"/>
      <c r="AO61" s="83"/>
      <c r="AP61" s="82"/>
      <c r="AS61" s="83"/>
      <c r="AW61" s="83"/>
      <c r="BA61" s="84"/>
    </row>
    <row r="62" spans="1:53" s="208" customFormat="1">
      <c r="A62" s="102">
        <v>1987</v>
      </c>
      <c r="B62" s="207"/>
      <c r="C62" s="988" t="s">
        <v>470</v>
      </c>
      <c r="D62" s="988"/>
      <c r="E62" s="208">
        <v>342</v>
      </c>
      <c r="G62" s="123">
        <v>3</v>
      </c>
      <c r="H62" s="208">
        <v>2</v>
      </c>
      <c r="I62" s="208">
        <v>2</v>
      </c>
      <c r="J62" s="134">
        <v>7</v>
      </c>
      <c r="K62" s="92">
        <f t="shared" si="5"/>
        <v>42.857142857142854</v>
      </c>
      <c r="L62" s="92">
        <f t="shared" si="6"/>
        <v>28.571428571428569</v>
      </c>
      <c r="M62" s="92">
        <f t="shared" si="7"/>
        <v>28.571428571428569</v>
      </c>
      <c r="N62" s="125">
        <f t="shared" si="3"/>
        <v>99.999999999999986</v>
      </c>
      <c r="O62" s="91">
        <v>38.5</v>
      </c>
      <c r="P62" s="92">
        <v>21</v>
      </c>
      <c r="Q62" s="92">
        <v>23.5</v>
      </c>
      <c r="R62" s="93">
        <f t="shared" si="2"/>
        <v>83</v>
      </c>
      <c r="S62" s="81">
        <v>3</v>
      </c>
      <c r="T62" s="81"/>
      <c r="V62" s="82" t="s">
        <v>132</v>
      </c>
      <c r="W62" s="208" t="s">
        <v>22</v>
      </c>
      <c r="X62" s="208" t="s">
        <v>11</v>
      </c>
      <c r="Y62" s="83">
        <v>27</v>
      </c>
      <c r="Z62" s="208" t="s">
        <v>81</v>
      </c>
      <c r="AA62" s="208" t="s">
        <v>17</v>
      </c>
      <c r="AB62" s="208" t="s">
        <v>18</v>
      </c>
      <c r="AC62" s="208">
        <v>21</v>
      </c>
      <c r="AD62" s="82" t="s">
        <v>464</v>
      </c>
      <c r="AE62" s="208" t="s">
        <v>20</v>
      </c>
      <c r="AF62" s="208" t="s">
        <v>12</v>
      </c>
      <c r="AG62" s="83">
        <v>23.5</v>
      </c>
      <c r="AH62" s="208" t="s">
        <v>338</v>
      </c>
      <c r="AI62" s="208" t="s">
        <v>75</v>
      </c>
      <c r="AJ62" s="208" t="s">
        <v>11</v>
      </c>
      <c r="AK62" s="208">
        <v>11.5</v>
      </c>
      <c r="AL62" s="82"/>
      <c r="AO62" s="83"/>
      <c r="AP62" s="82"/>
      <c r="AS62" s="83"/>
      <c r="AW62" s="83"/>
      <c r="BA62" s="84"/>
    </row>
    <row r="63" spans="1:53" s="334" customFormat="1">
      <c r="A63" s="386">
        <v>1987</v>
      </c>
      <c r="B63" s="355">
        <v>32120</v>
      </c>
      <c r="C63" s="992" t="s">
        <v>471</v>
      </c>
      <c r="D63" s="992"/>
      <c r="E63" s="334">
        <f>365-E62</f>
        <v>23</v>
      </c>
      <c r="F63" s="334">
        <v>1</v>
      </c>
      <c r="G63" s="419">
        <v>3</v>
      </c>
      <c r="H63" s="334">
        <v>2</v>
      </c>
      <c r="I63" s="334">
        <v>2</v>
      </c>
      <c r="J63" s="435">
        <v>7</v>
      </c>
      <c r="K63" s="384">
        <f t="shared" si="5"/>
        <v>42.857142857142854</v>
      </c>
      <c r="L63" s="384">
        <f t="shared" si="6"/>
        <v>28.571428571428569</v>
      </c>
      <c r="M63" s="384">
        <f t="shared" si="7"/>
        <v>28.571428571428569</v>
      </c>
      <c r="N63" s="421">
        <f t="shared" si="3"/>
        <v>99.999999999999986</v>
      </c>
      <c r="O63" s="383">
        <v>38</v>
      </c>
      <c r="P63" s="384">
        <v>21</v>
      </c>
      <c r="Q63" s="384">
        <v>20.5</v>
      </c>
      <c r="R63" s="385">
        <f t="shared" si="2"/>
        <v>79.5</v>
      </c>
      <c r="S63" s="357">
        <v>3</v>
      </c>
      <c r="T63" s="342">
        <v>32068</v>
      </c>
      <c r="U63" s="355">
        <v>32120</v>
      </c>
      <c r="V63" s="343" t="s">
        <v>132</v>
      </c>
      <c r="W63" s="334" t="s">
        <v>22</v>
      </c>
      <c r="X63" s="334" t="s">
        <v>11</v>
      </c>
      <c r="Y63" s="344">
        <v>25.5</v>
      </c>
      <c r="Z63" s="334" t="s">
        <v>81</v>
      </c>
      <c r="AA63" s="334" t="s">
        <v>17</v>
      </c>
      <c r="AB63" s="334" t="s">
        <v>18</v>
      </c>
      <c r="AC63" s="334">
        <v>21</v>
      </c>
      <c r="AD63" s="343" t="s">
        <v>464</v>
      </c>
      <c r="AE63" s="334" t="s">
        <v>20</v>
      </c>
      <c r="AF63" s="334" t="s">
        <v>12</v>
      </c>
      <c r="AG63" s="344">
        <v>20.5</v>
      </c>
      <c r="AH63" s="334" t="s">
        <v>338</v>
      </c>
      <c r="AI63" s="334" t="s">
        <v>75</v>
      </c>
      <c r="AJ63" s="334" t="s">
        <v>11</v>
      </c>
      <c r="AK63" s="334">
        <v>12.5</v>
      </c>
      <c r="AL63" s="343"/>
      <c r="AO63" s="344"/>
      <c r="AP63" s="343"/>
      <c r="AS63" s="344"/>
      <c r="AW63" s="344"/>
      <c r="BA63" s="345"/>
    </row>
    <row r="64" spans="1:53" s="334" customFormat="1">
      <c r="A64" s="386">
        <v>1988</v>
      </c>
      <c r="B64" s="355"/>
      <c r="C64" s="992" t="s">
        <v>471</v>
      </c>
      <c r="D64" s="992"/>
      <c r="E64" s="334">
        <v>0</v>
      </c>
      <c r="G64" s="419">
        <v>3</v>
      </c>
      <c r="H64" s="334">
        <v>2</v>
      </c>
      <c r="I64" s="334">
        <v>2</v>
      </c>
      <c r="J64" s="435">
        <v>7</v>
      </c>
      <c r="K64" s="384">
        <f t="shared" si="5"/>
        <v>42.857142857142854</v>
      </c>
      <c r="L64" s="384">
        <f t="shared" si="6"/>
        <v>28.571428571428569</v>
      </c>
      <c r="M64" s="384">
        <f t="shared" si="7"/>
        <v>28.571428571428569</v>
      </c>
      <c r="N64" s="421">
        <f t="shared" si="3"/>
        <v>99.999999999999986</v>
      </c>
      <c r="O64" s="383">
        <v>38</v>
      </c>
      <c r="P64" s="384">
        <v>21</v>
      </c>
      <c r="Q64" s="384">
        <v>20.5</v>
      </c>
      <c r="R64" s="385">
        <f t="shared" si="2"/>
        <v>79.5</v>
      </c>
      <c r="S64" s="357">
        <v>3</v>
      </c>
      <c r="T64" s="357"/>
      <c r="V64" s="343" t="s">
        <v>132</v>
      </c>
      <c r="W64" s="334" t="s">
        <v>22</v>
      </c>
      <c r="X64" s="334" t="s">
        <v>11</v>
      </c>
      <c r="Y64" s="344">
        <v>25.5</v>
      </c>
      <c r="Z64" s="334" t="s">
        <v>81</v>
      </c>
      <c r="AA64" s="334" t="s">
        <v>17</v>
      </c>
      <c r="AB64" s="334" t="s">
        <v>18</v>
      </c>
      <c r="AC64" s="334">
        <v>21</v>
      </c>
      <c r="AD64" s="343" t="s">
        <v>464</v>
      </c>
      <c r="AE64" s="334" t="s">
        <v>20</v>
      </c>
      <c r="AF64" s="334" t="s">
        <v>12</v>
      </c>
      <c r="AG64" s="344">
        <v>20.5</v>
      </c>
      <c r="AH64" s="334" t="s">
        <v>338</v>
      </c>
      <c r="AI64" s="334" t="s">
        <v>75</v>
      </c>
      <c r="AJ64" s="334" t="s">
        <v>11</v>
      </c>
      <c r="AK64" s="334">
        <v>12.5</v>
      </c>
      <c r="AL64" s="343"/>
      <c r="AO64" s="344"/>
      <c r="AP64" s="343"/>
      <c r="AS64" s="344"/>
      <c r="AW64" s="344"/>
      <c r="BA64" s="345"/>
    </row>
    <row r="65" spans="1:53" s="334" customFormat="1">
      <c r="A65" s="386">
        <v>1988</v>
      </c>
      <c r="B65" s="355"/>
      <c r="C65" s="992" t="s">
        <v>440</v>
      </c>
      <c r="D65" s="992"/>
      <c r="E65" s="334">
        <v>366</v>
      </c>
      <c r="F65" s="334">
        <v>1</v>
      </c>
      <c r="G65" s="419">
        <v>3</v>
      </c>
      <c r="H65" s="334">
        <v>2</v>
      </c>
      <c r="I65" s="334">
        <v>2</v>
      </c>
      <c r="J65" s="435">
        <v>7</v>
      </c>
      <c r="K65" s="384">
        <f t="shared" si="5"/>
        <v>42.857142857142854</v>
      </c>
      <c r="L65" s="384">
        <f t="shared" si="6"/>
        <v>28.571428571428569</v>
      </c>
      <c r="M65" s="384">
        <f t="shared" si="7"/>
        <v>28.571428571428569</v>
      </c>
      <c r="N65" s="421">
        <f t="shared" si="3"/>
        <v>99.999999999999986</v>
      </c>
      <c r="O65" s="383">
        <v>38</v>
      </c>
      <c r="P65" s="384">
        <v>21</v>
      </c>
      <c r="Q65" s="384">
        <v>20.5</v>
      </c>
      <c r="R65" s="385">
        <f t="shared" si="2"/>
        <v>79.5</v>
      </c>
      <c r="S65" s="357">
        <v>3</v>
      </c>
      <c r="T65" s="357"/>
      <c r="V65" s="343" t="s">
        <v>132</v>
      </c>
      <c r="W65" s="334" t="s">
        <v>22</v>
      </c>
      <c r="X65" s="334" t="s">
        <v>11</v>
      </c>
      <c r="Y65" s="344">
        <v>25.5</v>
      </c>
      <c r="Z65" s="334" t="s">
        <v>81</v>
      </c>
      <c r="AA65" s="334" t="s">
        <v>17</v>
      </c>
      <c r="AB65" s="334" t="s">
        <v>18</v>
      </c>
      <c r="AC65" s="334">
        <v>21</v>
      </c>
      <c r="AD65" s="343" t="s">
        <v>464</v>
      </c>
      <c r="AE65" s="334" t="s">
        <v>20</v>
      </c>
      <c r="AF65" s="334" t="s">
        <v>12</v>
      </c>
      <c r="AG65" s="344">
        <v>20.5</v>
      </c>
      <c r="AH65" s="334" t="s">
        <v>338</v>
      </c>
      <c r="AI65" s="334" t="s">
        <v>75</v>
      </c>
      <c r="AJ65" s="334" t="s">
        <v>11</v>
      </c>
      <c r="AK65" s="334">
        <v>12.5</v>
      </c>
      <c r="AL65" s="343"/>
      <c r="AO65" s="344"/>
      <c r="AP65" s="343"/>
      <c r="AS65" s="344"/>
      <c r="AW65" s="344"/>
      <c r="BA65" s="345"/>
    </row>
    <row r="66" spans="1:53" s="334" customFormat="1">
      <c r="A66" s="386">
        <v>1989</v>
      </c>
      <c r="B66" s="355"/>
      <c r="C66" s="992" t="s">
        <v>440</v>
      </c>
      <c r="D66" s="992"/>
      <c r="E66" s="334">
        <v>0</v>
      </c>
      <c r="G66" s="419">
        <v>3</v>
      </c>
      <c r="H66" s="334">
        <v>2</v>
      </c>
      <c r="I66" s="334">
        <v>2</v>
      </c>
      <c r="J66" s="435">
        <v>7</v>
      </c>
      <c r="K66" s="384">
        <f t="shared" si="5"/>
        <v>42.857142857142854</v>
      </c>
      <c r="L66" s="384">
        <f t="shared" si="6"/>
        <v>28.571428571428569</v>
      </c>
      <c r="M66" s="384">
        <f t="shared" si="7"/>
        <v>28.571428571428569</v>
      </c>
      <c r="N66" s="421">
        <f t="shared" si="3"/>
        <v>99.999999999999986</v>
      </c>
      <c r="O66" s="383">
        <v>38</v>
      </c>
      <c r="P66" s="384">
        <v>21</v>
      </c>
      <c r="Q66" s="384">
        <v>20.5</v>
      </c>
      <c r="R66" s="385">
        <f t="shared" si="2"/>
        <v>79.5</v>
      </c>
      <c r="S66" s="357">
        <v>3</v>
      </c>
      <c r="T66" s="357"/>
      <c r="V66" s="343" t="s">
        <v>132</v>
      </c>
      <c r="W66" s="334" t="s">
        <v>22</v>
      </c>
      <c r="X66" s="334" t="s">
        <v>11</v>
      </c>
      <c r="Y66" s="344">
        <v>25.5</v>
      </c>
      <c r="Z66" s="334" t="s">
        <v>81</v>
      </c>
      <c r="AA66" s="334" t="s">
        <v>17</v>
      </c>
      <c r="AB66" s="334" t="s">
        <v>18</v>
      </c>
      <c r="AC66" s="334">
        <v>21</v>
      </c>
      <c r="AD66" s="343" t="s">
        <v>464</v>
      </c>
      <c r="AE66" s="334" t="s">
        <v>20</v>
      </c>
      <c r="AF66" s="334" t="s">
        <v>12</v>
      </c>
      <c r="AG66" s="344">
        <v>20.5</v>
      </c>
      <c r="AH66" s="334" t="s">
        <v>338</v>
      </c>
      <c r="AI66" s="334" t="s">
        <v>75</v>
      </c>
      <c r="AJ66" s="334" t="s">
        <v>11</v>
      </c>
      <c r="AK66" s="334">
        <v>12.5</v>
      </c>
      <c r="AL66" s="343"/>
      <c r="AO66" s="344"/>
      <c r="AP66" s="343"/>
      <c r="AS66" s="344"/>
      <c r="AW66" s="344"/>
      <c r="BA66" s="345"/>
    </row>
    <row r="67" spans="1:53" s="104" customFormat="1">
      <c r="A67" s="201">
        <v>1989</v>
      </c>
      <c r="B67" s="407"/>
      <c r="C67" s="998" t="s">
        <v>442</v>
      </c>
      <c r="D67" s="998"/>
      <c r="E67" s="104">
        <f>365-E66</f>
        <v>365</v>
      </c>
      <c r="F67" s="104">
        <v>1</v>
      </c>
      <c r="G67" s="447">
        <v>3</v>
      </c>
      <c r="H67" s="104">
        <v>2</v>
      </c>
      <c r="I67" s="104">
        <v>2</v>
      </c>
      <c r="J67" s="448">
        <v>7</v>
      </c>
      <c r="K67" s="404">
        <f t="shared" si="5"/>
        <v>42.857142857142854</v>
      </c>
      <c r="L67" s="404">
        <f t="shared" si="6"/>
        <v>28.571428571428569</v>
      </c>
      <c r="M67" s="404">
        <f t="shared" si="7"/>
        <v>28.571428571428569</v>
      </c>
      <c r="N67" s="405">
        <f t="shared" si="3"/>
        <v>99.999999999999986</v>
      </c>
      <c r="O67" s="403">
        <v>38</v>
      </c>
      <c r="P67" s="404">
        <v>21</v>
      </c>
      <c r="Q67" s="404">
        <v>20.5</v>
      </c>
      <c r="R67" s="405">
        <f t="shared" si="2"/>
        <v>79.5</v>
      </c>
      <c r="S67" s="458">
        <v>3</v>
      </c>
      <c r="T67" s="458"/>
      <c r="V67" s="105" t="s">
        <v>132</v>
      </c>
      <c r="W67" s="104" t="s">
        <v>22</v>
      </c>
      <c r="X67" s="104" t="s">
        <v>11</v>
      </c>
      <c r="Y67" s="106">
        <v>25.5</v>
      </c>
      <c r="Z67" s="104" t="s">
        <v>81</v>
      </c>
      <c r="AA67" s="104" t="s">
        <v>17</v>
      </c>
      <c r="AB67" s="104" t="s">
        <v>18</v>
      </c>
      <c r="AC67" s="104">
        <v>21</v>
      </c>
      <c r="AD67" s="105" t="s">
        <v>464</v>
      </c>
      <c r="AE67" s="104" t="s">
        <v>20</v>
      </c>
      <c r="AF67" s="104" t="s">
        <v>12</v>
      </c>
      <c r="AG67" s="106">
        <v>20.5</v>
      </c>
      <c r="AH67" s="104" t="s">
        <v>338</v>
      </c>
      <c r="AI67" s="104" t="s">
        <v>75</v>
      </c>
      <c r="AJ67" s="104" t="s">
        <v>11</v>
      </c>
      <c r="AK67" s="106">
        <v>12.5</v>
      </c>
      <c r="AL67" s="105"/>
      <c r="AO67" s="106"/>
      <c r="AP67" s="105"/>
      <c r="AS67" s="106"/>
      <c r="AW67" s="106"/>
      <c r="BA67" s="107"/>
    </row>
    <row r="68" spans="1:53" s="334" customFormat="1">
      <c r="A68" s="334">
        <v>1990</v>
      </c>
      <c r="C68" s="992" t="s">
        <v>442</v>
      </c>
      <c r="D68" s="992"/>
      <c r="E68" s="334">
        <v>0</v>
      </c>
      <c r="G68" s="419">
        <v>3</v>
      </c>
      <c r="H68" s="334">
        <v>2</v>
      </c>
      <c r="I68" s="334">
        <v>2</v>
      </c>
      <c r="J68" s="435">
        <v>7</v>
      </c>
      <c r="K68" s="384">
        <f t="shared" si="5"/>
        <v>42.857142857142854</v>
      </c>
      <c r="L68" s="384">
        <f t="shared" si="6"/>
        <v>28.571428571428569</v>
      </c>
      <c r="M68" s="384">
        <f t="shared" si="7"/>
        <v>28.571428571428569</v>
      </c>
      <c r="N68" s="421">
        <f t="shared" si="3"/>
        <v>99.999999999999986</v>
      </c>
      <c r="O68" s="383">
        <v>38</v>
      </c>
      <c r="P68" s="384">
        <v>21</v>
      </c>
      <c r="Q68" s="384">
        <v>20.5</v>
      </c>
      <c r="R68" s="385">
        <f>O68+P68+Q68</f>
        <v>79.5</v>
      </c>
      <c r="S68" s="334">
        <v>3</v>
      </c>
      <c r="T68" s="357"/>
      <c r="V68" s="343" t="s">
        <v>132</v>
      </c>
      <c r="W68" s="334" t="s">
        <v>22</v>
      </c>
      <c r="X68" s="334" t="s">
        <v>11</v>
      </c>
      <c r="Y68" s="344">
        <v>25.5</v>
      </c>
      <c r="Z68" s="334" t="s">
        <v>81</v>
      </c>
      <c r="AA68" s="334" t="s">
        <v>17</v>
      </c>
      <c r="AB68" s="334" t="s">
        <v>18</v>
      </c>
      <c r="AC68" s="334">
        <v>21</v>
      </c>
      <c r="AD68" s="343" t="s">
        <v>464</v>
      </c>
      <c r="AE68" s="334" t="s">
        <v>20</v>
      </c>
      <c r="AF68" s="334" t="s">
        <v>12</v>
      </c>
      <c r="AG68" s="344">
        <v>20.5</v>
      </c>
      <c r="AH68" s="334" t="s">
        <v>338</v>
      </c>
      <c r="AI68" s="334" t="s">
        <v>75</v>
      </c>
      <c r="AJ68" s="334" t="s">
        <v>11</v>
      </c>
      <c r="AK68" s="334">
        <v>12.5</v>
      </c>
      <c r="AL68" s="343"/>
      <c r="AO68" s="344"/>
      <c r="AP68" s="343"/>
      <c r="AS68" s="344"/>
      <c r="AW68" s="344"/>
      <c r="BA68" s="345"/>
    </row>
    <row r="69" spans="1:53" s="334" customFormat="1">
      <c r="A69" s="334">
        <v>1990</v>
      </c>
      <c r="C69" s="992" t="s">
        <v>443</v>
      </c>
      <c r="D69" s="992"/>
      <c r="E69" s="334">
        <f>365-E68</f>
        <v>365</v>
      </c>
      <c r="F69" s="334">
        <v>1</v>
      </c>
      <c r="G69" s="419">
        <v>3</v>
      </c>
      <c r="H69" s="334">
        <v>2</v>
      </c>
      <c r="I69" s="334">
        <v>2</v>
      </c>
      <c r="J69" s="435">
        <v>7</v>
      </c>
      <c r="K69" s="384">
        <f>G69/J69*100</f>
        <v>42.857142857142854</v>
      </c>
      <c r="L69" s="384">
        <f>H69/J69*100</f>
        <v>28.571428571428569</v>
      </c>
      <c r="M69" s="384">
        <f>I69/J69*100</f>
        <v>28.571428571428569</v>
      </c>
      <c r="N69" s="421">
        <f t="shared" si="3"/>
        <v>99.999999999999986</v>
      </c>
      <c r="O69" s="383">
        <v>38</v>
      </c>
      <c r="P69" s="384">
        <v>21</v>
      </c>
      <c r="Q69" s="384">
        <v>20.5</v>
      </c>
      <c r="R69" s="385">
        <f>O69+P69+Q69</f>
        <v>79.5</v>
      </c>
      <c r="S69" s="334">
        <v>3</v>
      </c>
      <c r="T69" s="357"/>
      <c r="V69" s="343" t="s">
        <v>132</v>
      </c>
      <c r="W69" s="334" t="s">
        <v>22</v>
      </c>
      <c r="X69" s="334" t="s">
        <v>11</v>
      </c>
      <c r="Y69" s="344">
        <v>25.5</v>
      </c>
      <c r="Z69" s="334" t="s">
        <v>81</v>
      </c>
      <c r="AA69" s="334" t="s">
        <v>17</v>
      </c>
      <c r="AB69" s="334" t="s">
        <v>18</v>
      </c>
      <c r="AC69" s="334">
        <v>21</v>
      </c>
      <c r="AD69" s="343" t="s">
        <v>464</v>
      </c>
      <c r="AE69" s="334" t="s">
        <v>20</v>
      </c>
      <c r="AF69" s="334" t="s">
        <v>12</v>
      </c>
      <c r="AG69" s="344">
        <v>20.5</v>
      </c>
      <c r="AH69" s="334" t="s">
        <v>338</v>
      </c>
      <c r="AI69" s="334" t="s">
        <v>75</v>
      </c>
      <c r="AJ69" s="334" t="s">
        <v>11</v>
      </c>
      <c r="AK69" s="334">
        <v>12.5</v>
      </c>
      <c r="AL69" s="343"/>
      <c r="AO69" s="344"/>
      <c r="AP69" s="343"/>
      <c r="AS69" s="344"/>
      <c r="AW69" s="344"/>
      <c r="BA69" s="345"/>
    </row>
    <row r="70" spans="1:53" s="334" customFormat="1">
      <c r="A70" s="334">
        <v>1991</v>
      </c>
      <c r="C70" s="992" t="s">
        <v>443</v>
      </c>
      <c r="D70" s="992"/>
      <c r="E70" s="334">
        <v>337</v>
      </c>
      <c r="G70" s="419">
        <v>3</v>
      </c>
      <c r="H70" s="334">
        <v>2</v>
      </c>
      <c r="I70" s="334">
        <v>2</v>
      </c>
      <c r="J70" s="435">
        <v>7</v>
      </c>
      <c r="K70" s="384">
        <f>G70/J70*100</f>
        <v>42.857142857142854</v>
      </c>
      <c r="L70" s="384">
        <f>H70/J70*100</f>
        <v>28.571428571428569</v>
      </c>
      <c r="M70" s="384">
        <f>I70/J70*100</f>
        <v>28.571428571428569</v>
      </c>
      <c r="N70" s="421">
        <f t="shared" si="3"/>
        <v>99.999999999999986</v>
      </c>
      <c r="O70" s="383">
        <v>38</v>
      </c>
      <c r="P70" s="384">
        <v>21</v>
      </c>
      <c r="Q70" s="384">
        <v>20.5</v>
      </c>
      <c r="R70" s="385">
        <f t="shared" ref="R70:R113" si="8">O70+P70+Q70</f>
        <v>79.5</v>
      </c>
      <c r="S70" s="334">
        <v>3</v>
      </c>
      <c r="T70" s="357"/>
      <c r="V70" s="343" t="s">
        <v>132</v>
      </c>
      <c r="W70" s="334" t="s">
        <v>22</v>
      </c>
      <c r="X70" s="334" t="s">
        <v>11</v>
      </c>
      <c r="Y70" s="344">
        <v>25.5</v>
      </c>
      <c r="Z70" s="334" t="s">
        <v>81</v>
      </c>
      <c r="AA70" s="334" t="s">
        <v>17</v>
      </c>
      <c r="AB70" s="334" t="s">
        <v>18</v>
      </c>
      <c r="AC70" s="334">
        <v>21</v>
      </c>
      <c r="AD70" s="343" t="s">
        <v>464</v>
      </c>
      <c r="AE70" s="334" t="s">
        <v>20</v>
      </c>
      <c r="AF70" s="334" t="s">
        <v>12</v>
      </c>
      <c r="AG70" s="344">
        <v>20.5</v>
      </c>
      <c r="AH70" s="334" t="s">
        <v>338</v>
      </c>
      <c r="AI70" s="334" t="s">
        <v>75</v>
      </c>
      <c r="AJ70" s="334" t="s">
        <v>11</v>
      </c>
      <c r="AK70" s="334">
        <v>12.5</v>
      </c>
      <c r="AL70" s="343"/>
      <c r="AO70" s="344"/>
      <c r="AP70" s="343"/>
      <c r="AS70" s="344"/>
      <c r="AW70" s="344"/>
      <c r="BA70" s="345"/>
    </row>
    <row r="71" spans="1:53" s="208" customFormat="1">
      <c r="A71" s="208">
        <v>1991</v>
      </c>
      <c r="B71" s="207">
        <v>33576</v>
      </c>
      <c r="C71" s="988" t="s">
        <v>472</v>
      </c>
      <c r="D71" s="988"/>
      <c r="E71" s="208">
        <f>365-E70</f>
        <v>28</v>
      </c>
      <c r="F71" s="208">
        <v>1</v>
      </c>
      <c r="G71" s="123">
        <v>3</v>
      </c>
      <c r="H71" s="208">
        <v>2</v>
      </c>
      <c r="I71" s="208">
        <v>2</v>
      </c>
      <c r="J71" s="134">
        <v>7</v>
      </c>
      <c r="K71" s="92">
        <f>G71/J71*100</f>
        <v>42.857142857142854</v>
      </c>
      <c r="L71" s="92">
        <f>H71/J71*100</f>
        <v>28.571428571428569</v>
      </c>
      <c r="M71" s="92">
        <f>I71/J71*100</f>
        <v>28.571428571428569</v>
      </c>
      <c r="N71" s="125">
        <f t="shared" si="3"/>
        <v>99.999999999999986</v>
      </c>
      <c r="O71" s="91">
        <v>34.5</v>
      </c>
      <c r="P71" s="92">
        <v>18</v>
      </c>
      <c r="Q71" s="92">
        <v>20.5</v>
      </c>
      <c r="R71" s="93">
        <f t="shared" si="8"/>
        <v>73</v>
      </c>
      <c r="S71" s="208">
        <v>3</v>
      </c>
      <c r="T71" s="95">
        <v>33531</v>
      </c>
      <c r="U71" s="207">
        <v>33576</v>
      </c>
      <c r="V71" s="82" t="s">
        <v>132</v>
      </c>
      <c r="W71" s="208" t="s">
        <v>22</v>
      </c>
      <c r="X71" s="208" t="s">
        <v>11</v>
      </c>
      <c r="Y71" s="83">
        <v>22</v>
      </c>
      <c r="Z71" s="208" t="s">
        <v>81</v>
      </c>
      <c r="AA71" s="208" t="s">
        <v>17</v>
      </c>
      <c r="AB71" s="208" t="s">
        <v>18</v>
      </c>
      <c r="AC71" s="208">
        <v>18</v>
      </c>
      <c r="AD71" s="82" t="s">
        <v>464</v>
      </c>
      <c r="AE71" s="208" t="s">
        <v>20</v>
      </c>
      <c r="AF71" s="208" t="s">
        <v>12</v>
      </c>
      <c r="AG71" s="83">
        <v>20.5</v>
      </c>
      <c r="AH71" s="208" t="s">
        <v>338</v>
      </c>
      <c r="AI71" s="208" t="s">
        <v>75</v>
      </c>
      <c r="AJ71" s="208" t="s">
        <v>11</v>
      </c>
      <c r="AK71" s="208">
        <v>12.5</v>
      </c>
      <c r="AL71" s="82"/>
      <c r="AO71" s="83"/>
      <c r="AP71" s="82"/>
      <c r="AS71" s="83"/>
      <c r="AW71" s="83"/>
      <c r="BA71" s="84"/>
    </row>
    <row r="72" spans="1:53" s="208" customFormat="1">
      <c r="A72" s="208">
        <v>1992</v>
      </c>
      <c r="C72" s="988" t="s">
        <v>472</v>
      </c>
      <c r="D72" s="988"/>
      <c r="E72" s="208">
        <v>0</v>
      </c>
      <c r="G72" s="123">
        <v>3</v>
      </c>
      <c r="H72" s="208">
        <v>2</v>
      </c>
      <c r="I72" s="208">
        <v>2</v>
      </c>
      <c r="J72" s="134">
        <v>7</v>
      </c>
      <c r="K72" s="92">
        <f>G72/J72*100</f>
        <v>42.857142857142854</v>
      </c>
      <c r="L72" s="92">
        <f>H72/J72*100</f>
        <v>28.571428571428569</v>
      </c>
      <c r="M72" s="92">
        <f>I72/J72*100</f>
        <v>28.571428571428569</v>
      </c>
      <c r="N72" s="125">
        <f t="shared" si="3"/>
        <v>99.999999999999986</v>
      </c>
      <c r="O72" s="91">
        <v>34.5</v>
      </c>
      <c r="P72" s="92">
        <v>18</v>
      </c>
      <c r="Q72" s="92">
        <v>20.5</v>
      </c>
      <c r="R72" s="93">
        <f t="shared" si="8"/>
        <v>73</v>
      </c>
      <c r="S72" s="208">
        <v>3</v>
      </c>
      <c r="T72" s="81"/>
      <c r="V72" s="82" t="s">
        <v>132</v>
      </c>
      <c r="W72" s="208" t="s">
        <v>22</v>
      </c>
      <c r="X72" s="208" t="s">
        <v>11</v>
      </c>
      <c r="Y72" s="83">
        <v>22</v>
      </c>
      <c r="Z72" s="208" t="s">
        <v>81</v>
      </c>
      <c r="AA72" s="208" t="s">
        <v>17</v>
      </c>
      <c r="AB72" s="208" t="s">
        <v>18</v>
      </c>
      <c r="AC72" s="208">
        <v>18</v>
      </c>
      <c r="AD72" s="82" t="s">
        <v>464</v>
      </c>
      <c r="AE72" s="208" t="s">
        <v>20</v>
      </c>
      <c r="AF72" s="208" t="s">
        <v>12</v>
      </c>
      <c r="AG72" s="83">
        <v>20.5</v>
      </c>
      <c r="AH72" s="208" t="s">
        <v>338</v>
      </c>
      <c r="AI72" s="208" t="s">
        <v>75</v>
      </c>
      <c r="AJ72" s="208" t="s">
        <v>11</v>
      </c>
      <c r="AK72" s="208">
        <v>12.5</v>
      </c>
      <c r="AL72" s="82"/>
      <c r="AO72" s="83"/>
      <c r="AP72" s="82"/>
      <c r="AS72" s="83"/>
      <c r="AW72" s="83"/>
      <c r="BA72" s="84"/>
    </row>
    <row r="73" spans="1:53" s="208" customFormat="1">
      <c r="A73" s="208">
        <v>1992</v>
      </c>
      <c r="C73" s="988" t="s">
        <v>444</v>
      </c>
      <c r="D73" s="988"/>
      <c r="E73" s="208">
        <v>366</v>
      </c>
      <c r="F73" s="208">
        <v>1</v>
      </c>
      <c r="G73" s="123">
        <v>3</v>
      </c>
      <c r="H73" s="208">
        <v>2</v>
      </c>
      <c r="I73" s="208">
        <v>2</v>
      </c>
      <c r="J73" s="134">
        <v>7</v>
      </c>
      <c r="K73" s="92">
        <f>G73/J73*100</f>
        <v>42.857142857142854</v>
      </c>
      <c r="L73" s="92">
        <f>H73/J73*100</f>
        <v>28.571428571428569</v>
      </c>
      <c r="M73" s="92">
        <f>I73/J73*100</f>
        <v>28.571428571428569</v>
      </c>
      <c r="N73" s="125">
        <f t="shared" si="3"/>
        <v>99.999999999999986</v>
      </c>
      <c r="O73" s="91">
        <v>34.5</v>
      </c>
      <c r="P73" s="92">
        <v>18</v>
      </c>
      <c r="Q73" s="92">
        <v>20.5</v>
      </c>
      <c r="R73" s="93">
        <f t="shared" si="8"/>
        <v>73</v>
      </c>
      <c r="S73" s="208">
        <v>3</v>
      </c>
      <c r="T73" s="81"/>
      <c r="V73" s="82" t="s">
        <v>132</v>
      </c>
      <c r="W73" s="208" t="s">
        <v>22</v>
      </c>
      <c r="X73" s="208" t="s">
        <v>11</v>
      </c>
      <c r="Y73" s="83">
        <v>22</v>
      </c>
      <c r="Z73" s="208" t="s">
        <v>81</v>
      </c>
      <c r="AA73" s="208" t="s">
        <v>17</v>
      </c>
      <c r="AB73" s="208" t="s">
        <v>18</v>
      </c>
      <c r="AC73" s="208">
        <v>18</v>
      </c>
      <c r="AD73" s="82" t="s">
        <v>464</v>
      </c>
      <c r="AE73" s="208" t="s">
        <v>20</v>
      </c>
      <c r="AF73" s="208" t="s">
        <v>12</v>
      </c>
      <c r="AG73" s="83">
        <v>20.5</v>
      </c>
      <c r="AH73" s="208" t="s">
        <v>338</v>
      </c>
      <c r="AI73" s="208" t="s">
        <v>75</v>
      </c>
      <c r="AJ73" s="208" t="s">
        <v>11</v>
      </c>
      <c r="AK73" s="208">
        <v>12.5</v>
      </c>
      <c r="AL73" s="82"/>
      <c r="AO73" s="83"/>
      <c r="AP73" s="82"/>
      <c r="AS73" s="83"/>
      <c r="AW73" s="83"/>
      <c r="BA73" s="84"/>
    </row>
    <row r="74" spans="1:53" s="208" customFormat="1">
      <c r="A74" s="208">
        <v>1993</v>
      </c>
      <c r="C74" s="988" t="s">
        <v>444</v>
      </c>
      <c r="D74" s="988"/>
      <c r="E74" s="208">
        <v>0</v>
      </c>
      <c r="G74" s="123">
        <v>3</v>
      </c>
      <c r="H74" s="208">
        <v>2</v>
      </c>
      <c r="I74" s="208">
        <v>2</v>
      </c>
      <c r="J74" s="134">
        <v>7</v>
      </c>
      <c r="K74" s="92">
        <f t="shared" ref="K74:K109" si="9">G74/J74*100</f>
        <v>42.857142857142854</v>
      </c>
      <c r="L74" s="92">
        <f t="shared" ref="L74:L109" si="10">H74/J74*100</f>
        <v>28.571428571428569</v>
      </c>
      <c r="M74" s="92">
        <f t="shared" ref="M74:M109" si="11">I74/J74*100</f>
        <v>28.571428571428569</v>
      </c>
      <c r="N74" s="125">
        <f t="shared" ref="N74:N112" si="12">K74+L74+M74</f>
        <v>99.999999999999986</v>
      </c>
      <c r="O74" s="91">
        <v>34.5</v>
      </c>
      <c r="P74" s="92">
        <v>18</v>
      </c>
      <c r="Q74" s="92">
        <v>20.5</v>
      </c>
      <c r="R74" s="93">
        <f t="shared" si="8"/>
        <v>73</v>
      </c>
      <c r="S74" s="208">
        <v>3</v>
      </c>
      <c r="T74" s="81"/>
      <c r="V74" s="82" t="s">
        <v>132</v>
      </c>
      <c r="W74" s="208" t="s">
        <v>22</v>
      </c>
      <c r="X74" s="208" t="s">
        <v>11</v>
      </c>
      <c r="Y74" s="83">
        <v>22</v>
      </c>
      <c r="Z74" s="208" t="s">
        <v>81</v>
      </c>
      <c r="AA74" s="208" t="s">
        <v>17</v>
      </c>
      <c r="AB74" s="208" t="s">
        <v>18</v>
      </c>
      <c r="AC74" s="208">
        <v>18</v>
      </c>
      <c r="AD74" s="82" t="s">
        <v>464</v>
      </c>
      <c r="AE74" s="208" t="s">
        <v>20</v>
      </c>
      <c r="AF74" s="208" t="s">
        <v>12</v>
      </c>
      <c r="AG74" s="83">
        <v>20.5</v>
      </c>
      <c r="AH74" s="208" t="s">
        <v>338</v>
      </c>
      <c r="AI74" s="208" t="s">
        <v>75</v>
      </c>
      <c r="AJ74" s="208" t="s">
        <v>11</v>
      </c>
      <c r="AK74" s="208">
        <v>12.5</v>
      </c>
      <c r="AL74" s="82"/>
      <c r="AO74" s="83"/>
      <c r="AP74" s="82"/>
      <c r="AS74" s="83"/>
      <c r="AW74" s="83"/>
      <c r="BA74" s="84"/>
    </row>
    <row r="75" spans="1:53" s="208" customFormat="1">
      <c r="A75" s="208">
        <v>1993</v>
      </c>
      <c r="C75" s="988" t="s">
        <v>473</v>
      </c>
      <c r="D75" s="988"/>
      <c r="E75" s="208">
        <f>365-E74</f>
        <v>365</v>
      </c>
      <c r="F75" s="208">
        <v>1</v>
      </c>
      <c r="G75" s="123">
        <v>3</v>
      </c>
      <c r="H75" s="208">
        <v>2</v>
      </c>
      <c r="I75" s="208">
        <v>2</v>
      </c>
      <c r="J75" s="134">
        <v>7</v>
      </c>
      <c r="K75" s="92">
        <f t="shared" si="9"/>
        <v>42.857142857142854</v>
      </c>
      <c r="L75" s="92">
        <f t="shared" si="10"/>
        <v>28.571428571428569</v>
      </c>
      <c r="M75" s="92">
        <f t="shared" si="11"/>
        <v>28.571428571428569</v>
      </c>
      <c r="N75" s="125">
        <f t="shared" si="12"/>
        <v>99.999999999999986</v>
      </c>
      <c r="O75" s="91">
        <v>34.5</v>
      </c>
      <c r="P75" s="92">
        <v>18</v>
      </c>
      <c r="Q75" s="92">
        <v>20.5</v>
      </c>
      <c r="R75" s="93">
        <f t="shared" si="8"/>
        <v>73</v>
      </c>
      <c r="S75" s="208">
        <v>3</v>
      </c>
      <c r="T75" s="81"/>
      <c r="V75" s="82" t="s">
        <v>132</v>
      </c>
      <c r="W75" s="208" t="s">
        <v>22</v>
      </c>
      <c r="X75" s="208" t="s">
        <v>11</v>
      </c>
      <c r="Y75" s="83">
        <v>22</v>
      </c>
      <c r="Z75" s="208" t="s">
        <v>81</v>
      </c>
      <c r="AA75" s="208" t="s">
        <v>17</v>
      </c>
      <c r="AB75" s="208" t="s">
        <v>18</v>
      </c>
      <c r="AC75" s="208">
        <v>18</v>
      </c>
      <c r="AD75" s="82" t="s">
        <v>464</v>
      </c>
      <c r="AE75" s="208" t="s">
        <v>20</v>
      </c>
      <c r="AF75" s="208" t="s">
        <v>12</v>
      </c>
      <c r="AG75" s="83">
        <v>20.5</v>
      </c>
      <c r="AH75" s="208" t="s">
        <v>338</v>
      </c>
      <c r="AI75" s="208" t="s">
        <v>75</v>
      </c>
      <c r="AJ75" s="208" t="s">
        <v>11</v>
      </c>
      <c r="AK75" s="208">
        <v>12.5</v>
      </c>
      <c r="AL75" s="82"/>
      <c r="AO75" s="83"/>
      <c r="AP75" s="82"/>
      <c r="AS75" s="83"/>
      <c r="AW75" s="83"/>
      <c r="BA75" s="84"/>
    </row>
    <row r="76" spans="1:53" s="208" customFormat="1">
      <c r="A76" s="208">
        <v>1994</v>
      </c>
      <c r="C76" s="988" t="s">
        <v>473</v>
      </c>
      <c r="D76" s="988"/>
      <c r="E76" s="208">
        <v>0</v>
      </c>
      <c r="G76" s="123">
        <v>3</v>
      </c>
      <c r="H76" s="208">
        <v>2</v>
      </c>
      <c r="I76" s="208">
        <v>2</v>
      </c>
      <c r="J76" s="134">
        <v>7</v>
      </c>
      <c r="K76" s="92">
        <f t="shared" si="9"/>
        <v>42.857142857142854</v>
      </c>
      <c r="L76" s="92">
        <f t="shared" si="10"/>
        <v>28.571428571428569</v>
      </c>
      <c r="M76" s="92">
        <f t="shared" si="11"/>
        <v>28.571428571428569</v>
      </c>
      <c r="N76" s="125">
        <f t="shared" si="12"/>
        <v>99.999999999999986</v>
      </c>
      <c r="O76" s="91">
        <v>34.5</v>
      </c>
      <c r="P76" s="92">
        <v>18</v>
      </c>
      <c r="Q76" s="92">
        <v>20.5</v>
      </c>
      <c r="R76" s="93">
        <f t="shared" si="8"/>
        <v>73</v>
      </c>
      <c r="S76" s="208">
        <v>3</v>
      </c>
      <c r="T76" s="81"/>
      <c r="V76" s="82" t="s">
        <v>132</v>
      </c>
      <c r="W76" s="208" t="s">
        <v>22</v>
      </c>
      <c r="X76" s="208" t="s">
        <v>11</v>
      </c>
      <c r="Y76" s="83">
        <v>22</v>
      </c>
      <c r="Z76" s="208" t="s">
        <v>81</v>
      </c>
      <c r="AA76" s="208" t="s">
        <v>17</v>
      </c>
      <c r="AB76" s="208" t="s">
        <v>18</v>
      </c>
      <c r="AC76" s="208">
        <v>18</v>
      </c>
      <c r="AD76" s="82" t="s">
        <v>464</v>
      </c>
      <c r="AE76" s="208" t="s">
        <v>20</v>
      </c>
      <c r="AF76" s="208" t="s">
        <v>12</v>
      </c>
      <c r="AG76" s="83">
        <v>20.5</v>
      </c>
      <c r="AH76" s="208" t="s">
        <v>338</v>
      </c>
      <c r="AI76" s="208" t="s">
        <v>75</v>
      </c>
      <c r="AJ76" s="208" t="s">
        <v>11</v>
      </c>
      <c r="AK76" s="208">
        <v>12.5</v>
      </c>
      <c r="AL76" s="82"/>
      <c r="AO76" s="83"/>
      <c r="AP76" s="82"/>
      <c r="AS76" s="83"/>
      <c r="AW76" s="83"/>
      <c r="BA76" s="84"/>
    </row>
    <row r="77" spans="1:53" s="208" customFormat="1">
      <c r="A77" s="208">
        <v>1994</v>
      </c>
      <c r="C77" s="988" t="s">
        <v>449</v>
      </c>
      <c r="D77" s="988"/>
      <c r="E77" s="208">
        <f>365-E76</f>
        <v>365</v>
      </c>
      <c r="F77" s="208">
        <v>1</v>
      </c>
      <c r="G77" s="123">
        <v>3</v>
      </c>
      <c r="H77" s="208">
        <v>2</v>
      </c>
      <c r="I77" s="208">
        <v>2</v>
      </c>
      <c r="J77" s="134">
        <v>7</v>
      </c>
      <c r="K77" s="92">
        <f t="shared" si="9"/>
        <v>42.857142857142854</v>
      </c>
      <c r="L77" s="92">
        <f t="shared" si="10"/>
        <v>28.571428571428569</v>
      </c>
      <c r="M77" s="92">
        <f t="shared" si="11"/>
        <v>28.571428571428569</v>
      </c>
      <c r="N77" s="125">
        <f t="shared" si="12"/>
        <v>99.999999999999986</v>
      </c>
      <c r="O77" s="91">
        <v>34.5</v>
      </c>
      <c r="P77" s="92">
        <v>18</v>
      </c>
      <c r="Q77" s="92">
        <v>20.5</v>
      </c>
      <c r="R77" s="93">
        <f t="shared" si="8"/>
        <v>73</v>
      </c>
      <c r="S77" s="208">
        <v>3</v>
      </c>
      <c r="T77" s="81"/>
      <c r="V77" s="82" t="s">
        <v>132</v>
      </c>
      <c r="W77" s="208" t="s">
        <v>22</v>
      </c>
      <c r="X77" s="208" t="s">
        <v>11</v>
      </c>
      <c r="Y77" s="83">
        <v>22</v>
      </c>
      <c r="Z77" s="208" t="s">
        <v>81</v>
      </c>
      <c r="AA77" s="208" t="s">
        <v>17</v>
      </c>
      <c r="AB77" s="208" t="s">
        <v>18</v>
      </c>
      <c r="AC77" s="208">
        <v>18</v>
      </c>
      <c r="AD77" s="82" t="s">
        <v>464</v>
      </c>
      <c r="AE77" s="208" t="s">
        <v>20</v>
      </c>
      <c r="AF77" s="208" t="s">
        <v>12</v>
      </c>
      <c r="AG77" s="83">
        <v>20.5</v>
      </c>
      <c r="AH77" s="208" t="s">
        <v>338</v>
      </c>
      <c r="AI77" s="208" t="s">
        <v>75</v>
      </c>
      <c r="AJ77" s="208" t="s">
        <v>11</v>
      </c>
      <c r="AK77" s="208">
        <v>12.5</v>
      </c>
      <c r="AL77" s="82"/>
      <c r="AO77" s="83"/>
      <c r="AP77" s="82"/>
      <c r="AS77" s="83"/>
      <c r="AW77" s="83"/>
      <c r="BA77" s="84"/>
    </row>
    <row r="78" spans="1:53" s="208" customFormat="1">
      <c r="A78" s="208">
        <v>1995</v>
      </c>
      <c r="C78" s="988" t="s">
        <v>449</v>
      </c>
      <c r="D78" s="988"/>
      <c r="E78" s="208">
        <v>346</v>
      </c>
      <c r="G78" s="123">
        <v>3</v>
      </c>
      <c r="H78" s="208">
        <v>2</v>
      </c>
      <c r="I78" s="208">
        <v>2</v>
      </c>
      <c r="J78" s="134">
        <v>7</v>
      </c>
      <c r="K78" s="92">
        <f t="shared" si="9"/>
        <v>42.857142857142854</v>
      </c>
      <c r="L78" s="92">
        <f t="shared" si="10"/>
        <v>28.571428571428569</v>
      </c>
      <c r="M78" s="92">
        <f t="shared" si="11"/>
        <v>28.571428571428569</v>
      </c>
      <c r="N78" s="125">
        <f t="shared" si="12"/>
        <v>99.999999999999986</v>
      </c>
      <c r="O78" s="91">
        <v>34.5</v>
      </c>
      <c r="P78" s="92">
        <v>18</v>
      </c>
      <c r="Q78" s="92">
        <v>20.5</v>
      </c>
      <c r="R78" s="93">
        <f t="shared" si="8"/>
        <v>73</v>
      </c>
      <c r="S78" s="208">
        <v>3</v>
      </c>
      <c r="T78" s="81"/>
      <c r="V78" s="82" t="s">
        <v>132</v>
      </c>
      <c r="W78" s="208" t="s">
        <v>22</v>
      </c>
      <c r="X78" s="208" t="s">
        <v>11</v>
      </c>
      <c r="Y78" s="83">
        <v>22</v>
      </c>
      <c r="Z78" s="208" t="s">
        <v>81</v>
      </c>
      <c r="AA78" s="208" t="s">
        <v>17</v>
      </c>
      <c r="AB78" s="208" t="s">
        <v>18</v>
      </c>
      <c r="AC78" s="208">
        <v>18</v>
      </c>
      <c r="AD78" s="82" t="s">
        <v>464</v>
      </c>
      <c r="AE78" s="208" t="s">
        <v>20</v>
      </c>
      <c r="AF78" s="208" t="s">
        <v>12</v>
      </c>
      <c r="AG78" s="83">
        <v>20.5</v>
      </c>
      <c r="AH78" s="208" t="s">
        <v>338</v>
      </c>
      <c r="AI78" s="208" t="s">
        <v>75</v>
      </c>
      <c r="AJ78" s="208" t="s">
        <v>11</v>
      </c>
      <c r="AK78" s="208">
        <v>12.5</v>
      </c>
      <c r="AL78" s="82"/>
      <c r="AO78" s="83"/>
      <c r="AP78" s="82"/>
      <c r="AS78" s="83"/>
      <c r="AW78" s="83"/>
      <c r="BA78" s="84"/>
    </row>
    <row r="79" spans="1:53" s="334" customFormat="1">
      <c r="A79" s="334">
        <v>1995</v>
      </c>
      <c r="B79" s="355">
        <v>35046</v>
      </c>
      <c r="C79" s="992" t="s">
        <v>441</v>
      </c>
      <c r="D79" s="992"/>
      <c r="E79" s="334">
        <f>365-E78</f>
        <v>19</v>
      </c>
      <c r="F79" s="334">
        <v>1</v>
      </c>
      <c r="G79" s="419">
        <v>3</v>
      </c>
      <c r="H79" s="334">
        <v>2</v>
      </c>
      <c r="I79" s="334">
        <v>2</v>
      </c>
      <c r="J79" s="435">
        <v>7</v>
      </c>
      <c r="K79" s="384">
        <f t="shared" si="9"/>
        <v>42.857142857142854</v>
      </c>
      <c r="L79" s="384">
        <f t="shared" si="10"/>
        <v>28.571428571428569</v>
      </c>
      <c r="M79" s="384">
        <f t="shared" si="11"/>
        <v>28.571428571428569</v>
      </c>
      <c r="N79" s="421">
        <f t="shared" si="12"/>
        <v>99.999999999999986</v>
      </c>
      <c r="O79" s="383">
        <v>37</v>
      </c>
      <c r="P79" s="384">
        <v>17</v>
      </c>
      <c r="Q79" s="384">
        <v>27</v>
      </c>
      <c r="R79" s="385">
        <f t="shared" si="8"/>
        <v>81</v>
      </c>
      <c r="S79" s="334">
        <v>3</v>
      </c>
      <c r="T79" s="342">
        <v>34994</v>
      </c>
      <c r="U79" s="355">
        <v>35046</v>
      </c>
      <c r="V79" s="343" t="s">
        <v>132</v>
      </c>
      <c r="W79" s="334" t="s">
        <v>22</v>
      </c>
      <c r="X79" s="334" t="s">
        <v>11</v>
      </c>
      <c r="Y79" s="344">
        <v>22.5</v>
      </c>
      <c r="Z79" s="334" t="s">
        <v>81</v>
      </c>
      <c r="AA79" s="334" t="s">
        <v>17</v>
      </c>
      <c r="AB79" s="334" t="s">
        <v>18</v>
      </c>
      <c r="AC79" s="334">
        <v>17</v>
      </c>
      <c r="AD79" s="343" t="s">
        <v>464</v>
      </c>
      <c r="AE79" s="334" t="s">
        <v>20</v>
      </c>
      <c r="AF79" s="334" t="s">
        <v>12</v>
      </c>
      <c r="AG79" s="344">
        <v>27</v>
      </c>
      <c r="AH79" s="334" t="s">
        <v>338</v>
      </c>
      <c r="AI79" s="334" t="s">
        <v>863</v>
      </c>
      <c r="AJ79" s="334" t="s">
        <v>11</v>
      </c>
      <c r="AK79" s="334">
        <v>14.5</v>
      </c>
      <c r="AL79" s="343"/>
      <c r="AO79" s="344"/>
      <c r="AP79" s="343"/>
      <c r="AS79" s="344"/>
      <c r="AW79" s="344"/>
      <c r="BA79" s="345"/>
    </row>
    <row r="80" spans="1:53" s="334" customFormat="1">
      <c r="A80" s="334">
        <v>1996</v>
      </c>
      <c r="C80" s="992" t="s">
        <v>441</v>
      </c>
      <c r="D80" s="992"/>
      <c r="E80" s="334">
        <v>0</v>
      </c>
      <c r="G80" s="419">
        <v>3</v>
      </c>
      <c r="H80" s="334">
        <v>2</v>
      </c>
      <c r="I80" s="334">
        <v>2</v>
      </c>
      <c r="J80" s="435">
        <v>7</v>
      </c>
      <c r="K80" s="384">
        <f t="shared" si="9"/>
        <v>42.857142857142854</v>
      </c>
      <c r="L80" s="384">
        <f t="shared" si="10"/>
        <v>28.571428571428569</v>
      </c>
      <c r="M80" s="384">
        <f t="shared" si="11"/>
        <v>28.571428571428569</v>
      </c>
      <c r="N80" s="421">
        <f t="shared" si="12"/>
        <v>99.999999999999986</v>
      </c>
      <c r="O80" s="383">
        <v>37</v>
      </c>
      <c r="P80" s="384">
        <v>17</v>
      </c>
      <c r="Q80" s="384">
        <v>27</v>
      </c>
      <c r="R80" s="385">
        <f t="shared" si="8"/>
        <v>81</v>
      </c>
      <c r="S80" s="334">
        <v>3</v>
      </c>
      <c r="T80" s="357"/>
      <c r="V80" s="343" t="s">
        <v>132</v>
      </c>
      <c r="W80" s="334" t="s">
        <v>22</v>
      </c>
      <c r="X80" s="334" t="s">
        <v>11</v>
      </c>
      <c r="Y80" s="344">
        <v>22.5</v>
      </c>
      <c r="Z80" s="334" t="s">
        <v>81</v>
      </c>
      <c r="AA80" s="334" t="s">
        <v>17</v>
      </c>
      <c r="AB80" s="334" t="s">
        <v>18</v>
      </c>
      <c r="AC80" s="334">
        <v>17</v>
      </c>
      <c r="AD80" s="343" t="s">
        <v>464</v>
      </c>
      <c r="AE80" s="334" t="s">
        <v>20</v>
      </c>
      <c r="AF80" s="334" t="s">
        <v>12</v>
      </c>
      <c r="AG80" s="344">
        <v>27</v>
      </c>
      <c r="AH80" s="334" t="s">
        <v>338</v>
      </c>
      <c r="AI80" s="334" t="s">
        <v>863</v>
      </c>
      <c r="AJ80" s="334" t="s">
        <v>11</v>
      </c>
      <c r="AK80" s="334">
        <v>14.5</v>
      </c>
      <c r="AL80" s="343"/>
      <c r="AO80" s="344"/>
      <c r="AP80" s="343"/>
      <c r="AS80" s="344"/>
      <c r="AW80" s="344"/>
      <c r="BA80" s="345"/>
    </row>
    <row r="81" spans="1:53" s="334" customFormat="1">
      <c r="A81" s="334">
        <v>1996</v>
      </c>
      <c r="C81" s="992" t="s">
        <v>446</v>
      </c>
      <c r="D81" s="992"/>
      <c r="E81" s="334">
        <v>366</v>
      </c>
      <c r="F81" s="334">
        <v>1</v>
      </c>
      <c r="G81" s="419">
        <v>3</v>
      </c>
      <c r="H81" s="334">
        <v>2</v>
      </c>
      <c r="I81" s="334">
        <v>2</v>
      </c>
      <c r="J81" s="435">
        <v>7</v>
      </c>
      <c r="K81" s="384">
        <f t="shared" si="9"/>
        <v>42.857142857142854</v>
      </c>
      <c r="L81" s="384">
        <f t="shared" si="10"/>
        <v>28.571428571428569</v>
      </c>
      <c r="M81" s="384">
        <f t="shared" si="11"/>
        <v>28.571428571428569</v>
      </c>
      <c r="N81" s="421">
        <f t="shared" si="12"/>
        <v>99.999999999999986</v>
      </c>
      <c r="O81" s="383">
        <v>37</v>
      </c>
      <c r="P81" s="384">
        <v>17</v>
      </c>
      <c r="Q81" s="384">
        <v>27</v>
      </c>
      <c r="R81" s="385">
        <f t="shared" si="8"/>
        <v>81</v>
      </c>
      <c r="S81" s="334">
        <v>3</v>
      </c>
      <c r="T81" s="357"/>
      <c r="V81" s="343" t="s">
        <v>132</v>
      </c>
      <c r="W81" s="334" t="s">
        <v>22</v>
      </c>
      <c r="X81" s="334" t="s">
        <v>11</v>
      </c>
      <c r="Y81" s="344">
        <v>22.5</v>
      </c>
      <c r="Z81" s="334" t="s">
        <v>81</v>
      </c>
      <c r="AA81" s="334" t="s">
        <v>17</v>
      </c>
      <c r="AB81" s="334" t="s">
        <v>18</v>
      </c>
      <c r="AC81" s="334">
        <v>17</v>
      </c>
      <c r="AD81" s="343" t="s">
        <v>464</v>
      </c>
      <c r="AE81" s="334" t="s">
        <v>20</v>
      </c>
      <c r="AF81" s="334" t="s">
        <v>12</v>
      </c>
      <c r="AG81" s="344">
        <v>27</v>
      </c>
      <c r="AH81" s="334" t="s">
        <v>338</v>
      </c>
      <c r="AI81" s="334" t="s">
        <v>863</v>
      </c>
      <c r="AJ81" s="334" t="s">
        <v>11</v>
      </c>
      <c r="AK81" s="334">
        <v>14.5</v>
      </c>
      <c r="AL81" s="343"/>
      <c r="AO81" s="344"/>
      <c r="AP81" s="343"/>
      <c r="AS81" s="344"/>
      <c r="AW81" s="344"/>
      <c r="BA81" s="345"/>
    </row>
    <row r="82" spans="1:53" s="334" customFormat="1">
      <c r="A82" s="334">
        <v>1997</v>
      </c>
      <c r="C82" s="992" t="s">
        <v>446</v>
      </c>
      <c r="D82" s="992"/>
      <c r="E82" s="334">
        <v>0</v>
      </c>
      <c r="G82" s="419">
        <v>3</v>
      </c>
      <c r="H82" s="334">
        <v>2</v>
      </c>
      <c r="I82" s="334">
        <v>2</v>
      </c>
      <c r="J82" s="435">
        <v>7</v>
      </c>
      <c r="K82" s="384">
        <f t="shared" si="9"/>
        <v>42.857142857142854</v>
      </c>
      <c r="L82" s="384">
        <f t="shared" si="10"/>
        <v>28.571428571428569</v>
      </c>
      <c r="M82" s="384">
        <f t="shared" si="11"/>
        <v>28.571428571428569</v>
      </c>
      <c r="N82" s="421">
        <f t="shared" si="12"/>
        <v>99.999999999999986</v>
      </c>
      <c r="O82" s="383">
        <v>37</v>
      </c>
      <c r="P82" s="384">
        <v>17</v>
      </c>
      <c r="Q82" s="384">
        <v>27</v>
      </c>
      <c r="R82" s="385">
        <f t="shared" si="8"/>
        <v>81</v>
      </c>
      <c r="S82" s="334">
        <v>3</v>
      </c>
      <c r="T82" s="357"/>
      <c r="V82" s="343" t="s">
        <v>132</v>
      </c>
      <c r="W82" s="334" t="s">
        <v>22</v>
      </c>
      <c r="X82" s="334" t="s">
        <v>11</v>
      </c>
      <c r="Y82" s="344">
        <v>22.5</v>
      </c>
      <c r="Z82" s="334" t="s">
        <v>81</v>
      </c>
      <c r="AA82" s="334" t="s">
        <v>17</v>
      </c>
      <c r="AB82" s="334" t="s">
        <v>18</v>
      </c>
      <c r="AC82" s="334">
        <v>17</v>
      </c>
      <c r="AD82" s="343" t="s">
        <v>464</v>
      </c>
      <c r="AE82" s="334" t="s">
        <v>20</v>
      </c>
      <c r="AF82" s="334" t="s">
        <v>12</v>
      </c>
      <c r="AG82" s="344">
        <v>27</v>
      </c>
      <c r="AH82" s="334" t="s">
        <v>338</v>
      </c>
      <c r="AI82" s="334" t="s">
        <v>863</v>
      </c>
      <c r="AJ82" s="334" t="s">
        <v>11</v>
      </c>
      <c r="AK82" s="334">
        <v>14.5</v>
      </c>
      <c r="AL82" s="343"/>
      <c r="AO82" s="344"/>
      <c r="AP82" s="343"/>
      <c r="AS82" s="344"/>
      <c r="AW82" s="344"/>
      <c r="BA82" s="345"/>
    </row>
    <row r="83" spans="1:53" s="334" customFormat="1">
      <c r="A83" s="334">
        <v>1997</v>
      </c>
      <c r="C83" s="992" t="s">
        <v>447</v>
      </c>
      <c r="D83" s="992"/>
      <c r="E83" s="334">
        <f>365-E82</f>
        <v>365</v>
      </c>
      <c r="F83" s="334">
        <v>1</v>
      </c>
      <c r="G83" s="419">
        <v>3</v>
      </c>
      <c r="H83" s="334">
        <v>2</v>
      </c>
      <c r="I83" s="334">
        <v>2</v>
      </c>
      <c r="J83" s="435">
        <v>7</v>
      </c>
      <c r="K83" s="384">
        <f t="shared" si="9"/>
        <v>42.857142857142854</v>
      </c>
      <c r="L83" s="384">
        <f t="shared" si="10"/>
        <v>28.571428571428569</v>
      </c>
      <c r="M83" s="384">
        <f t="shared" si="11"/>
        <v>28.571428571428569</v>
      </c>
      <c r="N83" s="421">
        <f t="shared" si="12"/>
        <v>99.999999999999986</v>
      </c>
      <c r="O83" s="383">
        <v>37</v>
      </c>
      <c r="P83" s="384">
        <v>17</v>
      </c>
      <c r="Q83" s="384">
        <v>27</v>
      </c>
      <c r="R83" s="385">
        <f t="shared" si="8"/>
        <v>81</v>
      </c>
      <c r="S83" s="334">
        <v>3</v>
      </c>
      <c r="T83" s="357"/>
      <c r="V83" s="343" t="s">
        <v>132</v>
      </c>
      <c r="W83" s="334" t="s">
        <v>22</v>
      </c>
      <c r="X83" s="334" t="s">
        <v>11</v>
      </c>
      <c r="Y83" s="344">
        <v>22.5</v>
      </c>
      <c r="Z83" s="334" t="s">
        <v>81</v>
      </c>
      <c r="AA83" s="334" t="s">
        <v>17</v>
      </c>
      <c r="AB83" s="334" t="s">
        <v>18</v>
      </c>
      <c r="AC83" s="334">
        <v>17</v>
      </c>
      <c r="AD83" s="343" t="s">
        <v>464</v>
      </c>
      <c r="AE83" s="334" t="s">
        <v>20</v>
      </c>
      <c r="AF83" s="334" t="s">
        <v>12</v>
      </c>
      <c r="AG83" s="344">
        <v>27</v>
      </c>
      <c r="AH83" s="334" t="s">
        <v>338</v>
      </c>
      <c r="AI83" s="334" t="s">
        <v>863</v>
      </c>
      <c r="AJ83" s="334" t="s">
        <v>11</v>
      </c>
      <c r="AK83" s="334">
        <v>14.5</v>
      </c>
      <c r="AL83" s="343"/>
      <c r="AO83" s="344"/>
      <c r="AP83" s="343"/>
      <c r="AS83" s="344"/>
      <c r="AW83" s="344"/>
      <c r="BA83" s="345"/>
    </row>
    <row r="84" spans="1:53" s="334" customFormat="1">
      <c r="A84" s="334">
        <v>1998</v>
      </c>
      <c r="C84" s="992" t="s">
        <v>447</v>
      </c>
      <c r="D84" s="992"/>
      <c r="E84" s="334">
        <v>0</v>
      </c>
      <c r="G84" s="419">
        <v>3</v>
      </c>
      <c r="H84" s="334">
        <v>2</v>
      </c>
      <c r="I84" s="334">
        <v>2</v>
      </c>
      <c r="J84" s="435">
        <v>7</v>
      </c>
      <c r="K84" s="384">
        <f t="shared" si="9"/>
        <v>42.857142857142854</v>
      </c>
      <c r="L84" s="384">
        <f t="shared" si="10"/>
        <v>28.571428571428569</v>
      </c>
      <c r="M84" s="384">
        <f t="shared" si="11"/>
        <v>28.571428571428569</v>
      </c>
      <c r="N84" s="421">
        <f t="shared" si="12"/>
        <v>99.999999999999986</v>
      </c>
      <c r="O84" s="383">
        <v>37</v>
      </c>
      <c r="P84" s="384">
        <v>17</v>
      </c>
      <c r="Q84" s="384">
        <v>27</v>
      </c>
      <c r="R84" s="385">
        <f t="shared" si="8"/>
        <v>81</v>
      </c>
      <c r="S84" s="334">
        <v>3</v>
      </c>
      <c r="T84" s="357"/>
      <c r="V84" s="343" t="s">
        <v>132</v>
      </c>
      <c r="W84" s="334" t="s">
        <v>22</v>
      </c>
      <c r="X84" s="334" t="s">
        <v>11</v>
      </c>
      <c r="Y84" s="344">
        <v>22.5</v>
      </c>
      <c r="Z84" s="334" t="s">
        <v>81</v>
      </c>
      <c r="AA84" s="334" t="s">
        <v>17</v>
      </c>
      <c r="AB84" s="334" t="s">
        <v>18</v>
      </c>
      <c r="AC84" s="334">
        <v>17</v>
      </c>
      <c r="AD84" s="343" t="s">
        <v>464</v>
      </c>
      <c r="AE84" s="334" t="s">
        <v>20</v>
      </c>
      <c r="AF84" s="334" t="s">
        <v>12</v>
      </c>
      <c r="AG84" s="344">
        <v>27</v>
      </c>
      <c r="AH84" s="334" t="s">
        <v>338</v>
      </c>
      <c r="AI84" s="334" t="s">
        <v>863</v>
      </c>
      <c r="AJ84" s="334" t="s">
        <v>11</v>
      </c>
      <c r="AK84" s="334">
        <v>14.5</v>
      </c>
      <c r="AL84" s="343"/>
      <c r="AO84" s="344"/>
      <c r="AP84" s="343"/>
      <c r="AS84" s="344"/>
      <c r="AW84" s="344"/>
      <c r="BA84" s="345"/>
    </row>
    <row r="85" spans="1:53" s="334" customFormat="1">
      <c r="A85" s="334">
        <v>1998</v>
      </c>
      <c r="C85" s="992" t="s">
        <v>474</v>
      </c>
      <c r="D85" s="992"/>
      <c r="E85" s="334">
        <f>365-E84</f>
        <v>365</v>
      </c>
      <c r="F85" s="334">
        <v>1</v>
      </c>
      <c r="G85" s="419">
        <v>3</v>
      </c>
      <c r="H85" s="334">
        <v>2</v>
      </c>
      <c r="I85" s="334">
        <v>2</v>
      </c>
      <c r="J85" s="435">
        <v>7</v>
      </c>
      <c r="K85" s="384">
        <f t="shared" si="9"/>
        <v>42.857142857142854</v>
      </c>
      <c r="L85" s="384">
        <f t="shared" si="10"/>
        <v>28.571428571428569</v>
      </c>
      <c r="M85" s="384">
        <f t="shared" si="11"/>
        <v>28.571428571428569</v>
      </c>
      <c r="N85" s="421">
        <f t="shared" si="12"/>
        <v>99.999999999999986</v>
      </c>
      <c r="O85" s="383">
        <v>37</v>
      </c>
      <c r="P85" s="384">
        <v>17</v>
      </c>
      <c r="Q85" s="384">
        <v>27</v>
      </c>
      <c r="R85" s="385">
        <f t="shared" si="8"/>
        <v>81</v>
      </c>
      <c r="S85" s="334">
        <v>3</v>
      </c>
      <c r="T85" s="357"/>
      <c r="V85" s="343" t="s">
        <v>132</v>
      </c>
      <c r="W85" s="334" t="s">
        <v>22</v>
      </c>
      <c r="X85" s="334" t="s">
        <v>11</v>
      </c>
      <c r="Y85" s="344">
        <v>22.5</v>
      </c>
      <c r="Z85" s="334" t="s">
        <v>81</v>
      </c>
      <c r="AA85" s="334" t="s">
        <v>17</v>
      </c>
      <c r="AB85" s="334" t="s">
        <v>18</v>
      </c>
      <c r="AC85" s="334">
        <v>17</v>
      </c>
      <c r="AD85" s="343" t="s">
        <v>464</v>
      </c>
      <c r="AE85" s="334" t="s">
        <v>20</v>
      </c>
      <c r="AF85" s="334" t="s">
        <v>12</v>
      </c>
      <c r="AG85" s="344">
        <v>27</v>
      </c>
      <c r="AH85" s="334" t="s">
        <v>338</v>
      </c>
      <c r="AI85" s="334" t="s">
        <v>863</v>
      </c>
      <c r="AJ85" s="334" t="s">
        <v>11</v>
      </c>
      <c r="AK85" s="334">
        <v>14.5</v>
      </c>
      <c r="AL85" s="343"/>
      <c r="AO85" s="344"/>
      <c r="AP85" s="343"/>
      <c r="AS85" s="344"/>
      <c r="AW85" s="344"/>
      <c r="BA85" s="345"/>
    </row>
    <row r="86" spans="1:53" s="334" customFormat="1">
      <c r="A86" s="334">
        <v>1999</v>
      </c>
      <c r="C86" s="992" t="s">
        <v>474</v>
      </c>
      <c r="D86" s="992"/>
      <c r="E86" s="334">
        <v>348</v>
      </c>
      <c r="G86" s="419">
        <v>3</v>
      </c>
      <c r="H86" s="334">
        <v>2</v>
      </c>
      <c r="I86" s="334">
        <v>2</v>
      </c>
      <c r="J86" s="435">
        <v>7</v>
      </c>
      <c r="K86" s="384">
        <f t="shared" si="9"/>
        <v>42.857142857142854</v>
      </c>
      <c r="L86" s="384">
        <f t="shared" si="10"/>
        <v>28.571428571428569</v>
      </c>
      <c r="M86" s="384">
        <f t="shared" si="11"/>
        <v>28.571428571428569</v>
      </c>
      <c r="N86" s="421">
        <f t="shared" si="12"/>
        <v>99.999999999999986</v>
      </c>
      <c r="O86" s="383">
        <v>37</v>
      </c>
      <c r="P86" s="384">
        <v>17</v>
      </c>
      <c r="Q86" s="384">
        <v>27</v>
      </c>
      <c r="R86" s="385">
        <f t="shared" si="8"/>
        <v>81</v>
      </c>
      <c r="S86" s="334">
        <v>3</v>
      </c>
      <c r="T86" s="357"/>
      <c r="V86" s="343" t="s">
        <v>132</v>
      </c>
      <c r="W86" s="334" t="s">
        <v>22</v>
      </c>
      <c r="X86" s="334" t="s">
        <v>11</v>
      </c>
      <c r="Y86" s="344">
        <v>22.5</v>
      </c>
      <c r="Z86" s="334" t="s">
        <v>81</v>
      </c>
      <c r="AA86" s="334" t="s">
        <v>17</v>
      </c>
      <c r="AB86" s="334" t="s">
        <v>18</v>
      </c>
      <c r="AC86" s="334">
        <v>17</v>
      </c>
      <c r="AD86" s="343" t="s">
        <v>464</v>
      </c>
      <c r="AE86" s="334" t="s">
        <v>20</v>
      </c>
      <c r="AF86" s="334" t="s">
        <v>12</v>
      </c>
      <c r="AG86" s="344">
        <v>27</v>
      </c>
      <c r="AH86" s="334" t="s">
        <v>338</v>
      </c>
      <c r="AI86" s="334" t="s">
        <v>863</v>
      </c>
      <c r="AJ86" s="334" t="s">
        <v>11</v>
      </c>
      <c r="AK86" s="334">
        <v>14.5</v>
      </c>
      <c r="AL86" s="343"/>
      <c r="AO86" s="344"/>
      <c r="AP86" s="343"/>
      <c r="AS86" s="344"/>
      <c r="AW86" s="344"/>
      <c r="BA86" s="345"/>
    </row>
    <row r="87" spans="1:53" s="208" customFormat="1">
      <c r="A87" s="208">
        <v>1999</v>
      </c>
      <c r="B87" s="207">
        <v>36509</v>
      </c>
      <c r="C87" s="988" t="s">
        <v>448</v>
      </c>
      <c r="D87" s="988"/>
      <c r="E87" s="208">
        <f>365-E86</f>
        <v>17</v>
      </c>
      <c r="F87" s="208">
        <v>1</v>
      </c>
      <c r="G87" s="123">
        <v>3</v>
      </c>
      <c r="H87" s="208">
        <v>2</v>
      </c>
      <c r="I87" s="208">
        <v>2</v>
      </c>
      <c r="J87" s="134">
        <v>7</v>
      </c>
      <c r="K87" s="92">
        <f t="shared" si="9"/>
        <v>42.857142857142854</v>
      </c>
      <c r="L87" s="92">
        <f t="shared" si="10"/>
        <v>28.571428571428569</v>
      </c>
      <c r="M87" s="92">
        <f t="shared" si="11"/>
        <v>28.571428571428569</v>
      </c>
      <c r="N87" s="125">
        <f t="shared" si="12"/>
        <v>99.999999999999986</v>
      </c>
      <c r="O87" s="91">
        <v>43.5</v>
      </c>
      <c r="P87" s="92">
        <v>17.5</v>
      </c>
      <c r="Q87" s="92">
        <v>25.5</v>
      </c>
      <c r="R87" s="93">
        <f t="shared" si="8"/>
        <v>86.5</v>
      </c>
      <c r="S87" s="208">
        <v>3</v>
      </c>
      <c r="T87" s="95">
        <v>36457</v>
      </c>
      <c r="U87" s="207">
        <v>36509</v>
      </c>
      <c r="V87" s="82" t="s">
        <v>132</v>
      </c>
      <c r="W87" s="208" t="s">
        <v>22</v>
      </c>
      <c r="X87" s="208" t="s">
        <v>11</v>
      </c>
      <c r="Y87" s="83">
        <v>21.5</v>
      </c>
      <c r="Z87" s="208" t="s">
        <v>81</v>
      </c>
      <c r="AA87" s="208" t="s">
        <v>17</v>
      </c>
      <c r="AB87" s="208" t="s">
        <v>18</v>
      </c>
      <c r="AC87" s="208">
        <v>17.5</v>
      </c>
      <c r="AD87" s="82" t="s">
        <v>464</v>
      </c>
      <c r="AE87" s="208" t="s">
        <v>20</v>
      </c>
      <c r="AF87" s="208" t="s">
        <v>12</v>
      </c>
      <c r="AG87" s="83">
        <v>25.5</v>
      </c>
      <c r="AH87" s="208" t="s">
        <v>338</v>
      </c>
      <c r="AI87" s="208" t="s">
        <v>863</v>
      </c>
      <c r="AJ87" s="208" t="s">
        <v>11</v>
      </c>
      <c r="AK87" s="208">
        <v>22</v>
      </c>
      <c r="AL87" s="82"/>
      <c r="AO87" s="83"/>
      <c r="AP87" s="82"/>
      <c r="AS87" s="83"/>
      <c r="AW87" s="83"/>
      <c r="BA87" s="84"/>
    </row>
    <row r="88" spans="1:53" s="208" customFormat="1">
      <c r="A88" s="208">
        <v>2000</v>
      </c>
      <c r="C88" s="988" t="s">
        <v>448</v>
      </c>
      <c r="D88" s="988"/>
      <c r="E88" s="208">
        <v>0</v>
      </c>
      <c r="G88" s="123">
        <v>3</v>
      </c>
      <c r="H88" s="208">
        <v>2</v>
      </c>
      <c r="I88" s="208">
        <v>2</v>
      </c>
      <c r="J88" s="134">
        <v>7</v>
      </c>
      <c r="K88" s="92">
        <f t="shared" si="9"/>
        <v>42.857142857142854</v>
      </c>
      <c r="L88" s="92">
        <f t="shared" si="10"/>
        <v>28.571428571428569</v>
      </c>
      <c r="M88" s="92">
        <f t="shared" si="11"/>
        <v>28.571428571428569</v>
      </c>
      <c r="N88" s="125">
        <f t="shared" si="12"/>
        <v>99.999999999999986</v>
      </c>
      <c r="O88" s="91">
        <v>43.5</v>
      </c>
      <c r="P88" s="92">
        <v>17.5</v>
      </c>
      <c r="Q88" s="92">
        <v>25.5</v>
      </c>
      <c r="R88" s="93">
        <f t="shared" si="8"/>
        <v>86.5</v>
      </c>
      <c r="S88" s="208">
        <v>3</v>
      </c>
      <c r="T88" s="81"/>
      <c r="V88" s="82" t="s">
        <v>132</v>
      </c>
      <c r="W88" s="208" t="s">
        <v>22</v>
      </c>
      <c r="X88" s="208" t="s">
        <v>11</v>
      </c>
      <c r="Y88" s="83">
        <v>21.5</v>
      </c>
      <c r="Z88" s="208" t="s">
        <v>81</v>
      </c>
      <c r="AA88" s="208" t="s">
        <v>17</v>
      </c>
      <c r="AB88" s="208" t="s">
        <v>18</v>
      </c>
      <c r="AC88" s="208">
        <v>17.5</v>
      </c>
      <c r="AD88" s="82" t="s">
        <v>464</v>
      </c>
      <c r="AE88" s="208" t="s">
        <v>20</v>
      </c>
      <c r="AF88" s="208" t="s">
        <v>12</v>
      </c>
      <c r="AG88" s="83">
        <v>25.5</v>
      </c>
      <c r="AH88" s="208" t="s">
        <v>338</v>
      </c>
      <c r="AI88" s="208" t="s">
        <v>863</v>
      </c>
      <c r="AJ88" s="208" t="s">
        <v>11</v>
      </c>
      <c r="AK88" s="208">
        <v>22</v>
      </c>
      <c r="AL88" s="82"/>
      <c r="AO88" s="83"/>
      <c r="AP88" s="82"/>
      <c r="AS88" s="83"/>
      <c r="AW88" s="83"/>
      <c r="BA88" s="84"/>
    </row>
    <row r="89" spans="1:53" s="208" customFormat="1">
      <c r="A89" s="208">
        <v>2000</v>
      </c>
      <c r="C89" s="988" t="s">
        <v>475</v>
      </c>
      <c r="D89" s="988"/>
      <c r="E89" s="208">
        <v>366</v>
      </c>
      <c r="F89" s="208">
        <v>1</v>
      </c>
      <c r="G89" s="123">
        <v>3</v>
      </c>
      <c r="H89" s="208">
        <v>2</v>
      </c>
      <c r="I89" s="208">
        <v>2</v>
      </c>
      <c r="J89" s="134">
        <v>7</v>
      </c>
      <c r="K89" s="92">
        <f t="shared" si="9"/>
        <v>42.857142857142854</v>
      </c>
      <c r="L89" s="92">
        <f t="shared" si="10"/>
        <v>28.571428571428569</v>
      </c>
      <c r="M89" s="92">
        <f t="shared" si="11"/>
        <v>28.571428571428569</v>
      </c>
      <c r="N89" s="125">
        <f t="shared" si="12"/>
        <v>99.999999999999986</v>
      </c>
      <c r="O89" s="91">
        <v>43.5</v>
      </c>
      <c r="P89" s="92">
        <v>17.5</v>
      </c>
      <c r="Q89" s="92">
        <v>25.5</v>
      </c>
      <c r="R89" s="93">
        <f t="shared" si="8"/>
        <v>86.5</v>
      </c>
      <c r="S89" s="208">
        <v>3</v>
      </c>
      <c r="T89" s="81"/>
      <c r="V89" s="82" t="s">
        <v>132</v>
      </c>
      <c r="W89" s="208" t="s">
        <v>22</v>
      </c>
      <c r="X89" s="208" t="s">
        <v>11</v>
      </c>
      <c r="Y89" s="83">
        <v>21.5</v>
      </c>
      <c r="Z89" s="208" t="s">
        <v>81</v>
      </c>
      <c r="AA89" s="208" t="s">
        <v>17</v>
      </c>
      <c r="AB89" s="208" t="s">
        <v>18</v>
      </c>
      <c r="AC89" s="208">
        <v>17.5</v>
      </c>
      <c r="AD89" s="82" t="s">
        <v>464</v>
      </c>
      <c r="AE89" s="208" t="s">
        <v>20</v>
      </c>
      <c r="AF89" s="208" t="s">
        <v>12</v>
      </c>
      <c r="AG89" s="83">
        <v>25.5</v>
      </c>
      <c r="AH89" s="208" t="s">
        <v>338</v>
      </c>
      <c r="AI89" s="208" t="s">
        <v>863</v>
      </c>
      <c r="AJ89" s="208" t="s">
        <v>11</v>
      </c>
      <c r="AK89" s="208">
        <v>22</v>
      </c>
      <c r="AL89" s="82"/>
      <c r="AO89" s="83"/>
      <c r="AP89" s="82"/>
      <c r="AS89" s="83"/>
      <c r="AW89" s="83"/>
      <c r="BA89" s="84"/>
    </row>
    <row r="90" spans="1:53" s="208" customFormat="1">
      <c r="A90" s="208">
        <v>2001</v>
      </c>
      <c r="C90" s="988" t="s">
        <v>475</v>
      </c>
      <c r="D90" s="988"/>
      <c r="E90" s="208">
        <v>0</v>
      </c>
      <c r="G90" s="123">
        <v>3</v>
      </c>
      <c r="H90" s="208">
        <v>2</v>
      </c>
      <c r="I90" s="208">
        <v>2</v>
      </c>
      <c r="J90" s="134">
        <v>7</v>
      </c>
      <c r="K90" s="92">
        <f t="shared" si="9"/>
        <v>42.857142857142854</v>
      </c>
      <c r="L90" s="92">
        <f t="shared" si="10"/>
        <v>28.571428571428569</v>
      </c>
      <c r="M90" s="92">
        <f t="shared" si="11"/>
        <v>28.571428571428569</v>
      </c>
      <c r="N90" s="125">
        <f t="shared" si="12"/>
        <v>99.999999999999986</v>
      </c>
      <c r="O90" s="91">
        <v>43.5</v>
      </c>
      <c r="P90" s="92">
        <v>17.5</v>
      </c>
      <c r="Q90" s="92">
        <v>25.5</v>
      </c>
      <c r="R90" s="93">
        <f t="shared" si="8"/>
        <v>86.5</v>
      </c>
      <c r="S90" s="208">
        <v>3</v>
      </c>
      <c r="T90" s="81"/>
      <c r="V90" s="82" t="s">
        <v>132</v>
      </c>
      <c r="W90" s="208" t="s">
        <v>22</v>
      </c>
      <c r="X90" s="208" t="s">
        <v>11</v>
      </c>
      <c r="Y90" s="83">
        <v>21.5</v>
      </c>
      <c r="Z90" s="208" t="s">
        <v>81</v>
      </c>
      <c r="AA90" s="208" t="s">
        <v>17</v>
      </c>
      <c r="AB90" s="208" t="s">
        <v>18</v>
      </c>
      <c r="AC90" s="208">
        <v>17.5</v>
      </c>
      <c r="AD90" s="82" t="s">
        <v>464</v>
      </c>
      <c r="AE90" s="208" t="s">
        <v>20</v>
      </c>
      <c r="AF90" s="208" t="s">
        <v>12</v>
      </c>
      <c r="AG90" s="83">
        <v>25.5</v>
      </c>
      <c r="AH90" s="208" t="s">
        <v>338</v>
      </c>
      <c r="AI90" s="208" t="s">
        <v>863</v>
      </c>
      <c r="AJ90" s="208" t="s">
        <v>11</v>
      </c>
      <c r="AK90" s="208">
        <v>22</v>
      </c>
      <c r="AL90" s="82"/>
      <c r="AO90" s="83"/>
      <c r="AP90" s="82"/>
      <c r="AS90" s="83"/>
      <c r="AW90" s="83"/>
      <c r="BA90" s="84"/>
    </row>
    <row r="91" spans="1:53" s="208" customFormat="1">
      <c r="A91" s="208">
        <v>2001</v>
      </c>
      <c r="C91" s="988" t="s">
        <v>445</v>
      </c>
      <c r="D91" s="988"/>
      <c r="E91" s="208">
        <f>365-E90</f>
        <v>365</v>
      </c>
      <c r="F91" s="208">
        <v>1</v>
      </c>
      <c r="G91" s="123">
        <v>3</v>
      </c>
      <c r="H91" s="208">
        <v>2</v>
      </c>
      <c r="I91" s="208">
        <v>2</v>
      </c>
      <c r="J91" s="134">
        <v>7</v>
      </c>
      <c r="K91" s="92">
        <f t="shared" si="9"/>
        <v>42.857142857142854</v>
      </c>
      <c r="L91" s="92">
        <f t="shared" si="10"/>
        <v>28.571428571428569</v>
      </c>
      <c r="M91" s="92">
        <f t="shared" si="11"/>
        <v>28.571428571428569</v>
      </c>
      <c r="N91" s="125">
        <f t="shared" si="12"/>
        <v>99.999999999999986</v>
      </c>
      <c r="O91" s="91">
        <v>43.5</v>
      </c>
      <c r="P91" s="92">
        <v>17.5</v>
      </c>
      <c r="Q91" s="92">
        <v>25.5</v>
      </c>
      <c r="R91" s="93">
        <f t="shared" si="8"/>
        <v>86.5</v>
      </c>
      <c r="S91" s="208">
        <v>3</v>
      </c>
      <c r="T91" s="81"/>
      <c r="V91" s="82" t="s">
        <v>132</v>
      </c>
      <c r="W91" s="208" t="s">
        <v>22</v>
      </c>
      <c r="X91" s="208" t="s">
        <v>11</v>
      </c>
      <c r="Y91" s="83">
        <v>21.5</v>
      </c>
      <c r="Z91" s="208" t="s">
        <v>81</v>
      </c>
      <c r="AA91" s="208" t="s">
        <v>17</v>
      </c>
      <c r="AB91" s="208" t="s">
        <v>18</v>
      </c>
      <c r="AC91" s="208">
        <v>17.5</v>
      </c>
      <c r="AD91" s="82" t="s">
        <v>464</v>
      </c>
      <c r="AE91" s="208" t="s">
        <v>20</v>
      </c>
      <c r="AF91" s="208" t="s">
        <v>12</v>
      </c>
      <c r="AG91" s="83">
        <v>25.5</v>
      </c>
      <c r="AH91" s="208" t="s">
        <v>338</v>
      </c>
      <c r="AI91" s="208" t="s">
        <v>863</v>
      </c>
      <c r="AJ91" s="208" t="s">
        <v>11</v>
      </c>
      <c r="AK91" s="208">
        <v>22</v>
      </c>
      <c r="AL91" s="82"/>
      <c r="AO91" s="83"/>
      <c r="AP91" s="82"/>
      <c r="AS91" s="83"/>
      <c r="AW91" s="83"/>
      <c r="BA91" s="84"/>
    </row>
    <row r="92" spans="1:53" s="208" customFormat="1">
      <c r="A92" s="208">
        <v>2002</v>
      </c>
      <c r="C92" s="988" t="s">
        <v>445</v>
      </c>
      <c r="D92" s="988"/>
      <c r="E92" s="208">
        <v>0</v>
      </c>
      <c r="G92" s="123">
        <v>3</v>
      </c>
      <c r="H92" s="208">
        <v>2</v>
      </c>
      <c r="I92" s="208">
        <v>2</v>
      </c>
      <c r="J92" s="134">
        <v>7</v>
      </c>
      <c r="K92" s="92">
        <f t="shared" si="9"/>
        <v>42.857142857142854</v>
      </c>
      <c r="L92" s="92">
        <f t="shared" si="10"/>
        <v>28.571428571428569</v>
      </c>
      <c r="M92" s="92">
        <f t="shared" si="11"/>
        <v>28.571428571428569</v>
      </c>
      <c r="N92" s="125">
        <f t="shared" si="12"/>
        <v>99.999999999999986</v>
      </c>
      <c r="O92" s="91">
        <v>43.5</v>
      </c>
      <c r="P92" s="92">
        <v>17.5</v>
      </c>
      <c r="Q92" s="92">
        <v>25.5</v>
      </c>
      <c r="R92" s="93">
        <f t="shared" si="8"/>
        <v>86.5</v>
      </c>
      <c r="S92" s="208">
        <v>3</v>
      </c>
      <c r="T92" s="81"/>
      <c r="V92" s="82" t="s">
        <v>132</v>
      </c>
      <c r="W92" s="208" t="s">
        <v>22</v>
      </c>
      <c r="X92" s="208" t="s">
        <v>11</v>
      </c>
      <c r="Y92" s="83">
        <v>21.5</v>
      </c>
      <c r="Z92" s="208" t="s">
        <v>81</v>
      </c>
      <c r="AA92" s="208" t="s">
        <v>17</v>
      </c>
      <c r="AB92" s="208" t="s">
        <v>18</v>
      </c>
      <c r="AC92" s="208">
        <v>17.5</v>
      </c>
      <c r="AD92" s="82" t="s">
        <v>464</v>
      </c>
      <c r="AE92" s="208" t="s">
        <v>20</v>
      </c>
      <c r="AF92" s="208" t="s">
        <v>12</v>
      </c>
      <c r="AG92" s="83">
        <v>25.5</v>
      </c>
      <c r="AH92" s="208" t="s">
        <v>338</v>
      </c>
      <c r="AI92" s="208" t="s">
        <v>863</v>
      </c>
      <c r="AJ92" s="208" t="s">
        <v>11</v>
      </c>
      <c r="AK92" s="208">
        <v>22</v>
      </c>
      <c r="AL92" s="82"/>
      <c r="AO92" s="83"/>
      <c r="AP92" s="82"/>
      <c r="AS92" s="83"/>
      <c r="AW92" s="83"/>
      <c r="BA92" s="84"/>
    </row>
    <row r="93" spans="1:53" s="208" customFormat="1">
      <c r="A93" s="208">
        <v>2002</v>
      </c>
      <c r="C93" s="988" t="s">
        <v>450</v>
      </c>
      <c r="D93" s="988"/>
      <c r="E93" s="208">
        <f>365-E92</f>
        <v>365</v>
      </c>
      <c r="F93" s="208">
        <v>1</v>
      </c>
      <c r="G93" s="123">
        <v>3</v>
      </c>
      <c r="H93" s="208">
        <v>2</v>
      </c>
      <c r="I93" s="208">
        <v>2</v>
      </c>
      <c r="J93" s="134">
        <v>7</v>
      </c>
      <c r="K93" s="92">
        <f t="shared" si="9"/>
        <v>42.857142857142854</v>
      </c>
      <c r="L93" s="92">
        <f t="shared" si="10"/>
        <v>28.571428571428569</v>
      </c>
      <c r="M93" s="92">
        <f t="shared" si="11"/>
        <v>28.571428571428569</v>
      </c>
      <c r="N93" s="125">
        <f t="shared" si="12"/>
        <v>99.999999999999986</v>
      </c>
      <c r="O93" s="91">
        <v>43.5</v>
      </c>
      <c r="P93" s="92">
        <v>17.5</v>
      </c>
      <c r="Q93" s="92">
        <v>25.5</v>
      </c>
      <c r="R93" s="93">
        <f t="shared" si="8"/>
        <v>86.5</v>
      </c>
      <c r="S93" s="208">
        <v>3</v>
      </c>
      <c r="T93" s="81"/>
      <c r="V93" s="82" t="s">
        <v>132</v>
      </c>
      <c r="W93" s="208" t="s">
        <v>22</v>
      </c>
      <c r="X93" s="208" t="s">
        <v>11</v>
      </c>
      <c r="Y93" s="83">
        <v>21.5</v>
      </c>
      <c r="Z93" s="208" t="s">
        <v>81</v>
      </c>
      <c r="AA93" s="208" t="s">
        <v>17</v>
      </c>
      <c r="AB93" s="208" t="s">
        <v>18</v>
      </c>
      <c r="AC93" s="208">
        <v>17.5</v>
      </c>
      <c r="AD93" s="82" t="s">
        <v>464</v>
      </c>
      <c r="AE93" s="208" t="s">
        <v>20</v>
      </c>
      <c r="AF93" s="208" t="s">
        <v>12</v>
      </c>
      <c r="AG93" s="83">
        <v>25.5</v>
      </c>
      <c r="AH93" s="208" t="s">
        <v>338</v>
      </c>
      <c r="AI93" s="208" t="s">
        <v>863</v>
      </c>
      <c r="AJ93" s="208" t="s">
        <v>11</v>
      </c>
      <c r="AK93" s="208">
        <v>22</v>
      </c>
      <c r="AL93" s="82"/>
      <c r="AO93" s="83"/>
      <c r="AP93" s="82"/>
      <c r="AS93" s="83"/>
      <c r="AW93" s="83"/>
      <c r="BA93" s="84"/>
    </row>
    <row r="94" spans="1:53" s="208" customFormat="1">
      <c r="A94" s="208">
        <v>2003</v>
      </c>
      <c r="C94" s="988" t="s">
        <v>450</v>
      </c>
      <c r="D94" s="988"/>
      <c r="E94" s="208">
        <v>343</v>
      </c>
      <c r="G94" s="123">
        <v>3</v>
      </c>
      <c r="H94" s="208">
        <v>2</v>
      </c>
      <c r="I94" s="208">
        <v>2</v>
      </c>
      <c r="J94" s="134">
        <v>7</v>
      </c>
      <c r="K94" s="92">
        <f t="shared" si="9"/>
        <v>42.857142857142854</v>
      </c>
      <c r="L94" s="92">
        <f t="shared" si="10"/>
        <v>28.571428571428569</v>
      </c>
      <c r="M94" s="92">
        <f t="shared" si="11"/>
        <v>28.571428571428569</v>
      </c>
      <c r="N94" s="125">
        <f t="shared" si="12"/>
        <v>99.999999999999986</v>
      </c>
      <c r="O94" s="91">
        <v>43.5</v>
      </c>
      <c r="P94" s="92">
        <v>17.5</v>
      </c>
      <c r="Q94" s="92">
        <v>25.5</v>
      </c>
      <c r="R94" s="93">
        <f t="shared" si="8"/>
        <v>86.5</v>
      </c>
      <c r="S94" s="208">
        <v>3</v>
      </c>
      <c r="T94" s="81"/>
      <c r="V94" s="82" t="s">
        <v>132</v>
      </c>
      <c r="W94" s="208" t="s">
        <v>22</v>
      </c>
      <c r="X94" s="208" t="s">
        <v>11</v>
      </c>
      <c r="Y94" s="83">
        <v>21.5</v>
      </c>
      <c r="Z94" s="208" t="s">
        <v>81</v>
      </c>
      <c r="AA94" s="208" t="s">
        <v>17</v>
      </c>
      <c r="AB94" s="208" t="s">
        <v>18</v>
      </c>
      <c r="AC94" s="208">
        <v>17.5</v>
      </c>
      <c r="AD94" s="82" t="s">
        <v>464</v>
      </c>
      <c r="AE94" s="208" t="s">
        <v>20</v>
      </c>
      <c r="AF94" s="208" t="s">
        <v>12</v>
      </c>
      <c r="AG94" s="83">
        <v>25.5</v>
      </c>
      <c r="AH94" s="208" t="s">
        <v>338</v>
      </c>
      <c r="AI94" s="208" t="s">
        <v>863</v>
      </c>
      <c r="AJ94" s="208" t="s">
        <v>11</v>
      </c>
      <c r="AK94" s="208">
        <v>22</v>
      </c>
      <c r="AL94" s="82"/>
      <c r="AO94" s="83"/>
      <c r="AP94" s="82"/>
      <c r="AS94" s="83"/>
      <c r="AW94" s="83"/>
      <c r="BA94" s="84"/>
    </row>
    <row r="95" spans="1:53" s="334" customFormat="1">
      <c r="A95" s="334">
        <v>2003</v>
      </c>
      <c r="B95" s="355">
        <v>37965</v>
      </c>
      <c r="C95" s="992" t="s">
        <v>451</v>
      </c>
      <c r="D95" s="992"/>
      <c r="E95" s="334">
        <f>365-E94</f>
        <v>22</v>
      </c>
      <c r="F95" s="334">
        <v>1</v>
      </c>
      <c r="G95" s="419">
        <v>3</v>
      </c>
      <c r="H95" s="334">
        <v>2</v>
      </c>
      <c r="I95" s="334">
        <v>2</v>
      </c>
      <c r="J95" s="435">
        <v>7</v>
      </c>
      <c r="K95" s="384">
        <f t="shared" si="9"/>
        <v>42.857142857142854</v>
      </c>
      <c r="L95" s="384">
        <f t="shared" si="10"/>
        <v>28.571428571428569</v>
      </c>
      <c r="M95" s="384">
        <f t="shared" si="11"/>
        <v>28.571428571428569</v>
      </c>
      <c r="N95" s="421">
        <f t="shared" si="12"/>
        <v>99.999999999999986</v>
      </c>
      <c r="O95" s="383">
        <v>45.5</v>
      </c>
      <c r="P95" s="384">
        <v>14</v>
      </c>
      <c r="Q95" s="384">
        <v>26</v>
      </c>
      <c r="R95" s="385">
        <f t="shared" si="8"/>
        <v>85.5</v>
      </c>
      <c r="S95" s="334">
        <v>3</v>
      </c>
      <c r="T95" s="342">
        <v>37913</v>
      </c>
      <c r="U95" s="355">
        <v>37965</v>
      </c>
      <c r="V95" s="343" t="s">
        <v>132</v>
      </c>
      <c r="W95" s="334" t="s">
        <v>22</v>
      </c>
      <c r="X95" s="334" t="s">
        <v>11</v>
      </c>
      <c r="Y95" s="344">
        <v>18</v>
      </c>
      <c r="Z95" s="334" t="s">
        <v>81</v>
      </c>
      <c r="AA95" s="334" t="s">
        <v>17</v>
      </c>
      <c r="AB95" s="334" t="s">
        <v>18</v>
      </c>
      <c r="AC95" s="334">
        <v>14</v>
      </c>
      <c r="AD95" s="343" t="s">
        <v>464</v>
      </c>
      <c r="AE95" s="334" t="s">
        <v>20</v>
      </c>
      <c r="AF95" s="334" t="s">
        <v>12</v>
      </c>
      <c r="AG95" s="344">
        <v>26</v>
      </c>
      <c r="AH95" s="334" t="s">
        <v>338</v>
      </c>
      <c r="AI95" s="334" t="s">
        <v>863</v>
      </c>
      <c r="AJ95" s="334" t="s">
        <v>11</v>
      </c>
      <c r="AK95" s="334">
        <v>27.5</v>
      </c>
      <c r="AL95" s="343"/>
      <c r="AO95" s="344"/>
      <c r="AP95" s="343"/>
      <c r="AS95" s="344"/>
      <c r="AW95" s="344"/>
      <c r="BA95" s="345"/>
    </row>
    <row r="96" spans="1:53" s="334" customFormat="1">
      <c r="A96" s="334">
        <v>2004</v>
      </c>
      <c r="C96" s="992" t="s">
        <v>451</v>
      </c>
      <c r="D96" s="992"/>
      <c r="E96" s="334">
        <v>0</v>
      </c>
      <c r="G96" s="419">
        <v>4</v>
      </c>
      <c r="H96" s="334">
        <v>1</v>
      </c>
      <c r="I96" s="334">
        <v>2</v>
      </c>
      <c r="J96" s="435">
        <v>7</v>
      </c>
      <c r="K96" s="384">
        <f t="shared" si="9"/>
        <v>57.142857142857139</v>
      </c>
      <c r="L96" s="384">
        <f t="shared" si="10"/>
        <v>14.285714285714285</v>
      </c>
      <c r="M96" s="384">
        <f t="shared" si="11"/>
        <v>28.571428571428569</v>
      </c>
      <c r="N96" s="421">
        <f t="shared" si="12"/>
        <v>99.999999999999986</v>
      </c>
      <c r="O96" s="383">
        <v>45.5</v>
      </c>
      <c r="P96" s="384">
        <v>14</v>
      </c>
      <c r="Q96" s="384">
        <v>26</v>
      </c>
      <c r="R96" s="385">
        <f t="shared" si="8"/>
        <v>85.5</v>
      </c>
      <c r="S96" s="334">
        <v>3</v>
      </c>
      <c r="T96" s="357"/>
      <c r="V96" s="343" t="s">
        <v>132</v>
      </c>
      <c r="W96" s="334" t="s">
        <v>22</v>
      </c>
      <c r="X96" s="334" t="s">
        <v>11</v>
      </c>
      <c r="Y96" s="344">
        <v>18</v>
      </c>
      <c r="Z96" s="334" t="s">
        <v>81</v>
      </c>
      <c r="AA96" s="334" t="s">
        <v>17</v>
      </c>
      <c r="AB96" s="334" t="s">
        <v>18</v>
      </c>
      <c r="AC96" s="334">
        <v>14</v>
      </c>
      <c r="AD96" s="343" t="s">
        <v>464</v>
      </c>
      <c r="AE96" s="334" t="s">
        <v>20</v>
      </c>
      <c r="AF96" s="334" t="s">
        <v>12</v>
      </c>
      <c r="AG96" s="344">
        <v>26</v>
      </c>
      <c r="AH96" s="334" t="s">
        <v>338</v>
      </c>
      <c r="AI96" s="334" t="s">
        <v>863</v>
      </c>
      <c r="AJ96" s="334" t="s">
        <v>11</v>
      </c>
      <c r="AK96" s="334">
        <v>27.5</v>
      </c>
      <c r="AL96" s="343"/>
      <c r="AO96" s="344"/>
      <c r="AP96" s="343"/>
      <c r="AS96" s="344"/>
      <c r="AW96" s="344"/>
      <c r="BA96" s="345"/>
    </row>
    <row r="97" spans="1:53" s="334" customFormat="1">
      <c r="A97" s="334">
        <v>2004</v>
      </c>
      <c r="C97" s="992" t="s">
        <v>452</v>
      </c>
      <c r="D97" s="992"/>
      <c r="E97" s="334">
        <v>366</v>
      </c>
      <c r="F97" s="334">
        <v>1</v>
      </c>
      <c r="G97" s="419">
        <v>4</v>
      </c>
      <c r="H97" s="334">
        <v>1</v>
      </c>
      <c r="I97" s="334">
        <v>2</v>
      </c>
      <c r="J97" s="435">
        <v>7</v>
      </c>
      <c r="K97" s="384">
        <f t="shared" si="9"/>
        <v>57.142857142857139</v>
      </c>
      <c r="L97" s="384">
        <f t="shared" si="10"/>
        <v>14.285714285714285</v>
      </c>
      <c r="M97" s="384">
        <f t="shared" si="11"/>
        <v>28.571428571428569</v>
      </c>
      <c r="N97" s="421">
        <f t="shared" si="12"/>
        <v>99.999999999999986</v>
      </c>
      <c r="O97" s="383">
        <v>45.5</v>
      </c>
      <c r="P97" s="384">
        <v>14</v>
      </c>
      <c r="Q97" s="384">
        <v>26</v>
      </c>
      <c r="R97" s="385">
        <f t="shared" si="8"/>
        <v>85.5</v>
      </c>
      <c r="S97" s="334">
        <v>3</v>
      </c>
      <c r="T97" s="357"/>
      <c r="V97" s="343" t="s">
        <v>132</v>
      </c>
      <c r="W97" s="334" t="s">
        <v>22</v>
      </c>
      <c r="X97" s="334" t="s">
        <v>11</v>
      </c>
      <c r="Y97" s="344">
        <v>18</v>
      </c>
      <c r="Z97" s="334" t="s">
        <v>81</v>
      </c>
      <c r="AA97" s="334" t="s">
        <v>17</v>
      </c>
      <c r="AB97" s="334" t="s">
        <v>18</v>
      </c>
      <c r="AC97" s="334">
        <v>14</v>
      </c>
      <c r="AD97" s="343" t="s">
        <v>464</v>
      </c>
      <c r="AE97" s="334" t="s">
        <v>20</v>
      </c>
      <c r="AF97" s="334" t="s">
        <v>12</v>
      </c>
      <c r="AG97" s="344">
        <v>26</v>
      </c>
      <c r="AH97" s="334" t="s">
        <v>338</v>
      </c>
      <c r="AI97" s="334" t="s">
        <v>863</v>
      </c>
      <c r="AJ97" s="334" t="s">
        <v>11</v>
      </c>
      <c r="AK97" s="334">
        <v>27.5</v>
      </c>
      <c r="AL97" s="343"/>
      <c r="AO97" s="344"/>
      <c r="AP97" s="343"/>
      <c r="AS97" s="344"/>
      <c r="AW97" s="344"/>
      <c r="BA97" s="345"/>
    </row>
    <row r="98" spans="1:53" s="334" customFormat="1">
      <c r="A98" s="334">
        <v>2005</v>
      </c>
      <c r="C98" s="992" t="s">
        <v>452</v>
      </c>
      <c r="D98" s="992"/>
      <c r="E98" s="334">
        <v>0</v>
      </c>
      <c r="G98" s="419">
        <v>4</v>
      </c>
      <c r="H98" s="334">
        <v>1</v>
      </c>
      <c r="I98" s="334">
        <v>2</v>
      </c>
      <c r="J98" s="435">
        <v>7</v>
      </c>
      <c r="K98" s="384">
        <f t="shared" si="9"/>
        <v>57.142857142857139</v>
      </c>
      <c r="L98" s="384">
        <f t="shared" si="10"/>
        <v>14.285714285714285</v>
      </c>
      <c r="M98" s="384">
        <f t="shared" si="11"/>
        <v>28.571428571428569</v>
      </c>
      <c r="N98" s="421">
        <f t="shared" si="12"/>
        <v>99.999999999999986</v>
      </c>
      <c r="O98" s="383">
        <v>45.5</v>
      </c>
      <c r="P98" s="384">
        <v>14</v>
      </c>
      <c r="Q98" s="384">
        <v>26</v>
      </c>
      <c r="R98" s="385">
        <f t="shared" si="8"/>
        <v>85.5</v>
      </c>
      <c r="S98" s="334">
        <v>3</v>
      </c>
      <c r="T98" s="357"/>
      <c r="V98" s="343" t="s">
        <v>132</v>
      </c>
      <c r="W98" s="334" t="s">
        <v>22</v>
      </c>
      <c r="X98" s="334" t="s">
        <v>11</v>
      </c>
      <c r="Y98" s="344">
        <v>18</v>
      </c>
      <c r="Z98" s="334" t="s">
        <v>81</v>
      </c>
      <c r="AA98" s="334" t="s">
        <v>17</v>
      </c>
      <c r="AB98" s="334" t="s">
        <v>18</v>
      </c>
      <c r="AC98" s="334">
        <v>14</v>
      </c>
      <c r="AD98" s="343" t="s">
        <v>464</v>
      </c>
      <c r="AE98" s="334" t="s">
        <v>20</v>
      </c>
      <c r="AF98" s="334" t="s">
        <v>12</v>
      </c>
      <c r="AG98" s="344">
        <v>26</v>
      </c>
      <c r="AH98" s="334" t="s">
        <v>338</v>
      </c>
      <c r="AI98" s="334" t="s">
        <v>863</v>
      </c>
      <c r="AJ98" s="334" t="s">
        <v>11</v>
      </c>
      <c r="AK98" s="334">
        <v>27.5</v>
      </c>
      <c r="AL98" s="343"/>
      <c r="AO98" s="344"/>
      <c r="AP98" s="343"/>
      <c r="AS98" s="344"/>
      <c r="AW98" s="344"/>
      <c r="BA98" s="345"/>
    </row>
    <row r="99" spans="1:53" s="334" customFormat="1">
      <c r="A99" s="334">
        <v>2005</v>
      </c>
      <c r="C99" s="992" t="s">
        <v>476</v>
      </c>
      <c r="D99" s="992"/>
      <c r="E99" s="334">
        <f>365-E98</f>
        <v>365</v>
      </c>
      <c r="F99" s="334">
        <v>1</v>
      </c>
      <c r="G99" s="419">
        <v>4</v>
      </c>
      <c r="H99" s="334">
        <v>1</v>
      </c>
      <c r="I99" s="334">
        <v>2</v>
      </c>
      <c r="J99" s="435">
        <v>7</v>
      </c>
      <c r="K99" s="384">
        <f t="shared" si="9"/>
        <v>57.142857142857139</v>
      </c>
      <c r="L99" s="384">
        <f t="shared" si="10"/>
        <v>14.285714285714285</v>
      </c>
      <c r="M99" s="384">
        <f t="shared" si="11"/>
        <v>28.571428571428569</v>
      </c>
      <c r="N99" s="421">
        <f t="shared" si="12"/>
        <v>99.999999999999986</v>
      </c>
      <c r="O99" s="383">
        <v>45.5</v>
      </c>
      <c r="P99" s="384">
        <v>14</v>
      </c>
      <c r="Q99" s="384">
        <v>26</v>
      </c>
      <c r="R99" s="385">
        <f t="shared" si="8"/>
        <v>85.5</v>
      </c>
      <c r="S99" s="334">
        <v>3</v>
      </c>
      <c r="T99" s="357"/>
      <c r="V99" s="343" t="s">
        <v>132</v>
      </c>
      <c r="W99" s="334" t="s">
        <v>22</v>
      </c>
      <c r="X99" s="334" t="s">
        <v>11</v>
      </c>
      <c r="Y99" s="344">
        <v>18</v>
      </c>
      <c r="Z99" s="334" t="s">
        <v>81</v>
      </c>
      <c r="AA99" s="334" t="s">
        <v>17</v>
      </c>
      <c r="AB99" s="334" t="s">
        <v>18</v>
      </c>
      <c r="AC99" s="334">
        <v>14</v>
      </c>
      <c r="AD99" s="343" t="s">
        <v>464</v>
      </c>
      <c r="AE99" s="334" t="s">
        <v>20</v>
      </c>
      <c r="AF99" s="334" t="s">
        <v>12</v>
      </c>
      <c r="AG99" s="344">
        <v>26</v>
      </c>
      <c r="AH99" s="334" t="s">
        <v>338</v>
      </c>
      <c r="AI99" s="334" t="s">
        <v>863</v>
      </c>
      <c r="AJ99" s="334" t="s">
        <v>11</v>
      </c>
      <c r="AK99" s="334">
        <v>27.5</v>
      </c>
      <c r="AL99" s="343"/>
      <c r="AO99" s="344"/>
      <c r="AP99" s="343"/>
      <c r="AS99" s="344"/>
      <c r="AW99" s="344"/>
      <c r="BA99" s="345"/>
    </row>
    <row r="100" spans="1:53" s="334" customFormat="1">
      <c r="A100" s="334">
        <v>2006</v>
      </c>
      <c r="C100" s="992" t="s">
        <v>476</v>
      </c>
      <c r="D100" s="992"/>
      <c r="E100" s="334">
        <v>0</v>
      </c>
      <c r="G100" s="419">
        <v>4</v>
      </c>
      <c r="H100" s="334">
        <v>1</v>
      </c>
      <c r="I100" s="334">
        <v>2</v>
      </c>
      <c r="J100" s="435">
        <v>7</v>
      </c>
      <c r="K100" s="384">
        <f t="shared" si="9"/>
        <v>57.142857142857139</v>
      </c>
      <c r="L100" s="384">
        <f t="shared" si="10"/>
        <v>14.285714285714285</v>
      </c>
      <c r="M100" s="384">
        <f t="shared" si="11"/>
        <v>28.571428571428569</v>
      </c>
      <c r="N100" s="421">
        <f t="shared" si="12"/>
        <v>99.999999999999986</v>
      </c>
      <c r="O100" s="383">
        <v>45.5</v>
      </c>
      <c r="P100" s="384">
        <v>14</v>
      </c>
      <c r="Q100" s="384">
        <v>26</v>
      </c>
      <c r="R100" s="385">
        <f t="shared" si="8"/>
        <v>85.5</v>
      </c>
      <c r="S100" s="334">
        <v>3</v>
      </c>
      <c r="T100" s="357"/>
      <c r="V100" s="343" t="s">
        <v>132</v>
      </c>
      <c r="W100" s="334" t="s">
        <v>22</v>
      </c>
      <c r="X100" s="334" t="s">
        <v>11</v>
      </c>
      <c r="Y100" s="344">
        <v>18</v>
      </c>
      <c r="Z100" s="334" t="s">
        <v>81</v>
      </c>
      <c r="AA100" s="334" t="s">
        <v>17</v>
      </c>
      <c r="AB100" s="334" t="s">
        <v>18</v>
      </c>
      <c r="AC100" s="334">
        <v>14</v>
      </c>
      <c r="AD100" s="343" t="s">
        <v>464</v>
      </c>
      <c r="AE100" s="334" t="s">
        <v>20</v>
      </c>
      <c r="AF100" s="334" t="s">
        <v>12</v>
      </c>
      <c r="AG100" s="344">
        <v>26</v>
      </c>
      <c r="AH100" s="334" t="s">
        <v>338</v>
      </c>
      <c r="AI100" s="334" t="s">
        <v>863</v>
      </c>
      <c r="AJ100" s="334" t="s">
        <v>11</v>
      </c>
      <c r="AK100" s="334">
        <v>27.5</v>
      </c>
      <c r="AL100" s="343"/>
      <c r="AO100" s="344"/>
      <c r="AP100" s="343"/>
      <c r="AS100" s="344"/>
      <c r="AW100" s="344"/>
      <c r="BA100" s="345"/>
    </row>
    <row r="101" spans="1:53" s="334" customFormat="1">
      <c r="A101" s="334">
        <v>2006</v>
      </c>
      <c r="C101" s="992" t="s">
        <v>477</v>
      </c>
      <c r="D101" s="992"/>
      <c r="E101" s="334">
        <f>365-E100</f>
        <v>365</v>
      </c>
      <c r="F101" s="334">
        <v>1</v>
      </c>
      <c r="G101" s="419">
        <v>4</v>
      </c>
      <c r="H101" s="334">
        <v>1</v>
      </c>
      <c r="I101" s="334">
        <v>2</v>
      </c>
      <c r="J101" s="435">
        <v>7</v>
      </c>
      <c r="K101" s="384">
        <f t="shared" si="9"/>
        <v>57.142857142857139</v>
      </c>
      <c r="L101" s="384">
        <f t="shared" si="10"/>
        <v>14.285714285714285</v>
      </c>
      <c r="M101" s="384">
        <f t="shared" si="11"/>
        <v>28.571428571428569</v>
      </c>
      <c r="N101" s="421">
        <f t="shared" si="12"/>
        <v>99.999999999999986</v>
      </c>
      <c r="O101" s="383">
        <v>45.5</v>
      </c>
      <c r="P101" s="384">
        <v>14</v>
      </c>
      <c r="Q101" s="384">
        <v>26</v>
      </c>
      <c r="R101" s="385">
        <f t="shared" si="8"/>
        <v>85.5</v>
      </c>
      <c r="S101" s="334">
        <v>3</v>
      </c>
      <c r="T101" s="357"/>
      <c r="V101" s="343" t="s">
        <v>132</v>
      </c>
      <c r="W101" s="334" t="s">
        <v>22</v>
      </c>
      <c r="X101" s="334" t="s">
        <v>11</v>
      </c>
      <c r="Y101" s="344">
        <v>18</v>
      </c>
      <c r="Z101" s="334" t="s">
        <v>81</v>
      </c>
      <c r="AA101" s="334" t="s">
        <v>17</v>
      </c>
      <c r="AB101" s="334" t="s">
        <v>18</v>
      </c>
      <c r="AC101" s="334">
        <v>14</v>
      </c>
      <c r="AD101" s="343" t="s">
        <v>464</v>
      </c>
      <c r="AE101" s="334" t="s">
        <v>20</v>
      </c>
      <c r="AF101" s="334" t="s">
        <v>12</v>
      </c>
      <c r="AG101" s="344">
        <v>26</v>
      </c>
      <c r="AH101" s="334" t="s">
        <v>338</v>
      </c>
      <c r="AI101" s="334" t="s">
        <v>863</v>
      </c>
      <c r="AJ101" s="334" t="s">
        <v>11</v>
      </c>
      <c r="AK101" s="334">
        <v>27.5</v>
      </c>
      <c r="AL101" s="343"/>
      <c r="AO101" s="344"/>
      <c r="AP101" s="343"/>
      <c r="AS101" s="344"/>
      <c r="AW101" s="344"/>
      <c r="BA101" s="345"/>
    </row>
    <row r="102" spans="1:53" s="334" customFormat="1">
      <c r="A102" s="334">
        <v>2007</v>
      </c>
      <c r="C102" s="992" t="s">
        <v>477</v>
      </c>
      <c r="D102" s="992"/>
      <c r="E102" s="334">
        <v>345</v>
      </c>
      <c r="G102" s="419">
        <v>4</v>
      </c>
      <c r="H102" s="334">
        <v>1</v>
      </c>
      <c r="I102" s="334">
        <v>2</v>
      </c>
      <c r="J102" s="435">
        <v>7</v>
      </c>
      <c r="K102" s="384">
        <f t="shared" si="9"/>
        <v>57.142857142857139</v>
      </c>
      <c r="L102" s="384">
        <f t="shared" si="10"/>
        <v>14.285714285714285</v>
      </c>
      <c r="M102" s="384">
        <f t="shared" si="11"/>
        <v>28.571428571428569</v>
      </c>
      <c r="N102" s="421">
        <f t="shared" si="12"/>
        <v>99.999999999999986</v>
      </c>
      <c r="O102" s="383">
        <v>45.5</v>
      </c>
      <c r="P102" s="384">
        <v>14</v>
      </c>
      <c r="Q102" s="384">
        <v>26</v>
      </c>
      <c r="R102" s="385">
        <f t="shared" si="8"/>
        <v>85.5</v>
      </c>
      <c r="S102" s="334">
        <v>3</v>
      </c>
      <c r="T102" s="357"/>
      <c r="V102" s="343" t="s">
        <v>132</v>
      </c>
      <c r="W102" s="334" t="s">
        <v>22</v>
      </c>
      <c r="X102" s="334" t="s">
        <v>11</v>
      </c>
      <c r="Y102" s="344">
        <v>18</v>
      </c>
      <c r="Z102" s="334" t="s">
        <v>81</v>
      </c>
      <c r="AA102" s="334" t="s">
        <v>17</v>
      </c>
      <c r="AB102" s="334" t="s">
        <v>18</v>
      </c>
      <c r="AC102" s="334">
        <v>14</v>
      </c>
      <c r="AD102" s="343" t="s">
        <v>464</v>
      </c>
      <c r="AE102" s="334" t="s">
        <v>20</v>
      </c>
      <c r="AF102" s="334" t="s">
        <v>12</v>
      </c>
      <c r="AG102" s="344">
        <v>26</v>
      </c>
      <c r="AH102" s="334" t="s">
        <v>338</v>
      </c>
      <c r="AI102" s="334" t="s">
        <v>863</v>
      </c>
      <c r="AJ102" s="334" t="s">
        <v>11</v>
      </c>
      <c r="AK102" s="334">
        <v>27.5</v>
      </c>
      <c r="AL102" s="343"/>
      <c r="AO102" s="344"/>
      <c r="AP102" s="343"/>
      <c r="AS102" s="344"/>
      <c r="AW102" s="344"/>
      <c r="BA102" s="345"/>
    </row>
    <row r="103" spans="1:53" s="208" customFormat="1">
      <c r="A103" s="208">
        <v>2007</v>
      </c>
      <c r="B103" s="207">
        <v>39428</v>
      </c>
      <c r="C103" s="988" t="s">
        <v>453</v>
      </c>
      <c r="D103" s="988"/>
      <c r="E103" s="208">
        <f>365-E102</f>
        <v>20</v>
      </c>
      <c r="F103" s="208">
        <v>1</v>
      </c>
      <c r="G103" s="123">
        <v>4</v>
      </c>
      <c r="H103" s="208">
        <v>1</v>
      </c>
      <c r="I103" s="208">
        <v>2</v>
      </c>
      <c r="J103" s="134">
        <v>7</v>
      </c>
      <c r="K103" s="92">
        <f t="shared" si="9"/>
        <v>57.142857142857139</v>
      </c>
      <c r="L103" s="92">
        <f t="shared" si="10"/>
        <v>14.285714285714285</v>
      </c>
      <c r="M103" s="92">
        <f t="shared" si="11"/>
        <v>28.571428571428569</v>
      </c>
      <c r="N103" s="125">
        <f t="shared" si="12"/>
        <v>99.999999999999986</v>
      </c>
      <c r="O103" s="91">
        <v>46.5</v>
      </c>
      <c r="P103" s="92">
        <v>15.5</v>
      </c>
      <c r="Q103" s="92">
        <v>21.5</v>
      </c>
      <c r="R103" s="93">
        <f t="shared" si="8"/>
        <v>83.5</v>
      </c>
      <c r="S103" s="208">
        <v>3</v>
      </c>
      <c r="T103" s="95">
        <v>39376</v>
      </c>
      <c r="U103" s="207">
        <v>39428</v>
      </c>
      <c r="V103" s="82" t="s">
        <v>132</v>
      </c>
      <c r="W103" s="208" t="s">
        <v>22</v>
      </c>
      <c r="X103" s="208" t="s">
        <v>11</v>
      </c>
      <c r="Y103" s="83">
        <v>15.5</v>
      </c>
      <c r="Z103" s="208" t="s">
        <v>81</v>
      </c>
      <c r="AA103" s="208" t="s">
        <v>17</v>
      </c>
      <c r="AB103" s="208" t="s">
        <v>18</v>
      </c>
      <c r="AC103" s="208">
        <v>15.5</v>
      </c>
      <c r="AD103" s="82" t="s">
        <v>464</v>
      </c>
      <c r="AE103" s="208" t="s">
        <v>20</v>
      </c>
      <c r="AF103" s="208" t="s">
        <v>12</v>
      </c>
      <c r="AG103" s="83">
        <v>21.5</v>
      </c>
      <c r="AH103" s="208" t="s">
        <v>338</v>
      </c>
      <c r="AI103" s="208" t="s">
        <v>863</v>
      </c>
      <c r="AJ103" s="208" t="s">
        <v>11</v>
      </c>
      <c r="AK103" s="208">
        <v>31</v>
      </c>
      <c r="AL103" s="82"/>
      <c r="AO103" s="83"/>
      <c r="AP103" s="82"/>
      <c r="AS103" s="83"/>
      <c r="AW103" s="83"/>
      <c r="BA103" s="84"/>
    </row>
    <row r="104" spans="1:53" s="208" customFormat="1">
      <c r="A104" s="208">
        <v>2008</v>
      </c>
      <c r="C104" s="988" t="s">
        <v>453</v>
      </c>
      <c r="D104" s="988"/>
      <c r="E104" s="208">
        <v>0</v>
      </c>
      <c r="G104" s="123">
        <v>4</v>
      </c>
      <c r="H104" s="208">
        <v>1</v>
      </c>
      <c r="I104" s="208">
        <v>2</v>
      </c>
      <c r="J104" s="134">
        <v>7</v>
      </c>
      <c r="K104" s="92">
        <f t="shared" si="9"/>
        <v>57.142857142857139</v>
      </c>
      <c r="L104" s="92">
        <f t="shared" si="10"/>
        <v>14.285714285714285</v>
      </c>
      <c r="M104" s="92">
        <f>I104/J104*100</f>
        <v>28.571428571428569</v>
      </c>
      <c r="N104" s="125">
        <f t="shared" si="12"/>
        <v>99.999999999999986</v>
      </c>
      <c r="O104" s="91">
        <v>46.5</v>
      </c>
      <c r="P104" s="92">
        <v>15.5</v>
      </c>
      <c r="Q104" s="92">
        <v>21.5</v>
      </c>
      <c r="R104" s="93">
        <f t="shared" si="8"/>
        <v>83.5</v>
      </c>
      <c r="S104" s="208">
        <v>3</v>
      </c>
      <c r="T104" s="81"/>
      <c r="V104" s="82" t="s">
        <v>132</v>
      </c>
      <c r="W104" s="208" t="s">
        <v>22</v>
      </c>
      <c r="X104" s="208" t="s">
        <v>11</v>
      </c>
      <c r="Y104" s="83">
        <v>15.5</v>
      </c>
      <c r="Z104" s="208" t="s">
        <v>81</v>
      </c>
      <c r="AA104" s="208" t="s">
        <v>17</v>
      </c>
      <c r="AB104" s="208" t="s">
        <v>18</v>
      </c>
      <c r="AC104" s="208">
        <v>15.5</v>
      </c>
      <c r="AD104" s="82" t="s">
        <v>464</v>
      </c>
      <c r="AE104" s="208" t="s">
        <v>20</v>
      </c>
      <c r="AF104" s="208" t="s">
        <v>12</v>
      </c>
      <c r="AG104" s="83">
        <v>21.5</v>
      </c>
      <c r="AH104" s="208" t="s">
        <v>338</v>
      </c>
      <c r="AI104" s="208" t="s">
        <v>863</v>
      </c>
      <c r="AJ104" s="208" t="s">
        <v>11</v>
      </c>
      <c r="AK104" s="208">
        <v>31</v>
      </c>
      <c r="AL104" s="82"/>
      <c r="AO104" s="83"/>
      <c r="AP104" s="82"/>
      <c r="AS104" s="83"/>
      <c r="AW104" s="83"/>
      <c r="BA104" s="84"/>
    </row>
    <row r="105" spans="1:53" s="208" customFormat="1">
      <c r="A105" s="208">
        <v>2008</v>
      </c>
      <c r="C105" s="988" t="s">
        <v>454</v>
      </c>
      <c r="D105" s="988"/>
      <c r="E105" s="208">
        <v>366</v>
      </c>
      <c r="F105" s="208">
        <v>1</v>
      </c>
      <c r="G105" s="123">
        <v>4</v>
      </c>
      <c r="H105" s="208">
        <v>1</v>
      </c>
      <c r="I105" s="208">
        <v>2</v>
      </c>
      <c r="J105" s="134">
        <v>7</v>
      </c>
      <c r="K105" s="92">
        <f t="shared" si="9"/>
        <v>57.142857142857139</v>
      </c>
      <c r="L105" s="92">
        <f t="shared" si="10"/>
        <v>14.285714285714285</v>
      </c>
      <c r="M105" s="92">
        <f t="shared" si="11"/>
        <v>28.571428571428569</v>
      </c>
      <c r="N105" s="125">
        <f t="shared" si="12"/>
        <v>99.999999999999986</v>
      </c>
      <c r="O105" s="91">
        <v>46.5</v>
      </c>
      <c r="P105" s="92">
        <v>15.5</v>
      </c>
      <c r="Q105" s="92">
        <v>21.5</v>
      </c>
      <c r="R105" s="93">
        <f t="shared" si="8"/>
        <v>83.5</v>
      </c>
      <c r="S105" s="208">
        <v>3</v>
      </c>
      <c r="T105" s="81"/>
      <c r="V105" s="82" t="s">
        <v>132</v>
      </c>
      <c r="W105" s="208" t="s">
        <v>22</v>
      </c>
      <c r="X105" s="208" t="s">
        <v>11</v>
      </c>
      <c r="Y105" s="83">
        <v>15.5</v>
      </c>
      <c r="Z105" s="208" t="s">
        <v>81</v>
      </c>
      <c r="AA105" s="208" t="s">
        <v>17</v>
      </c>
      <c r="AB105" s="208" t="s">
        <v>18</v>
      </c>
      <c r="AC105" s="208">
        <v>15.5</v>
      </c>
      <c r="AD105" s="82" t="s">
        <v>464</v>
      </c>
      <c r="AE105" s="208" t="s">
        <v>20</v>
      </c>
      <c r="AF105" s="208" t="s">
        <v>12</v>
      </c>
      <c r="AG105" s="83">
        <v>21.5</v>
      </c>
      <c r="AH105" s="208" t="s">
        <v>338</v>
      </c>
      <c r="AI105" s="208" t="s">
        <v>863</v>
      </c>
      <c r="AJ105" s="208" t="s">
        <v>11</v>
      </c>
      <c r="AK105" s="208">
        <v>31</v>
      </c>
      <c r="AL105" s="82"/>
      <c r="AO105" s="83"/>
      <c r="AP105" s="82"/>
      <c r="AS105" s="83"/>
      <c r="AW105" s="83"/>
      <c r="BA105" s="84"/>
    </row>
    <row r="106" spans="1:53" s="208" customFormat="1">
      <c r="A106" s="208">
        <v>2009</v>
      </c>
      <c r="C106" s="988" t="s">
        <v>454</v>
      </c>
      <c r="D106" s="988"/>
      <c r="E106" s="208">
        <v>0</v>
      </c>
      <c r="G106" s="123">
        <v>4</v>
      </c>
      <c r="H106" s="208">
        <v>1</v>
      </c>
      <c r="I106" s="208">
        <v>2</v>
      </c>
      <c r="J106" s="134">
        <v>7</v>
      </c>
      <c r="K106" s="92">
        <f t="shared" si="9"/>
        <v>57.142857142857139</v>
      </c>
      <c r="L106" s="92">
        <f t="shared" si="10"/>
        <v>14.285714285714285</v>
      </c>
      <c r="M106" s="92">
        <f t="shared" si="11"/>
        <v>28.571428571428569</v>
      </c>
      <c r="N106" s="125">
        <f t="shared" si="12"/>
        <v>99.999999999999986</v>
      </c>
      <c r="O106" s="91">
        <v>46.5</v>
      </c>
      <c r="P106" s="92">
        <v>15.5</v>
      </c>
      <c r="Q106" s="92">
        <v>21.5</v>
      </c>
      <c r="R106" s="93">
        <f t="shared" si="8"/>
        <v>83.5</v>
      </c>
      <c r="S106" s="208">
        <v>3</v>
      </c>
      <c r="T106" s="81"/>
      <c r="V106" s="82" t="s">
        <v>132</v>
      </c>
      <c r="W106" s="208" t="s">
        <v>22</v>
      </c>
      <c r="X106" s="208" t="s">
        <v>11</v>
      </c>
      <c r="Y106" s="83">
        <v>15.5</v>
      </c>
      <c r="Z106" s="208" t="s">
        <v>81</v>
      </c>
      <c r="AA106" s="208" t="s">
        <v>17</v>
      </c>
      <c r="AB106" s="208" t="s">
        <v>18</v>
      </c>
      <c r="AC106" s="208">
        <v>15.5</v>
      </c>
      <c r="AD106" s="82" t="s">
        <v>464</v>
      </c>
      <c r="AE106" s="208" t="s">
        <v>20</v>
      </c>
      <c r="AF106" s="208" t="s">
        <v>12</v>
      </c>
      <c r="AG106" s="83">
        <v>21.5</v>
      </c>
      <c r="AH106" s="208" t="s">
        <v>338</v>
      </c>
      <c r="AI106" s="208" t="s">
        <v>863</v>
      </c>
      <c r="AJ106" s="208" t="s">
        <v>11</v>
      </c>
      <c r="AK106" s="208">
        <v>31</v>
      </c>
      <c r="AL106" s="82"/>
      <c r="AO106" s="83"/>
      <c r="AP106" s="82"/>
      <c r="AS106" s="83"/>
      <c r="AW106" s="83"/>
      <c r="BA106" s="84"/>
    </row>
    <row r="107" spans="1:53" s="208" customFormat="1">
      <c r="A107" s="208">
        <v>2009</v>
      </c>
      <c r="C107" s="988" t="s">
        <v>455</v>
      </c>
      <c r="D107" s="988"/>
      <c r="E107" s="208">
        <v>365</v>
      </c>
      <c r="F107" s="208">
        <v>1</v>
      </c>
      <c r="G107" s="123">
        <v>4</v>
      </c>
      <c r="H107" s="208">
        <v>1</v>
      </c>
      <c r="I107" s="208">
        <v>2</v>
      </c>
      <c r="J107" s="134">
        <v>7</v>
      </c>
      <c r="K107" s="92">
        <f t="shared" si="9"/>
        <v>57.142857142857139</v>
      </c>
      <c r="L107" s="92">
        <f t="shared" si="10"/>
        <v>14.285714285714285</v>
      </c>
      <c r="M107" s="92">
        <f t="shared" si="11"/>
        <v>28.571428571428569</v>
      </c>
      <c r="N107" s="125">
        <f t="shared" si="12"/>
        <v>99.999999999999986</v>
      </c>
      <c r="O107" s="91">
        <v>46.5</v>
      </c>
      <c r="P107" s="92">
        <v>15.5</v>
      </c>
      <c r="Q107" s="92">
        <v>21.5</v>
      </c>
      <c r="R107" s="93">
        <f t="shared" si="8"/>
        <v>83.5</v>
      </c>
      <c r="S107" s="208">
        <v>3</v>
      </c>
      <c r="T107" s="81"/>
      <c r="V107" s="82" t="s">
        <v>132</v>
      </c>
      <c r="W107" s="208" t="s">
        <v>22</v>
      </c>
      <c r="X107" s="208" t="s">
        <v>11</v>
      </c>
      <c r="Y107" s="83">
        <v>15.5</v>
      </c>
      <c r="Z107" s="208" t="s">
        <v>81</v>
      </c>
      <c r="AA107" s="208" t="s">
        <v>17</v>
      </c>
      <c r="AB107" s="208" t="s">
        <v>18</v>
      </c>
      <c r="AC107" s="208">
        <v>15.5</v>
      </c>
      <c r="AD107" s="82" t="s">
        <v>464</v>
      </c>
      <c r="AE107" s="208" t="s">
        <v>20</v>
      </c>
      <c r="AF107" s="208" t="s">
        <v>12</v>
      </c>
      <c r="AG107" s="83">
        <v>21.5</v>
      </c>
      <c r="AH107" s="208" t="s">
        <v>338</v>
      </c>
      <c r="AI107" s="208" t="s">
        <v>863</v>
      </c>
      <c r="AJ107" s="208" t="s">
        <v>11</v>
      </c>
      <c r="AK107" s="208">
        <v>31</v>
      </c>
      <c r="AL107" s="82"/>
      <c r="AO107" s="83"/>
      <c r="AP107" s="82"/>
      <c r="AS107" s="83"/>
      <c r="AW107" s="83"/>
      <c r="BA107" s="84"/>
    </row>
    <row r="108" spans="1:53" s="208" customFormat="1">
      <c r="A108" s="208">
        <v>2010</v>
      </c>
      <c r="C108" s="988" t="s">
        <v>455</v>
      </c>
      <c r="D108" s="988"/>
      <c r="E108" s="208">
        <v>0</v>
      </c>
      <c r="G108" s="123">
        <v>4</v>
      </c>
      <c r="H108" s="208">
        <v>1</v>
      </c>
      <c r="I108" s="208">
        <v>2</v>
      </c>
      <c r="J108" s="134">
        <v>7</v>
      </c>
      <c r="K108" s="92">
        <f t="shared" si="9"/>
        <v>57.142857142857139</v>
      </c>
      <c r="L108" s="92">
        <f t="shared" si="10"/>
        <v>14.285714285714285</v>
      </c>
      <c r="M108" s="92">
        <f t="shared" si="11"/>
        <v>28.571428571428569</v>
      </c>
      <c r="N108" s="125">
        <f t="shared" si="12"/>
        <v>99.999999999999986</v>
      </c>
      <c r="O108" s="91">
        <v>46.5</v>
      </c>
      <c r="P108" s="92">
        <v>15.5</v>
      </c>
      <c r="Q108" s="92">
        <v>21.5</v>
      </c>
      <c r="R108" s="93">
        <f t="shared" si="8"/>
        <v>83.5</v>
      </c>
      <c r="S108" s="208">
        <v>3</v>
      </c>
      <c r="T108" s="81"/>
      <c r="V108" s="82" t="s">
        <v>132</v>
      </c>
      <c r="W108" s="208" t="s">
        <v>22</v>
      </c>
      <c r="X108" s="208" t="s">
        <v>11</v>
      </c>
      <c r="Y108" s="83">
        <v>15.5</v>
      </c>
      <c r="Z108" s="208" t="s">
        <v>81</v>
      </c>
      <c r="AA108" s="208" t="s">
        <v>17</v>
      </c>
      <c r="AB108" s="208" t="s">
        <v>18</v>
      </c>
      <c r="AC108" s="208">
        <v>15.5</v>
      </c>
      <c r="AD108" s="82" t="s">
        <v>464</v>
      </c>
      <c r="AE108" s="208" t="s">
        <v>20</v>
      </c>
      <c r="AF108" s="208" t="s">
        <v>12</v>
      </c>
      <c r="AG108" s="83">
        <v>21.5</v>
      </c>
      <c r="AH108" s="208" t="s">
        <v>338</v>
      </c>
      <c r="AI108" s="208" t="s">
        <v>863</v>
      </c>
      <c r="AJ108" s="208" t="s">
        <v>11</v>
      </c>
      <c r="AK108" s="208">
        <v>31</v>
      </c>
      <c r="AL108" s="82"/>
      <c r="AO108" s="83"/>
      <c r="AP108" s="82"/>
      <c r="AS108" s="83"/>
      <c r="AW108" s="83"/>
      <c r="BA108" s="84"/>
    </row>
    <row r="109" spans="1:53" s="208" customFormat="1">
      <c r="A109" s="208">
        <v>2010</v>
      </c>
      <c r="C109" s="988" t="s">
        <v>478</v>
      </c>
      <c r="D109" s="988"/>
      <c r="E109" s="208">
        <v>365</v>
      </c>
      <c r="F109" s="208">
        <v>1</v>
      </c>
      <c r="G109" s="123">
        <v>4</v>
      </c>
      <c r="H109" s="208">
        <v>1</v>
      </c>
      <c r="I109" s="208">
        <v>2</v>
      </c>
      <c r="J109" s="134">
        <v>7</v>
      </c>
      <c r="K109" s="92">
        <f t="shared" si="9"/>
        <v>57.142857142857139</v>
      </c>
      <c r="L109" s="92">
        <f t="shared" si="10"/>
        <v>14.285714285714285</v>
      </c>
      <c r="M109" s="92">
        <f t="shared" si="11"/>
        <v>28.571428571428569</v>
      </c>
      <c r="N109" s="125">
        <f t="shared" si="12"/>
        <v>99.999999999999986</v>
      </c>
      <c r="O109" s="91">
        <v>46.5</v>
      </c>
      <c r="P109" s="92">
        <v>15.5</v>
      </c>
      <c r="Q109" s="92">
        <v>21.5</v>
      </c>
      <c r="R109" s="93">
        <f t="shared" si="8"/>
        <v>83.5</v>
      </c>
      <c r="S109" s="208">
        <v>3</v>
      </c>
      <c r="T109" s="81"/>
      <c r="V109" s="82" t="s">
        <v>132</v>
      </c>
      <c r="W109" s="208" t="s">
        <v>22</v>
      </c>
      <c r="X109" s="208" t="s">
        <v>11</v>
      </c>
      <c r="Y109" s="83">
        <v>15.5</v>
      </c>
      <c r="Z109" s="208" t="s">
        <v>81</v>
      </c>
      <c r="AA109" s="208" t="s">
        <v>17</v>
      </c>
      <c r="AB109" s="208" t="s">
        <v>18</v>
      </c>
      <c r="AC109" s="208">
        <v>15.5</v>
      </c>
      <c r="AD109" s="82" t="s">
        <v>464</v>
      </c>
      <c r="AE109" s="208" t="s">
        <v>20</v>
      </c>
      <c r="AF109" s="208" t="s">
        <v>12</v>
      </c>
      <c r="AG109" s="83">
        <v>21.5</v>
      </c>
      <c r="AH109" s="208" t="s">
        <v>338</v>
      </c>
      <c r="AI109" s="208" t="s">
        <v>863</v>
      </c>
      <c r="AJ109" s="208" t="s">
        <v>11</v>
      </c>
      <c r="AK109" s="208">
        <v>31</v>
      </c>
      <c r="AL109" s="82"/>
      <c r="AO109" s="83"/>
      <c r="AP109" s="82"/>
      <c r="AS109" s="83"/>
      <c r="AW109" s="83"/>
      <c r="BA109" s="84"/>
    </row>
    <row r="110" spans="1:53" s="208" customFormat="1">
      <c r="A110" s="208">
        <v>2011</v>
      </c>
      <c r="C110" s="988" t="s">
        <v>478</v>
      </c>
      <c r="D110" s="988"/>
      <c r="E110" s="208">
        <v>347</v>
      </c>
      <c r="G110" s="123">
        <v>4</v>
      </c>
      <c r="H110" s="208">
        <v>1</v>
      </c>
      <c r="I110" s="208">
        <v>2</v>
      </c>
      <c r="J110" s="134">
        <v>7</v>
      </c>
      <c r="K110" s="92">
        <f t="shared" ref="K110:K112" si="13">G110/J110*100</f>
        <v>57.142857142857139</v>
      </c>
      <c r="L110" s="92">
        <f t="shared" ref="L110:L112" si="14">H110/J110*100</f>
        <v>14.285714285714285</v>
      </c>
      <c r="M110" s="92">
        <f t="shared" ref="M110:M112" si="15">I110/J110*100</f>
        <v>28.571428571428569</v>
      </c>
      <c r="N110" s="125">
        <f t="shared" si="12"/>
        <v>99.999999999999986</v>
      </c>
      <c r="O110" s="91">
        <v>46.5</v>
      </c>
      <c r="P110" s="92">
        <v>15.5</v>
      </c>
      <c r="Q110" s="92">
        <v>21.5</v>
      </c>
      <c r="R110" s="93">
        <f t="shared" si="8"/>
        <v>83.5</v>
      </c>
      <c r="S110" s="208">
        <v>3</v>
      </c>
      <c r="T110" s="81"/>
      <c r="V110" s="82" t="s">
        <v>132</v>
      </c>
      <c r="W110" s="208" t="s">
        <v>22</v>
      </c>
      <c r="X110" s="208" t="s">
        <v>11</v>
      </c>
      <c r="Y110" s="83">
        <v>15.5</v>
      </c>
      <c r="Z110" s="208" t="s">
        <v>81</v>
      </c>
      <c r="AA110" s="208" t="s">
        <v>17</v>
      </c>
      <c r="AB110" s="208" t="s">
        <v>18</v>
      </c>
      <c r="AC110" s="208">
        <v>15.5</v>
      </c>
      <c r="AD110" s="82" t="s">
        <v>464</v>
      </c>
      <c r="AE110" s="208" t="s">
        <v>20</v>
      </c>
      <c r="AF110" s="208" t="s">
        <v>12</v>
      </c>
      <c r="AG110" s="83">
        <v>21.5</v>
      </c>
      <c r="AH110" s="208" t="s">
        <v>338</v>
      </c>
      <c r="AI110" s="208" t="s">
        <v>863</v>
      </c>
      <c r="AJ110" s="208" t="s">
        <v>11</v>
      </c>
      <c r="AK110" s="208">
        <v>31</v>
      </c>
      <c r="AL110" s="82"/>
      <c r="AO110" s="83"/>
      <c r="AP110" s="82"/>
      <c r="AS110" s="83"/>
      <c r="AW110" s="83"/>
      <c r="BA110" s="84"/>
    </row>
    <row r="111" spans="1:53" s="334" customFormat="1">
      <c r="A111" s="334">
        <v>2011</v>
      </c>
      <c r="B111" s="355">
        <v>40891</v>
      </c>
      <c r="C111" s="992" t="s">
        <v>456</v>
      </c>
      <c r="D111" s="992"/>
      <c r="E111" s="334">
        <f>365-E110</f>
        <v>18</v>
      </c>
      <c r="F111" s="334">
        <v>1</v>
      </c>
      <c r="G111" s="419">
        <v>4</v>
      </c>
      <c r="H111" s="334">
        <v>1</v>
      </c>
      <c r="I111" s="334">
        <v>2</v>
      </c>
      <c r="J111" s="435">
        <v>7</v>
      </c>
      <c r="K111" s="384">
        <f t="shared" si="13"/>
        <v>57.142857142857139</v>
      </c>
      <c r="L111" s="384">
        <f t="shared" si="14"/>
        <v>14.285714285714285</v>
      </c>
      <c r="M111" s="384">
        <f t="shared" si="15"/>
        <v>28.571428571428569</v>
      </c>
      <c r="N111" s="421">
        <f t="shared" si="12"/>
        <v>99.999999999999986</v>
      </c>
      <c r="O111" s="383">
        <v>46.5</v>
      </c>
      <c r="P111" s="384">
        <v>14</v>
      </c>
      <c r="Q111" s="384">
        <v>23</v>
      </c>
      <c r="R111" s="385">
        <f t="shared" si="8"/>
        <v>83.5</v>
      </c>
      <c r="S111" s="334">
        <v>3</v>
      </c>
      <c r="T111" s="342">
        <v>40839</v>
      </c>
      <c r="U111" s="355">
        <v>40891</v>
      </c>
      <c r="V111" s="343" t="s">
        <v>132</v>
      </c>
      <c r="W111" s="334" t="s">
        <v>22</v>
      </c>
      <c r="X111" s="334" t="s">
        <v>11</v>
      </c>
      <c r="Y111" s="344">
        <v>15</v>
      </c>
      <c r="Z111" s="334" t="s">
        <v>81</v>
      </c>
      <c r="AA111" s="334" t="s">
        <v>17</v>
      </c>
      <c r="AB111" s="334" t="s">
        <v>18</v>
      </c>
      <c r="AC111" s="334">
        <v>14</v>
      </c>
      <c r="AD111" s="343" t="s">
        <v>464</v>
      </c>
      <c r="AE111" s="334" t="s">
        <v>20</v>
      </c>
      <c r="AF111" s="334" t="s">
        <v>12</v>
      </c>
      <c r="AG111" s="344">
        <v>23</v>
      </c>
      <c r="AH111" s="334" t="s">
        <v>338</v>
      </c>
      <c r="AI111" s="334" t="s">
        <v>863</v>
      </c>
      <c r="AJ111" s="334" t="s">
        <v>11</v>
      </c>
      <c r="AK111" s="334">
        <v>27</v>
      </c>
      <c r="AL111" s="343" t="s">
        <v>339</v>
      </c>
      <c r="AM111" s="334" t="s">
        <v>74</v>
      </c>
      <c r="AN111" s="334" t="s">
        <v>11</v>
      </c>
      <c r="AO111" s="344">
        <v>4.5</v>
      </c>
      <c r="AP111" s="343"/>
      <c r="AS111" s="344"/>
      <c r="AW111" s="344"/>
      <c r="BA111" s="345"/>
    </row>
    <row r="112" spans="1:53" s="334" customFormat="1">
      <c r="A112" s="334">
        <v>2012</v>
      </c>
      <c r="C112" s="992" t="s">
        <v>456</v>
      </c>
      <c r="D112" s="992"/>
      <c r="E112" s="334">
        <v>0</v>
      </c>
      <c r="G112" s="419">
        <v>4</v>
      </c>
      <c r="H112" s="334">
        <v>1</v>
      </c>
      <c r="I112" s="334">
        <v>2</v>
      </c>
      <c r="J112" s="435">
        <v>7</v>
      </c>
      <c r="K112" s="384">
        <f t="shared" si="13"/>
        <v>57.142857142857139</v>
      </c>
      <c r="L112" s="384">
        <f t="shared" si="14"/>
        <v>14.285714285714285</v>
      </c>
      <c r="M112" s="384">
        <f t="shared" si="15"/>
        <v>28.571428571428569</v>
      </c>
      <c r="N112" s="421">
        <f t="shared" si="12"/>
        <v>99.999999999999986</v>
      </c>
      <c r="O112" s="383">
        <v>46.5</v>
      </c>
      <c r="P112" s="384">
        <v>14</v>
      </c>
      <c r="Q112" s="384">
        <v>23</v>
      </c>
      <c r="R112" s="385">
        <f t="shared" si="8"/>
        <v>83.5</v>
      </c>
      <c r="S112" s="334">
        <v>3</v>
      </c>
      <c r="T112" s="357"/>
      <c r="V112" s="343" t="s">
        <v>132</v>
      </c>
      <c r="W112" s="334" t="s">
        <v>22</v>
      </c>
      <c r="X112" s="334" t="s">
        <v>11</v>
      </c>
      <c r="Y112" s="344">
        <v>15</v>
      </c>
      <c r="Z112" s="334" t="s">
        <v>81</v>
      </c>
      <c r="AA112" s="334" t="s">
        <v>17</v>
      </c>
      <c r="AB112" s="334" t="s">
        <v>18</v>
      </c>
      <c r="AC112" s="334">
        <v>14</v>
      </c>
      <c r="AD112" s="343" t="s">
        <v>464</v>
      </c>
      <c r="AE112" s="334" t="s">
        <v>20</v>
      </c>
      <c r="AF112" s="334" t="s">
        <v>12</v>
      </c>
      <c r="AG112" s="344">
        <v>23</v>
      </c>
      <c r="AH112" s="334" t="s">
        <v>338</v>
      </c>
      <c r="AI112" s="334" t="s">
        <v>863</v>
      </c>
      <c r="AJ112" s="334" t="s">
        <v>11</v>
      </c>
      <c r="AK112" s="334">
        <v>27</v>
      </c>
      <c r="AL112" s="343" t="s">
        <v>339</v>
      </c>
      <c r="AM112" s="334" t="s">
        <v>74</v>
      </c>
      <c r="AN112" s="334" t="s">
        <v>11</v>
      </c>
      <c r="AO112" s="344">
        <v>4.5</v>
      </c>
      <c r="AP112" s="343"/>
      <c r="AS112" s="344"/>
      <c r="AW112" s="344"/>
      <c r="BA112" s="345"/>
    </row>
    <row r="113" spans="1:53" s="334" customFormat="1">
      <c r="A113" s="334">
        <v>2012</v>
      </c>
      <c r="B113" s="355"/>
      <c r="C113" s="992" t="s">
        <v>457</v>
      </c>
      <c r="D113" s="992"/>
      <c r="E113" s="334">
        <v>366</v>
      </c>
      <c r="F113" s="334">
        <v>1</v>
      </c>
      <c r="G113" s="419">
        <v>4</v>
      </c>
      <c r="H113" s="334">
        <v>1</v>
      </c>
      <c r="I113" s="334">
        <v>2</v>
      </c>
      <c r="J113" s="435">
        <v>7</v>
      </c>
      <c r="K113" s="640">
        <f t="shared" ref="K113:K123" si="16">G113/J113*100</f>
        <v>57.142857142857139</v>
      </c>
      <c r="L113" s="640">
        <f t="shared" ref="L113:L123" si="17">H113/J113*100</f>
        <v>14.285714285714285</v>
      </c>
      <c r="M113" s="640">
        <f t="shared" ref="M113:M123" si="18">I113/J113*100</f>
        <v>28.571428571428569</v>
      </c>
      <c r="N113" s="643">
        <f t="shared" ref="N113:N123" si="19">K113+L113+M113</f>
        <v>99.999999999999986</v>
      </c>
      <c r="O113" s="383">
        <v>46.5</v>
      </c>
      <c r="P113" s="384">
        <v>14</v>
      </c>
      <c r="Q113" s="384">
        <v>23</v>
      </c>
      <c r="R113" s="385">
        <f t="shared" si="8"/>
        <v>83.5</v>
      </c>
      <c r="S113" s="334">
        <v>3</v>
      </c>
      <c r="T113" s="357"/>
      <c r="V113" s="343" t="s">
        <v>132</v>
      </c>
      <c r="W113" s="334" t="s">
        <v>22</v>
      </c>
      <c r="X113" s="334" t="s">
        <v>11</v>
      </c>
      <c r="Y113" s="344">
        <v>15</v>
      </c>
      <c r="Z113" s="334" t="s">
        <v>81</v>
      </c>
      <c r="AA113" s="334" t="s">
        <v>17</v>
      </c>
      <c r="AB113" s="334" t="s">
        <v>18</v>
      </c>
      <c r="AC113" s="334">
        <v>14</v>
      </c>
      <c r="AD113" s="343" t="s">
        <v>464</v>
      </c>
      <c r="AE113" s="334" t="s">
        <v>20</v>
      </c>
      <c r="AF113" s="334" t="s">
        <v>12</v>
      </c>
      <c r="AG113" s="344">
        <v>23</v>
      </c>
      <c r="AH113" s="334" t="s">
        <v>338</v>
      </c>
      <c r="AI113" s="334" t="s">
        <v>863</v>
      </c>
      <c r="AJ113" s="334" t="s">
        <v>11</v>
      </c>
      <c r="AK113" s="334">
        <v>27</v>
      </c>
      <c r="AL113" s="343" t="s">
        <v>339</v>
      </c>
      <c r="AM113" s="334" t="s">
        <v>74</v>
      </c>
      <c r="AN113" s="334" t="s">
        <v>11</v>
      </c>
      <c r="AO113" s="344">
        <v>4.5</v>
      </c>
      <c r="AP113" s="343"/>
      <c r="AS113" s="344"/>
      <c r="AW113" s="344"/>
      <c r="BA113" s="345"/>
    </row>
    <row r="114" spans="1:53" s="334" customFormat="1">
      <c r="A114" s="334">
        <v>2013</v>
      </c>
      <c r="B114" s="355"/>
      <c r="C114" s="992" t="s">
        <v>457</v>
      </c>
      <c r="D114" s="992"/>
      <c r="E114" s="334">
        <v>0</v>
      </c>
      <c r="G114" s="419">
        <v>4</v>
      </c>
      <c r="H114" s="334">
        <v>1</v>
      </c>
      <c r="I114" s="334">
        <v>2</v>
      </c>
      <c r="J114" s="435">
        <v>7</v>
      </c>
      <c r="K114" s="640">
        <f t="shared" si="16"/>
        <v>57.142857142857139</v>
      </c>
      <c r="L114" s="640">
        <f t="shared" si="17"/>
        <v>14.285714285714285</v>
      </c>
      <c r="M114" s="640">
        <f t="shared" si="18"/>
        <v>28.571428571428569</v>
      </c>
      <c r="N114" s="643">
        <f t="shared" si="19"/>
        <v>99.999999999999986</v>
      </c>
      <c r="O114" s="383">
        <v>46.5</v>
      </c>
      <c r="P114" s="384">
        <v>14</v>
      </c>
      <c r="Q114" s="384">
        <v>23</v>
      </c>
      <c r="R114" s="385">
        <f>O114+P114+Q114</f>
        <v>83.5</v>
      </c>
      <c r="S114" s="334">
        <v>3</v>
      </c>
      <c r="T114" s="357"/>
      <c r="V114" s="343" t="s">
        <v>132</v>
      </c>
      <c r="W114" s="334" t="s">
        <v>22</v>
      </c>
      <c r="X114" s="334" t="s">
        <v>11</v>
      </c>
      <c r="Y114" s="344">
        <v>15</v>
      </c>
      <c r="Z114" s="334" t="s">
        <v>81</v>
      </c>
      <c r="AA114" s="334" t="s">
        <v>17</v>
      </c>
      <c r="AB114" s="334" t="s">
        <v>18</v>
      </c>
      <c r="AC114" s="334">
        <v>14</v>
      </c>
      <c r="AD114" s="343" t="s">
        <v>464</v>
      </c>
      <c r="AE114" s="334" t="s">
        <v>20</v>
      </c>
      <c r="AF114" s="334" t="s">
        <v>12</v>
      </c>
      <c r="AG114" s="344">
        <v>23</v>
      </c>
      <c r="AH114" s="334" t="s">
        <v>338</v>
      </c>
      <c r="AI114" s="334" t="s">
        <v>863</v>
      </c>
      <c r="AJ114" s="334" t="s">
        <v>11</v>
      </c>
      <c r="AK114" s="334">
        <v>27</v>
      </c>
      <c r="AL114" s="343" t="s">
        <v>339</v>
      </c>
      <c r="AM114" s="334" t="s">
        <v>74</v>
      </c>
      <c r="AN114" s="334" t="s">
        <v>11</v>
      </c>
      <c r="AO114" s="344">
        <v>4.5</v>
      </c>
      <c r="AP114" s="343"/>
      <c r="AS114" s="344"/>
      <c r="AW114" s="344"/>
      <c r="BA114" s="345"/>
    </row>
    <row r="115" spans="1:53" s="334" customFormat="1">
      <c r="A115" s="334">
        <v>2013</v>
      </c>
      <c r="B115" s="355"/>
      <c r="C115" s="992" t="s">
        <v>1262</v>
      </c>
      <c r="D115" s="992"/>
      <c r="E115" s="334">
        <v>365</v>
      </c>
      <c r="F115" s="334">
        <v>1</v>
      </c>
      <c r="G115" s="419">
        <v>4</v>
      </c>
      <c r="H115" s="334">
        <v>1</v>
      </c>
      <c r="I115" s="334">
        <v>2</v>
      </c>
      <c r="J115" s="435">
        <v>7</v>
      </c>
      <c r="K115" s="640">
        <f t="shared" si="16"/>
        <v>57.142857142857139</v>
      </c>
      <c r="L115" s="640">
        <f t="shared" si="17"/>
        <v>14.285714285714285</v>
      </c>
      <c r="M115" s="640">
        <f t="shared" si="18"/>
        <v>28.571428571428569</v>
      </c>
      <c r="N115" s="643">
        <f t="shared" si="19"/>
        <v>99.999999999999986</v>
      </c>
      <c r="O115" s="383">
        <v>46.5</v>
      </c>
      <c r="P115" s="384">
        <v>14</v>
      </c>
      <c r="Q115" s="384">
        <v>23</v>
      </c>
      <c r="R115" s="385">
        <f>O115+P115+Q115</f>
        <v>83.5</v>
      </c>
      <c r="S115" s="334">
        <v>3</v>
      </c>
      <c r="T115" s="357"/>
      <c r="V115" s="343" t="s">
        <v>132</v>
      </c>
      <c r="W115" s="334" t="s">
        <v>22</v>
      </c>
      <c r="X115" s="334" t="s">
        <v>11</v>
      </c>
      <c r="Y115" s="344">
        <v>15</v>
      </c>
      <c r="Z115" s="334" t="s">
        <v>81</v>
      </c>
      <c r="AA115" s="334" t="s">
        <v>17</v>
      </c>
      <c r="AB115" s="334" t="s">
        <v>18</v>
      </c>
      <c r="AC115" s="334">
        <v>14</v>
      </c>
      <c r="AD115" s="343" t="s">
        <v>464</v>
      </c>
      <c r="AE115" s="334" t="s">
        <v>20</v>
      </c>
      <c r="AF115" s="334" t="s">
        <v>12</v>
      </c>
      <c r="AG115" s="344">
        <v>23</v>
      </c>
      <c r="AH115" s="334" t="s">
        <v>338</v>
      </c>
      <c r="AI115" s="334" t="s">
        <v>863</v>
      </c>
      <c r="AJ115" s="334" t="s">
        <v>11</v>
      </c>
      <c r="AK115" s="334">
        <v>27</v>
      </c>
      <c r="AL115" s="343" t="s">
        <v>339</v>
      </c>
      <c r="AM115" s="334" t="s">
        <v>74</v>
      </c>
      <c r="AN115" s="334" t="s">
        <v>11</v>
      </c>
      <c r="AO115" s="344">
        <v>4.5</v>
      </c>
      <c r="AP115" s="343"/>
      <c r="AS115" s="344"/>
      <c r="AW115" s="344"/>
      <c r="BA115" s="345"/>
    </row>
    <row r="116" spans="1:53" s="612" customFormat="1">
      <c r="A116" s="621">
        <v>2014</v>
      </c>
      <c r="B116" s="625"/>
      <c r="C116" s="992" t="s">
        <v>1262</v>
      </c>
      <c r="D116" s="992"/>
      <c r="E116" s="621">
        <v>0</v>
      </c>
      <c r="F116" s="621"/>
      <c r="G116" s="630">
        <v>4</v>
      </c>
      <c r="H116" s="621">
        <v>1</v>
      </c>
      <c r="I116" s="621">
        <v>2</v>
      </c>
      <c r="J116" s="631">
        <v>7</v>
      </c>
      <c r="K116" s="640">
        <f t="shared" si="16"/>
        <v>57.142857142857139</v>
      </c>
      <c r="L116" s="640">
        <f t="shared" si="17"/>
        <v>14.285714285714285</v>
      </c>
      <c r="M116" s="640">
        <f t="shared" si="18"/>
        <v>28.571428571428569</v>
      </c>
      <c r="N116" s="643">
        <f t="shared" si="19"/>
        <v>99.999999999999986</v>
      </c>
      <c r="O116" s="627">
        <v>46.5</v>
      </c>
      <c r="P116" s="628">
        <v>14</v>
      </c>
      <c r="Q116" s="628">
        <v>23</v>
      </c>
      <c r="R116" s="629">
        <v>83.5</v>
      </c>
      <c r="S116" s="621">
        <v>3</v>
      </c>
      <c r="T116" s="626"/>
      <c r="U116" s="621"/>
      <c r="V116" s="622" t="s">
        <v>132</v>
      </c>
      <c r="W116" s="621" t="s">
        <v>22</v>
      </c>
      <c r="X116" s="621" t="s">
        <v>11</v>
      </c>
      <c r="Y116" s="623">
        <v>15</v>
      </c>
      <c r="Z116" s="621" t="s">
        <v>81</v>
      </c>
      <c r="AA116" s="621" t="s">
        <v>17</v>
      </c>
      <c r="AB116" s="621" t="s">
        <v>18</v>
      </c>
      <c r="AC116" s="621">
        <v>14</v>
      </c>
      <c r="AD116" s="622" t="s">
        <v>464</v>
      </c>
      <c r="AE116" s="621" t="s">
        <v>20</v>
      </c>
      <c r="AF116" s="621" t="s">
        <v>12</v>
      </c>
      <c r="AG116" s="623">
        <v>23</v>
      </c>
      <c r="AH116" s="621" t="s">
        <v>338</v>
      </c>
      <c r="AI116" s="621" t="s">
        <v>863</v>
      </c>
      <c r="AJ116" s="621" t="s">
        <v>11</v>
      </c>
      <c r="AK116" s="621">
        <v>27</v>
      </c>
      <c r="AL116" s="622" t="s">
        <v>339</v>
      </c>
      <c r="AM116" s="621" t="s">
        <v>74</v>
      </c>
      <c r="AN116" s="621" t="s">
        <v>11</v>
      </c>
      <c r="AO116" s="623">
        <v>4.5</v>
      </c>
      <c r="AP116" s="622"/>
      <c r="AQ116" s="621"/>
      <c r="AR116" s="621"/>
      <c r="AS116" s="623"/>
      <c r="AT116" s="621"/>
      <c r="AU116" s="621"/>
      <c r="AV116" s="621"/>
      <c r="AW116" s="623"/>
      <c r="AX116" s="621"/>
      <c r="AY116" s="621"/>
      <c r="AZ116" s="621"/>
      <c r="BA116" s="624"/>
    </row>
    <row r="117" spans="1:53" s="612" customFormat="1">
      <c r="A117" s="633">
        <v>2014</v>
      </c>
      <c r="B117" s="637"/>
      <c r="C117" s="992" t="s">
        <v>1308</v>
      </c>
      <c r="D117" s="992"/>
      <c r="E117" s="633">
        <v>365</v>
      </c>
      <c r="F117" s="633">
        <v>1</v>
      </c>
      <c r="G117" s="642">
        <v>4</v>
      </c>
      <c r="H117" s="633">
        <v>1</v>
      </c>
      <c r="I117" s="633">
        <v>2</v>
      </c>
      <c r="J117" s="644">
        <v>7</v>
      </c>
      <c r="K117" s="640">
        <f t="shared" si="16"/>
        <v>57.142857142857139</v>
      </c>
      <c r="L117" s="640">
        <f t="shared" si="17"/>
        <v>14.285714285714285</v>
      </c>
      <c r="M117" s="640">
        <f t="shared" si="18"/>
        <v>28.571428571428569</v>
      </c>
      <c r="N117" s="643">
        <f t="shared" si="19"/>
        <v>99.999999999999986</v>
      </c>
      <c r="O117" s="639">
        <v>46.5</v>
      </c>
      <c r="P117" s="640">
        <v>14</v>
      </c>
      <c r="Q117" s="640">
        <v>23</v>
      </c>
      <c r="R117" s="641">
        <v>83.5</v>
      </c>
      <c r="S117" s="633">
        <v>3</v>
      </c>
      <c r="T117" s="638"/>
      <c r="U117" s="633"/>
      <c r="V117" s="634" t="s">
        <v>132</v>
      </c>
      <c r="W117" s="633" t="s">
        <v>22</v>
      </c>
      <c r="X117" s="633" t="s">
        <v>11</v>
      </c>
      <c r="Y117" s="635">
        <v>15</v>
      </c>
      <c r="Z117" s="633" t="s">
        <v>81</v>
      </c>
      <c r="AA117" s="633" t="s">
        <v>17</v>
      </c>
      <c r="AB117" s="633" t="s">
        <v>18</v>
      </c>
      <c r="AC117" s="633">
        <v>14</v>
      </c>
      <c r="AD117" s="634" t="s">
        <v>464</v>
      </c>
      <c r="AE117" s="633" t="s">
        <v>20</v>
      </c>
      <c r="AF117" s="633" t="s">
        <v>12</v>
      </c>
      <c r="AG117" s="635">
        <v>23</v>
      </c>
      <c r="AH117" s="633" t="s">
        <v>338</v>
      </c>
      <c r="AI117" s="633" t="s">
        <v>863</v>
      </c>
      <c r="AJ117" s="633" t="s">
        <v>11</v>
      </c>
      <c r="AK117" s="633">
        <v>27</v>
      </c>
      <c r="AL117" s="634" t="s">
        <v>339</v>
      </c>
      <c r="AM117" s="633" t="s">
        <v>74</v>
      </c>
      <c r="AN117" s="633" t="s">
        <v>11</v>
      </c>
      <c r="AO117" s="635">
        <v>4.5</v>
      </c>
      <c r="AP117" s="634"/>
      <c r="AQ117" s="633"/>
      <c r="AR117" s="633"/>
      <c r="AS117" s="635"/>
      <c r="AT117" s="633"/>
      <c r="AU117" s="633"/>
      <c r="AV117" s="633"/>
      <c r="AW117" s="635"/>
      <c r="AX117" s="633"/>
      <c r="AY117" s="633"/>
      <c r="AZ117" s="633"/>
      <c r="BA117" s="636"/>
    </row>
    <row r="118" spans="1:53" s="763" customFormat="1">
      <c r="A118" s="763">
        <v>2015</v>
      </c>
      <c r="B118" s="759"/>
      <c r="C118" s="992" t="s">
        <v>1308</v>
      </c>
      <c r="D118" s="992"/>
      <c r="E118" s="763">
        <v>342</v>
      </c>
      <c r="G118" s="642">
        <v>4</v>
      </c>
      <c r="H118" s="763">
        <v>1</v>
      </c>
      <c r="I118" s="763">
        <v>2</v>
      </c>
      <c r="J118" s="644">
        <v>7</v>
      </c>
      <c r="K118" s="640">
        <f t="shared" si="16"/>
        <v>57.142857142857139</v>
      </c>
      <c r="L118" s="640">
        <f t="shared" si="17"/>
        <v>14.285714285714285</v>
      </c>
      <c r="M118" s="640">
        <f t="shared" si="18"/>
        <v>28.571428571428569</v>
      </c>
      <c r="N118" s="643">
        <f t="shared" si="19"/>
        <v>99.999999999999986</v>
      </c>
      <c r="O118" s="639">
        <v>46.5</v>
      </c>
      <c r="P118" s="640">
        <v>14</v>
      </c>
      <c r="Q118" s="640">
        <v>23</v>
      </c>
      <c r="R118" s="641">
        <v>83.5</v>
      </c>
      <c r="S118" s="763">
        <v>3</v>
      </c>
      <c r="T118" s="638"/>
      <c r="V118" s="634" t="s">
        <v>132</v>
      </c>
      <c r="W118" s="763" t="s">
        <v>22</v>
      </c>
      <c r="X118" s="763" t="s">
        <v>11</v>
      </c>
      <c r="Y118" s="635">
        <v>15</v>
      </c>
      <c r="Z118" s="763" t="s">
        <v>81</v>
      </c>
      <c r="AA118" s="763" t="s">
        <v>17</v>
      </c>
      <c r="AB118" s="763" t="s">
        <v>18</v>
      </c>
      <c r="AC118" s="763">
        <v>14</v>
      </c>
      <c r="AD118" s="634" t="s">
        <v>464</v>
      </c>
      <c r="AE118" s="763" t="s">
        <v>20</v>
      </c>
      <c r="AF118" s="763" t="s">
        <v>12</v>
      </c>
      <c r="AG118" s="635">
        <v>23</v>
      </c>
      <c r="AH118" s="763" t="s">
        <v>338</v>
      </c>
      <c r="AI118" s="763" t="s">
        <v>863</v>
      </c>
      <c r="AJ118" s="763" t="s">
        <v>11</v>
      </c>
      <c r="AK118" s="763">
        <v>27</v>
      </c>
      <c r="AL118" s="634" t="s">
        <v>339</v>
      </c>
      <c r="AM118" s="763" t="s">
        <v>74</v>
      </c>
      <c r="AN118" s="763" t="s">
        <v>11</v>
      </c>
      <c r="AO118" s="635">
        <v>4.5</v>
      </c>
      <c r="AP118" s="634"/>
      <c r="AS118" s="635"/>
      <c r="AW118" s="635"/>
      <c r="BA118" s="636"/>
    </row>
    <row r="119" spans="1:53" s="762" customFormat="1">
      <c r="A119" s="762">
        <v>2015</v>
      </c>
      <c r="B119" s="846">
        <v>42347</v>
      </c>
      <c r="C119" s="988" t="s">
        <v>1346</v>
      </c>
      <c r="D119" s="988"/>
      <c r="E119" s="762">
        <v>23</v>
      </c>
      <c r="F119" s="762">
        <v>1</v>
      </c>
      <c r="G119" s="596">
        <v>4</v>
      </c>
      <c r="H119" s="762">
        <v>1</v>
      </c>
      <c r="I119" s="762">
        <v>2</v>
      </c>
      <c r="J119" s="598">
        <v>7</v>
      </c>
      <c r="K119" s="593">
        <f t="shared" si="16"/>
        <v>57.142857142857139</v>
      </c>
      <c r="L119" s="593">
        <f t="shared" si="17"/>
        <v>14.285714285714285</v>
      </c>
      <c r="M119" s="593">
        <f t="shared" si="18"/>
        <v>28.571428571428569</v>
      </c>
      <c r="N119" s="597">
        <f t="shared" si="19"/>
        <v>99.999999999999986</v>
      </c>
      <c r="O119" s="592">
        <v>49</v>
      </c>
      <c r="P119" s="593">
        <v>14</v>
      </c>
      <c r="Q119" s="593">
        <v>28.6</v>
      </c>
      <c r="R119" s="594">
        <f t="shared" ref="R119" si="20">O119+P119+Q119</f>
        <v>91.6</v>
      </c>
      <c r="S119" s="762">
        <v>3</v>
      </c>
      <c r="T119" s="575"/>
      <c r="U119" s="868">
        <v>42347</v>
      </c>
      <c r="V119" s="588" t="s">
        <v>132</v>
      </c>
      <c r="W119" s="762" t="s">
        <v>22</v>
      </c>
      <c r="X119" s="762" t="s">
        <v>11</v>
      </c>
      <c r="Y119" s="589">
        <v>16.5</v>
      </c>
      <c r="Z119" s="762" t="s">
        <v>81</v>
      </c>
      <c r="AA119" s="762" t="s">
        <v>17</v>
      </c>
      <c r="AB119" s="762" t="s">
        <v>18</v>
      </c>
      <c r="AC119" s="762">
        <v>14</v>
      </c>
      <c r="AD119" s="588" t="s">
        <v>464</v>
      </c>
      <c r="AE119" s="762" t="s">
        <v>20</v>
      </c>
      <c r="AF119" s="762" t="s">
        <v>12</v>
      </c>
      <c r="AG119" s="589">
        <v>21.5</v>
      </c>
      <c r="AH119" s="762" t="s">
        <v>338</v>
      </c>
      <c r="AI119" s="762" t="s">
        <v>863</v>
      </c>
      <c r="AJ119" s="762" t="s">
        <v>11</v>
      </c>
      <c r="AK119" s="762">
        <v>32.5</v>
      </c>
      <c r="AL119" s="588"/>
      <c r="AO119" s="589"/>
      <c r="AP119" s="588"/>
      <c r="AS119" s="589"/>
      <c r="AW119" s="589"/>
      <c r="BA119" s="590"/>
    </row>
    <row r="120" spans="1:53" s="849" customFormat="1">
      <c r="A120" s="849">
        <v>2016</v>
      </c>
      <c r="C120" s="988" t="s">
        <v>1346</v>
      </c>
      <c r="D120" s="988"/>
      <c r="E120" s="849">
        <v>0</v>
      </c>
      <c r="G120" s="596">
        <v>4</v>
      </c>
      <c r="H120" s="849">
        <v>1</v>
      </c>
      <c r="I120" s="849">
        <v>2</v>
      </c>
      <c r="J120" s="598">
        <v>7</v>
      </c>
      <c r="K120" s="593">
        <f t="shared" si="16"/>
        <v>57.142857142857139</v>
      </c>
      <c r="L120" s="593">
        <f t="shared" si="17"/>
        <v>14.285714285714285</v>
      </c>
      <c r="M120" s="593">
        <f t="shared" si="18"/>
        <v>28.571428571428569</v>
      </c>
      <c r="N120" s="597">
        <f t="shared" si="19"/>
        <v>99.999999999999986</v>
      </c>
      <c r="O120" s="592">
        <v>49</v>
      </c>
      <c r="P120" s="593">
        <v>14</v>
      </c>
      <c r="Q120" s="593">
        <v>28.6</v>
      </c>
      <c r="R120" s="594">
        <f t="shared" ref="R120:R121" si="21">O120+P120+Q120</f>
        <v>91.6</v>
      </c>
      <c r="S120" s="849">
        <v>3</v>
      </c>
      <c r="T120" s="575"/>
      <c r="V120" s="588" t="s">
        <v>132</v>
      </c>
      <c r="W120" s="849" t="s">
        <v>22</v>
      </c>
      <c r="X120" s="849" t="s">
        <v>11</v>
      </c>
      <c r="Y120" s="589">
        <v>16.5</v>
      </c>
      <c r="Z120" s="849" t="s">
        <v>81</v>
      </c>
      <c r="AA120" s="849" t="s">
        <v>17</v>
      </c>
      <c r="AB120" s="849" t="s">
        <v>18</v>
      </c>
      <c r="AC120" s="849">
        <v>14</v>
      </c>
      <c r="AD120" s="588" t="s">
        <v>464</v>
      </c>
      <c r="AE120" s="849" t="s">
        <v>20</v>
      </c>
      <c r="AF120" s="849" t="s">
        <v>12</v>
      </c>
      <c r="AG120" s="589">
        <v>21.5</v>
      </c>
      <c r="AH120" s="849" t="s">
        <v>338</v>
      </c>
      <c r="AI120" s="849" t="s">
        <v>863</v>
      </c>
      <c r="AJ120" s="849" t="s">
        <v>11</v>
      </c>
      <c r="AK120" s="849">
        <v>32.5</v>
      </c>
      <c r="AL120" s="588"/>
      <c r="AO120" s="589"/>
      <c r="AP120" s="588"/>
      <c r="AS120" s="589"/>
      <c r="AW120" s="589"/>
      <c r="BA120" s="590"/>
    </row>
    <row r="121" spans="1:53" s="849" customFormat="1">
      <c r="A121" s="849">
        <v>2016</v>
      </c>
      <c r="C121" s="988" t="s">
        <v>1367</v>
      </c>
      <c r="D121" s="988"/>
      <c r="E121" s="849">
        <v>366</v>
      </c>
      <c r="F121" s="849">
        <v>1</v>
      </c>
      <c r="G121" s="596">
        <v>4</v>
      </c>
      <c r="H121" s="849">
        <v>1</v>
      </c>
      <c r="I121" s="849">
        <v>2</v>
      </c>
      <c r="J121" s="598">
        <v>7</v>
      </c>
      <c r="K121" s="593">
        <f t="shared" si="16"/>
        <v>57.142857142857139</v>
      </c>
      <c r="L121" s="593">
        <f t="shared" si="17"/>
        <v>14.285714285714285</v>
      </c>
      <c r="M121" s="593">
        <f t="shared" si="18"/>
        <v>28.571428571428569</v>
      </c>
      <c r="N121" s="597">
        <f t="shared" si="19"/>
        <v>99.999999999999986</v>
      </c>
      <c r="O121" s="592">
        <v>49</v>
      </c>
      <c r="P121" s="593">
        <v>14</v>
      </c>
      <c r="Q121" s="593">
        <v>28.6</v>
      </c>
      <c r="R121" s="594">
        <f t="shared" si="21"/>
        <v>91.6</v>
      </c>
      <c r="S121" s="849">
        <v>3</v>
      </c>
      <c r="T121" s="575"/>
      <c r="V121" s="588" t="s">
        <v>132</v>
      </c>
      <c r="W121" s="849" t="s">
        <v>22</v>
      </c>
      <c r="X121" s="849" t="s">
        <v>11</v>
      </c>
      <c r="Y121" s="589">
        <v>16.5</v>
      </c>
      <c r="Z121" s="849" t="s">
        <v>81</v>
      </c>
      <c r="AA121" s="849" t="s">
        <v>17</v>
      </c>
      <c r="AB121" s="849" t="s">
        <v>18</v>
      </c>
      <c r="AC121" s="849">
        <v>14</v>
      </c>
      <c r="AD121" s="588" t="s">
        <v>464</v>
      </c>
      <c r="AE121" s="849" t="s">
        <v>20</v>
      </c>
      <c r="AF121" s="849" t="s">
        <v>12</v>
      </c>
      <c r="AG121" s="589">
        <v>21.5</v>
      </c>
      <c r="AH121" s="849" t="s">
        <v>338</v>
      </c>
      <c r="AI121" s="849" t="s">
        <v>863</v>
      </c>
      <c r="AJ121" s="849" t="s">
        <v>11</v>
      </c>
      <c r="AK121" s="849">
        <v>32.5</v>
      </c>
      <c r="AL121" s="588"/>
      <c r="AO121" s="589"/>
      <c r="AP121" s="588"/>
      <c r="AS121" s="589"/>
      <c r="AW121" s="589"/>
      <c r="BA121" s="590"/>
    </row>
    <row r="122" spans="1:53" s="903" customFormat="1">
      <c r="A122" s="903">
        <v>2017</v>
      </c>
      <c r="C122" s="988" t="s">
        <v>1367</v>
      </c>
      <c r="D122" s="988"/>
      <c r="E122" s="903">
        <v>0</v>
      </c>
      <c r="G122" s="596">
        <v>4</v>
      </c>
      <c r="H122" s="903">
        <v>1</v>
      </c>
      <c r="I122" s="903">
        <v>2</v>
      </c>
      <c r="J122" s="598">
        <v>7</v>
      </c>
      <c r="K122" s="593">
        <f t="shared" si="16"/>
        <v>57.142857142857139</v>
      </c>
      <c r="L122" s="593">
        <f t="shared" si="17"/>
        <v>14.285714285714285</v>
      </c>
      <c r="M122" s="593">
        <f t="shared" si="18"/>
        <v>28.571428571428569</v>
      </c>
      <c r="N122" s="597">
        <f t="shared" si="19"/>
        <v>99.999999999999986</v>
      </c>
      <c r="O122" s="592">
        <v>49</v>
      </c>
      <c r="P122" s="593">
        <v>14</v>
      </c>
      <c r="Q122" s="593">
        <v>28.6</v>
      </c>
      <c r="R122" s="594">
        <f t="shared" ref="R122:R123" si="22">O122+P122+Q122</f>
        <v>91.6</v>
      </c>
      <c r="S122" s="903">
        <v>3</v>
      </c>
      <c r="T122" s="575"/>
      <c r="V122" s="588" t="s">
        <v>132</v>
      </c>
      <c r="W122" s="903" t="s">
        <v>22</v>
      </c>
      <c r="X122" s="903" t="s">
        <v>11</v>
      </c>
      <c r="Y122" s="589">
        <v>16.5</v>
      </c>
      <c r="Z122" s="903" t="s">
        <v>81</v>
      </c>
      <c r="AA122" s="903" t="s">
        <v>17</v>
      </c>
      <c r="AB122" s="903" t="s">
        <v>18</v>
      </c>
      <c r="AC122" s="903">
        <v>14</v>
      </c>
      <c r="AD122" s="588" t="s">
        <v>464</v>
      </c>
      <c r="AE122" s="903" t="s">
        <v>20</v>
      </c>
      <c r="AF122" s="903" t="s">
        <v>12</v>
      </c>
      <c r="AG122" s="589">
        <v>21.5</v>
      </c>
      <c r="AH122" s="903" t="s">
        <v>338</v>
      </c>
      <c r="AI122" s="903" t="s">
        <v>863</v>
      </c>
      <c r="AJ122" s="903" t="s">
        <v>11</v>
      </c>
      <c r="AK122" s="903">
        <v>32.5</v>
      </c>
      <c r="AL122" s="588"/>
      <c r="AO122" s="589"/>
      <c r="AP122" s="588"/>
      <c r="AS122" s="589"/>
      <c r="AW122" s="589"/>
      <c r="BA122" s="590"/>
    </row>
    <row r="123" spans="1:53" s="903" customFormat="1">
      <c r="A123" s="903">
        <v>2017</v>
      </c>
      <c r="C123" s="988" t="s">
        <v>1401</v>
      </c>
      <c r="D123" s="988"/>
      <c r="E123" s="903">
        <v>365</v>
      </c>
      <c r="F123" s="903">
        <v>1</v>
      </c>
      <c r="G123" s="596">
        <v>4</v>
      </c>
      <c r="H123" s="903">
        <v>1</v>
      </c>
      <c r="I123" s="903">
        <v>2</v>
      </c>
      <c r="J123" s="598">
        <v>7</v>
      </c>
      <c r="K123" s="593">
        <f t="shared" si="16"/>
        <v>57.142857142857139</v>
      </c>
      <c r="L123" s="593">
        <f t="shared" si="17"/>
        <v>14.285714285714285</v>
      </c>
      <c r="M123" s="593">
        <f t="shared" si="18"/>
        <v>28.571428571428569</v>
      </c>
      <c r="N123" s="597">
        <f t="shared" si="19"/>
        <v>99.999999999999986</v>
      </c>
      <c r="O123" s="592">
        <v>49</v>
      </c>
      <c r="P123" s="593">
        <v>14</v>
      </c>
      <c r="Q123" s="593">
        <v>28.6</v>
      </c>
      <c r="R123" s="594">
        <f t="shared" si="22"/>
        <v>91.6</v>
      </c>
      <c r="S123" s="903">
        <v>3</v>
      </c>
      <c r="T123" s="575"/>
      <c r="V123" s="588" t="s">
        <v>132</v>
      </c>
      <c r="W123" s="903" t="s">
        <v>22</v>
      </c>
      <c r="X123" s="903" t="s">
        <v>11</v>
      </c>
      <c r="Y123" s="589">
        <v>16.5</v>
      </c>
      <c r="Z123" s="903" t="s">
        <v>81</v>
      </c>
      <c r="AA123" s="903" t="s">
        <v>17</v>
      </c>
      <c r="AB123" s="903" t="s">
        <v>18</v>
      </c>
      <c r="AC123" s="903">
        <v>14</v>
      </c>
      <c r="AD123" s="588" t="s">
        <v>464</v>
      </c>
      <c r="AE123" s="903" t="s">
        <v>20</v>
      </c>
      <c r="AF123" s="903" t="s">
        <v>12</v>
      </c>
      <c r="AG123" s="589">
        <v>21.5</v>
      </c>
      <c r="AH123" s="903" t="s">
        <v>338</v>
      </c>
      <c r="AI123" s="903" t="s">
        <v>863</v>
      </c>
      <c r="AJ123" s="903" t="s">
        <v>11</v>
      </c>
      <c r="AK123" s="903">
        <v>32.5</v>
      </c>
      <c r="AL123" s="588"/>
      <c r="AO123" s="589"/>
      <c r="AP123" s="588"/>
      <c r="AS123" s="589"/>
      <c r="AW123" s="589"/>
      <c r="BA123" s="590"/>
    </row>
    <row r="124" spans="1:53" s="946" customFormat="1">
      <c r="A124" s="946">
        <v>2018</v>
      </c>
      <c r="C124" s="988" t="s">
        <v>1401</v>
      </c>
      <c r="D124" s="988"/>
      <c r="E124" s="946">
        <v>0</v>
      </c>
      <c r="G124" s="596">
        <v>4</v>
      </c>
      <c r="H124" s="946">
        <v>1</v>
      </c>
      <c r="I124" s="946">
        <v>2</v>
      </c>
      <c r="J124" s="598">
        <v>7</v>
      </c>
      <c r="K124" s="593">
        <f t="shared" ref="K124:K125" si="23">G124/J124*100</f>
        <v>57.142857142857139</v>
      </c>
      <c r="L124" s="593">
        <f t="shared" ref="L124:L125" si="24">H124/J124*100</f>
        <v>14.285714285714285</v>
      </c>
      <c r="M124" s="593">
        <f t="shared" ref="M124:M125" si="25">I124/J124*100</f>
        <v>28.571428571428569</v>
      </c>
      <c r="N124" s="597">
        <f t="shared" ref="N124:N125" si="26">K124+L124+M124</f>
        <v>99.999999999999986</v>
      </c>
      <c r="O124" s="592">
        <v>49</v>
      </c>
      <c r="P124" s="593">
        <v>14</v>
      </c>
      <c r="Q124" s="593">
        <v>28.6</v>
      </c>
      <c r="R124" s="594">
        <f t="shared" ref="R124:R125" si="27">O124+P124+Q124</f>
        <v>91.6</v>
      </c>
      <c r="S124" s="946">
        <v>3</v>
      </c>
      <c r="T124" s="575"/>
      <c r="V124" s="588" t="s">
        <v>132</v>
      </c>
      <c r="W124" s="946" t="s">
        <v>22</v>
      </c>
      <c r="X124" s="946" t="s">
        <v>11</v>
      </c>
      <c r="Y124" s="589">
        <v>16.5</v>
      </c>
      <c r="Z124" s="946" t="s">
        <v>81</v>
      </c>
      <c r="AA124" s="946" t="s">
        <v>17</v>
      </c>
      <c r="AB124" s="946" t="s">
        <v>18</v>
      </c>
      <c r="AC124" s="946">
        <v>14</v>
      </c>
      <c r="AD124" s="588" t="s">
        <v>464</v>
      </c>
      <c r="AE124" s="946" t="s">
        <v>20</v>
      </c>
      <c r="AF124" s="946" t="s">
        <v>12</v>
      </c>
      <c r="AG124" s="589">
        <v>21.5</v>
      </c>
      <c r="AH124" s="946" t="s">
        <v>338</v>
      </c>
      <c r="AI124" s="946" t="s">
        <v>863</v>
      </c>
      <c r="AJ124" s="946" t="s">
        <v>11</v>
      </c>
      <c r="AK124" s="946">
        <v>32.5</v>
      </c>
      <c r="AL124" s="588"/>
      <c r="AO124" s="589"/>
      <c r="AP124" s="588"/>
      <c r="AS124" s="589"/>
      <c r="AW124" s="589"/>
      <c r="BA124" s="590"/>
    </row>
    <row r="125" spans="1:53" s="946" customFormat="1">
      <c r="A125" s="946">
        <v>2018</v>
      </c>
      <c r="C125" s="988" t="s">
        <v>1424</v>
      </c>
      <c r="D125" s="988"/>
      <c r="E125" s="946">
        <v>365</v>
      </c>
      <c r="F125" s="946">
        <v>1</v>
      </c>
      <c r="G125" s="596">
        <v>4</v>
      </c>
      <c r="H125" s="946">
        <v>1</v>
      </c>
      <c r="I125" s="946">
        <v>2</v>
      </c>
      <c r="J125" s="598">
        <v>7</v>
      </c>
      <c r="K125" s="593">
        <f t="shared" si="23"/>
        <v>57.142857142857139</v>
      </c>
      <c r="L125" s="593">
        <f t="shared" si="24"/>
        <v>14.285714285714285</v>
      </c>
      <c r="M125" s="593">
        <f t="shared" si="25"/>
        <v>28.571428571428569</v>
      </c>
      <c r="N125" s="597">
        <f t="shared" si="26"/>
        <v>99.999999999999986</v>
      </c>
      <c r="O125" s="592">
        <v>49</v>
      </c>
      <c r="P125" s="593">
        <v>14</v>
      </c>
      <c r="Q125" s="593">
        <v>28.6</v>
      </c>
      <c r="R125" s="594">
        <f t="shared" si="27"/>
        <v>91.6</v>
      </c>
      <c r="S125" s="946">
        <v>3</v>
      </c>
      <c r="T125" s="575"/>
      <c r="V125" s="588" t="s">
        <v>132</v>
      </c>
      <c r="W125" s="946" t="s">
        <v>22</v>
      </c>
      <c r="X125" s="946" t="s">
        <v>11</v>
      </c>
      <c r="Y125" s="589">
        <v>16.5</v>
      </c>
      <c r="Z125" s="946" t="s">
        <v>81</v>
      </c>
      <c r="AA125" s="946" t="s">
        <v>17</v>
      </c>
      <c r="AB125" s="946" t="s">
        <v>18</v>
      </c>
      <c r="AC125" s="946">
        <v>14</v>
      </c>
      <c r="AD125" s="588" t="s">
        <v>464</v>
      </c>
      <c r="AE125" s="946" t="s">
        <v>20</v>
      </c>
      <c r="AF125" s="946" t="s">
        <v>12</v>
      </c>
      <c r="AG125" s="589">
        <v>21.5</v>
      </c>
      <c r="AH125" s="946" t="s">
        <v>338</v>
      </c>
      <c r="AI125" s="946" t="s">
        <v>863</v>
      </c>
      <c r="AJ125" s="946" t="s">
        <v>11</v>
      </c>
      <c r="AK125" s="946">
        <v>32.5</v>
      </c>
      <c r="AL125" s="588"/>
      <c r="AO125" s="589"/>
      <c r="AP125" s="588"/>
      <c r="AS125" s="589"/>
      <c r="AW125" s="589"/>
      <c r="BA125" s="590"/>
    </row>
    <row r="128" spans="1:53" s="2" customFormat="1" ht="18" customHeight="1">
      <c r="B128" s="22" t="s">
        <v>1278</v>
      </c>
      <c r="H128" s="6"/>
    </row>
    <row r="129" spans="1:30" s="2" customFormat="1" ht="9" customHeight="1">
      <c r="H129" s="6"/>
    </row>
    <row r="130" spans="1:30" s="364" customFormat="1" ht="9" customHeight="1">
      <c r="A130" s="362"/>
      <c r="B130" s="363" t="s">
        <v>1229</v>
      </c>
      <c r="C130" s="363"/>
      <c r="D130" s="363"/>
      <c r="E130" s="363"/>
      <c r="F130" s="363"/>
      <c r="G130" s="363" t="s">
        <v>1230</v>
      </c>
      <c r="H130" s="363"/>
      <c r="I130" s="363"/>
      <c r="J130" s="363"/>
      <c r="K130" s="363"/>
      <c r="L130" s="363"/>
      <c r="M130" s="363"/>
      <c r="N130" s="363"/>
      <c r="R130" s="982" t="s">
        <v>1231</v>
      </c>
      <c r="S130" s="982"/>
      <c r="T130" s="982"/>
      <c r="U130" s="982"/>
      <c r="V130" s="982"/>
      <c r="W130" s="982"/>
      <c r="X130" s="365"/>
      <c r="Y130" s="365"/>
      <c r="AA130" s="365"/>
      <c r="AB130" s="365"/>
      <c r="AC130" s="365"/>
      <c r="AD130" s="365"/>
    </row>
    <row r="131" spans="1:30" s="369" customFormat="1" ht="9" customHeight="1">
      <c r="A131" s="366"/>
      <c r="B131" s="367" t="s">
        <v>1233</v>
      </c>
      <c r="C131" s="368"/>
      <c r="D131" s="368"/>
      <c r="E131" s="368"/>
      <c r="F131" s="368"/>
      <c r="G131" s="367" t="s">
        <v>1232</v>
      </c>
      <c r="H131" s="368"/>
      <c r="I131" s="368"/>
      <c r="J131" s="368"/>
      <c r="K131" s="368"/>
      <c r="L131" s="368"/>
      <c r="M131" s="368"/>
      <c r="N131" s="368"/>
      <c r="R131" s="370" t="s">
        <v>1234</v>
      </c>
      <c r="S131" s="371"/>
      <c r="T131" s="372"/>
      <c r="U131" s="372"/>
      <c r="V131" s="372"/>
      <c r="W131" s="370" t="s">
        <v>1235</v>
      </c>
      <c r="X131" s="372"/>
      <c r="Y131" s="372"/>
      <c r="AA131" s="372"/>
      <c r="AB131" s="372"/>
      <c r="AC131" s="372"/>
      <c r="AD131" s="372"/>
    </row>
    <row r="132" spans="1:30" s="351" customFormat="1" ht="12" customHeight="1">
      <c r="A132" s="373" t="s">
        <v>3</v>
      </c>
      <c r="B132" s="374" t="s">
        <v>8</v>
      </c>
      <c r="C132" s="374" t="s">
        <v>9</v>
      </c>
      <c r="D132" s="374" t="s">
        <v>10</v>
      </c>
      <c r="E132" s="375" t="s">
        <v>1209</v>
      </c>
      <c r="F132" s="374"/>
      <c r="G132" s="351" t="s">
        <v>3</v>
      </c>
      <c r="H132" s="983" t="s">
        <v>0</v>
      </c>
      <c r="I132" s="983"/>
      <c r="J132" s="983" t="s">
        <v>1</v>
      </c>
      <c r="K132" s="983"/>
      <c r="L132" s="983" t="s">
        <v>2</v>
      </c>
      <c r="M132" s="983"/>
      <c r="N132" s="984" t="s">
        <v>1209</v>
      </c>
      <c r="O132" s="984"/>
      <c r="P132" s="376"/>
      <c r="Q132" s="376"/>
      <c r="R132" s="377" t="s">
        <v>3</v>
      </c>
      <c r="S132" s="378" t="s">
        <v>136</v>
      </c>
      <c r="T132" s="376" t="s">
        <v>134</v>
      </c>
      <c r="U132" s="374" t="s">
        <v>135</v>
      </c>
      <c r="V132" s="376"/>
      <c r="W132" s="379" t="s">
        <v>26</v>
      </c>
    </row>
    <row r="133" spans="1:30" s="273" customFormat="1">
      <c r="A133" s="273">
        <v>1959</v>
      </c>
      <c r="B133" s="260">
        <f>(K6*($E6/365)) + (K7*($E7/365))</f>
        <v>56.55577299412915</v>
      </c>
      <c r="C133" s="260">
        <f>(L6*($E6/365)) + (L7*($E7/365))</f>
        <v>42.270058708414872</v>
      </c>
      <c r="D133" s="260">
        <f>(M6*($E6/365)) + (M7*($E7/365))</f>
        <v>1.1741682974559686</v>
      </c>
      <c r="E133" s="261">
        <f>B133+C133+D133</f>
        <v>99.999999999999986</v>
      </c>
      <c r="G133" s="273">
        <v>1959</v>
      </c>
      <c r="H133" s="991">
        <f>(O6/$R6*100*($E6/365))+(O7/$R7*100*($E7/365))</f>
        <v>59.743182497238152</v>
      </c>
      <c r="I133" s="991"/>
      <c r="J133" s="991">
        <f>(P6/$R6*100*($E6/365))+(P7/$R7*100*($E7/365))</f>
        <v>39.038467273930678</v>
      </c>
      <c r="K133" s="991"/>
      <c r="L133" s="991">
        <f>(Q6/$R6*100*($E6/365))+(Q7/$R7*100*($E7/365))</f>
        <v>1.2183502288311647</v>
      </c>
      <c r="M133" s="991"/>
      <c r="N133" s="993">
        <f>H133+J133+L133</f>
        <v>100</v>
      </c>
      <c r="O133" s="993"/>
      <c r="R133" s="273">
        <v>1959</v>
      </c>
      <c r="S133" s="260">
        <f>(O6*($E6/365)) + (O7*($E7/365))</f>
        <v>36.741095890410961</v>
      </c>
      <c r="T133" s="260">
        <f>(P6*($E6/365)) + (P7*($E7/365))</f>
        <v>24</v>
      </c>
      <c r="U133" s="260">
        <f>(Q6*($E6/365)) + (Q7*($E7/365))</f>
        <v>1.0684931506849313</v>
      </c>
      <c r="V133" s="274"/>
      <c r="W133" s="274">
        <f>S133+T133+U133</f>
        <v>61.80958904109589</v>
      </c>
    </row>
    <row r="134" spans="1:30">
      <c r="A134" s="1">
        <v>1960</v>
      </c>
      <c r="B134" s="8">
        <f>(K8*($E8/366))+(K9*($E9/366))</f>
        <v>42.857142857142854</v>
      </c>
      <c r="C134" s="8">
        <f>(L8*($E8/366))+(L9*($E9/366))</f>
        <v>28.571428571428569</v>
      </c>
      <c r="D134" s="8">
        <f>(M8*($E8/366))+(M9*($E9/366))</f>
        <v>28.571428571428569</v>
      </c>
      <c r="E134" s="50">
        <f>B134+C134+D134</f>
        <v>99.999999999999986</v>
      </c>
      <c r="G134" s="1">
        <v>1960</v>
      </c>
      <c r="H134" s="989">
        <f>(O8/$R8*100*($E8/366))+(O9/$R9*100*($E9/366))</f>
        <v>42.987457240592931</v>
      </c>
      <c r="I134" s="989"/>
      <c r="J134" s="989">
        <f>(P8/$R8*100*($E8/366))+(P9/$R9*100*($E9/366))</f>
        <v>27.366020524515395</v>
      </c>
      <c r="K134" s="989"/>
      <c r="L134" s="989">
        <f>(Q8/$R8*100*($E8/366))+(Q9/$R9*100*($E9/366))</f>
        <v>29.646522234891677</v>
      </c>
      <c r="M134" s="989"/>
      <c r="N134" s="990">
        <f t="shared" ref="N134:N165" si="28">H134+J134+L134</f>
        <v>100</v>
      </c>
      <c r="O134" s="990"/>
      <c r="P134" s="2"/>
      <c r="R134" s="1">
        <v>1960</v>
      </c>
      <c r="S134" s="8">
        <f>(O8*($E8/366))+(O9*($E9/366))</f>
        <v>37.700000000000003</v>
      </c>
      <c r="T134" s="8">
        <f>(P8*($E8/366))+(P9*($E9/366))</f>
        <v>24</v>
      </c>
      <c r="U134" s="8">
        <f>(Q8*($E8/366))+(Q9*($E9/366))</f>
        <v>26</v>
      </c>
      <c r="V134" s="7"/>
      <c r="W134" s="7">
        <f>S134+T134+U134</f>
        <v>87.7</v>
      </c>
    </row>
    <row r="135" spans="1:30">
      <c r="A135" s="1">
        <v>1961</v>
      </c>
      <c r="B135" s="8">
        <f>(K10*($E10/365))+(K11*($E11/365))</f>
        <v>42.857142857142854</v>
      </c>
      <c r="C135" s="8">
        <f>(L10*($E10/365))+(L11*($E11/365))</f>
        <v>28.571428571428569</v>
      </c>
      <c r="D135" s="8">
        <f>(M10*($E10/365))+(M11*($E11/365))</f>
        <v>28.571428571428569</v>
      </c>
      <c r="E135" s="50">
        <f t="shared" ref="E135:E187" si="29">B135+C135+D135</f>
        <v>99.999999999999986</v>
      </c>
      <c r="G135" s="1">
        <v>1961</v>
      </c>
      <c r="H135" s="989">
        <f>(O10/$R10*100*($E10/365))+(O11/$R11*100*($E11/365))</f>
        <v>42.987457240592931</v>
      </c>
      <c r="I135" s="989"/>
      <c r="J135" s="989">
        <f>(P10/$R10*100*($E10/365))+(P11/$R11*100*($E11/365))</f>
        <v>27.366020524515395</v>
      </c>
      <c r="K135" s="989"/>
      <c r="L135" s="989">
        <f>(Q10/$R10*100*($E10/365))+(Q11/$R11*100*($E11/365))</f>
        <v>29.646522234891677</v>
      </c>
      <c r="M135" s="989"/>
      <c r="N135" s="959">
        <f t="shared" si="28"/>
        <v>100</v>
      </c>
      <c r="O135" s="959"/>
      <c r="R135" s="1">
        <v>1961</v>
      </c>
      <c r="S135" s="8">
        <f>(O10*($E10/365))+(O11*($E11/365))</f>
        <v>37.700000000000003</v>
      </c>
      <c r="T135" s="8">
        <f>(P10*($E10/365))+(P11*($E11/365))</f>
        <v>24</v>
      </c>
      <c r="U135" s="8">
        <f>(Q10*($E10/365))+(Q11*($E11/365))</f>
        <v>26</v>
      </c>
      <c r="V135" s="7"/>
      <c r="W135" s="7">
        <f t="shared" ref="W135:W187" si="30">S135+T135+U135</f>
        <v>87.7</v>
      </c>
    </row>
    <row r="136" spans="1:30">
      <c r="A136" s="1">
        <v>1962</v>
      </c>
      <c r="B136" s="8">
        <f>(K12*($E12/365))+(K13*($E13/365))</f>
        <v>42.857142857142854</v>
      </c>
      <c r="C136" s="8">
        <f>(L12*($E12/365))+(L13*($E13/365))</f>
        <v>28.571428571428569</v>
      </c>
      <c r="D136" s="8">
        <f>(M12*($E12/365))+(M13*($E13/365))</f>
        <v>28.571428571428569</v>
      </c>
      <c r="E136" s="50">
        <f t="shared" si="29"/>
        <v>99.999999999999986</v>
      </c>
      <c r="G136" s="1">
        <v>1962</v>
      </c>
      <c r="H136" s="989">
        <f>(O12/$R12*100*($E12/365))+(O13/$R13*100*($E13/365))</f>
        <v>42.987457240592931</v>
      </c>
      <c r="I136" s="989"/>
      <c r="J136" s="989">
        <f>(P12/$R12*100*($E12/365))+(P13/$R13*100*($E13/365))</f>
        <v>27.366020524515395</v>
      </c>
      <c r="K136" s="989"/>
      <c r="L136" s="989">
        <f>(Q12/$R12*100*($E12/365))+(Q13/$R13*100*($E13/365))</f>
        <v>29.646522234891677</v>
      </c>
      <c r="M136" s="989"/>
      <c r="N136" s="959">
        <f t="shared" si="28"/>
        <v>100</v>
      </c>
      <c r="O136" s="959"/>
      <c r="R136" s="1">
        <v>1962</v>
      </c>
      <c r="S136" s="8">
        <f>(O12*($E12/365))+(O13*($E13/365))</f>
        <v>37.700000000000003</v>
      </c>
      <c r="T136" s="8">
        <f>(P12*($E12/365))+(P13*($E13/365))</f>
        <v>24</v>
      </c>
      <c r="U136" s="8">
        <f>(Q12*($E12/365))+(Q13*($E13/365))</f>
        <v>26</v>
      </c>
      <c r="V136" s="7"/>
      <c r="W136" s="7">
        <f t="shared" si="30"/>
        <v>87.7</v>
      </c>
    </row>
    <row r="137" spans="1:30">
      <c r="A137" s="1">
        <v>1963</v>
      </c>
      <c r="B137" s="8">
        <f>(K14*($E14/365))+(K15*($E15/365))</f>
        <v>42.857142857142854</v>
      </c>
      <c r="C137" s="8">
        <f>(L14*($E14/365))+(L15*($E15/365))</f>
        <v>28.571428571428569</v>
      </c>
      <c r="D137" s="8">
        <f>(M14*($E14/365))+(M15*($E15/365))</f>
        <v>28.571428571428569</v>
      </c>
      <c r="E137" s="50">
        <f t="shared" si="29"/>
        <v>99.999999999999986</v>
      </c>
      <c r="G137" s="1">
        <v>1963</v>
      </c>
      <c r="H137" s="989">
        <f>(O14/$R14*100*($E14/365))+(O15/$R15*100*($E15/365))</f>
        <v>42.930830706231994</v>
      </c>
      <c r="I137" s="989"/>
      <c r="J137" s="989">
        <f>(P14/$R14*100*($E14/365))+(P15/$R15*100*($E15/365))</f>
        <v>27.378085531202316</v>
      </c>
      <c r="K137" s="989"/>
      <c r="L137" s="989">
        <f>(Q14/$R14*100*($E14/365))+(Q15/$R15*100*($E15/365))</f>
        <v>29.691083762565697</v>
      </c>
      <c r="M137" s="989"/>
      <c r="N137" s="959">
        <f t="shared" si="28"/>
        <v>100.00000000000001</v>
      </c>
      <c r="O137" s="959"/>
      <c r="R137" s="1">
        <v>1963</v>
      </c>
      <c r="S137" s="8">
        <f>(O14*($E14/365))+(O15*($E15/365))</f>
        <v>37.634246575342466</v>
      </c>
      <c r="T137" s="8">
        <f>(P14*($E14/365))+(P15*($E15/365))</f>
        <v>24</v>
      </c>
      <c r="U137" s="8">
        <f>(Q14*($E14/365))+(Q15*($E15/365))</f>
        <v>26.027397260273975</v>
      </c>
      <c r="V137" s="7"/>
      <c r="W137" s="7">
        <f t="shared" si="30"/>
        <v>87.661643835616445</v>
      </c>
    </row>
    <row r="138" spans="1:30">
      <c r="A138" s="1">
        <v>1964</v>
      </c>
      <c r="B138" s="8">
        <f>(K16*($E16/366))+(K17*($E17/366))</f>
        <v>42.857142857142854</v>
      </c>
      <c r="C138" s="8">
        <f>(L16*($E16/366))+(L17*($E17/366))</f>
        <v>28.571428571428569</v>
      </c>
      <c r="D138" s="8">
        <f>(M16*($E16/366))+(M17*($E17/366))</f>
        <v>28.571428571428569</v>
      </c>
      <c r="E138" s="50">
        <f t="shared" si="29"/>
        <v>99.999999999999986</v>
      </c>
      <c r="G138" s="1">
        <v>1964</v>
      </c>
      <c r="H138" s="989">
        <f>(O16/$R16*100*($E16/366))+(O17/$R17*100*($E17/366))</f>
        <v>41.954022988505749</v>
      </c>
      <c r="I138" s="989"/>
      <c r="J138" s="989">
        <f>(P16/$R16*100*($E16/366))+(P17/$R17*100*($E17/366))</f>
        <v>27.586206896551722</v>
      </c>
      <c r="K138" s="989"/>
      <c r="L138" s="989">
        <f>(Q16/$R16*100*($E16/366))+(Q17/$R17*100*($E17/366))</f>
        <v>30.459770114942529</v>
      </c>
      <c r="M138" s="989"/>
      <c r="N138" s="959">
        <f t="shared" si="28"/>
        <v>100</v>
      </c>
      <c r="O138" s="959"/>
      <c r="R138" s="1">
        <v>1964</v>
      </c>
      <c r="S138" s="8">
        <f>(O16*($E16/366))+(O17*($E17/366))</f>
        <v>36.5</v>
      </c>
      <c r="T138" s="8">
        <f>(P16*($E16/366))+(P17*($E17/366))</f>
        <v>24</v>
      </c>
      <c r="U138" s="8">
        <f>(Q16*($E16/366))+(Q17*($E17/366))</f>
        <v>26.5</v>
      </c>
      <c r="V138" s="7"/>
      <c r="W138" s="7">
        <f t="shared" si="30"/>
        <v>87</v>
      </c>
    </row>
    <row r="139" spans="1:30">
      <c r="A139" s="1">
        <v>1965</v>
      </c>
      <c r="B139" s="8">
        <f>(K18*($E18/365))+(K19*($E19/365))</f>
        <v>42.857142857142854</v>
      </c>
      <c r="C139" s="8">
        <f>(L18*($E18/365))+(L19*($E19/365))</f>
        <v>28.571428571428569</v>
      </c>
      <c r="D139" s="8">
        <f>(M18*($E18/365))+(M19*($E19/365))</f>
        <v>28.571428571428569</v>
      </c>
      <c r="E139" s="50">
        <f t="shared" si="29"/>
        <v>99.999999999999986</v>
      </c>
      <c r="G139" s="1">
        <v>1965</v>
      </c>
      <c r="H139" s="989">
        <f>(O18/$R18*100*($E18/365))+(O19/$R19*100*($E19/365))</f>
        <v>41.954022988505749</v>
      </c>
      <c r="I139" s="989"/>
      <c r="J139" s="989">
        <f>(P18/$R18*100*($E18/365))+(P19/$R19*100*($E19/365))</f>
        <v>27.586206896551722</v>
      </c>
      <c r="K139" s="989"/>
      <c r="L139" s="989">
        <f>(Q18/$R18*100*($E18/365))+(Q19/$R19*100*($E19/365))</f>
        <v>30.459770114942529</v>
      </c>
      <c r="M139" s="989"/>
      <c r="N139" s="959">
        <f t="shared" si="28"/>
        <v>100</v>
      </c>
      <c r="O139" s="959"/>
      <c r="R139" s="1">
        <v>1965</v>
      </c>
      <c r="S139" s="8">
        <f>(O18*($E18/365))+(O19*($E19/365))</f>
        <v>36.5</v>
      </c>
      <c r="T139" s="8">
        <f>(P18*($E18/365))+(P19*($E19/365))</f>
        <v>24</v>
      </c>
      <c r="U139" s="8">
        <f>(Q18*($E18/365))+(Q19*($E19/365))</f>
        <v>26.5</v>
      </c>
      <c r="V139" s="7"/>
      <c r="W139" s="7">
        <f t="shared" si="30"/>
        <v>87</v>
      </c>
    </row>
    <row r="140" spans="1:30">
      <c r="A140" s="1">
        <v>1966</v>
      </c>
      <c r="B140" s="8">
        <f>(K20*($E20/365))+(K21*($E21/365))</f>
        <v>42.857142857142854</v>
      </c>
      <c r="C140" s="8">
        <f>(L20*($E20/365))+(L21*($E21/365))</f>
        <v>28.571428571428569</v>
      </c>
      <c r="D140" s="8">
        <f>(M20*($E20/365))+(M21*($E21/365))</f>
        <v>28.571428571428569</v>
      </c>
      <c r="E140" s="50">
        <f t="shared" si="29"/>
        <v>99.999999999999986</v>
      </c>
      <c r="G140" s="1">
        <v>1966</v>
      </c>
      <c r="H140" s="989">
        <f>(O20/$R20*100*($E20/365))+(O21/$R21*100*($E21/365))</f>
        <v>41.954022988505749</v>
      </c>
      <c r="I140" s="989"/>
      <c r="J140" s="989">
        <f>(P20/$R20*100*($E20/365))+(P21/$R21*100*($E21/365))</f>
        <v>27.586206896551722</v>
      </c>
      <c r="K140" s="989"/>
      <c r="L140" s="989">
        <f>(Q20/$R20*100*($E20/365))+(Q21/$R21*100*($E21/365))</f>
        <v>30.459770114942529</v>
      </c>
      <c r="M140" s="989"/>
      <c r="N140" s="959">
        <f t="shared" si="28"/>
        <v>100</v>
      </c>
      <c r="O140" s="959"/>
      <c r="R140" s="1">
        <v>1966</v>
      </c>
      <c r="S140" s="8">
        <f>(O20*($E20/365))+(O21*($E21/365))</f>
        <v>36.5</v>
      </c>
      <c r="T140" s="8">
        <f>(P20*($E20/365))+(P21*($E21/365))</f>
        <v>24</v>
      </c>
      <c r="U140" s="8">
        <f>(Q20*($E20/365))+(Q21*($E21/365))</f>
        <v>26.5</v>
      </c>
      <c r="V140" s="7"/>
      <c r="W140" s="7">
        <f t="shared" si="30"/>
        <v>87</v>
      </c>
    </row>
    <row r="141" spans="1:30">
      <c r="A141" s="1">
        <v>1967</v>
      </c>
      <c r="B141" s="8">
        <f>(K22*($E22/365))+(K23*($E23/365))</f>
        <v>42.857142857142854</v>
      </c>
      <c r="C141" s="8">
        <f>(L22*($E22/365))+(L23*($E23/365))</f>
        <v>28.571428571428569</v>
      </c>
      <c r="D141" s="8">
        <f>(M22*($E22/365))+(M23*($E23/365))</f>
        <v>28.571428571428569</v>
      </c>
      <c r="E141" s="50">
        <f t="shared" si="29"/>
        <v>99.999999999999986</v>
      </c>
      <c r="G141" s="1">
        <v>1967</v>
      </c>
      <c r="H141" s="989">
        <f>(O22/$R22*100*($E22/365))+(O23/$R23*100*($E23/365))</f>
        <v>41.955199162260762</v>
      </c>
      <c r="I141" s="989"/>
      <c r="J141" s="989">
        <f>(P22/$R22*100*($E22/365))+(P23/$R23*100*($E23/365))</f>
        <v>27.583588961419604</v>
      </c>
      <c r="K141" s="989"/>
      <c r="L141" s="989">
        <f>(Q22/$R22*100*($E22/365))+(Q23/$R23*100*($E23/365))</f>
        <v>30.461211876319638</v>
      </c>
      <c r="M141" s="989"/>
      <c r="N141" s="959">
        <f t="shared" si="28"/>
        <v>100</v>
      </c>
      <c r="O141" s="959"/>
      <c r="R141" s="1">
        <v>1967</v>
      </c>
      <c r="S141" s="8">
        <f>(O22*($E22/365))+(O23*($E23/365))</f>
        <v>36.491780821917814</v>
      </c>
      <c r="T141" s="8">
        <f>(P22*($E22/365))+(P23*($E23/365))</f>
        <v>23.991780821917811</v>
      </c>
      <c r="U141" s="8">
        <f>(Q22*($E22/365))+(Q23*($E23/365))</f>
        <v>26.494520547945204</v>
      </c>
      <c r="V141" s="7"/>
      <c r="W141" s="7">
        <f t="shared" si="30"/>
        <v>86.978082191780828</v>
      </c>
    </row>
    <row r="142" spans="1:30">
      <c r="A142" s="1">
        <v>1968</v>
      </c>
      <c r="B142" s="8">
        <f>(K24*($E24/366))+(K25*($E25/366))</f>
        <v>42.857142857142854</v>
      </c>
      <c r="C142" s="8">
        <f>(L24*($E24/366))+(L25*($E25/366))</f>
        <v>28.571428571428569</v>
      </c>
      <c r="D142" s="8">
        <f>(M24*($E24/366))+(M25*($E25/366))</f>
        <v>28.571428571428569</v>
      </c>
      <c r="E142" s="50">
        <f t="shared" si="29"/>
        <v>99.999999999999986</v>
      </c>
      <c r="G142" s="1">
        <v>1968</v>
      </c>
      <c r="H142" s="989">
        <f>(O24/$R24*100*($E24/366))+(O25/$R25*100*($E25/366))</f>
        <v>42.168674698795186</v>
      </c>
      <c r="I142" s="989"/>
      <c r="J142" s="989">
        <f>(P24/$R24*100*($E24/366))+(P25/$R25*100*($E25/366))</f>
        <v>27.108433734939759</v>
      </c>
      <c r="K142" s="989"/>
      <c r="L142" s="989">
        <f>(Q24/$R24*100*($E24/366))+(Q25/$R25*100*($E25/366))</f>
        <v>30.722891566265059</v>
      </c>
      <c r="M142" s="989"/>
      <c r="N142" s="959">
        <f t="shared" si="28"/>
        <v>100.00000000000001</v>
      </c>
      <c r="O142" s="959"/>
      <c r="R142" s="1">
        <v>1968</v>
      </c>
      <c r="S142" s="8">
        <f>(O24*($E24/366))+(O25*($E25/366))</f>
        <v>35</v>
      </c>
      <c r="T142" s="8">
        <f>(P24*($E24/366))+(P25*($E25/366))</f>
        <v>22.5</v>
      </c>
      <c r="U142" s="8">
        <f>(Q24*($E24/366))+(Q25*($E25/366))</f>
        <v>25.5</v>
      </c>
      <c r="V142" s="7"/>
      <c r="W142" s="7">
        <f t="shared" si="30"/>
        <v>83</v>
      </c>
    </row>
    <row r="143" spans="1:30">
      <c r="A143" s="1">
        <v>1969</v>
      </c>
      <c r="B143" s="8">
        <f>(K26*($E26/365))+(K27*($E27/365))</f>
        <v>42.857142857142854</v>
      </c>
      <c r="C143" s="8">
        <f>(L26*($E26/365))+(L27*($E27/365))</f>
        <v>28.571428571428569</v>
      </c>
      <c r="D143" s="8">
        <f>(M26*($E26/365))+(M27*($E27/365))</f>
        <v>28.571428571428569</v>
      </c>
      <c r="E143" s="50">
        <f t="shared" si="29"/>
        <v>99.999999999999986</v>
      </c>
      <c r="G143" s="1">
        <v>1969</v>
      </c>
      <c r="H143" s="989">
        <f>(O26/$R26*100*($E26/365))+(O27/$R27*100*($E27/365))</f>
        <v>42.168674698795186</v>
      </c>
      <c r="I143" s="989"/>
      <c r="J143" s="989">
        <f>(P26/$R26*100*($E26/365))+(P27/$R27*100*($E27/365))</f>
        <v>27.108433734939759</v>
      </c>
      <c r="K143" s="989"/>
      <c r="L143" s="989">
        <f>(Q26/$R26*100*($E26/365))+(Q27/$R27*100*($E27/365))</f>
        <v>30.722891566265059</v>
      </c>
      <c r="M143" s="989"/>
      <c r="N143" s="959">
        <f t="shared" si="28"/>
        <v>100.00000000000001</v>
      </c>
      <c r="O143" s="959"/>
      <c r="R143" s="1">
        <v>1969</v>
      </c>
      <c r="S143" s="8">
        <f>(O26*($E26/365))+(O27*($E27/365))</f>
        <v>35</v>
      </c>
      <c r="T143" s="8">
        <f>(P26*($E26/365))+(P27*($E27/365))</f>
        <v>22.5</v>
      </c>
      <c r="U143" s="8">
        <f>(Q26*($E26/365))+(Q27*($E27/365))</f>
        <v>25.5</v>
      </c>
      <c r="V143" s="7"/>
      <c r="W143" s="7">
        <f t="shared" si="30"/>
        <v>83</v>
      </c>
    </row>
    <row r="144" spans="1:30">
      <c r="A144" s="1">
        <v>1970</v>
      </c>
      <c r="B144" s="8">
        <f>(K28*($E28/365))+(K29*($E29/365))</f>
        <v>42.857142857142854</v>
      </c>
      <c r="C144" s="8">
        <f>(L28*($E28/365))+(L29*($E29/365))</f>
        <v>28.571428571428569</v>
      </c>
      <c r="D144" s="8">
        <f>(M28*($E28/365))+(M29*($E29/365))</f>
        <v>28.571428571428569</v>
      </c>
      <c r="E144" s="50">
        <f t="shared" si="29"/>
        <v>99.999999999999986</v>
      </c>
      <c r="G144" s="1">
        <v>1970</v>
      </c>
      <c r="H144" s="989">
        <f>(O28/$R28*100*($E28/365))+(O29/$R29*100*($E29/365))</f>
        <v>42.168674698795186</v>
      </c>
      <c r="I144" s="989"/>
      <c r="J144" s="989">
        <f>(P28/$R28*100*($E28/365))+(P29/$R29*100*($E29/365))</f>
        <v>27.108433734939759</v>
      </c>
      <c r="K144" s="989"/>
      <c r="L144" s="989">
        <f>(Q28/$R28*100*($E28/365))+(Q29/$R29*100*($E29/365))</f>
        <v>30.722891566265059</v>
      </c>
      <c r="M144" s="989"/>
      <c r="N144" s="959">
        <f t="shared" si="28"/>
        <v>100.00000000000001</v>
      </c>
      <c r="O144" s="959"/>
      <c r="R144" s="1">
        <v>1970</v>
      </c>
      <c r="S144" s="8">
        <f>(O28*($E28/365))+(O29*($E29/365))</f>
        <v>35</v>
      </c>
      <c r="T144" s="8">
        <f>(P28*($E28/365))+(P29*($E29/365))</f>
        <v>22.5</v>
      </c>
      <c r="U144" s="8">
        <f>(Q28*($E28/365))+(Q29*($E29/365))</f>
        <v>25.5</v>
      </c>
      <c r="V144" s="7"/>
      <c r="W144" s="7">
        <f t="shared" si="30"/>
        <v>83</v>
      </c>
    </row>
    <row r="145" spans="1:23">
      <c r="A145" s="1">
        <v>1971</v>
      </c>
      <c r="B145" s="8">
        <f>(K30*($E30/365))+(K31*($E31/365))</f>
        <v>42.857142857142854</v>
      </c>
      <c r="C145" s="8">
        <f>(L30*($E30/365))+(L31*($E31/365))</f>
        <v>28.571428571428569</v>
      </c>
      <c r="D145" s="8">
        <f>(M30*($E30/365))+(M31*($E31/365))</f>
        <v>28.571428571428569</v>
      </c>
      <c r="E145" s="50">
        <f t="shared" si="29"/>
        <v>99.999999999999986</v>
      </c>
      <c r="G145" s="1">
        <v>1971</v>
      </c>
      <c r="H145" s="989">
        <f>(O30/$R30*100*($E30/365))+(O31/$R31*100*($E31/365))</f>
        <v>42.318314353303634</v>
      </c>
      <c r="I145" s="989"/>
      <c r="J145" s="989">
        <f>(P30/$R30*100*($E30/365))+(P31/$R31*100*($E31/365))</f>
        <v>27.111856864291259</v>
      </c>
      <c r="K145" s="989"/>
      <c r="L145" s="989">
        <f>(Q30/$R30*100*($E30/365))+(Q31/$R31*100*($E31/365))</f>
        <v>30.569828782405114</v>
      </c>
      <c r="M145" s="989"/>
      <c r="N145" s="959">
        <f t="shared" si="28"/>
        <v>100</v>
      </c>
      <c r="O145" s="959"/>
      <c r="R145" s="1">
        <v>1971</v>
      </c>
      <c r="S145" s="8">
        <f>(O30*($E30/365))+(O31*($E31/365))</f>
        <v>35.065753424657537</v>
      </c>
      <c r="T145" s="8">
        <f>(P30*($E30/365))+(P31*($E31/365))</f>
        <v>22.467123287671232</v>
      </c>
      <c r="U145" s="8">
        <f>(Q30*($E30/365))+(Q31*($E31/365))</f>
        <v>25.335616438356166</v>
      </c>
      <c r="V145" s="7"/>
      <c r="W145" s="7">
        <f t="shared" si="30"/>
        <v>82.868493150684941</v>
      </c>
    </row>
    <row r="146" spans="1:23">
      <c r="A146" s="1">
        <v>1972</v>
      </c>
      <c r="B146" s="8">
        <f>(K32*($E32/366))+(K33*($E33/366))</f>
        <v>42.857142857142854</v>
      </c>
      <c r="C146" s="8">
        <f>(L32*($E32/366))+(L33*($E33/366))</f>
        <v>28.571428571428569</v>
      </c>
      <c r="D146" s="8">
        <f>(M32*($E32/366))+(M33*($E33/366))</f>
        <v>28.571428571428569</v>
      </c>
      <c r="E146" s="50">
        <f t="shared" si="29"/>
        <v>99.999999999999986</v>
      </c>
      <c r="G146" s="1">
        <v>1972</v>
      </c>
      <c r="H146" s="989">
        <f>(O32/$R32*100*($E32/366))+(O33/$R33*100*($E33/366))</f>
        <v>44.444444444444443</v>
      </c>
      <c r="I146" s="989"/>
      <c r="J146" s="989">
        <f>(P32/$R32*100*($E32/366))+(P33/$R33*100*($E33/366))</f>
        <v>27.160493827160494</v>
      </c>
      <c r="K146" s="989"/>
      <c r="L146" s="989">
        <f>(Q32/$R32*100*($E32/366))+(Q33/$R33*100*($E33/366))</f>
        <v>28.39506172839506</v>
      </c>
      <c r="M146" s="989"/>
      <c r="N146" s="959">
        <f t="shared" si="28"/>
        <v>100</v>
      </c>
      <c r="O146" s="959"/>
      <c r="R146" s="1">
        <v>1972</v>
      </c>
      <c r="S146" s="8">
        <f>(O32*($E32/366))+(O33*($E33/366))</f>
        <v>36</v>
      </c>
      <c r="T146" s="8">
        <f>(P32*($E32/366))+(P33*($E33/366))</f>
        <v>22</v>
      </c>
      <c r="U146" s="8">
        <f>(Q32*($E32/366))+(Q33*($E33/366))</f>
        <v>23</v>
      </c>
      <c r="V146" s="7"/>
      <c r="W146" s="7">
        <f t="shared" si="30"/>
        <v>81</v>
      </c>
    </row>
    <row r="147" spans="1:23">
      <c r="A147" s="1">
        <v>1973</v>
      </c>
      <c r="B147" s="8">
        <f>(K34*($E34/365))+(K35*($E35/365))</f>
        <v>42.857142857142854</v>
      </c>
      <c r="C147" s="8">
        <f>(L34*($E34/365))+(L35*($E35/365))</f>
        <v>28.571428571428569</v>
      </c>
      <c r="D147" s="8">
        <f>(M34*($E34/365))+(M35*($E35/365))</f>
        <v>28.571428571428569</v>
      </c>
      <c r="E147" s="50">
        <f t="shared" si="29"/>
        <v>99.999999999999986</v>
      </c>
      <c r="G147" s="1">
        <v>1973</v>
      </c>
      <c r="H147" s="989">
        <f>(O34/$R34*100*($E34/365))+(O35/$R35*100*($E35/365))</f>
        <v>44.444444444444443</v>
      </c>
      <c r="I147" s="989"/>
      <c r="J147" s="989">
        <f>(P34/$R34*100*($E34/365))+(P35/$R35*100*($E35/365))</f>
        <v>27.160493827160494</v>
      </c>
      <c r="K147" s="989"/>
      <c r="L147" s="989">
        <f>(Q34/$R34*100*($E34/365))+(Q35/$R35*100*($E35/365))</f>
        <v>28.39506172839506</v>
      </c>
      <c r="M147" s="989"/>
      <c r="N147" s="959">
        <f t="shared" si="28"/>
        <v>100</v>
      </c>
      <c r="O147" s="959"/>
      <c r="R147" s="1">
        <v>1973</v>
      </c>
      <c r="S147" s="8">
        <f>(O34*($E34/365))+(O35*($E35/365))</f>
        <v>36</v>
      </c>
      <c r="T147" s="8">
        <f>(P34*($E34/365))+(P35*($E35/365))</f>
        <v>22</v>
      </c>
      <c r="U147" s="8">
        <f>(Q34*($E34/365))+(Q35*($E35/365))</f>
        <v>23</v>
      </c>
      <c r="V147" s="7"/>
      <c r="W147" s="7">
        <f t="shared" si="30"/>
        <v>81</v>
      </c>
    </row>
    <row r="148" spans="1:23">
      <c r="A148" s="1">
        <v>1974</v>
      </c>
      <c r="B148" s="8">
        <f>(K36*($E36/365))+(K37*($E37/365))</f>
        <v>42.857142857142854</v>
      </c>
      <c r="C148" s="8">
        <f>(L36*($E36/365))+(L37*($E37/365))</f>
        <v>28.571428571428569</v>
      </c>
      <c r="D148" s="8">
        <f>(M36*($E36/365))+(M37*($E37/365))</f>
        <v>28.571428571428569</v>
      </c>
      <c r="E148" s="50">
        <f t="shared" si="29"/>
        <v>99.999999999999986</v>
      </c>
      <c r="G148" s="1">
        <v>1974</v>
      </c>
      <c r="H148" s="989">
        <f>(O36/$R36*100*($E36/365))+(O37/$R37*100*($E37/365))</f>
        <v>44.444444444444443</v>
      </c>
      <c r="I148" s="989"/>
      <c r="J148" s="989">
        <f>(P36/$R36*100*($E36/365))+(P37/$R37*100*($E37/365))</f>
        <v>27.160493827160494</v>
      </c>
      <c r="K148" s="989"/>
      <c r="L148" s="989">
        <f>(Q36/$R36*100*($E36/365))+(Q37/$R37*100*($E37/365))</f>
        <v>28.39506172839506</v>
      </c>
      <c r="M148" s="989"/>
      <c r="N148" s="959">
        <f t="shared" si="28"/>
        <v>100</v>
      </c>
      <c r="O148" s="959"/>
      <c r="R148" s="1">
        <v>1974</v>
      </c>
      <c r="S148" s="8">
        <f>(O36*($E36/365))+(O37*($E37/365))</f>
        <v>36</v>
      </c>
      <c r="T148" s="8">
        <f>(P36*($E36/365))+(P37*($E37/365))</f>
        <v>22</v>
      </c>
      <c r="U148" s="8">
        <f>(Q36*($E36/365))+(Q37*($E37/365))</f>
        <v>23</v>
      </c>
      <c r="V148" s="7"/>
      <c r="W148" s="7">
        <f t="shared" si="30"/>
        <v>81</v>
      </c>
    </row>
    <row r="149" spans="1:23">
      <c r="A149" s="1">
        <v>1975</v>
      </c>
      <c r="B149" s="8">
        <f>(K38*($E38/365))+(K39*($E39/365))</f>
        <v>42.857142857142854</v>
      </c>
      <c r="C149" s="8">
        <f>(L38*($E38/365))+(L39*($E39/365))</f>
        <v>28.571428571428569</v>
      </c>
      <c r="D149" s="8">
        <f>(M38*($E38/365))+(M39*($E39/365))</f>
        <v>28.571428571428569</v>
      </c>
      <c r="E149" s="50">
        <f t="shared" si="29"/>
        <v>99.999999999999986</v>
      </c>
      <c r="G149" s="1">
        <v>1975</v>
      </c>
      <c r="H149" s="989">
        <f>(O38/$R38*100*($E38/365))+(O39/$R39*100*($E39/365))</f>
        <v>44.190826150784005</v>
      </c>
      <c r="I149" s="989"/>
      <c r="J149" s="989">
        <f>(P38/$R38*100*($E38/365))+(P39/$R39*100*($E39/365))</f>
        <v>27.164016303461331</v>
      </c>
      <c r="K149" s="989"/>
      <c r="L149" s="989">
        <f>(Q38/$R38*100*($E38/365))+(Q39/$R39*100*($E39/365))</f>
        <v>28.645157545754664</v>
      </c>
      <c r="M149" s="989"/>
      <c r="N149" s="959">
        <f t="shared" si="28"/>
        <v>100</v>
      </c>
      <c r="O149" s="959"/>
      <c r="R149" s="1">
        <v>1975</v>
      </c>
      <c r="S149" s="8">
        <f>(O38*($E38/365))+(O39*($E39/365))</f>
        <v>35.87945205479452</v>
      </c>
      <c r="T149" s="8">
        <f>(P38*($E38/365))+(P39*($E39/365))</f>
        <v>22.06027397260274</v>
      </c>
      <c r="U149" s="8">
        <f>(Q38*($E38/365))+(Q39*($E39/365))</f>
        <v>23.271232876712329</v>
      </c>
      <c r="V149" s="7"/>
      <c r="W149" s="7">
        <f t="shared" si="30"/>
        <v>81.210958904109589</v>
      </c>
    </row>
    <row r="150" spans="1:23">
      <c r="A150" s="1">
        <v>1976</v>
      </c>
      <c r="B150" s="8">
        <f>(K40*($E40/366))+(K41*($E41/366))</f>
        <v>42.857142857142854</v>
      </c>
      <c r="C150" s="8">
        <f>(L40*($E40/366))+(L41*($E41/366))</f>
        <v>28.571428571428569</v>
      </c>
      <c r="D150" s="8">
        <f>(M40*($E40/366))+(M41*($E41/366))</f>
        <v>28.571428571428569</v>
      </c>
      <c r="E150" s="50">
        <f t="shared" si="29"/>
        <v>99.999999999999986</v>
      </c>
      <c r="G150" s="1">
        <v>1976</v>
      </c>
      <c r="H150" s="989">
        <f>(O40/$R40*100*($E40/366))+(O41/$R41*100*($E41/366))</f>
        <v>40.236686390532547</v>
      </c>
      <c r="I150" s="989"/>
      <c r="J150" s="989">
        <f>(P40/$R40*100*($E40/366))+(P41/$R41*100*($E41/366))</f>
        <v>27.218934911242602</v>
      </c>
      <c r="K150" s="989"/>
      <c r="L150" s="989">
        <f>(Q40/$R40*100*($E40/366))+(Q41/$R41*100*($E41/366))</f>
        <v>32.544378698224854</v>
      </c>
      <c r="M150" s="989"/>
      <c r="N150" s="959">
        <f t="shared" si="28"/>
        <v>100</v>
      </c>
      <c r="O150" s="959"/>
      <c r="R150" s="1">
        <v>1976</v>
      </c>
      <c r="S150" s="8">
        <f>(O40*($E40/366))+(O41*($E41/366))</f>
        <v>34</v>
      </c>
      <c r="T150" s="8">
        <f>(P40*($E40/366))+(P41*($E41/366))</f>
        <v>23</v>
      </c>
      <c r="U150" s="8">
        <f>(Q40*($E40/366))+(Q41*($E41/366))</f>
        <v>27.5</v>
      </c>
      <c r="V150" s="7"/>
      <c r="W150" s="7">
        <f t="shared" si="30"/>
        <v>84.5</v>
      </c>
    </row>
    <row r="151" spans="1:23">
      <c r="A151" s="1">
        <v>1977</v>
      </c>
      <c r="B151" s="8">
        <f>(K42*($E42/365))+(K43*($E43/365))</f>
        <v>42.857142857142854</v>
      </c>
      <c r="C151" s="8">
        <f>(L42*($E42/365))+(L43*($E43/365))</f>
        <v>28.571428571428569</v>
      </c>
      <c r="D151" s="8">
        <f>(M42*($E42/365))+(M43*($E43/365))</f>
        <v>28.571428571428569</v>
      </c>
      <c r="E151" s="50">
        <f t="shared" si="29"/>
        <v>99.999999999999986</v>
      </c>
      <c r="G151" s="1">
        <v>1977</v>
      </c>
      <c r="H151" s="989">
        <f>(O42/$R42*100*($E42/365))+(O43/$R43*100*($E43/365))</f>
        <v>40.236686390532547</v>
      </c>
      <c r="I151" s="989"/>
      <c r="J151" s="989">
        <f>(P42/$R42*100*($E42/365))+(P43/$R43*100*($E43/365))</f>
        <v>27.218934911242602</v>
      </c>
      <c r="K151" s="989"/>
      <c r="L151" s="989">
        <f>(Q42/$R42*100*($E42/365))+(Q43/$R43*100*($E43/365))</f>
        <v>32.544378698224854</v>
      </c>
      <c r="M151" s="989"/>
      <c r="N151" s="959">
        <f t="shared" si="28"/>
        <v>100</v>
      </c>
      <c r="O151" s="959"/>
      <c r="R151" s="1">
        <v>1977</v>
      </c>
      <c r="S151" s="8">
        <f>(O42*($E42/365))+(O43*($E43/365))</f>
        <v>34</v>
      </c>
      <c r="T151" s="8">
        <f>(P42*($E42/365))+(P43*($E43/365))</f>
        <v>23</v>
      </c>
      <c r="U151" s="8">
        <f>(Q42*($E42/365))+(Q43*($E43/365))</f>
        <v>27.5</v>
      </c>
      <c r="V151" s="7"/>
      <c r="W151" s="7">
        <f t="shared" si="30"/>
        <v>84.5</v>
      </c>
    </row>
    <row r="152" spans="1:23">
      <c r="A152" s="1">
        <v>1978</v>
      </c>
      <c r="B152" s="8">
        <f>(K44*($E44/365))+(K45*($E45/365))</f>
        <v>42.857142857142854</v>
      </c>
      <c r="C152" s="8">
        <f>(L44*($E44/365))+(L45*($E45/365))</f>
        <v>28.571428571428569</v>
      </c>
      <c r="D152" s="8">
        <f>(M44*($E44/365))+(M45*($E45/365))</f>
        <v>28.571428571428569</v>
      </c>
      <c r="E152" s="50">
        <f t="shared" si="29"/>
        <v>99.999999999999986</v>
      </c>
      <c r="G152" s="1">
        <v>1978</v>
      </c>
      <c r="H152" s="989">
        <f>(O44/$R44*100*($E44/365))+(O45/$R45*100*($E45/365))</f>
        <v>40.236686390532547</v>
      </c>
      <c r="I152" s="989"/>
      <c r="J152" s="989">
        <f>(P44/$R44*100*($E44/365))+(P45/$R45*100*($E45/365))</f>
        <v>27.218934911242602</v>
      </c>
      <c r="K152" s="989"/>
      <c r="L152" s="989">
        <f>(Q44/$R44*100*($E44/365))+(Q45/$R45*100*($E45/365))</f>
        <v>32.544378698224854</v>
      </c>
      <c r="M152" s="989"/>
      <c r="N152" s="959">
        <f t="shared" si="28"/>
        <v>100</v>
      </c>
      <c r="O152" s="959"/>
      <c r="R152" s="1">
        <v>1978</v>
      </c>
      <c r="S152" s="8">
        <f>(O44*($E44/365))+(O45*($E45/365))</f>
        <v>34</v>
      </c>
      <c r="T152" s="8">
        <f>(P44*($E44/365))+(P45*($E45/365))</f>
        <v>23</v>
      </c>
      <c r="U152" s="8">
        <f>(Q44*($E44/365))+(Q45*($E45/365))</f>
        <v>27.5</v>
      </c>
      <c r="V152" s="7"/>
      <c r="W152" s="7">
        <f t="shared" si="30"/>
        <v>84.5</v>
      </c>
    </row>
    <row r="153" spans="1:23">
      <c r="A153" s="1">
        <v>1979</v>
      </c>
      <c r="B153" s="8">
        <f>(K46*($E46/365))+(K47*($E47/365))</f>
        <v>42.857142857142847</v>
      </c>
      <c r="C153" s="8">
        <f>(L46*($E46/365))+(L47*($E47/365))</f>
        <v>28.571428571428566</v>
      </c>
      <c r="D153" s="8">
        <f>(M46*($E46/365))+(M47*($E47/365))</f>
        <v>28.571428571428566</v>
      </c>
      <c r="E153" s="50">
        <f t="shared" si="29"/>
        <v>99.999999999999986</v>
      </c>
      <c r="G153" s="1">
        <v>1979</v>
      </c>
      <c r="H153" s="989">
        <f>(O46/$R46*100*($E46/365))+(O47/$R47*100*($E47/365))</f>
        <v>40.285320580368001</v>
      </c>
      <c r="I153" s="989"/>
      <c r="J153" s="989">
        <f>(P46/$R46*100*($E46/365))+(P47/$R47*100*($E47/365))</f>
        <v>27.202723514630783</v>
      </c>
      <c r="K153" s="989"/>
      <c r="L153" s="989">
        <f>(Q46/$R46*100*($E46/365))+(Q47/$R47*100*($E47/365))</f>
        <v>32.511955905001216</v>
      </c>
      <c r="M153" s="989"/>
      <c r="N153" s="959">
        <f t="shared" si="28"/>
        <v>100</v>
      </c>
      <c r="O153" s="959"/>
      <c r="R153" s="1">
        <v>1979</v>
      </c>
      <c r="S153" s="8">
        <f>(O46*($E46/365))+(O47*($E47/365))</f>
        <v>34.041095890410958</v>
      </c>
      <c r="T153" s="8">
        <f>(P46*($E46/365))+(P47*($E47/365))</f>
        <v>22.986301369863011</v>
      </c>
      <c r="U153" s="8">
        <f>(Q46*($E46/365))+(Q47*($E47/365))</f>
        <v>27.472602739726028</v>
      </c>
      <c r="V153" s="7"/>
      <c r="W153" s="7">
        <f t="shared" si="30"/>
        <v>84.5</v>
      </c>
    </row>
    <row r="154" spans="1:23">
      <c r="A154" s="1">
        <v>1980</v>
      </c>
      <c r="B154" s="8">
        <f>(K48*($E48/366))+(K49*($E49/366))</f>
        <v>42.857142857142854</v>
      </c>
      <c r="C154" s="8">
        <f>(L48*($E48/366))+(L49*($E49/366))</f>
        <v>28.571428571428569</v>
      </c>
      <c r="D154" s="8">
        <f>(M48*($E48/366))+(M49*($E49/366))</f>
        <v>28.571428571428569</v>
      </c>
      <c r="E154" s="50">
        <f t="shared" si="29"/>
        <v>99.999999999999986</v>
      </c>
      <c r="G154" s="1">
        <v>1980</v>
      </c>
      <c r="H154" s="989">
        <f>(O48/$R48*100*($E48/366))+(O49/$R49*100*($E49/366))</f>
        <v>43.786982248520715</v>
      </c>
      <c r="I154" s="989"/>
      <c r="J154" s="989">
        <f>(P48/$R48*100*($E48/366))+(P49/$R49*100*($E49/366))</f>
        <v>26.035502958579883</v>
      </c>
      <c r="K154" s="989"/>
      <c r="L154" s="989">
        <f>(Q48/$R48*100*($E48/366))+(Q49/$R49*100*($E49/366))</f>
        <v>30.177514792899409</v>
      </c>
      <c r="M154" s="989"/>
      <c r="N154" s="959">
        <f t="shared" si="28"/>
        <v>100</v>
      </c>
      <c r="O154" s="959"/>
      <c r="R154" s="1">
        <v>1980</v>
      </c>
      <c r="S154" s="8">
        <f>(O48*($E48/366))+(O49*($E49/366))</f>
        <v>37</v>
      </c>
      <c r="T154" s="8">
        <f>(P48*($E48/366))+(P49*($E49/366))</f>
        <v>22</v>
      </c>
      <c r="U154" s="8">
        <f>(Q48*($E48/366))+(Q49*($E49/366))</f>
        <v>25.5</v>
      </c>
      <c r="V154" s="7"/>
      <c r="W154" s="7">
        <f t="shared" si="30"/>
        <v>84.5</v>
      </c>
    </row>
    <row r="155" spans="1:23">
      <c r="A155" s="1">
        <v>1981</v>
      </c>
      <c r="B155" s="8">
        <f>(K50*($E50/365))+(K51*($E51/365))</f>
        <v>42.857142857142854</v>
      </c>
      <c r="C155" s="8">
        <f>(L50*($E50/365))+(L51*($E51/365))</f>
        <v>28.571428571428569</v>
      </c>
      <c r="D155" s="8">
        <f>(M50*($E50/365))+(M51*($E51/365))</f>
        <v>28.571428571428569</v>
      </c>
      <c r="E155" s="50">
        <f t="shared" si="29"/>
        <v>99.999999999999986</v>
      </c>
      <c r="G155" s="1">
        <v>1981</v>
      </c>
      <c r="H155" s="989">
        <f>(O50/$R50*100*($E50/365))+(O51/$R51*100*($E51/365))</f>
        <v>43.786982248520715</v>
      </c>
      <c r="I155" s="989"/>
      <c r="J155" s="989">
        <f>(P50/$R50*100*($E50/365))+(P51/$R51*100*($E51/365))</f>
        <v>26.035502958579883</v>
      </c>
      <c r="K155" s="989"/>
      <c r="L155" s="989">
        <f>(Q50/$R50*100*($E50/365))+(Q51/$R51*100*($E51/365))</f>
        <v>30.177514792899409</v>
      </c>
      <c r="M155" s="989"/>
      <c r="N155" s="959">
        <f t="shared" si="28"/>
        <v>100</v>
      </c>
      <c r="O155" s="959"/>
      <c r="R155" s="1">
        <v>1981</v>
      </c>
      <c r="S155" s="8">
        <f>(O50*($E50/365))+(O51*($E51/365))</f>
        <v>37</v>
      </c>
      <c r="T155" s="8">
        <f>(P50*($E50/365))+(P51*($E51/365))</f>
        <v>22</v>
      </c>
      <c r="U155" s="8">
        <f>(Q50*($E50/365))+(Q51*($E51/365))</f>
        <v>25.5</v>
      </c>
      <c r="V155" s="7"/>
      <c r="W155" s="7">
        <f t="shared" si="30"/>
        <v>84.5</v>
      </c>
    </row>
    <row r="156" spans="1:23">
      <c r="A156" s="1">
        <v>1982</v>
      </c>
      <c r="B156" s="8">
        <f>(K52*($E52/365))+(K53*($E53/365))</f>
        <v>42.857142857142854</v>
      </c>
      <c r="C156" s="8">
        <f>(L52*($E52/365))+(L53*($E53/365))</f>
        <v>28.571428571428569</v>
      </c>
      <c r="D156" s="8">
        <f>(M52*($E52/365))+(M53*($E53/365))</f>
        <v>28.571428571428569</v>
      </c>
      <c r="E156" s="50">
        <f t="shared" si="29"/>
        <v>99.999999999999986</v>
      </c>
      <c r="G156" s="1">
        <v>1982</v>
      </c>
      <c r="H156" s="989">
        <f>(O52/$R52*100*($E52/365))+(O53/$R53*100*($E53/365))</f>
        <v>43.786982248520715</v>
      </c>
      <c r="I156" s="989"/>
      <c r="J156" s="989">
        <f>(P52/$R52*100*($E52/365))+(P53/$R53*100*($E53/365))</f>
        <v>26.035502958579883</v>
      </c>
      <c r="K156" s="989"/>
      <c r="L156" s="989">
        <f>(Q52/$R52*100*($E52/365))+(Q53/$R53*100*($E53/365))</f>
        <v>30.177514792899409</v>
      </c>
      <c r="M156" s="989"/>
      <c r="N156" s="959">
        <f t="shared" si="28"/>
        <v>100</v>
      </c>
      <c r="O156" s="959"/>
      <c r="R156" s="1">
        <v>1982</v>
      </c>
      <c r="S156" s="8">
        <f>(O52*($E52/365))+(O53*($E53/365))</f>
        <v>37</v>
      </c>
      <c r="T156" s="8">
        <f>(P52*($E52/365))+(P53*($E53/365))</f>
        <v>22</v>
      </c>
      <c r="U156" s="8">
        <f>(Q52*($E52/365))+(Q53*($E53/365))</f>
        <v>25.5</v>
      </c>
      <c r="V156" s="7"/>
      <c r="W156" s="7">
        <f t="shared" si="30"/>
        <v>84.5</v>
      </c>
    </row>
    <row r="157" spans="1:23">
      <c r="A157" s="1">
        <v>1983</v>
      </c>
      <c r="B157" s="8">
        <f>(K54*($E54/365))+(K55*($E55/365))</f>
        <v>42.857142857142854</v>
      </c>
      <c r="C157" s="8">
        <f>(L54*($E54/365))+(L55*($E55/365))</f>
        <v>28.571428571428569</v>
      </c>
      <c r="D157" s="8">
        <f>(M54*($E54/365))+(M55*($E55/365))</f>
        <v>28.571428571428569</v>
      </c>
      <c r="E157" s="50">
        <f t="shared" si="29"/>
        <v>99.999999999999986</v>
      </c>
      <c r="G157" s="1">
        <v>1983</v>
      </c>
      <c r="H157" s="989">
        <f>(O54/$R54*100*($E54/365))+(O55/$R55*100*($E55/365))</f>
        <v>43.879533697731681</v>
      </c>
      <c r="I157" s="989"/>
      <c r="J157" s="989">
        <f>(P54/$R54*100*($E54/365))+(P55/$R55*100*($E55/365))</f>
        <v>26.009349874166361</v>
      </c>
      <c r="K157" s="989"/>
      <c r="L157" s="989">
        <f>(Q54/$R54*100*($E54/365))+(Q55/$R55*100*($E55/365))</f>
        <v>30.111116428101969</v>
      </c>
      <c r="M157" s="989"/>
      <c r="N157" s="959">
        <f t="shared" si="28"/>
        <v>100.00000000000001</v>
      </c>
      <c r="O157" s="959"/>
      <c r="R157" s="1">
        <v>1983</v>
      </c>
      <c r="S157" s="8">
        <f>(O54*($E54/365))+(O55*($E55/365))</f>
        <v>37.053424657534244</v>
      </c>
      <c r="T157" s="8">
        <f>(P54*($E54/365))+(P55*($E55/365))</f>
        <v>21.964383561643839</v>
      </c>
      <c r="U157" s="8">
        <f>(Q54*($E54/365))+(Q55*($E55/365))</f>
        <v>25.42876712328767</v>
      </c>
      <c r="V157" s="7"/>
      <c r="W157" s="7">
        <f t="shared" si="30"/>
        <v>84.446575342465749</v>
      </c>
    </row>
    <row r="158" spans="1:23">
      <c r="A158" s="1">
        <v>1984</v>
      </c>
      <c r="B158" s="8">
        <f>(K56*($E56/366))+(K57*($E57/366))</f>
        <v>42.857142857142854</v>
      </c>
      <c r="C158" s="8">
        <f>(L56*($E56/366))+(L57*($E57/366))</f>
        <v>28.571428571428569</v>
      </c>
      <c r="D158" s="8">
        <f>(M56*($E56/366))+(M57*($E57/366))</f>
        <v>28.571428571428569</v>
      </c>
      <c r="E158" s="50">
        <f t="shared" si="29"/>
        <v>99.999999999999986</v>
      </c>
      <c r="G158" s="1">
        <v>1984</v>
      </c>
      <c r="H158" s="989">
        <f>(O56/$R56*100*($E56/366))+(O57/$R57*100*($E57/366))</f>
        <v>46.385542168674696</v>
      </c>
      <c r="I158" s="989"/>
      <c r="J158" s="989">
        <f>(P56/$R56*100*($E56/366))+(P57/$R57*100*($E57/366))</f>
        <v>25.301204819277107</v>
      </c>
      <c r="K158" s="989"/>
      <c r="L158" s="989">
        <f>(Q56/$R56*100*($E56/366))+(Q57/$R57*100*($E57/366))</f>
        <v>28.313253012048197</v>
      </c>
      <c r="M158" s="989"/>
      <c r="N158" s="959">
        <f t="shared" si="28"/>
        <v>100</v>
      </c>
      <c r="O158" s="959"/>
      <c r="R158" s="1">
        <v>1984</v>
      </c>
      <c r="S158" s="8">
        <f>(O56*($E56/366))+(O57*($E57/366))</f>
        <v>38.5</v>
      </c>
      <c r="T158" s="8">
        <f>(P56*($E56/366))+(P57*($E57/366))</f>
        <v>21</v>
      </c>
      <c r="U158" s="8">
        <f>(Q56*($E56/366))+(Q57*($E57/366))</f>
        <v>23.5</v>
      </c>
      <c r="V158" s="7"/>
      <c r="W158" s="7">
        <f t="shared" si="30"/>
        <v>83</v>
      </c>
    </row>
    <row r="159" spans="1:23">
      <c r="A159" s="1">
        <v>1985</v>
      </c>
      <c r="B159" s="8">
        <f>(K58*($E58/365))+(K59*($E59/365))</f>
        <v>42.857142857142854</v>
      </c>
      <c r="C159" s="8">
        <f>(L58*($E58/365))+(L59*($E59/365))</f>
        <v>28.571428571428569</v>
      </c>
      <c r="D159" s="8">
        <f>(M58*($E58/365))+(M59*($E59/365))</f>
        <v>28.571428571428569</v>
      </c>
      <c r="E159" s="50">
        <f t="shared" si="29"/>
        <v>99.999999999999986</v>
      </c>
      <c r="G159" s="1">
        <v>1985</v>
      </c>
      <c r="H159" s="989">
        <f>(O58/$R58*100*($E58/365))+(O59/$R59*100*($E59/365))</f>
        <v>46.385542168674696</v>
      </c>
      <c r="I159" s="989"/>
      <c r="J159" s="989">
        <f>(P58/$R58*100*($E58/365))+(P59/$R59*100*($E59/365))</f>
        <v>25.301204819277107</v>
      </c>
      <c r="K159" s="989"/>
      <c r="L159" s="989">
        <f>(Q58/$R58*100*($E58/365))+(Q59/$R59*100*($E59/365))</f>
        <v>28.313253012048197</v>
      </c>
      <c r="M159" s="989"/>
      <c r="N159" s="959">
        <f t="shared" si="28"/>
        <v>100</v>
      </c>
      <c r="O159" s="959"/>
      <c r="R159" s="1">
        <v>1985</v>
      </c>
      <c r="S159" s="8">
        <f>(O58*($E58/365))+(O59*($E59/365))</f>
        <v>38.5</v>
      </c>
      <c r="T159" s="8">
        <f>(P58*($E58/365))+(P59*($E59/365))</f>
        <v>21</v>
      </c>
      <c r="U159" s="8">
        <f>(Q58*($E58/365))+(Q59*($E59/365))</f>
        <v>23.5</v>
      </c>
      <c r="V159" s="7"/>
      <c r="W159" s="7">
        <f t="shared" si="30"/>
        <v>83</v>
      </c>
    </row>
    <row r="160" spans="1:23">
      <c r="A160" s="1">
        <v>1986</v>
      </c>
      <c r="B160" s="8">
        <f>(K60*($E60/365))+(K61*($E61/365))</f>
        <v>42.857142857142854</v>
      </c>
      <c r="C160" s="8">
        <f>(L60*($E60/365))+(L61*($E61/365))</f>
        <v>28.571428571428569</v>
      </c>
      <c r="D160" s="8">
        <f>(M60*($E60/365))+(M61*($E61/365))</f>
        <v>28.571428571428569</v>
      </c>
      <c r="E160" s="50">
        <f t="shared" si="29"/>
        <v>99.999999999999986</v>
      </c>
      <c r="G160" s="1">
        <v>1986</v>
      </c>
      <c r="H160" s="989">
        <f>(O60/$R60*100*($E60/365))+(O61/$R61*100*($E61/365))</f>
        <v>46.385542168674696</v>
      </c>
      <c r="I160" s="989"/>
      <c r="J160" s="989">
        <f>(P60/$R60*100*($E60/365))+(P61/$R61*100*($E61/365))</f>
        <v>25.301204819277107</v>
      </c>
      <c r="K160" s="989"/>
      <c r="L160" s="989">
        <f>(Q60/$R60*100*($E60/365))+(Q61/$R61*100*($E61/365))</f>
        <v>28.313253012048197</v>
      </c>
      <c r="M160" s="989"/>
      <c r="N160" s="959">
        <f t="shared" si="28"/>
        <v>100</v>
      </c>
      <c r="O160" s="959"/>
      <c r="R160" s="1">
        <v>1986</v>
      </c>
      <c r="S160" s="8">
        <f>(O60*($E60/365))+(O61*($E61/365))</f>
        <v>38.5</v>
      </c>
      <c r="T160" s="8">
        <f>(P60*($E60/365))+(P61*($E61/365))</f>
        <v>21</v>
      </c>
      <c r="U160" s="8">
        <f>(Q60*($E60/365))+(Q61*($E61/365))</f>
        <v>23.5</v>
      </c>
      <c r="V160" s="7"/>
      <c r="W160" s="7">
        <f t="shared" si="30"/>
        <v>83</v>
      </c>
    </row>
    <row r="161" spans="1:23">
      <c r="A161" s="1">
        <v>1987</v>
      </c>
      <c r="B161" s="8">
        <f>(K62*($E62/365))+(K63*($E63/365))</f>
        <v>42.857142857142854</v>
      </c>
      <c r="C161" s="8">
        <f>(L62*($E62/365))+(L63*($E63/365))</f>
        <v>28.571428571428569</v>
      </c>
      <c r="D161" s="8">
        <f>(M62*($E62/365))+(M63*($E63/365))</f>
        <v>28.571428571428569</v>
      </c>
      <c r="E161" s="50">
        <f t="shared" si="29"/>
        <v>99.999999999999986</v>
      </c>
      <c r="G161" s="1">
        <v>1987</v>
      </c>
      <c r="H161" s="989">
        <f>(O62/$R62*100*($E62/365))+(O63/$R63*100*($E63/365))</f>
        <v>46.474593125668868</v>
      </c>
      <c r="I161" s="989"/>
      <c r="J161" s="989">
        <f>(P62/$R62*100*($E62/365))+(P63/$R63*100*($E63/365))</f>
        <v>25.371395117819432</v>
      </c>
      <c r="K161" s="989"/>
      <c r="L161" s="989">
        <f>(Q62/$R62*100*($E62/365))+(Q63/$R63*100*($E63/365))</f>
        <v>28.154011756511707</v>
      </c>
      <c r="M161" s="989"/>
      <c r="N161" s="959">
        <f t="shared" si="28"/>
        <v>100.00000000000001</v>
      </c>
      <c r="O161" s="959"/>
      <c r="R161" s="1">
        <v>1987</v>
      </c>
      <c r="S161" s="8">
        <f>(O62*($E62/365))+(O63*($E63/365))</f>
        <v>38.468493150684935</v>
      </c>
      <c r="T161" s="8">
        <f>(P62*($E62/365))+(P63*($E63/365))</f>
        <v>21</v>
      </c>
      <c r="U161" s="8">
        <f>(Q62*($E62/365))+(Q63*($E63/365))</f>
        <v>23.31095890410959</v>
      </c>
      <c r="V161" s="7"/>
      <c r="W161" s="7">
        <f t="shared" si="30"/>
        <v>82.779452054794518</v>
      </c>
    </row>
    <row r="162" spans="1:23">
      <c r="A162" s="1">
        <v>1988</v>
      </c>
      <c r="B162" s="8">
        <f>(K64*($E64/366))+(K65*($E65/366))</f>
        <v>42.857142857142854</v>
      </c>
      <c r="C162" s="8">
        <f>(L64*($E64/366))+(L65*($E65/366))</f>
        <v>28.571428571428569</v>
      </c>
      <c r="D162" s="8">
        <f>(M64*($E64/366))+(M65*($E65/366))</f>
        <v>28.571428571428569</v>
      </c>
      <c r="E162" s="50">
        <f t="shared" si="29"/>
        <v>99.999999999999986</v>
      </c>
      <c r="G162" s="1">
        <v>1988</v>
      </c>
      <c r="H162" s="989">
        <f>(O64/$R64*100*($E64/366))+(O65/$R65*100*($E65/366))</f>
        <v>47.79874213836478</v>
      </c>
      <c r="I162" s="989"/>
      <c r="J162" s="989">
        <f>(P64/$R64*100*($E64/366))+(P65/$R65*100*($E65/366))</f>
        <v>26.415094339622641</v>
      </c>
      <c r="K162" s="989"/>
      <c r="L162" s="989">
        <f>(Q64/$R64*100*($E64/366))+(Q65/$R65*100*($E65/366))</f>
        <v>25.786163522012579</v>
      </c>
      <c r="M162" s="989"/>
      <c r="N162" s="959">
        <f t="shared" si="28"/>
        <v>100</v>
      </c>
      <c r="O162" s="959"/>
      <c r="R162" s="1">
        <v>1988</v>
      </c>
      <c r="S162" s="8">
        <f>(O64*($E64/366))+(O65*($E65/366))</f>
        <v>38</v>
      </c>
      <c r="T162" s="8">
        <f>(P64*($E64/366))+(P65*($E65/366))</f>
        <v>21</v>
      </c>
      <c r="U162" s="8">
        <f>(Q64*($E64/366))+(Q65*($E65/366))</f>
        <v>20.5</v>
      </c>
      <c r="V162" s="7"/>
      <c r="W162" s="7">
        <f t="shared" si="30"/>
        <v>79.5</v>
      </c>
    </row>
    <row r="163" spans="1:23">
      <c r="A163" s="1">
        <v>1989</v>
      </c>
      <c r="B163" s="8">
        <f>(K66*($E66/365))+(K67*($E67/365))</f>
        <v>42.857142857142854</v>
      </c>
      <c r="C163" s="8">
        <f>(L66*($E66/365))+(L67*($E67/365))</f>
        <v>28.571428571428569</v>
      </c>
      <c r="D163" s="8">
        <f>(M66*($E66/365))+(M67*($E67/365))</f>
        <v>28.571428571428569</v>
      </c>
      <c r="E163" s="50">
        <f t="shared" si="29"/>
        <v>99.999999999999986</v>
      </c>
      <c r="G163" s="1">
        <v>1989</v>
      </c>
      <c r="H163" s="989">
        <f>(O66/$R66*100*($E66/365))+(O67/$R67*100*($E67/365))</f>
        <v>47.79874213836478</v>
      </c>
      <c r="I163" s="989"/>
      <c r="J163" s="989">
        <f>(P66/$R66*100*($E66/365))+(P67/$R67*100*($E67/365))</f>
        <v>26.415094339622641</v>
      </c>
      <c r="K163" s="989"/>
      <c r="L163" s="989">
        <f>(Q66/$R66*100*($E66/365))+(Q67/$R67*100*($E67/365))</f>
        <v>25.786163522012579</v>
      </c>
      <c r="M163" s="989"/>
      <c r="N163" s="959">
        <f t="shared" si="28"/>
        <v>100</v>
      </c>
      <c r="O163" s="959"/>
      <c r="R163" s="1">
        <v>1989</v>
      </c>
      <c r="S163" s="8">
        <f>(O66*($E66/365))+(O67*($E67/365))</f>
        <v>38</v>
      </c>
      <c r="T163" s="8">
        <f>(P66*($E66/365))+(P67*($E67/365))</f>
        <v>21</v>
      </c>
      <c r="U163" s="8">
        <f>(Q66*($E66/365))+(Q67*($E67/365))</f>
        <v>20.5</v>
      </c>
      <c r="V163" s="7"/>
      <c r="W163" s="7">
        <f t="shared" si="30"/>
        <v>79.5</v>
      </c>
    </row>
    <row r="164" spans="1:23">
      <c r="A164" s="1">
        <v>1990</v>
      </c>
      <c r="B164" s="8">
        <f>(K68*($E68/365))+(K69*($E69/365))</f>
        <v>42.857142857142854</v>
      </c>
      <c r="C164" s="8">
        <f>(L68*($E68/365))+(L69*($E69/365))</f>
        <v>28.571428571428569</v>
      </c>
      <c r="D164" s="8">
        <f>(M68*($E68/365))+(M69*($E69/365))</f>
        <v>28.571428571428569</v>
      </c>
      <c r="E164" s="50">
        <f t="shared" si="29"/>
        <v>99.999999999999986</v>
      </c>
      <c r="G164" s="1">
        <v>1990</v>
      </c>
      <c r="H164" s="989">
        <f>(O68/$R68*100*($E68/365))+(O69/$R69*100*($E69/365))</f>
        <v>47.79874213836478</v>
      </c>
      <c r="I164" s="989"/>
      <c r="J164" s="989">
        <f>(P68/$R68*100*($E68/365))+(P69/$R69*100*($E69/365))</f>
        <v>26.415094339622641</v>
      </c>
      <c r="K164" s="989"/>
      <c r="L164" s="989">
        <f>(Q68/$R68*100*($E68/365))+(Q69/$R69*100*($E69/365))</f>
        <v>25.786163522012579</v>
      </c>
      <c r="M164" s="989"/>
      <c r="N164" s="959">
        <f t="shared" si="28"/>
        <v>100</v>
      </c>
      <c r="O164" s="959"/>
      <c r="R164" s="1">
        <v>1990</v>
      </c>
      <c r="S164" s="8">
        <f>(O68*($E68/365))+(O69*($E69/365))</f>
        <v>38</v>
      </c>
      <c r="T164" s="8">
        <f>(P68*($E68/365))+(P69*($E69/365))</f>
        <v>21</v>
      </c>
      <c r="U164" s="8">
        <f>(Q68*($E68/365))+(Q69*($E69/365))</f>
        <v>20.5</v>
      </c>
      <c r="V164" s="7"/>
      <c r="W164" s="7">
        <f t="shared" si="30"/>
        <v>79.5</v>
      </c>
    </row>
    <row r="165" spans="1:23">
      <c r="A165" s="1">
        <v>1991</v>
      </c>
      <c r="B165" s="8">
        <f>(K70*($E70/365))+(K71*($E71/365))</f>
        <v>42.857142857142854</v>
      </c>
      <c r="C165" s="8">
        <f>(L70*($E70/365))+(L71*($E71/365))</f>
        <v>28.571428571428569</v>
      </c>
      <c r="D165" s="8">
        <f>(M70*($E70/365))+(M71*($E71/365))</f>
        <v>28.571428571428569</v>
      </c>
      <c r="E165" s="50">
        <f t="shared" si="29"/>
        <v>99.999999999999986</v>
      </c>
      <c r="G165" s="1">
        <v>1991</v>
      </c>
      <c r="H165" s="989">
        <f>(O70/$R70*100*($E70/365))+(O71/$R71*100*($E71/365))</f>
        <v>47.757434991402214</v>
      </c>
      <c r="I165" s="989"/>
      <c r="J165" s="989">
        <f>(P70/$R70*100*($E70/365))+(P71/$R71*100*($E71/365))</f>
        <v>26.28026781193682</v>
      </c>
      <c r="K165" s="989"/>
      <c r="L165" s="989">
        <f>(Q70/$R70*100*($E70/365))+(Q71/$R71*100*($E71/365))</f>
        <v>25.962297196660966</v>
      </c>
      <c r="M165" s="989"/>
      <c r="N165" s="959">
        <f t="shared" si="28"/>
        <v>100</v>
      </c>
      <c r="O165" s="959"/>
      <c r="R165" s="1">
        <v>1991</v>
      </c>
      <c r="S165" s="8">
        <f>(O70*($E70/365))+(O71*($E71/365))</f>
        <v>37.731506849315068</v>
      </c>
      <c r="T165" s="8">
        <f>(P70*($E70/365))+(P71*($E71/365))</f>
        <v>20.769863013698629</v>
      </c>
      <c r="U165" s="8">
        <f>(Q70*($E70/365))+(Q71*($E71/365))</f>
        <v>20.5</v>
      </c>
      <c r="V165" s="7"/>
      <c r="W165" s="7">
        <f t="shared" si="30"/>
        <v>79.001369863013693</v>
      </c>
    </row>
    <row r="166" spans="1:23">
      <c r="A166" s="1">
        <v>1992</v>
      </c>
      <c r="B166" s="8">
        <f>(K72*($E72/366))+(K73*($E73/366))</f>
        <v>42.857142857142854</v>
      </c>
      <c r="C166" s="8">
        <f>(L72*($E72/366))+(L73*($E73/366))</f>
        <v>28.571428571428569</v>
      </c>
      <c r="D166" s="8">
        <f>(M72*($E72/366))+(M73*($E73/366))</f>
        <v>28.571428571428569</v>
      </c>
      <c r="E166" s="50">
        <f t="shared" si="29"/>
        <v>99.999999999999986</v>
      </c>
      <c r="G166" s="1">
        <v>1992</v>
      </c>
      <c r="H166" s="989">
        <f>(O72/$R72*100*($E72/366))+(O73/$R73*100*($E73/366))</f>
        <v>47.260273972602739</v>
      </c>
      <c r="I166" s="989"/>
      <c r="J166" s="989">
        <f>(P72/$R72*100*($E72/366))+(P73/$R73*100*($E73/366))</f>
        <v>24.657534246575342</v>
      </c>
      <c r="K166" s="989"/>
      <c r="L166" s="989">
        <f>(Q72/$R72*100*($E72/366))+(Q73/$R73*100*($E73/366))</f>
        <v>28.082191780821919</v>
      </c>
      <c r="M166" s="989"/>
      <c r="N166" s="959">
        <f t="shared" ref="N166:N186" si="31">H166+J166+L166</f>
        <v>100</v>
      </c>
      <c r="O166" s="959"/>
      <c r="R166" s="1">
        <v>1992</v>
      </c>
      <c r="S166" s="8">
        <f>(O72*($E72/366))+(O73*($E73/366))</f>
        <v>34.5</v>
      </c>
      <c r="T166" s="8">
        <f>(P72*($E72/366))+(P73*($E73/366))</f>
        <v>18</v>
      </c>
      <c r="U166" s="8">
        <f>(Q72*($E72/366))+(Q73*($E73/366))</f>
        <v>20.5</v>
      </c>
      <c r="V166" s="7"/>
      <c r="W166" s="7">
        <f t="shared" si="30"/>
        <v>73</v>
      </c>
    </row>
    <row r="167" spans="1:23">
      <c r="A167" s="1">
        <v>1993</v>
      </c>
      <c r="B167" s="8">
        <f>(K74*($E74/365))+(K75*($E75/365))</f>
        <v>42.857142857142854</v>
      </c>
      <c r="C167" s="8">
        <f>(L74*($E74/365))+(L75*($E75/365))</f>
        <v>28.571428571428569</v>
      </c>
      <c r="D167" s="8">
        <f>(M74*($E74/365))+(M75*($E75/365))</f>
        <v>28.571428571428569</v>
      </c>
      <c r="E167" s="50">
        <f t="shared" si="29"/>
        <v>99.999999999999986</v>
      </c>
      <c r="G167" s="1">
        <v>1993</v>
      </c>
      <c r="H167" s="989">
        <f>(O74/$R74*100*($E74/365))+(O75/$R75*100*($E75/365))</f>
        <v>47.260273972602739</v>
      </c>
      <c r="I167" s="989"/>
      <c r="J167" s="989">
        <f>(P74/$R74*100*($E74/365))+(P75/$R75*100*($E75/365))</f>
        <v>24.657534246575342</v>
      </c>
      <c r="K167" s="989"/>
      <c r="L167" s="989">
        <f>(Q74/$R74*100*($E74/365))+(Q75/$R75*100*($E75/365))</f>
        <v>28.082191780821919</v>
      </c>
      <c r="M167" s="989"/>
      <c r="N167" s="959">
        <f t="shared" si="31"/>
        <v>100</v>
      </c>
      <c r="O167" s="959"/>
      <c r="R167" s="1">
        <v>1993</v>
      </c>
      <c r="S167" s="8">
        <f>(O74*($E74/365))+(O75*($E75/365))</f>
        <v>34.5</v>
      </c>
      <c r="T167" s="8">
        <f>(P74*($E74/365))+(P75*($E75/365))</f>
        <v>18</v>
      </c>
      <c r="U167" s="8">
        <f>(Q74*($E74/365))+(Q75*($E75/365))</f>
        <v>20.5</v>
      </c>
      <c r="V167" s="7"/>
      <c r="W167" s="7">
        <f t="shared" si="30"/>
        <v>73</v>
      </c>
    </row>
    <row r="168" spans="1:23">
      <c r="A168" s="1">
        <v>1994</v>
      </c>
      <c r="B168" s="8">
        <f>(K76*($E76/365))+(K77*($E77/365))</f>
        <v>42.857142857142854</v>
      </c>
      <c r="C168" s="8">
        <f>(L76*($E76/365))+(L77*($E77/365))</f>
        <v>28.571428571428569</v>
      </c>
      <c r="D168" s="8">
        <f>(M76*($E76/365))+(M77*($E77/365))</f>
        <v>28.571428571428569</v>
      </c>
      <c r="E168" s="50">
        <f t="shared" si="29"/>
        <v>99.999999999999986</v>
      </c>
      <c r="G168" s="1">
        <v>1994</v>
      </c>
      <c r="H168" s="989">
        <f>(O76/$R76*100*($E76/365))+(O77/$R77*100*($E77/365))</f>
        <v>47.260273972602739</v>
      </c>
      <c r="I168" s="989"/>
      <c r="J168" s="989">
        <f>(P76/$R76*100*($E76/365))+(P77/$R77*100*($E77/365))</f>
        <v>24.657534246575342</v>
      </c>
      <c r="K168" s="989"/>
      <c r="L168" s="989">
        <f>(Q76/$R76*100*($E76/365))+(Q77/$R77*100*($E77/365))</f>
        <v>28.082191780821919</v>
      </c>
      <c r="M168" s="989"/>
      <c r="N168" s="959">
        <f t="shared" si="31"/>
        <v>100</v>
      </c>
      <c r="O168" s="959"/>
      <c r="R168" s="1">
        <v>1994</v>
      </c>
      <c r="S168" s="8">
        <f>(O76*($E76/365))+(O77*($E77/365))</f>
        <v>34.5</v>
      </c>
      <c r="T168" s="8">
        <f>(P76*($E76/365))+(P77*($E77/365))</f>
        <v>18</v>
      </c>
      <c r="U168" s="8">
        <f>(Q76*($E76/365))+(Q77*($E77/365))</f>
        <v>20.5</v>
      </c>
      <c r="V168" s="7"/>
      <c r="W168" s="7">
        <f t="shared" si="30"/>
        <v>73</v>
      </c>
    </row>
    <row r="169" spans="1:23">
      <c r="A169" s="1">
        <v>1995</v>
      </c>
      <c r="B169" s="8">
        <f>(K78*($E78/365))+(K79*($E79/365))</f>
        <v>42.857142857142854</v>
      </c>
      <c r="C169" s="8">
        <f>(L78*($E78/365))+(L79*($E79/365))</f>
        <v>28.571428571428569</v>
      </c>
      <c r="D169" s="8">
        <f>(M78*($E78/365))+(M79*($E79/365))</f>
        <v>28.571428571428569</v>
      </c>
      <c r="E169" s="50">
        <f t="shared" si="29"/>
        <v>99.999999999999986</v>
      </c>
      <c r="G169" s="1">
        <v>1995</v>
      </c>
      <c r="H169" s="989">
        <f>(O78/$R78*100*($E78/365))+(O79/$R79*100*($E79/365))</f>
        <v>47.177961723529997</v>
      </c>
      <c r="I169" s="989"/>
      <c r="J169" s="989">
        <f>(P78/$R78*100*($E78/365))+(P79/$R79*100*($E79/365))</f>
        <v>24.466499401133792</v>
      </c>
      <c r="K169" s="989"/>
      <c r="L169" s="989">
        <f>(Q78/$R78*100*($E78/365))+(Q79/$R79*100*($E79/365))</f>
        <v>28.355538875336212</v>
      </c>
      <c r="M169" s="989"/>
      <c r="N169" s="959">
        <f t="shared" si="31"/>
        <v>100</v>
      </c>
      <c r="O169" s="959"/>
      <c r="R169" s="1">
        <v>1995</v>
      </c>
      <c r="S169" s="8">
        <f>(O78*($E78/365))+(O79*($E79/365))</f>
        <v>34.630136986301366</v>
      </c>
      <c r="T169" s="8">
        <f>(P78*($E78/365))+(P79*($E79/365))</f>
        <v>17.947945205479453</v>
      </c>
      <c r="U169" s="8">
        <f>(Q78*($E78/365))+(Q79*($E79/365))</f>
        <v>20.838356164383562</v>
      </c>
      <c r="V169" s="7"/>
      <c r="W169" s="7">
        <f t="shared" si="30"/>
        <v>73.416438356164377</v>
      </c>
    </row>
    <row r="170" spans="1:23">
      <c r="A170" s="1">
        <v>1996</v>
      </c>
      <c r="B170" s="8">
        <f>(K80*($E80/366))+(K81*($E81/366))</f>
        <v>42.857142857142854</v>
      </c>
      <c r="C170" s="8">
        <f>(L80*($E80/366))+(L81*($E81/366))</f>
        <v>28.571428571428569</v>
      </c>
      <c r="D170" s="8">
        <f>(M80*($E80/366))+(M81*($E81/366))</f>
        <v>28.571428571428569</v>
      </c>
      <c r="E170" s="50">
        <f t="shared" si="29"/>
        <v>99.999999999999986</v>
      </c>
      <c r="G170" s="1">
        <v>1996</v>
      </c>
      <c r="H170" s="989">
        <f>(O80/$R80*100*($E80/366))+(O81/$R81*100*($E81/366))</f>
        <v>45.679012345679013</v>
      </c>
      <c r="I170" s="989"/>
      <c r="J170" s="989">
        <f>(P80/$R80*100*($E80/366))+(P81/$R81*100*($E81/366))</f>
        <v>20.987654320987652</v>
      </c>
      <c r="K170" s="989"/>
      <c r="L170" s="989">
        <f>(Q80/$R80*100*($E80/366))+(Q81/$R81*100*($E81/366))</f>
        <v>33.333333333333329</v>
      </c>
      <c r="M170" s="989"/>
      <c r="N170" s="959">
        <f t="shared" si="31"/>
        <v>99.999999999999986</v>
      </c>
      <c r="O170" s="959"/>
      <c r="R170" s="1">
        <v>1996</v>
      </c>
      <c r="S170" s="8">
        <f>(O80*($E80/366))+(O81*($E81/366))</f>
        <v>37</v>
      </c>
      <c r="T170" s="8">
        <f>(P80*($E80/366))+(P81*($E81/366))</f>
        <v>17</v>
      </c>
      <c r="U170" s="8">
        <f>(Q80*($E80/366))+(Q81*($E81/366))</f>
        <v>27</v>
      </c>
      <c r="V170" s="7"/>
      <c r="W170" s="7">
        <f t="shared" si="30"/>
        <v>81</v>
      </c>
    </row>
    <row r="171" spans="1:23">
      <c r="A171" s="1">
        <v>1997</v>
      </c>
      <c r="B171" s="8">
        <f>(K82*($E82/365))+(K83*($E83/365))</f>
        <v>42.857142857142854</v>
      </c>
      <c r="C171" s="8">
        <f>(L82*($E82/365))+(L83*($E83/365))</f>
        <v>28.571428571428569</v>
      </c>
      <c r="D171" s="8">
        <f>(M82*($E82/365))+(M83*($E83/365))</f>
        <v>28.571428571428569</v>
      </c>
      <c r="E171" s="50">
        <f t="shared" si="29"/>
        <v>99.999999999999986</v>
      </c>
      <c r="G171" s="1">
        <v>1997</v>
      </c>
      <c r="H171" s="989">
        <f>(O82/$R82*100*($E82/365))+(O83/$R83*100*($E83/365))</f>
        <v>45.679012345679013</v>
      </c>
      <c r="I171" s="989"/>
      <c r="J171" s="989">
        <f>(P82/$R82*100*($E82/365))+(P83/$R83*100*($E83/365))</f>
        <v>20.987654320987652</v>
      </c>
      <c r="K171" s="989"/>
      <c r="L171" s="989">
        <f>(Q82/$R82*100*($E82/365))+(Q83/$R83*100*($E83/365))</f>
        <v>33.333333333333329</v>
      </c>
      <c r="M171" s="989"/>
      <c r="N171" s="959">
        <f t="shared" si="31"/>
        <v>99.999999999999986</v>
      </c>
      <c r="O171" s="959"/>
      <c r="R171" s="1">
        <v>1997</v>
      </c>
      <c r="S171" s="8">
        <f>(O82*($E82/365))+(O83*($E83/365))</f>
        <v>37</v>
      </c>
      <c r="T171" s="8">
        <f>(P82*($E82/365))+(P83*($E83/365))</f>
        <v>17</v>
      </c>
      <c r="U171" s="8">
        <f>(Q82*($E82/365))+(Q83*($E83/365))</f>
        <v>27</v>
      </c>
      <c r="V171" s="7"/>
      <c r="W171" s="7">
        <f t="shared" si="30"/>
        <v>81</v>
      </c>
    </row>
    <row r="172" spans="1:23">
      <c r="A172" s="1">
        <v>1998</v>
      </c>
      <c r="B172" s="8">
        <f>(K84*($E84/365))+(K85*($E85/365))</f>
        <v>42.857142857142854</v>
      </c>
      <c r="C172" s="8">
        <f>(L84*($E84/365))+(L85*($E85/365))</f>
        <v>28.571428571428569</v>
      </c>
      <c r="D172" s="8">
        <f>(M84*($E84/365))+(M85*($E85/365))</f>
        <v>28.571428571428569</v>
      </c>
      <c r="E172" s="50">
        <f t="shared" si="29"/>
        <v>99.999999999999986</v>
      </c>
      <c r="G172" s="1">
        <v>1998</v>
      </c>
      <c r="H172" s="989">
        <f>(O84/$R84*100*($E84/365))+(O85/$R85*100*($E85/365))</f>
        <v>45.679012345679013</v>
      </c>
      <c r="I172" s="989"/>
      <c r="J172" s="989">
        <f>(P84/$R84*100*($E84/365))+(P85/$R85*100*($E85/365))</f>
        <v>20.987654320987652</v>
      </c>
      <c r="K172" s="989"/>
      <c r="L172" s="989">
        <f>(Q84/$R84*100*($E84/365))+(Q85/$R85*100*($E85/365))</f>
        <v>33.333333333333329</v>
      </c>
      <c r="M172" s="989"/>
      <c r="N172" s="959">
        <f t="shared" si="31"/>
        <v>99.999999999999986</v>
      </c>
      <c r="O172" s="959"/>
      <c r="R172" s="1">
        <v>1998</v>
      </c>
      <c r="S172" s="8">
        <f>(O84*($E84/365))+(O85*($E85/365))</f>
        <v>37</v>
      </c>
      <c r="T172" s="8">
        <f>(P84*($E84/365))+(P85*($E85/365))</f>
        <v>17</v>
      </c>
      <c r="U172" s="8">
        <f>(Q84*($E84/365))+(Q85*($E85/365))</f>
        <v>27</v>
      </c>
      <c r="V172" s="7"/>
      <c r="W172" s="7">
        <f t="shared" si="30"/>
        <v>81</v>
      </c>
    </row>
    <row r="173" spans="1:23">
      <c r="A173" s="1">
        <v>1999</v>
      </c>
      <c r="B173" s="8">
        <f>(K86*($E86/365))+(K87*($E87/365))</f>
        <v>42.857142857142854</v>
      </c>
      <c r="C173" s="8">
        <f>(L86*($E86/365))+(L87*($E87/365))</f>
        <v>28.571428571428569</v>
      </c>
      <c r="D173" s="8">
        <f>(M86*($E86/365))+(M87*($E87/365))</f>
        <v>28.571428571428569</v>
      </c>
      <c r="E173" s="50">
        <f t="shared" si="29"/>
        <v>99.999999999999986</v>
      </c>
      <c r="G173" s="1">
        <v>1999</v>
      </c>
      <c r="H173" s="989">
        <f>(O86/$R86*100*($E86/365))+(O87/$R87*100*($E87/365))</f>
        <v>45.893724907106801</v>
      </c>
      <c r="I173" s="989"/>
      <c r="J173" s="989">
        <f>(P86/$R86*100*($E86/365))+(P87/$R87*100*($E87/365))</f>
        <v>20.952422848059872</v>
      </c>
      <c r="K173" s="989"/>
      <c r="L173" s="989">
        <f>(Q86/$R86*100*($E86/365))+(Q87/$R87*100*($E87/365))</f>
        <v>33.153852244833317</v>
      </c>
      <c r="M173" s="989"/>
      <c r="N173" s="959">
        <f t="shared" si="31"/>
        <v>99.999999999999986</v>
      </c>
      <c r="O173" s="959"/>
      <c r="R173" s="1">
        <v>1999</v>
      </c>
      <c r="S173" s="8">
        <f>(O86*($E86/365))+(O87*($E87/365))</f>
        <v>37.302739726027397</v>
      </c>
      <c r="T173" s="8">
        <f>(P86*($E86/365))+(P87*($E87/365))</f>
        <v>17.023287671232879</v>
      </c>
      <c r="U173" s="8">
        <f>(Q86*($E86/365))+(Q87*($E87/365))</f>
        <v>26.93013698630137</v>
      </c>
      <c r="V173" s="7"/>
      <c r="W173" s="7">
        <f t="shared" si="30"/>
        <v>81.256164383561639</v>
      </c>
    </row>
    <row r="174" spans="1:23">
      <c r="A174" s="1">
        <v>2000</v>
      </c>
      <c r="B174" s="8">
        <f>(K88*($E88/366))+(K89*($E89/366))</f>
        <v>42.857142857142854</v>
      </c>
      <c r="C174" s="8">
        <f>(L88*($E88/366))+(L89*($E89/366))</f>
        <v>28.571428571428569</v>
      </c>
      <c r="D174" s="8">
        <f>(M88*($E88/366))+(M89*($E89/366))</f>
        <v>28.571428571428569</v>
      </c>
      <c r="E174" s="50">
        <f t="shared" si="29"/>
        <v>99.999999999999986</v>
      </c>
      <c r="G174" s="1">
        <v>2000</v>
      </c>
      <c r="H174" s="989">
        <f>(O88/$R88*100*($E88/366))+(O89/$R89*100*($E89/366))</f>
        <v>50.289017341040463</v>
      </c>
      <c r="I174" s="989"/>
      <c r="J174" s="989">
        <f>(P88/$R88*100*($E88/366))+(P89/$R89*100*($E89/366))</f>
        <v>20.23121387283237</v>
      </c>
      <c r="K174" s="989"/>
      <c r="L174" s="989">
        <f>(Q88/$R88*100*($E88/366))+(Q89/$R89*100*($E89/366))</f>
        <v>29.47976878612717</v>
      </c>
      <c r="M174" s="989"/>
      <c r="N174" s="959">
        <f t="shared" si="31"/>
        <v>100</v>
      </c>
      <c r="O174" s="959"/>
      <c r="R174" s="1">
        <v>2000</v>
      </c>
      <c r="S174" s="8">
        <f>(O88*($E88/366))+(O89*($E89/366))</f>
        <v>43.5</v>
      </c>
      <c r="T174" s="8">
        <f>(P88*($E88/366))+(P89*($E89/366))</f>
        <v>17.5</v>
      </c>
      <c r="U174" s="8">
        <f>(Q88*($E88/366))+(Q89*($E89/366))</f>
        <v>25.5</v>
      </c>
      <c r="V174" s="7"/>
      <c r="W174" s="7">
        <f t="shared" si="30"/>
        <v>86.5</v>
      </c>
    </row>
    <row r="175" spans="1:23">
      <c r="A175" s="1">
        <v>2001</v>
      </c>
      <c r="B175" s="8">
        <f>(K90*($E90/365))+(K91*($E91/365))</f>
        <v>42.857142857142854</v>
      </c>
      <c r="C175" s="8">
        <f>(L90*($E90/365))+(L91*($E91/365))</f>
        <v>28.571428571428569</v>
      </c>
      <c r="D175" s="8">
        <f>(M90*($E90/365))+(M91*($E91/365))</f>
        <v>28.571428571428569</v>
      </c>
      <c r="E175" s="50">
        <f t="shared" si="29"/>
        <v>99.999999999999986</v>
      </c>
      <c r="G175" s="1">
        <v>2001</v>
      </c>
      <c r="H175" s="989">
        <f>(O90/$R90*100*($E90/365))+(O91/$R91*100*($E91/365))</f>
        <v>50.289017341040463</v>
      </c>
      <c r="I175" s="989"/>
      <c r="J175" s="989">
        <f>(P90/$R90*100*($E90/365))+(P91/$R91*100*($E91/365))</f>
        <v>20.23121387283237</v>
      </c>
      <c r="K175" s="989"/>
      <c r="L175" s="989">
        <f>(Q90/$R90*100*($E90/365))+(Q91/$R91*100*($E91/365))</f>
        <v>29.47976878612717</v>
      </c>
      <c r="M175" s="989"/>
      <c r="N175" s="959">
        <f t="shared" si="31"/>
        <v>100</v>
      </c>
      <c r="O175" s="959"/>
      <c r="R175" s="1">
        <v>2001</v>
      </c>
      <c r="S175" s="8">
        <f>(O90*($E90/365))+(O91*($E91/365))</f>
        <v>43.5</v>
      </c>
      <c r="T175" s="8">
        <f>(P90*($E90/365))+(P91*($E91/365))</f>
        <v>17.5</v>
      </c>
      <c r="U175" s="8">
        <f>(Q90*($E90/365))+(Q91*($E91/365))</f>
        <v>25.5</v>
      </c>
      <c r="V175" s="7"/>
      <c r="W175" s="7">
        <f t="shared" si="30"/>
        <v>86.5</v>
      </c>
    </row>
    <row r="176" spans="1:23">
      <c r="A176" s="1">
        <v>2002</v>
      </c>
      <c r="B176" s="8">
        <f>(K92*($E92/365))+(K93*($E93/365))</f>
        <v>42.857142857142854</v>
      </c>
      <c r="C176" s="8">
        <f>(L92*($E92/365))+(L93*($E93/365))</f>
        <v>28.571428571428569</v>
      </c>
      <c r="D176" s="8">
        <f>(M92*($E92/365))+(M93*($E93/365))</f>
        <v>28.571428571428569</v>
      </c>
      <c r="E176" s="50">
        <f t="shared" si="29"/>
        <v>99.999999999999986</v>
      </c>
      <c r="G176" s="1">
        <v>2002</v>
      </c>
      <c r="H176" s="989">
        <f>(O92/$R92*100*($E92/365))+(O93/$R93*100*($E93/365))</f>
        <v>50.289017341040463</v>
      </c>
      <c r="I176" s="989"/>
      <c r="J176" s="989">
        <f>(P92/$R92*100*($E92/365))+(P93/$R93*100*($E93/365))</f>
        <v>20.23121387283237</v>
      </c>
      <c r="K176" s="989"/>
      <c r="L176" s="989">
        <f>(Q92/$R92*100*($E92/365))+(Q93/$R93*100*($E93/365))</f>
        <v>29.47976878612717</v>
      </c>
      <c r="M176" s="989"/>
      <c r="N176" s="959">
        <f t="shared" si="31"/>
        <v>100</v>
      </c>
      <c r="O176" s="959"/>
      <c r="R176" s="1">
        <v>2002</v>
      </c>
      <c r="S176" s="8">
        <f>(O92*($E92/365))+(O93*($E93/365))</f>
        <v>43.5</v>
      </c>
      <c r="T176" s="8">
        <f>(P92*($E92/365))+(P93*($E93/365))</f>
        <v>17.5</v>
      </c>
      <c r="U176" s="8">
        <f>(Q92*($E92/365))+(Q93*($E93/365))</f>
        <v>25.5</v>
      </c>
      <c r="V176" s="7"/>
      <c r="W176" s="7">
        <f t="shared" si="30"/>
        <v>86.5</v>
      </c>
    </row>
    <row r="177" spans="1:23">
      <c r="A177" s="1">
        <v>2003</v>
      </c>
      <c r="B177" s="8">
        <f>(K94*($E94/365))+(K95*($E95/365))</f>
        <v>42.857142857142854</v>
      </c>
      <c r="C177" s="8">
        <f>(L94*($E94/365))+(L95*($E95/365))</f>
        <v>28.571428571428569</v>
      </c>
      <c r="D177" s="8">
        <f>(M94*($E94/365))+(M95*($E95/365))</f>
        <v>28.571428571428569</v>
      </c>
      <c r="E177" s="50">
        <f t="shared" si="29"/>
        <v>99.999999999999986</v>
      </c>
      <c r="G177" s="1">
        <v>2003</v>
      </c>
      <c r="H177" s="989">
        <f>(O94/$R94*100*($E94/365))+(O95/$R95*100*($E95/365))</f>
        <v>50.46546077231509</v>
      </c>
      <c r="I177" s="989"/>
      <c r="J177" s="989">
        <f>(P94/$R94*100*($E94/365))+(P95/$R95*100*($E95/365))</f>
        <v>19.998740483589476</v>
      </c>
      <c r="K177" s="989"/>
      <c r="L177" s="989">
        <f>(Q94/$R94*100*($E94/365))+(Q95/$R95*100*($E95/365))</f>
        <v>29.535798744095445</v>
      </c>
      <c r="M177" s="989"/>
      <c r="N177" s="959">
        <f t="shared" si="31"/>
        <v>100.00000000000001</v>
      </c>
      <c r="O177" s="959"/>
      <c r="R177" s="1">
        <v>2003</v>
      </c>
      <c r="S177" s="8">
        <f>(O94*($E94/365))+(O95*($E95/365))</f>
        <v>43.62054794520548</v>
      </c>
      <c r="T177" s="8">
        <f>(P94*($E94/365))+(P95*($E95/365))</f>
        <v>17.289041095890411</v>
      </c>
      <c r="U177" s="8">
        <f>(Q94*($E94/365))+(Q95*($E95/365))</f>
        <v>25.530136986301372</v>
      </c>
      <c r="V177" s="7"/>
      <c r="W177" s="7">
        <f t="shared" si="30"/>
        <v>86.439726027397256</v>
      </c>
    </row>
    <row r="178" spans="1:23">
      <c r="A178" s="1">
        <v>2004</v>
      </c>
      <c r="B178" s="8">
        <f>(K96*($E96/366))+(K97*($E97/366))</f>
        <v>57.142857142857139</v>
      </c>
      <c r="C178" s="8">
        <f>(L96*($E96/366))+(L97*($E97/366))</f>
        <v>14.285714285714285</v>
      </c>
      <c r="D178" s="8">
        <f>(M96*($E96/366))+(M97*($E97/366))</f>
        <v>28.571428571428569</v>
      </c>
      <c r="E178" s="50">
        <f t="shared" si="29"/>
        <v>99.999999999999986</v>
      </c>
      <c r="G178" s="1">
        <v>2004</v>
      </c>
      <c r="H178" s="989">
        <f>(O96/$R96*100*($E96/366))+(O97/$R97*100*($E97/366))</f>
        <v>53.216374269005854</v>
      </c>
      <c r="I178" s="989"/>
      <c r="J178" s="989">
        <f>(P96/$R96*100*($E96/366))+(P97/$R97*100*($E97/366))</f>
        <v>16.374269005847953</v>
      </c>
      <c r="K178" s="989"/>
      <c r="L178" s="989">
        <f>(Q96/$R96*100*($E96/366))+(Q97/$R97*100*($E97/366))</f>
        <v>30.409356725146196</v>
      </c>
      <c r="M178" s="989"/>
      <c r="N178" s="959">
        <f t="shared" si="31"/>
        <v>100</v>
      </c>
      <c r="O178" s="959"/>
      <c r="R178" s="1">
        <v>2004</v>
      </c>
      <c r="S178" s="8">
        <f>(O96*($E96/366))+(O97*($E97/366))</f>
        <v>45.5</v>
      </c>
      <c r="T178" s="8">
        <f>(P96*($E96/366))+(P97*($E97/366))</f>
        <v>14</v>
      </c>
      <c r="U178" s="8">
        <f>(Q96*($E96/366))+(Q97*($E97/366))</f>
        <v>26</v>
      </c>
      <c r="V178" s="7"/>
      <c r="W178" s="7">
        <f t="shared" si="30"/>
        <v>85.5</v>
      </c>
    </row>
    <row r="179" spans="1:23">
      <c r="A179" s="1">
        <v>2005</v>
      </c>
      <c r="B179" s="8">
        <f>(K98*($E98/365))+(K99*($E99/365))</f>
        <v>57.142857142857139</v>
      </c>
      <c r="C179" s="8">
        <f>(L98*($E98/365))+(L99*($E99/365))</f>
        <v>14.285714285714285</v>
      </c>
      <c r="D179" s="8">
        <f>(M98*($E98/365))+(M99*($E99/365))</f>
        <v>28.571428571428569</v>
      </c>
      <c r="E179" s="50">
        <f t="shared" si="29"/>
        <v>99.999999999999986</v>
      </c>
      <c r="G179" s="1">
        <v>2005</v>
      </c>
      <c r="H179" s="989">
        <f>(O98/$R98*100*($E98/365))+(O99/$R99*100*($E99/365))</f>
        <v>53.216374269005854</v>
      </c>
      <c r="I179" s="989"/>
      <c r="J179" s="989">
        <f>(P98/$R98*100*($E98/365))+(P99/$R99*100*($E99/365))</f>
        <v>16.374269005847953</v>
      </c>
      <c r="K179" s="989"/>
      <c r="L179" s="989">
        <f>(Q98/$R98*100*($E98/365))+(Q99/$R99*100*($E99/365))</f>
        <v>30.409356725146196</v>
      </c>
      <c r="M179" s="989"/>
      <c r="N179" s="959">
        <f t="shared" si="31"/>
        <v>100</v>
      </c>
      <c r="O179" s="959"/>
      <c r="R179" s="1">
        <v>2005</v>
      </c>
      <c r="S179" s="8">
        <f>(O98*($E98/365))+(O99*($E99/365))</f>
        <v>45.5</v>
      </c>
      <c r="T179" s="8">
        <f>(P98*($E98/365))+(P99*($E99/365))</f>
        <v>14</v>
      </c>
      <c r="U179" s="8">
        <f>(Q98*($E98/365))+(Q99*($E99/365))</f>
        <v>26</v>
      </c>
      <c r="V179" s="7"/>
      <c r="W179" s="7">
        <f t="shared" si="30"/>
        <v>85.5</v>
      </c>
    </row>
    <row r="180" spans="1:23">
      <c r="A180" s="1">
        <v>2006</v>
      </c>
      <c r="B180" s="8">
        <f>(K100*($E100/365))+(K101*($E101/365))</f>
        <v>57.142857142857139</v>
      </c>
      <c r="C180" s="8">
        <f>(L100*($E100/365))+(L101*($E101/365))</f>
        <v>14.285714285714285</v>
      </c>
      <c r="D180" s="8">
        <f>(M100*($E100/365))+(M101*($E101/365))</f>
        <v>28.571428571428569</v>
      </c>
      <c r="E180" s="50">
        <f t="shared" si="29"/>
        <v>99.999999999999986</v>
      </c>
      <c r="G180" s="1">
        <v>2006</v>
      </c>
      <c r="H180" s="989">
        <f>(O100/$R100*100*($E100/365))+(O101/$R101*100*($E101/365))</f>
        <v>53.216374269005854</v>
      </c>
      <c r="I180" s="989"/>
      <c r="J180" s="989">
        <f>(P100/$R100*100*($E100/365))+(P101/$R101*100*($E101/365))</f>
        <v>16.374269005847953</v>
      </c>
      <c r="K180" s="989"/>
      <c r="L180" s="989">
        <f>(Q100/$R100*100*($E100/365))+(Q101/$R101*100*($E101/365))</f>
        <v>30.409356725146196</v>
      </c>
      <c r="M180" s="989"/>
      <c r="N180" s="959">
        <f t="shared" si="31"/>
        <v>100</v>
      </c>
      <c r="O180" s="959"/>
      <c r="R180" s="1">
        <v>2006</v>
      </c>
      <c r="S180" s="8">
        <f>(O100*($E100/365))+(O101*($E101/365))</f>
        <v>45.5</v>
      </c>
      <c r="T180" s="8">
        <f>(P100*($E100/365))+(P101*($E101/365))</f>
        <v>14</v>
      </c>
      <c r="U180" s="8">
        <f>(Q100*($E100/365))+(Q101*($E101/365))</f>
        <v>26</v>
      </c>
      <c r="V180" s="7"/>
      <c r="W180" s="7">
        <f t="shared" si="30"/>
        <v>85.5</v>
      </c>
    </row>
    <row r="181" spans="1:23">
      <c r="A181" s="1">
        <v>2007</v>
      </c>
      <c r="B181" s="8">
        <f>(K102*($E102/365))+(K103*($E103/365))</f>
        <v>57.142857142857139</v>
      </c>
      <c r="C181" s="8">
        <f>(L102*($E102/365))+(L103*($E103/365))</f>
        <v>14.285714285714285</v>
      </c>
      <c r="D181" s="8">
        <f>(M102*($E102/365))+(M103*($E103/365))</f>
        <v>28.571428571428569</v>
      </c>
      <c r="E181" s="50">
        <f t="shared" si="29"/>
        <v>99.999999999999986</v>
      </c>
      <c r="G181" s="1">
        <v>2007</v>
      </c>
      <c r="H181" s="989">
        <f>(O102/$R102*100*($E102/365))+(O103/$R103*100*($E103/365))</f>
        <v>53.351839939443394</v>
      </c>
      <c r="I181" s="989"/>
      <c r="J181" s="989">
        <f>(P102/$R102*100*($E102/365))+(P103/$R103*100*($E103/365))</f>
        <v>16.49419258095201</v>
      </c>
      <c r="K181" s="989"/>
      <c r="L181" s="989">
        <f>(Q102/$R102*100*($E102/365))+(Q103/$R103*100*($E103/365))</f>
        <v>30.153967479604596</v>
      </c>
      <c r="M181" s="989"/>
      <c r="N181" s="959">
        <f t="shared" si="31"/>
        <v>100</v>
      </c>
      <c r="O181" s="959"/>
      <c r="R181" s="1">
        <v>2007</v>
      </c>
      <c r="S181" s="8">
        <f>(O102*($E102/365))+(O103*($E103/365))</f>
        <v>45.554794520547944</v>
      </c>
      <c r="T181" s="8">
        <f>(P102*($E102/365))+(P103*($E103/365))</f>
        <v>14.082191780821919</v>
      </c>
      <c r="U181" s="8">
        <f>(Q102*($E102/365))+(Q103*($E103/365))</f>
        <v>25.753424657534246</v>
      </c>
      <c r="V181" s="7"/>
      <c r="W181" s="7">
        <f t="shared" si="30"/>
        <v>85.390410958904113</v>
      </c>
    </row>
    <row r="182" spans="1:23">
      <c r="A182" s="1">
        <v>2008</v>
      </c>
      <c r="B182" s="8">
        <f>(K104*($E104/366))+(K105*($E105/366))</f>
        <v>57.142857142857139</v>
      </c>
      <c r="C182" s="8">
        <f>(L104*($E104/366))+(L105*($E105/366))</f>
        <v>14.285714285714285</v>
      </c>
      <c r="D182" s="8">
        <f>(M104*($E104/366))+(M105*($E105/366))</f>
        <v>28.571428571428569</v>
      </c>
      <c r="E182" s="50">
        <f t="shared" si="29"/>
        <v>99.999999999999986</v>
      </c>
      <c r="G182" s="1">
        <v>2008</v>
      </c>
      <c r="H182" s="989">
        <f>(O104/$R104*100*($E104/366))+(O105/$R105*100*($E105/366))</f>
        <v>55.688622754491014</v>
      </c>
      <c r="I182" s="989"/>
      <c r="J182" s="989">
        <f>(P104/$R104*100*($E104/366))+(P105/$R105*100*($E105/366))</f>
        <v>18.562874251497004</v>
      </c>
      <c r="K182" s="989"/>
      <c r="L182" s="989">
        <f>(Q104/$R104*100*($E104/366))+(Q105/$R105*100*($E105/366))</f>
        <v>25.748502994011975</v>
      </c>
      <c r="M182" s="989"/>
      <c r="N182" s="959">
        <f t="shared" si="31"/>
        <v>99.999999999999986</v>
      </c>
      <c r="O182" s="959"/>
      <c r="R182" s="1">
        <v>2008</v>
      </c>
      <c r="S182" s="8">
        <f>(O104*($E104/366))+(O105*($E105/366))</f>
        <v>46.5</v>
      </c>
      <c r="T182" s="8">
        <f>(P104*($E104/366))+(P105*($E105/366))</f>
        <v>15.5</v>
      </c>
      <c r="U182" s="8">
        <f>(Q104*($E104/366))+(Q105*($E105/366))</f>
        <v>21.5</v>
      </c>
      <c r="V182" s="7"/>
      <c r="W182" s="7">
        <f t="shared" si="30"/>
        <v>83.5</v>
      </c>
    </row>
    <row r="183" spans="1:23">
      <c r="A183" s="1">
        <v>2009</v>
      </c>
      <c r="B183" s="8">
        <f>(K106*($E106/365))+(K107*($E107/365))</f>
        <v>57.142857142857139</v>
      </c>
      <c r="C183" s="8">
        <f>(L106*($E106/365))+(L107*($E107/365))</f>
        <v>14.285714285714285</v>
      </c>
      <c r="D183" s="8">
        <f>(M106*($E106/365))+(M107*($E107/365))</f>
        <v>28.571428571428569</v>
      </c>
      <c r="E183" s="50">
        <f t="shared" si="29"/>
        <v>99.999999999999986</v>
      </c>
      <c r="G183" s="1">
        <v>2009</v>
      </c>
      <c r="H183" s="989">
        <f>(O106/$R106*100*($E106/365))+(O107/$R107*100*($E107/365))</f>
        <v>55.688622754491014</v>
      </c>
      <c r="I183" s="989"/>
      <c r="J183" s="989">
        <f>(P106/$R106*100*($E106/365))+(P107/$R107*100*($E107/365))</f>
        <v>18.562874251497004</v>
      </c>
      <c r="K183" s="989"/>
      <c r="L183" s="989">
        <f>(Q106/$R106*100*($E106/365))+(Q107/$R107*100*($E107/365))</f>
        <v>25.748502994011975</v>
      </c>
      <c r="M183" s="989"/>
      <c r="N183" s="959">
        <f t="shared" si="31"/>
        <v>99.999999999999986</v>
      </c>
      <c r="O183" s="959"/>
      <c r="R183" s="1">
        <v>2009</v>
      </c>
      <c r="S183" s="8">
        <f>(O106*($E106/365))+(O107*($E107/365))</f>
        <v>46.5</v>
      </c>
      <c r="T183" s="8">
        <f>(P106*($E106/365))+(P107*($E107/365))</f>
        <v>15.5</v>
      </c>
      <c r="U183" s="8">
        <f>(Q106*($E106/365))+(Q107*($E107/365))</f>
        <v>21.5</v>
      </c>
      <c r="V183" s="7"/>
      <c r="W183" s="7">
        <f t="shared" si="30"/>
        <v>83.5</v>
      </c>
    </row>
    <row r="184" spans="1:23">
      <c r="A184" s="1">
        <v>2010</v>
      </c>
      <c r="B184" s="8">
        <f>(K108*($E108/365))+(K109*($E109/365))</f>
        <v>57.142857142857139</v>
      </c>
      <c r="C184" s="8">
        <f>(L108*($E108/365))+(L109*($E109/365))</f>
        <v>14.285714285714285</v>
      </c>
      <c r="D184" s="8">
        <f>(M108*($E108/365))+(M109*($E109/365))</f>
        <v>28.571428571428569</v>
      </c>
      <c r="E184" s="50">
        <f t="shared" si="29"/>
        <v>99.999999999999986</v>
      </c>
      <c r="G184" s="1">
        <v>2010</v>
      </c>
      <c r="H184" s="989">
        <f>(O108/$R108*100*($E108/365))+(O109/$R109*100*($E109/365))</f>
        <v>55.688622754491014</v>
      </c>
      <c r="I184" s="989"/>
      <c r="J184" s="989">
        <f>(P108/$R108*100*($E108/365))+(P109/$R109*100*($E109/365))</f>
        <v>18.562874251497004</v>
      </c>
      <c r="K184" s="989"/>
      <c r="L184" s="989">
        <f>(Q108/$R108*100*($E108/365))+(Q109/$R109*100*($E109/365))</f>
        <v>25.748502994011975</v>
      </c>
      <c r="M184" s="989"/>
      <c r="N184" s="959">
        <f t="shared" si="31"/>
        <v>99.999999999999986</v>
      </c>
      <c r="O184" s="959"/>
      <c r="R184" s="1">
        <v>2010</v>
      </c>
      <c r="S184" s="8">
        <f>(O108*($E108/365))+(O109*($E109/365))</f>
        <v>46.5</v>
      </c>
      <c r="T184" s="8">
        <f>(P108*($E108/365))+(P109*($E109/365))</f>
        <v>15.5</v>
      </c>
      <c r="U184" s="8">
        <f>(Q108*($E108/365))+(Q109*($E109/365))</f>
        <v>21.5</v>
      </c>
      <c r="V184" s="7"/>
      <c r="W184" s="7">
        <f t="shared" si="30"/>
        <v>83.5</v>
      </c>
    </row>
    <row r="185" spans="1:23">
      <c r="A185" s="1">
        <v>2011</v>
      </c>
      <c r="B185" s="8">
        <f>(K110*($E110/365))+(K111*($E111/365))</f>
        <v>57.142857142857139</v>
      </c>
      <c r="C185" s="8">
        <f>(L110*($E110/365))+(L111*($E111/365))</f>
        <v>14.285714285714285</v>
      </c>
      <c r="D185" s="8">
        <f>(M110*($E110/365))+(M111*($E111/365))</f>
        <v>28.571428571428569</v>
      </c>
      <c r="E185" s="50">
        <f t="shared" si="29"/>
        <v>99.999999999999986</v>
      </c>
      <c r="G185" s="1">
        <v>2011</v>
      </c>
      <c r="H185" s="989">
        <f>(O110/$R110*100*($E110/365))+(O111/$R111*100*($E111/365))</f>
        <v>55.688622754491014</v>
      </c>
      <c r="I185" s="989"/>
      <c r="J185" s="989">
        <f>(P110/$R110*100*($E110/365))+(P111/$R111*100*($E111/365))</f>
        <v>18.474284308096134</v>
      </c>
      <c r="K185" s="989"/>
      <c r="L185" s="989">
        <f>(Q110/$R110*100*($E110/365))+(Q111/$R111*100*($E111/365))</f>
        <v>25.837092937412844</v>
      </c>
      <c r="M185" s="989"/>
      <c r="N185" s="959">
        <f t="shared" si="31"/>
        <v>100</v>
      </c>
      <c r="O185" s="959"/>
      <c r="R185" s="1">
        <v>2011</v>
      </c>
      <c r="S185" s="8">
        <f>(O110*($E110/365))+(O111*($E111/365))</f>
        <v>46.5</v>
      </c>
      <c r="T185" s="8">
        <f>(P110*($E110/365))+(P111*($E111/365))</f>
        <v>15.426027397260274</v>
      </c>
      <c r="U185" s="8">
        <f>(Q110*($E110/365))+(Q111*($E111/365))</f>
        <v>21.573972602739726</v>
      </c>
      <c r="V185" s="7"/>
      <c r="W185" s="7">
        <f t="shared" si="30"/>
        <v>83.5</v>
      </c>
    </row>
    <row r="186" spans="1:23">
      <c r="A186" s="1">
        <v>2012</v>
      </c>
      <c r="B186" s="8">
        <f>(K112*($E112/366))+(K113*($E113/366))</f>
        <v>57.142857142857139</v>
      </c>
      <c r="C186" s="8">
        <f>(L112*($E112/366))+(L113*($E113/366))</f>
        <v>14.285714285714285</v>
      </c>
      <c r="D186" s="8">
        <f>(M112*($E112/366))+(M113*($E113/366))</f>
        <v>28.571428571428569</v>
      </c>
      <c r="E186" s="50">
        <f t="shared" si="29"/>
        <v>99.999999999999986</v>
      </c>
      <c r="G186" s="1">
        <v>2012</v>
      </c>
      <c r="H186" s="989">
        <f>(O112/$R112*100*($E112/366))+(O113/$R113*100*($E113/366))</f>
        <v>55.688622754491014</v>
      </c>
      <c r="I186" s="989"/>
      <c r="J186" s="989">
        <f>(P112/$R112*100*($E112/366))+(P113/$R113*100*($E113/366))</f>
        <v>16.766467065868262</v>
      </c>
      <c r="K186" s="989"/>
      <c r="L186" s="989">
        <f>(Q112/$R112*100*($E112/366))+(Q113/$R113*100*($E113/366))</f>
        <v>27.54491017964072</v>
      </c>
      <c r="M186" s="989"/>
      <c r="N186" s="959">
        <f t="shared" si="31"/>
        <v>100</v>
      </c>
      <c r="O186" s="959"/>
      <c r="R186" s="1">
        <v>2012</v>
      </c>
      <c r="S186" s="8">
        <f>(O112*($E112/366))+(O113*($E113/366))</f>
        <v>46.5</v>
      </c>
      <c r="T186" s="8">
        <f>(P112*($E112/366))+(P113*($E113/366))</f>
        <v>14</v>
      </c>
      <c r="U186" s="8">
        <f>(Q112*($E112/366))+(Q113*($E113/366))</f>
        <v>23</v>
      </c>
      <c r="V186" s="7"/>
      <c r="W186" s="7">
        <f t="shared" si="30"/>
        <v>83.5</v>
      </c>
    </row>
    <row r="187" spans="1:23">
      <c r="A187" s="1">
        <v>2013</v>
      </c>
      <c r="B187" s="8">
        <f>(K114*($E114/365))+(K115*($E115/365))</f>
        <v>57.142857142857139</v>
      </c>
      <c r="C187" s="8">
        <f>(L114*($E114/365))+(L115*($E115/365))</f>
        <v>14.285714285714285</v>
      </c>
      <c r="D187" s="8">
        <f>(M114*($E114/365))+(M115*($E115/365))</f>
        <v>28.571428571428569</v>
      </c>
      <c r="E187" s="309">
        <f t="shared" si="29"/>
        <v>99.999999999999986</v>
      </c>
      <c r="G187" s="1">
        <v>2013</v>
      </c>
      <c r="H187" s="989">
        <f>(O114/$R114*100*($E114/365))+(O115/$R115*100*($E115/365))</f>
        <v>55.688622754491014</v>
      </c>
      <c r="I187" s="989"/>
      <c r="J187" s="989">
        <f>(P114/$R114*100*($E114/365))+(P115/$R115*100*($E115/365))</f>
        <v>16.766467065868262</v>
      </c>
      <c r="K187" s="989"/>
      <c r="L187" s="989">
        <f>(Q114/$R114*100*($E114/365))+(Q115/$R115*100*($E115/365))</f>
        <v>27.54491017964072</v>
      </c>
      <c r="M187" s="989"/>
      <c r="N187" s="959">
        <f>H187+J187+L187</f>
        <v>100</v>
      </c>
      <c r="O187" s="959"/>
      <c r="R187" s="1">
        <v>2013</v>
      </c>
      <c r="S187" s="8">
        <f>(O114*($E114/365))+(O115*($E115/365))</f>
        <v>46.5</v>
      </c>
      <c r="T187" s="8">
        <f>(P114*($E114/365))+(P115*($E115/365))</f>
        <v>14</v>
      </c>
      <c r="U187" s="8">
        <f>(Q114*($E114/365))+(Q115*($E115/365))</f>
        <v>23</v>
      </c>
      <c r="W187" s="7">
        <f t="shared" si="30"/>
        <v>83.5</v>
      </c>
    </row>
    <row r="188" spans="1:23">
      <c r="A188" s="1">
        <v>2014</v>
      </c>
      <c r="B188" s="8">
        <f>(K116*($E116/365))+(K117*($E117/365))</f>
        <v>57.142857142857139</v>
      </c>
      <c r="C188" s="8">
        <f>(L116*($E116/365))+(L117*($E117/365))</f>
        <v>14.285714285714285</v>
      </c>
      <c r="D188" s="8">
        <f>(M116*($E116/365))+(M117*($E117/365))</f>
        <v>28.571428571428569</v>
      </c>
      <c r="E188" s="632">
        <f>B188+C188+D188</f>
        <v>99.999999999999986</v>
      </c>
      <c r="G188" s="1">
        <v>2014</v>
      </c>
      <c r="H188" s="989">
        <f>(O116/$R116*100*($E116/365))+(O117/$R117*100*($E117/365))</f>
        <v>55.688622754491014</v>
      </c>
      <c r="I188" s="989"/>
      <c r="J188" s="989">
        <f>(P116/$R116*100*($E116/365))+(P117/$R117*100*($E117/365))</f>
        <v>16.766467065868262</v>
      </c>
      <c r="K188" s="989"/>
      <c r="L188" s="989">
        <f>(Q116/$R116*100*($E116/365))+(Q117/$R117*100*($E117/365))</f>
        <v>27.54491017964072</v>
      </c>
      <c r="M188" s="989"/>
      <c r="N188" s="959">
        <f>H188+J188+L188</f>
        <v>100</v>
      </c>
      <c r="O188" s="959"/>
      <c r="R188" s="1">
        <v>2014</v>
      </c>
      <c r="S188" s="8">
        <f>(O116*($E116/365))+(O117*($E117/365))</f>
        <v>46.5</v>
      </c>
      <c r="T188" s="8">
        <f>(P116*($E116/365))+(P117*($E117/365))</f>
        <v>14</v>
      </c>
      <c r="U188" s="8">
        <f>(Q116*($E116/365))+(Q117*($E117/365))</f>
        <v>23</v>
      </c>
      <c r="W188" s="7">
        <f>S188+T188+U188</f>
        <v>83.5</v>
      </c>
    </row>
    <row r="189" spans="1:23">
      <c r="A189" s="1">
        <v>2015</v>
      </c>
      <c r="B189" s="760">
        <f>(K118*($E118/365))+(K119*($E119/365))</f>
        <v>57.142857142857139</v>
      </c>
      <c r="C189" s="760">
        <f>(L118*($E118/365))+(L119*($E119/365))</f>
        <v>14.285714285714285</v>
      </c>
      <c r="D189" s="760">
        <f>(M118*($E118/365))+(M119*($E119/365))</f>
        <v>28.571428571428569</v>
      </c>
      <c r="E189" s="761">
        <f>B189+C189+D189</f>
        <v>99.999999999999986</v>
      </c>
      <c r="F189" s="765"/>
      <c r="G189" s="765">
        <v>2015</v>
      </c>
      <c r="H189" s="989">
        <f>(O118/$R118*100*($E118/365))+(O119/$R119*100*($E119/365))</f>
        <v>55.550296786339985</v>
      </c>
      <c r="I189" s="989"/>
      <c r="J189" s="989">
        <f>(P118/$R118*100*($E118/365))+(P119/$R119*100*($E119/365))</f>
        <v>16.673041426866909</v>
      </c>
      <c r="K189" s="989"/>
      <c r="L189" s="989">
        <f>(Q118/$R118*100*($E118/365))+(Q119/$R119*100*($E119/365))</f>
        <v>27.77666178679311</v>
      </c>
      <c r="M189" s="989"/>
      <c r="N189" s="959">
        <f>H189+J189+L189</f>
        <v>100</v>
      </c>
      <c r="O189" s="959"/>
      <c r="P189" s="765"/>
      <c r="Q189" s="765"/>
      <c r="R189" s="765">
        <v>2015</v>
      </c>
      <c r="S189" s="760">
        <f>(O118*($E118/365))+(O119*($E119/365))</f>
        <v>46.657534246575345</v>
      </c>
      <c r="T189" s="760">
        <f>(P118*($E118/365))+(P119*($E119/365))</f>
        <v>14</v>
      </c>
      <c r="U189" s="760">
        <f>(Q118*($E118/365))+(Q119*($E119/365))</f>
        <v>23.352876712328769</v>
      </c>
      <c r="V189" s="765"/>
      <c r="W189" s="764">
        <f>S189+T189+U189</f>
        <v>84.010410958904117</v>
      </c>
    </row>
    <row r="190" spans="1:23">
      <c r="A190" s="853">
        <v>2016</v>
      </c>
      <c r="B190" s="850">
        <f>(K120*($E120/366))+(K121*($E121/366))</f>
        <v>57.142857142857139</v>
      </c>
      <c r="C190" s="850">
        <f>(L120*($E120/366))+(L121*($E121/366))</f>
        <v>14.285714285714285</v>
      </c>
      <c r="D190" s="850">
        <f>(M120*($E120/366))+(M121*($E121/366))</f>
        <v>28.571428571428569</v>
      </c>
      <c r="E190" s="851">
        <f t="shared" ref="E190" si="32">B190+C190+D190</f>
        <v>99.999999999999986</v>
      </c>
      <c r="F190" s="853"/>
      <c r="G190" s="853">
        <v>2016</v>
      </c>
      <c r="H190" s="989">
        <f>(O120/$R120*100*($E120/366))+(O121/$R121*100*($E121/366))</f>
        <v>53.493449781659393</v>
      </c>
      <c r="I190" s="989"/>
      <c r="J190" s="989">
        <f>(P120/$R120*100*($E120/366))+(P121/$R121*100*($E121/366))</f>
        <v>15.283842794759828</v>
      </c>
      <c r="K190" s="989"/>
      <c r="L190" s="989">
        <f>(Q120/$R120*100*($E120/366))+(Q121/$R121*100*($E121/366))</f>
        <v>31.222707423580793</v>
      </c>
      <c r="M190" s="989"/>
      <c r="N190" s="959">
        <f t="shared" ref="N190" si="33">H190+J190+L190</f>
        <v>100.00000000000003</v>
      </c>
      <c r="O190" s="959"/>
      <c r="P190" s="853"/>
      <c r="Q190" s="853"/>
      <c r="R190" s="853">
        <v>2016</v>
      </c>
      <c r="S190" s="850">
        <f>(O120*($E120/366))+(O121*($E121/366))</f>
        <v>49</v>
      </c>
      <c r="T190" s="850">
        <f>(P120*($E120/366))+(P121*($E121/366))</f>
        <v>14</v>
      </c>
      <c r="U190" s="850">
        <f>(Q120*($E120/366))+(Q121*($E121/366))</f>
        <v>28.6</v>
      </c>
      <c r="V190" s="853"/>
      <c r="W190" s="852">
        <f t="shared" ref="W190" si="34">S190+T190+U190</f>
        <v>91.6</v>
      </c>
    </row>
    <row r="191" spans="1:23">
      <c r="A191" s="920">
        <v>2017</v>
      </c>
      <c r="B191" s="915">
        <f>(K122*($E122/365))+(K123*($E123/365))</f>
        <v>57.142857142857139</v>
      </c>
      <c r="C191" s="915">
        <f t="shared" ref="C191:D191" si="35">(L122*($E122/365))+(L123*($E123/365))</f>
        <v>14.285714285714285</v>
      </c>
      <c r="D191" s="915">
        <f t="shared" si="35"/>
        <v>28.571428571428569</v>
      </c>
      <c r="E191" s="916">
        <f t="shared" ref="E191" si="36">B191+C191+D191</f>
        <v>99.999999999999986</v>
      </c>
      <c r="F191" s="920"/>
      <c r="G191" s="920">
        <v>2017</v>
      </c>
      <c r="H191" s="989">
        <f>(O122/$R122*100*($E122/365))+(O123/$R123*100*($E123/365))</f>
        <v>53.493449781659393</v>
      </c>
      <c r="I191" s="989"/>
      <c r="J191" s="989">
        <f>(P122/$R122*100*($E122/365))+(P123/$R123*100*($E123/365))</f>
        <v>15.283842794759828</v>
      </c>
      <c r="K191" s="989"/>
      <c r="L191" s="989">
        <f>(Q122/$R122*100*($E122/365))+(Q123/$R123*100*($E123/365))</f>
        <v>31.222707423580793</v>
      </c>
      <c r="M191" s="989"/>
      <c r="N191" s="959">
        <f t="shared" ref="N191" si="37">H191+J191+L191</f>
        <v>100.00000000000003</v>
      </c>
      <c r="O191" s="959"/>
      <c r="P191" s="920"/>
      <c r="Q191" s="920"/>
      <c r="R191" s="920">
        <v>2017</v>
      </c>
      <c r="S191" s="915">
        <f>(O122*($E122/365))+(O123*($E123/365))</f>
        <v>49</v>
      </c>
      <c r="T191" s="915">
        <f t="shared" ref="T191:U191" si="38">(P122*($E122/365))+(P123*($E123/365))</f>
        <v>14</v>
      </c>
      <c r="U191" s="915">
        <f t="shared" si="38"/>
        <v>28.6</v>
      </c>
      <c r="V191" s="920"/>
      <c r="W191" s="917">
        <f t="shared" ref="W191" si="39">S191+T191+U191</f>
        <v>91.6</v>
      </c>
    </row>
    <row r="192" spans="1:23">
      <c r="A192" s="950">
        <v>2018</v>
      </c>
      <c r="B192" s="947">
        <f>(K124*($E124/365))+(K125*($E125/365))</f>
        <v>57.142857142857139</v>
      </c>
      <c r="C192" s="947">
        <f>(L124*($E124/365))+(L125*($E125/365))</f>
        <v>14.285714285714285</v>
      </c>
      <c r="D192" s="947">
        <f>(M124*($E124/365))+(M125*($E125/365))</f>
        <v>28.571428571428569</v>
      </c>
      <c r="E192" s="948">
        <f t="shared" ref="E192" si="40">B192+C192+D192</f>
        <v>99.999999999999986</v>
      </c>
      <c r="F192" s="950"/>
      <c r="G192" s="950">
        <v>2018</v>
      </c>
      <c r="H192" s="989">
        <f>(O124/$R124*100*($E124/365))+(O125/$R125*100*($E125/365))</f>
        <v>53.493449781659393</v>
      </c>
      <c r="I192" s="989"/>
      <c r="J192" s="989">
        <f>(P124/$R124*100*($E124/365))+(P125/$R125*100*($E125/365))</f>
        <v>15.283842794759828</v>
      </c>
      <c r="K192" s="989"/>
      <c r="L192" s="989">
        <f>(Q124/$R124*100*($E124/365))+(Q125/$R125*100*($E125/365))</f>
        <v>31.222707423580793</v>
      </c>
      <c r="M192" s="989"/>
      <c r="N192" s="959">
        <f t="shared" ref="N192" si="41">H192+J192+L192</f>
        <v>100.00000000000003</v>
      </c>
      <c r="O192" s="959"/>
      <c r="P192" s="950"/>
      <c r="Q192" s="950"/>
      <c r="R192" s="950">
        <v>2018</v>
      </c>
      <c r="S192" s="947">
        <f>(O124*($E124/365))+(O125*($E125/365))</f>
        <v>49</v>
      </c>
      <c r="T192" s="947">
        <f>(P124*($E124/365))+(P125*($E125/365))</f>
        <v>14</v>
      </c>
      <c r="U192" s="947">
        <f>(Q124*($E124/365))+(Q125*($E125/365))</f>
        <v>28.6</v>
      </c>
      <c r="V192" s="950"/>
      <c r="W192" s="949">
        <f t="shared" ref="W192" si="42">S192+T192+U192</f>
        <v>91.6</v>
      </c>
    </row>
    <row r="193" spans="6:17">
      <c r="F193" s="950"/>
      <c r="P193" s="950"/>
      <c r="Q193" s="950"/>
    </row>
  </sheetData>
  <mergeCells count="386">
    <mergeCell ref="C124:D124"/>
    <mergeCell ref="C125:D125"/>
    <mergeCell ref="H192:I192"/>
    <mergeCell ref="J192:K192"/>
    <mergeCell ref="L192:M192"/>
    <mergeCell ref="N192:O192"/>
    <mergeCell ref="C122:D122"/>
    <mergeCell ref="C123:D123"/>
    <mergeCell ref="C118:D118"/>
    <mergeCell ref="H189:I189"/>
    <mergeCell ref="J189:K189"/>
    <mergeCell ref="L189:M189"/>
    <mergeCell ref="N189:O189"/>
    <mergeCell ref="N168:O168"/>
    <mergeCell ref="N171:O171"/>
    <mergeCell ref="J166:K166"/>
    <mergeCell ref="J167:K167"/>
    <mergeCell ref="J168:K168"/>
    <mergeCell ref="J169:K169"/>
    <mergeCell ref="J170:K170"/>
    <mergeCell ref="J171:K171"/>
    <mergeCell ref="H164:I164"/>
    <mergeCell ref="H165:I165"/>
    <mergeCell ref="H166:I166"/>
    <mergeCell ref="H167:I167"/>
    <mergeCell ref="L172:M172"/>
    <mergeCell ref="L173:M173"/>
    <mergeCell ref="L174:M174"/>
    <mergeCell ref="N183:O183"/>
    <mergeCell ref="N180:O180"/>
    <mergeCell ref="N181:O181"/>
    <mergeCell ref="N182:O182"/>
    <mergeCell ref="R130:W130"/>
    <mergeCell ref="N163:O163"/>
    <mergeCell ref="J165:K165"/>
    <mergeCell ref="N154:O154"/>
    <mergeCell ref="H155:I155"/>
    <mergeCell ref="J155:K155"/>
    <mergeCell ref="L155:M155"/>
    <mergeCell ref="N155:O155"/>
    <mergeCell ref="H150:I150"/>
    <mergeCell ref="J150:K150"/>
    <mergeCell ref="L150:M150"/>
    <mergeCell ref="N150:O150"/>
    <mergeCell ref="H151:I151"/>
    <mergeCell ref="J151:K151"/>
    <mergeCell ref="L151:M151"/>
    <mergeCell ref="N151:O151"/>
    <mergeCell ref="C120:D120"/>
    <mergeCell ref="C121:D121"/>
    <mergeCell ref="H190:I190"/>
    <mergeCell ref="J190:K190"/>
    <mergeCell ref="L190:M190"/>
    <mergeCell ref="N190:O190"/>
    <mergeCell ref="N167:O167"/>
    <mergeCell ref="J186:K186"/>
    <mergeCell ref="L163:M163"/>
    <mergeCell ref="L164:M164"/>
    <mergeCell ref="L165:M165"/>
    <mergeCell ref="L166:M166"/>
    <mergeCell ref="L167:M167"/>
    <mergeCell ref="L168:M168"/>
    <mergeCell ref="J178:K178"/>
    <mergeCell ref="J179:K179"/>
    <mergeCell ref="J180:K180"/>
    <mergeCell ref="J173:K173"/>
    <mergeCell ref="J174:K174"/>
    <mergeCell ref="J175:K175"/>
    <mergeCell ref="J176:K176"/>
    <mergeCell ref="J177:K177"/>
    <mergeCell ref="J163:K163"/>
    <mergeCell ref="J164:K164"/>
    <mergeCell ref="C119:D119"/>
    <mergeCell ref="H152:I152"/>
    <mergeCell ref="J152:K152"/>
    <mergeCell ref="L152:M152"/>
    <mergeCell ref="N152:O152"/>
    <mergeCell ref="H153:I153"/>
    <mergeCell ref="J172:K172"/>
    <mergeCell ref="L184:M184"/>
    <mergeCell ref="L185:M185"/>
    <mergeCell ref="N176:O176"/>
    <mergeCell ref="N177:O177"/>
    <mergeCell ref="N178:O178"/>
    <mergeCell ref="N179:O179"/>
    <mergeCell ref="L169:M169"/>
    <mergeCell ref="L170:M170"/>
    <mergeCell ref="L171:M171"/>
    <mergeCell ref="L180:M180"/>
    <mergeCell ref="L181:M181"/>
    <mergeCell ref="L182:M182"/>
    <mergeCell ref="L183:M183"/>
    <mergeCell ref="H168:I168"/>
    <mergeCell ref="N164:O164"/>
    <mergeCell ref="N165:O165"/>
    <mergeCell ref="N166:O166"/>
    <mergeCell ref="AX4:BA4"/>
    <mergeCell ref="C114:D114"/>
    <mergeCell ref="C115:D115"/>
    <mergeCell ref="H187:I187"/>
    <mergeCell ref="J187:K187"/>
    <mergeCell ref="L187:M187"/>
    <mergeCell ref="N169:O169"/>
    <mergeCell ref="N170:O170"/>
    <mergeCell ref="N185:O185"/>
    <mergeCell ref="C116:D116"/>
    <mergeCell ref="C117:D117"/>
    <mergeCell ref="N186:O186"/>
    <mergeCell ref="N184:O184"/>
    <mergeCell ref="N172:O172"/>
    <mergeCell ref="N173:O173"/>
    <mergeCell ref="N174:O174"/>
    <mergeCell ref="N175:O175"/>
    <mergeCell ref="H132:I132"/>
    <mergeCell ref="N187:O187"/>
    <mergeCell ref="J184:K184"/>
    <mergeCell ref="J185:K185"/>
    <mergeCell ref="J181:K181"/>
    <mergeCell ref="J182:K182"/>
    <mergeCell ref="J183:K183"/>
    <mergeCell ref="AT4:AW4"/>
    <mergeCell ref="H163:I163"/>
    <mergeCell ref="J161:K161"/>
    <mergeCell ref="L161:M161"/>
    <mergeCell ref="N161:O161"/>
    <mergeCell ref="H161:I161"/>
    <mergeCell ref="H159:I159"/>
    <mergeCell ref="J159:K159"/>
    <mergeCell ref="L160:M160"/>
    <mergeCell ref="N160:O160"/>
    <mergeCell ref="H156:I156"/>
    <mergeCell ref="J156:K156"/>
    <mergeCell ref="L156:M156"/>
    <mergeCell ref="N156:O156"/>
    <mergeCell ref="H157:I157"/>
    <mergeCell ref="J157:K157"/>
    <mergeCell ref="L157:M157"/>
    <mergeCell ref="N157:O157"/>
    <mergeCell ref="J153:K153"/>
    <mergeCell ref="L153:M153"/>
    <mergeCell ref="N153:O153"/>
    <mergeCell ref="H154:I154"/>
    <mergeCell ref="J154:K154"/>
    <mergeCell ref="L154:M154"/>
    <mergeCell ref="L186:M186"/>
    <mergeCell ref="L175:M175"/>
    <mergeCell ref="L176:M176"/>
    <mergeCell ref="L177:M177"/>
    <mergeCell ref="L178:M178"/>
    <mergeCell ref="L179:M179"/>
    <mergeCell ref="H184:I184"/>
    <mergeCell ref="H185:I185"/>
    <mergeCell ref="H186:I186"/>
    <mergeCell ref="H175:I175"/>
    <mergeCell ref="H176:I176"/>
    <mergeCell ref="H177:I177"/>
    <mergeCell ref="H178:I178"/>
    <mergeCell ref="H179:I179"/>
    <mergeCell ref="H180:I180"/>
    <mergeCell ref="H183:I183"/>
    <mergeCell ref="H188:I188"/>
    <mergeCell ref="J188:K188"/>
    <mergeCell ref="H162:I162"/>
    <mergeCell ref="J162:K162"/>
    <mergeCell ref="L162:M162"/>
    <mergeCell ref="N162:O162"/>
    <mergeCell ref="H173:I173"/>
    <mergeCell ref="H174:I174"/>
    <mergeCell ref="H158:I158"/>
    <mergeCell ref="J158:K158"/>
    <mergeCell ref="L158:M158"/>
    <mergeCell ref="N158:O158"/>
    <mergeCell ref="L188:M188"/>
    <mergeCell ref="N188:O188"/>
    <mergeCell ref="L159:M159"/>
    <mergeCell ref="N159:O159"/>
    <mergeCell ref="H160:I160"/>
    <mergeCell ref="J160:K160"/>
    <mergeCell ref="H181:I181"/>
    <mergeCell ref="H182:I182"/>
    <mergeCell ref="H169:I169"/>
    <mergeCell ref="H170:I170"/>
    <mergeCell ref="H171:I171"/>
    <mergeCell ref="H172:I172"/>
    <mergeCell ref="H148:I148"/>
    <mergeCell ref="J148:K148"/>
    <mergeCell ref="L148:M148"/>
    <mergeCell ref="N148:O148"/>
    <mergeCell ref="H149:I149"/>
    <mergeCell ref="J149:K149"/>
    <mergeCell ref="L149:M149"/>
    <mergeCell ref="N149:O149"/>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38:I138"/>
    <mergeCell ref="J138:K138"/>
    <mergeCell ref="L138:M138"/>
    <mergeCell ref="N138:O138"/>
    <mergeCell ref="H139:I139"/>
    <mergeCell ref="J139:K139"/>
    <mergeCell ref="L139:M139"/>
    <mergeCell ref="N139:O139"/>
    <mergeCell ref="H136:I136"/>
    <mergeCell ref="J136:K136"/>
    <mergeCell ref="L136:M136"/>
    <mergeCell ref="N136:O136"/>
    <mergeCell ref="H137:I137"/>
    <mergeCell ref="J137:K137"/>
    <mergeCell ref="L137:M137"/>
    <mergeCell ref="N137:O137"/>
    <mergeCell ref="L134:M134"/>
    <mergeCell ref="N134:O134"/>
    <mergeCell ref="H135:I135"/>
    <mergeCell ref="J135:K135"/>
    <mergeCell ref="L135:M135"/>
    <mergeCell ref="N135:O135"/>
    <mergeCell ref="H134:I134"/>
    <mergeCell ref="J134:K134"/>
    <mergeCell ref="G3:M3"/>
    <mergeCell ref="O3:Q3"/>
    <mergeCell ref="N133:O133"/>
    <mergeCell ref="L132:M132"/>
    <mergeCell ref="N132:O132"/>
    <mergeCell ref="J133:K133"/>
    <mergeCell ref="L133:M133"/>
    <mergeCell ref="J132:K132"/>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79:D79"/>
    <mergeCell ref="C80:D80"/>
    <mergeCell ref="C81:D81"/>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87:D87"/>
    <mergeCell ref="C96:D96"/>
    <mergeCell ref="C110:D110"/>
    <mergeCell ref="C103:D103"/>
    <mergeCell ref="C104:D104"/>
    <mergeCell ref="C111:D111"/>
    <mergeCell ref="C112:D112"/>
    <mergeCell ref="C113:D113"/>
    <mergeCell ref="C105:D105"/>
    <mergeCell ref="C106:D106"/>
    <mergeCell ref="C107:D107"/>
    <mergeCell ref="C108:D108"/>
    <mergeCell ref="C109:D109"/>
    <mergeCell ref="H191:I191"/>
    <mergeCell ref="J191:K191"/>
    <mergeCell ref="L191:M191"/>
    <mergeCell ref="N191:O191"/>
    <mergeCell ref="C94:D94"/>
    <mergeCell ref="C95:D95"/>
    <mergeCell ref="C82:D82"/>
    <mergeCell ref="C83:D83"/>
    <mergeCell ref="C84:D84"/>
    <mergeCell ref="C88:D88"/>
    <mergeCell ref="C89:D89"/>
    <mergeCell ref="C90:D90"/>
    <mergeCell ref="H133:I133"/>
    <mergeCell ref="C102:D102"/>
    <mergeCell ref="C91:D91"/>
    <mergeCell ref="C92:D92"/>
    <mergeCell ref="C93:D93"/>
    <mergeCell ref="C97:D97"/>
    <mergeCell ref="C98:D98"/>
    <mergeCell ref="C99:D99"/>
    <mergeCell ref="C100:D100"/>
    <mergeCell ref="C101:D101"/>
    <mergeCell ref="C85:D85"/>
    <mergeCell ref="C86:D8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A195"/>
  <sheetViews>
    <sheetView zoomScale="120" zoomScaleNormal="120" workbookViewId="0">
      <pane xSplit="1" ySplit="5" topLeftCell="B111" activePane="bottomRight" state="frozen"/>
      <selection pane="topRight" activeCell="B1" sqref="B1"/>
      <selection pane="bottomLeft" activeCell="A6" sqref="A6"/>
      <selection pane="bottomRight" activeCell="S194" sqref="S194"/>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70</v>
      </c>
    </row>
    <row r="3" spans="1:53" s="2" customFormat="1">
      <c r="G3" s="994"/>
      <c r="H3" s="994"/>
      <c r="I3" s="994"/>
      <c r="J3" s="994"/>
      <c r="K3" s="994"/>
      <c r="L3" s="994"/>
      <c r="M3" s="994"/>
      <c r="O3" s="994"/>
      <c r="P3" s="994"/>
      <c r="Q3" s="994"/>
    </row>
    <row r="4" spans="1:53" s="346" customFormat="1" ht="12.75" customHeight="1">
      <c r="A4" s="968" t="s">
        <v>3</v>
      </c>
      <c r="B4" s="974" t="s">
        <v>4</v>
      </c>
      <c r="C4" s="968" t="s">
        <v>6</v>
      </c>
      <c r="D4" s="968"/>
      <c r="E4" s="974" t="s">
        <v>5</v>
      </c>
      <c r="F4" s="974" t="s">
        <v>7</v>
      </c>
      <c r="G4" s="970" t="s">
        <v>1212</v>
      </c>
      <c r="H4" s="968"/>
      <c r="I4" s="968"/>
      <c r="J4" s="971"/>
      <c r="K4" s="970" t="s">
        <v>1213</v>
      </c>
      <c r="L4" s="968"/>
      <c r="M4" s="968"/>
      <c r="N4" s="971"/>
      <c r="O4" s="970" t="s">
        <v>1210</v>
      </c>
      <c r="P4" s="968"/>
      <c r="Q4" s="968"/>
      <c r="R4" s="968"/>
      <c r="S4" s="972" t="s">
        <v>13</v>
      </c>
      <c r="T4" s="974" t="s">
        <v>788</v>
      </c>
      <c r="U4" s="976" t="s">
        <v>4</v>
      </c>
      <c r="V4" s="967" t="s">
        <v>1200</v>
      </c>
      <c r="W4" s="968"/>
      <c r="X4" s="968"/>
      <c r="Y4" s="969"/>
      <c r="Z4" s="967" t="s">
        <v>1201</v>
      </c>
      <c r="AA4" s="968"/>
      <c r="AB4" s="968"/>
      <c r="AC4" s="969"/>
      <c r="AD4" s="967" t="s">
        <v>1202</v>
      </c>
      <c r="AE4" s="968"/>
      <c r="AF4" s="968"/>
      <c r="AG4" s="969"/>
      <c r="AH4" s="968" t="s">
        <v>1203</v>
      </c>
      <c r="AI4" s="968"/>
      <c r="AJ4" s="968"/>
      <c r="AK4" s="968"/>
      <c r="AL4" s="967" t="s">
        <v>1204</v>
      </c>
      <c r="AM4" s="968"/>
      <c r="AN4" s="968"/>
      <c r="AO4" s="969"/>
      <c r="AP4" s="967" t="s">
        <v>1205</v>
      </c>
      <c r="AQ4" s="968"/>
      <c r="AR4" s="968"/>
      <c r="AS4" s="969"/>
      <c r="AT4" s="967" t="s">
        <v>1274</v>
      </c>
      <c r="AU4" s="968"/>
      <c r="AV4" s="968"/>
      <c r="AW4" s="969"/>
      <c r="AX4" s="968" t="s">
        <v>1275</v>
      </c>
      <c r="AY4" s="968"/>
      <c r="AZ4" s="968"/>
      <c r="BA4" s="971"/>
    </row>
    <row r="5" spans="1:53" s="351" customFormat="1">
      <c r="A5" s="980"/>
      <c r="B5" s="975"/>
      <c r="C5" s="981"/>
      <c r="D5" s="981"/>
      <c r="E5" s="975"/>
      <c r="F5" s="975"/>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97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1249</v>
      </c>
      <c r="D6" s="995"/>
      <c r="E6" s="257">
        <v>287</v>
      </c>
      <c r="G6" s="265">
        <v>18</v>
      </c>
      <c r="J6" s="272">
        <v>18</v>
      </c>
      <c r="K6" s="248">
        <f t="shared" ref="K6:M8" si="0">G6/$J6*100</f>
        <v>100</v>
      </c>
      <c r="L6" s="248">
        <f t="shared" si="0"/>
        <v>0</v>
      </c>
      <c r="M6" s="248">
        <f t="shared" si="0"/>
        <v>0</v>
      </c>
      <c r="N6" s="267">
        <f>K6+L6+M6</f>
        <v>100</v>
      </c>
      <c r="O6" s="247">
        <v>51.4</v>
      </c>
      <c r="P6" s="248"/>
      <c r="Q6" s="248"/>
      <c r="R6" s="249">
        <f>O6+P6+Q6</f>
        <v>51.4</v>
      </c>
      <c r="S6" s="257">
        <v>1</v>
      </c>
      <c r="T6" s="278"/>
      <c r="V6" s="256" t="s">
        <v>799</v>
      </c>
      <c r="W6" s="257" t="s">
        <v>74</v>
      </c>
      <c r="X6" s="257" t="s">
        <v>11</v>
      </c>
      <c r="Y6" s="258">
        <v>51.4</v>
      </c>
      <c r="AD6" s="256"/>
      <c r="AG6" s="258"/>
      <c r="AL6" s="256"/>
      <c r="AO6" s="258"/>
      <c r="AP6" s="256"/>
      <c r="AS6" s="258"/>
      <c r="AW6" s="258"/>
      <c r="BA6" s="259"/>
    </row>
    <row r="7" spans="1:53" s="257" customFormat="1">
      <c r="A7" s="263">
        <v>1959</v>
      </c>
      <c r="B7" s="252">
        <v>21838</v>
      </c>
      <c r="C7" s="995" t="s">
        <v>864</v>
      </c>
      <c r="D7" s="995"/>
      <c r="E7" s="257">
        <f xml:space="preserve"> 365-E6</f>
        <v>78</v>
      </c>
      <c r="F7" s="257">
        <v>1</v>
      </c>
      <c r="G7" s="265">
        <v>19</v>
      </c>
      <c r="J7" s="272">
        <v>19</v>
      </c>
      <c r="K7" s="248">
        <f t="shared" si="0"/>
        <v>100</v>
      </c>
      <c r="L7" s="248">
        <f t="shared" si="0"/>
        <v>0</v>
      </c>
      <c r="M7" s="248">
        <f t="shared" si="0"/>
        <v>0</v>
      </c>
      <c r="N7" s="267">
        <f>K7+L7+M7</f>
        <v>100</v>
      </c>
      <c r="O7" s="247">
        <v>57.9</v>
      </c>
      <c r="P7" s="248"/>
      <c r="Q7" s="248"/>
      <c r="R7" s="249">
        <f>O7+P7+Q7</f>
        <v>57.9</v>
      </c>
      <c r="S7" s="257">
        <v>1</v>
      </c>
      <c r="T7" s="251">
        <v>21831</v>
      </c>
      <c r="U7" s="252">
        <v>21838</v>
      </c>
      <c r="V7" s="256" t="s">
        <v>799</v>
      </c>
      <c r="W7" s="257" t="s">
        <v>74</v>
      </c>
      <c r="X7" s="257" t="s">
        <v>11</v>
      </c>
      <c r="Y7" s="258">
        <v>57.9</v>
      </c>
      <c r="AD7" s="256"/>
      <c r="AG7" s="258"/>
      <c r="AL7" s="256"/>
      <c r="AO7" s="258"/>
      <c r="AP7" s="256"/>
      <c r="AS7" s="258"/>
      <c r="AW7" s="258"/>
      <c r="BA7" s="259"/>
    </row>
    <row r="8" spans="1:53" s="208" customFormat="1">
      <c r="A8" s="102">
        <v>1960</v>
      </c>
      <c r="B8" s="207"/>
      <c r="C8" s="988" t="s">
        <v>864</v>
      </c>
      <c r="D8" s="988"/>
      <c r="E8" s="208">
        <v>0</v>
      </c>
      <c r="G8" s="123">
        <v>19</v>
      </c>
      <c r="J8" s="134">
        <v>19</v>
      </c>
      <c r="K8" s="92">
        <f t="shared" si="0"/>
        <v>100</v>
      </c>
      <c r="L8" s="92">
        <f t="shared" si="0"/>
        <v>0</v>
      </c>
      <c r="M8" s="92">
        <f t="shared" si="0"/>
        <v>0</v>
      </c>
      <c r="N8" s="125">
        <f>K8+L8+M8</f>
        <v>100</v>
      </c>
      <c r="O8" s="91">
        <v>57.9</v>
      </c>
      <c r="P8" s="92"/>
      <c r="Q8" s="92"/>
      <c r="R8" s="93">
        <f>O8+P8+Q8</f>
        <v>57.9</v>
      </c>
      <c r="S8" s="208">
        <v>1</v>
      </c>
      <c r="T8" s="81"/>
      <c r="V8" s="82" t="s">
        <v>799</v>
      </c>
      <c r="W8" s="208" t="s">
        <v>74</v>
      </c>
      <c r="X8" s="208" t="s">
        <v>11</v>
      </c>
      <c r="Y8" s="83">
        <v>57.9</v>
      </c>
      <c r="AD8" s="82"/>
      <c r="AG8" s="83"/>
      <c r="AL8" s="82"/>
      <c r="AO8" s="83"/>
      <c r="AP8" s="82"/>
      <c r="AS8" s="83"/>
      <c r="AW8" s="83"/>
      <c r="BA8" s="84"/>
    </row>
    <row r="9" spans="1:53" s="208" customFormat="1">
      <c r="A9" s="102">
        <v>1960</v>
      </c>
      <c r="B9" s="207"/>
      <c r="C9" s="988" t="s">
        <v>864</v>
      </c>
      <c r="D9" s="988"/>
      <c r="E9" s="208">
        <v>366</v>
      </c>
      <c r="G9" s="123">
        <v>19</v>
      </c>
      <c r="J9" s="134">
        <v>19</v>
      </c>
      <c r="K9" s="92">
        <f t="shared" ref="K9:M72" si="1">G9/$J9*100</f>
        <v>100</v>
      </c>
      <c r="L9" s="92">
        <f t="shared" si="1"/>
        <v>0</v>
      </c>
      <c r="M9" s="92">
        <f t="shared" si="1"/>
        <v>0</v>
      </c>
      <c r="N9" s="125">
        <f t="shared" ref="N9:N72" si="2">K9+L9+M9</f>
        <v>100</v>
      </c>
      <c r="O9" s="91">
        <v>57.9</v>
      </c>
      <c r="P9" s="92"/>
      <c r="Q9" s="92"/>
      <c r="R9" s="93">
        <f t="shared" ref="R9:R72" si="3">O9+P9+Q9</f>
        <v>57.9</v>
      </c>
      <c r="S9" s="208">
        <v>1</v>
      </c>
      <c r="T9" s="81"/>
      <c r="V9" s="82" t="s">
        <v>799</v>
      </c>
      <c r="W9" s="208" t="s">
        <v>74</v>
      </c>
      <c r="X9" s="208" t="s">
        <v>11</v>
      </c>
      <c r="Y9" s="83">
        <v>57.9</v>
      </c>
      <c r="AD9" s="82"/>
      <c r="AG9" s="83"/>
      <c r="AL9" s="82"/>
      <c r="AO9" s="83"/>
      <c r="AP9" s="82"/>
      <c r="AS9" s="83"/>
      <c r="AW9" s="83"/>
      <c r="BA9" s="84"/>
    </row>
    <row r="10" spans="1:53" s="208" customFormat="1">
      <c r="A10" s="102">
        <v>1961</v>
      </c>
      <c r="B10" s="207"/>
      <c r="C10" s="988" t="s">
        <v>864</v>
      </c>
      <c r="D10" s="988"/>
      <c r="E10" s="208">
        <v>0</v>
      </c>
      <c r="G10" s="123">
        <v>19</v>
      </c>
      <c r="J10" s="134">
        <v>19</v>
      </c>
      <c r="K10" s="92">
        <f t="shared" si="1"/>
        <v>100</v>
      </c>
      <c r="L10" s="92">
        <f t="shared" si="1"/>
        <v>0</v>
      </c>
      <c r="M10" s="92">
        <f t="shared" si="1"/>
        <v>0</v>
      </c>
      <c r="N10" s="125">
        <f t="shared" si="2"/>
        <v>100</v>
      </c>
      <c r="O10" s="91">
        <v>57.9</v>
      </c>
      <c r="P10" s="92"/>
      <c r="Q10" s="92"/>
      <c r="R10" s="93">
        <f t="shared" si="3"/>
        <v>57.9</v>
      </c>
      <c r="S10" s="208">
        <v>1</v>
      </c>
      <c r="T10" s="81"/>
      <c r="V10" s="82" t="s">
        <v>799</v>
      </c>
      <c r="W10" s="208" t="s">
        <v>74</v>
      </c>
      <c r="X10" s="208" t="s">
        <v>11</v>
      </c>
      <c r="Y10" s="83">
        <v>57.9</v>
      </c>
      <c r="AD10" s="82"/>
      <c r="AG10" s="83"/>
      <c r="AL10" s="82"/>
      <c r="AO10" s="83"/>
      <c r="AP10" s="82"/>
      <c r="AS10" s="83"/>
      <c r="AW10" s="83"/>
      <c r="BA10" s="84"/>
    </row>
    <row r="11" spans="1:53" s="208" customFormat="1">
      <c r="A11" s="102">
        <v>1961</v>
      </c>
      <c r="B11" s="207"/>
      <c r="C11" s="988" t="s">
        <v>864</v>
      </c>
      <c r="D11" s="988"/>
      <c r="E11" s="208">
        <v>365</v>
      </c>
      <c r="G11" s="123">
        <v>19</v>
      </c>
      <c r="J11" s="134">
        <v>19</v>
      </c>
      <c r="K11" s="92">
        <f t="shared" si="1"/>
        <v>100</v>
      </c>
      <c r="L11" s="92">
        <f t="shared" si="1"/>
        <v>0</v>
      </c>
      <c r="M11" s="92">
        <f t="shared" si="1"/>
        <v>0</v>
      </c>
      <c r="N11" s="125">
        <f t="shared" si="2"/>
        <v>100</v>
      </c>
      <c r="O11" s="91">
        <v>57.9</v>
      </c>
      <c r="P11" s="92"/>
      <c r="Q11" s="92"/>
      <c r="R11" s="93">
        <f t="shared" si="3"/>
        <v>57.9</v>
      </c>
      <c r="S11" s="208">
        <v>1</v>
      </c>
      <c r="T11" s="81"/>
      <c r="V11" s="82" t="s">
        <v>799</v>
      </c>
      <c r="W11" s="208" t="s">
        <v>74</v>
      </c>
      <c r="X11" s="208" t="s">
        <v>11</v>
      </c>
      <c r="Y11" s="83">
        <v>57.9</v>
      </c>
      <c r="AD11" s="82"/>
      <c r="AG11" s="83"/>
      <c r="AL11" s="82"/>
      <c r="AO11" s="83"/>
      <c r="AP11" s="82"/>
      <c r="AS11" s="83"/>
      <c r="AW11" s="83"/>
      <c r="BA11" s="84"/>
    </row>
    <row r="12" spans="1:53" s="208" customFormat="1">
      <c r="A12" s="102">
        <v>1962</v>
      </c>
      <c r="B12" s="207"/>
      <c r="C12" s="988" t="s">
        <v>864</v>
      </c>
      <c r="D12" s="988"/>
      <c r="E12" s="208">
        <v>0</v>
      </c>
      <c r="G12" s="123">
        <v>19</v>
      </c>
      <c r="J12" s="134">
        <v>19</v>
      </c>
      <c r="K12" s="92">
        <f t="shared" si="1"/>
        <v>100</v>
      </c>
      <c r="L12" s="92">
        <f t="shared" si="1"/>
        <v>0</v>
      </c>
      <c r="M12" s="92">
        <f t="shared" si="1"/>
        <v>0</v>
      </c>
      <c r="N12" s="125">
        <f t="shared" si="2"/>
        <v>100</v>
      </c>
      <c r="O12" s="91">
        <v>57.9</v>
      </c>
      <c r="P12" s="92"/>
      <c r="Q12" s="92"/>
      <c r="R12" s="93">
        <f t="shared" si="3"/>
        <v>57.9</v>
      </c>
      <c r="S12" s="208">
        <v>1</v>
      </c>
      <c r="T12" s="81"/>
      <c r="V12" s="82" t="s">
        <v>799</v>
      </c>
      <c r="W12" s="208" t="s">
        <v>74</v>
      </c>
      <c r="X12" s="208" t="s">
        <v>11</v>
      </c>
      <c r="Y12" s="83">
        <v>57.9</v>
      </c>
      <c r="AD12" s="82"/>
      <c r="AG12" s="83"/>
      <c r="AL12" s="82"/>
      <c r="AO12" s="83"/>
      <c r="AP12" s="82"/>
      <c r="AS12" s="83"/>
      <c r="AW12" s="83"/>
      <c r="BA12" s="84"/>
    </row>
    <row r="13" spans="1:53" s="208" customFormat="1">
      <c r="A13" s="102">
        <v>1962</v>
      </c>
      <c r="B13" s="207"/>
      <c r="C13" s="988" t="s">
        <v>864</v>
      </c>
      <c r="D13" s="988"/>
      <c r="E13" s="208">
        <v>365</v>
      </c>
      <c r="G13" s="123">
        <v>19</v>
      </c>
      <c r="J13" s="134">
        <v>19</v>
      </c>
      <c r="K13" s="92">
        <f t="shared" si="1"/>
        <v>100</v>
      </c>
      <c r="L13" s="92">
        <f t="shared" si="1"/>
        <v>0</v>
      </c>
      <c r="M13" s="92">
        <f t="shared" si="1"/>
        <v>0</v>
      </c>
      <c r="N13" s="125">
        <f t="shared" si="2"/>
        <v>100</v>
      </c>
      <c r="O13" s="91">
        <v>57.9</v>
      </c>
      <c r="P13" s="92"/>
      <c r="Q13" s="92"/>
      <c r="R13" s="93">
        <f t="shared" si="3"/>
        <v>57.9</v>
      </c>
      <c r="S13" s="208">
        <v>1</v>
      </c>
      <c r="T13" s="81"/>
      <c r="V13" s="82" t="s">
        <v>799</v>
      </c>
      <c r="W13" s="208" t="s">
        <v>74</v>
      </c>
      <c r="X13" s="208" t="s">
        <v>11</v>
      </c>
      <c r="Y13" s="83">
        <v>57.9</v>
      </c>
      <c r="AD13" s="82"/>
      <c r="AG13" s="83"/>
      <c r="AL13" s="82"/>
      <c r="AO13" s="83"/>
      <c r="AP13" s="82"/>
      <c r="AS13" s="83"/>
      <c r="AW13" s="83"/>
      <c r="BA13" s="84"/>
    </row>
    <row r="14" spans="1:53" s="208" customFormat="1">
      <c r="A14" s="102">
        <v>1962.6</v>
      </c>
      <c r="B14" s="207"/>
      <c r="C14" s="988" t="s">
        <v>864</v>
      </c>
      <c r="D14" s="988"/>
      <c r="E14" s="208">
        <v>291</v>
      </c>
      <c r="G14" s="123">
        <v>19</v>
      </c>
      <c r="J14" s="134">
        <v>19</v>
      </c>
      <c r="K14" s="92">
        <f t="shared" si="1"/>
        <v>100</v>
      </c>
      <c r="L14" s="92">
        <f t="shared" si="1"/>
        <v>0</v>
      </c>
      <c r="M14" s="92">
        <f t="shared" si="1"/>
        <v>0</v>
      </c>
      <c r="N14" s="125">
        <f t="shared" si="2"/>
        <v>100</v>
      </c>
      <c r="O14" s="91">
        <v>57.9</v>
      </c>
      <c r="P14" s="92"/>
      <c r="Q14" s="92"/>
      <c r="R14" s="93">
        <f t="shared" si="3"/>
        <v>57.9</v>
      </c>
      <c r="S14" s="208">
        <v>1</v>
      </c>
      <c r="T14" s="81"/>
      <c r="V14" s="82" t="s">
        <v>799</v>
      </c>
      <c r="W14" s="208" t="s">
        <v>74</v>
      </c>
      <c r="X14" s="208" t="s">
        <v>11</v>
      </c>
      <c r="Y14" s="83">
        <v>57.9</v>
      </c>
      <c r="AD14" s="82"/>
      <c r="AG14" s="83"/>
      <c r="AL14" s="82"/>
      <c r="AO14" s="83"/>
      <c r="AP14" s="82"/>
      <c r="AS14" s="83"/>
      <c r="AW14" s="83"/>
      <c r="BA14" s="84"/>
    </row>
    <row r="15" spans="1:53" s="334" customFormat="1">
      <c r="A15" s="386">
        <v>1963.05714285714</v>
      </c>
      <c r="B15" s="355">
        <v>23303</v>
      </c>
      <c r="C15" s="992" t="s">
        <v>800</v>
      </c>
      <c r="D15" s="992"/>
      <c r="E15" s="334">
        <f xml:space="preserve"> 365-E14</f>
        <v>74</v>
      </c>
      <c r="F15" s="334">
        <v>3</v>
      </c>
      <c r="G15" s="419">
        <v>23</v>
      </c>
      <c r="J15" s="435">
        <v>23</v>
      </c>
      <c r="K15" s="384">
        <f t="shared" si="1"/>
        <v>100</v>
      </c>
      <c r="L15" s="384">
        <f t="shared" si="1"/>
        <v>0</v>
      </c>
      <c r="M15" s="384">
        <f t="shared" si="1"/>
        <v>0</v>
      </c>
      <c r="N15" s="421">
        <f t="shared" si="2"/>
        <v>100</v>
      </c>
      <c r="O15" s="383">
        <v>57.9</v>
      </c>
      <c r="P15" s="384"/>
      <c r="Q15" s="384"/>
      <c r="R15" s="385">
        <f t="shared" si="3"/>
        <v>57.9</v>
      </c>
      <c r="S15" s="334">
        <v>1</v>
      </c>
      <c r="T15" s="357"/>
      <c r="U15" s="355">
        <v>23303</v>
      </c>
      <c r="V15" s="343" t="s">
        <v>799</v>
      </c>
      <c r="W15" s="334" t="s">
        <v>74</v>
      </c>
      <c r="X15" s="334" t="s">
        <v>11</v>
      </c>
      <c r="Y15" s="344">
        <v>57.9</v>
      </c>
      <c r="AD15" s="343"/>
      <c r="AG15" s="344"/>
      <c r="AL15" s="343"/>
      <c r="AO15" s="344"/>
      <c r="AP15" s="343"/>
      <c r="AS15" s="344"/>
      <c r="AW15" s="344"/>
      <c r="BA15" s="345"/>
    </row>
    <row r="16" spans="1:53" s="334" customFormat="1">
      <c r="A16" s="386">
        <v>1963.5142857142901</v>
      </c>
      <c r="B16" s="355"/>
      <c r="C16" s="992" t="s">
        <v>800</v>
      </c>
      <c r="D16" s="992"/>
      <c r="E16" s="334">
        <v>290</v>
      </c>
      <c r="G16" s="419">
        <v>23</v>
      </c>
      <c r="J16" s="435">
        <v>23</v>
      </c>
      <c r="K16" s="384">
        <f t="shared" si="1"/>
        <v>100</v>
      </c>
      <c r="L16" s="384">
        <f t="shared" si="1"/>
        <v>0</v>
      </c>
      <c r="M16" s="384">
        <f t="shared" si="1"/>
        <v>0</v>
      </c>
      <c r="N16" s="421">
        <f t="shared" si="2"/>
        <v>100</v>
      </c>
      <c r="O16" s="383">
        <v>57.9</v>
      </c>
      <c r="P16" s="384"/>
      <c r="Q16" s="384"/>
      <c r="R16" s="385">
        <f t="shared" si="3"/>
        <v>57.9</v>
      </c>
      <c r="S16" s="334">
        <v>1</v>
      </c>
      <c r="T16" s="357"/>
      <c r="V16" s="343" t="s">
        <v>799</v>
      </c>
      <c r="W16" s="334" t="s">
        <v>74</v>
      </c>
      <c r="X16" s="334" t="s">
        <v>11</v>
      </c>
      <c r="Y16" s="344">
        <v>57.9</v>
      </c>
      <c r="AD16" s="343"/>
      <c r="AG16" s="344"/>
      <c r="AL16" s="343"/>
      <c r="AO16" s="344"/>
      <c r="AP16" s="343"/>
      <c r="AS16" s="344"/>
      <c r="AW16" s="344"/>
      <c r="BA16" s="345"/>
    </row>
    <row r="17" spans="1:53" s="208" customFormat="1">
      <c r="A17" s="102">
        <v>1963.9714285714299</v>
      </c>
      <c r="B17" s="207">
        <v>23667</v>
      </c>
      <c r="C17" s="988" t="s">
        <v>790</v>
      </c>
      <c r="D17" s="988"/>
      <c r="E17" s="208">
        <f xml:space="preserve"> 366-E16</f>
        <v>76</v>
      </c>
      <c r="F17" s="208">
        <v>1</v>
      </c>
      <c r="G17" s="123"/>
      <c r="I17" s="208">
        <v>23</v>
      </c>
      <c r="J17" s="134">
        <v>23</v>
      </c>
      <c r="K17" s="92">
        <f t="shared" si="1"/>
        <v>0</v>
      </c>
      <c r="L17" s="92">
        <f t="shared" si="1"/>
        <v>0</v>
      </c>
      <c r="M17" s="92">
        <f t="shared" si="1"/>
        <v>100</v>
      </c>
      <c r="N17" s="125">
        <f t="shared" si="2"/>
        <v>100</v>
      </c>
      <c r="O17" s="91"/>
      <c r="P17" s="92"/>
      <c r="Q17" s="92">
        <v>50.3</v>
      </c>
      <c r="R17" s="93">
        <f t="shared" si="3"/>
        <v>50.3</v>
      </c>
      <c r="S17" s="208">
        <v>1</v>
      </c>
      <c r="T17" s="95">
        <v>23665</v>
      </c>
      <c r="U17" s="207">
        <v>23667</v>
      </c>
      <c r="V17" s="82" t="s">
        <v>461</v>
      </c>
      <c r="W17" s="208" t="s">
        <v>20</v>
      </c>
      <c r="X17" s="208" t="s">
        <v>12</v>
      </c>
      <c r="Y17" s="83">
        <v>50.3</v>
      </c>
      <c r="AD17" s="82"/>
      <c r="AG17" s="83"/>
      <c r="AL17" s="82"/>
      <c r="AO17" s="83"/>
      <c r="AP17" s="82"/>
      <c r="AS17" s="83"/>
      <c r="AW17" s="83"/>
      <c r="BA17" s="84"/>
    </row>
    <row r="18" spans="1:53" s="208" customFormat="1">
      <c r="A18" s="102">
        <v>1965</v>
      </c>
      <c r="B18" s="207"/>
      <c r="C18" s="988" t="s">
        <v>790</v>
      </c>
      <c r="D18" s="988"/>
      <c r="E18" s="208">
        <v>0</v>
      </c>
      <c r="G18" s="123"/>
      <c r="I18" s="208">
        <v>23</v>
      </c>
      <c r="J18" s="134">
        <v>23</v>
      </c>
      <c r="K18" s="92">
        <f t="shared" si="1"/>
        <v>0</v>
      </c>
      <c r="L18" s="92">
        <f t="shared" si="1"/>
        <v>0</v>
      </c>
      <c r="M18" s="92">
        <f t="shared" si="1"/>
        <v>100</v>
      </c>
      <c r="N18" s="125">
        <f t="shared" si="2"/>
        <v>100</v>
      </c>
      <c r="O18" s="91"/>
      <c r="P18" s="92"/>
      <c r="Q18" s="92">
        <v>50.3</v>
      </c>
      <c r="R18" s="93">
        <f t="shared" si="3"/>
        <v>50.3</v>
      </c>
      <c r="S18" s="208">
        <v>1</v>
      </c>
      <c r="T18" s="81"/>
      <c r="V18" s="82" t="s">
        <v>461</v>
      </c>
      <c r="W18" s="208" t="s">
        <v>20</v>
      </c>
      <c r="X18" s="208" t="s">
        <v>12</v>
      </c>
      <c r="Y18" s="83">
        <v>50.3</v>
      </c>
      <c r="AD18" s="82"/>
      <c r="AG18" s="83"/>
      <c r="AL18" s="82"/>
      <c r="AO18" s="83"/>
      <c r="AP18" s="82"/>
      <c r="AS18" s="83"/>
      <c r="AW18" s="83"/>
      <c r="BA18" s="84"/>
    </row>
    <row r="19" spans="1:53" s="208" customFormat="1">
      <c r="A19" s="102">
        <v>1964.88571428572</v>
      </c>
      <c r="B19" s="207"/>
      <c r="C19" s="988" t="s">
        <v>790</v>
      </c>
      <c r="D19" s="988"/>
      <c r="E19" s="208">
        <v>365</v>
      </c>
      <c r="G19" s="123"/>
      <c r="I19" s="208">
        <v>23</v>
      </c>
      <c r="J19" s="134">
        <v>23</v>
      </c>
      <c r="K19" s="92">
        <f t="shared" si="1"/>
        <v>0</v>
      </c>
      <c r="L19" s="92">
        <f t="shared" si="1"/>
        <v>0</v>
      </c>
      <c r="M19" s="92">
        <f t="shared" si="1"/>
        <v>100</v>
      </c>
      <c r="N19" s="125">
        <f t="shared" si="2"/>
        <v>100</v>
      </c>
      <c r="O19" s="91"/>
      <c r="P19" s="92"/>
      <c r="Q19" s="92">
        <v>50.3</v>
      </c>
      <c r="R19" s="93">
        <f t="shared" si="3"/>
        <v>50.3</v>
      </c>
      <c r="S19" s="208">
        <v>1</v>
      </c>
      <c r="T19" s="81"/>
      <c r="V19" s="82" t="s">
        <v>461</v>
      </c>
      <c r="W19" s="208" t="s">
        <v>20</v>
      </c>
      <c r="X19" s="208" t="s">
        <v>12</v>
      </c>
      <c r="Y19" s="83">
        <v>50.3</v>
      </c>
      <c r="AD19" s="82"/>
      <c r="AG19" s="83"/>
      <c r="AL19" s="82"/>
      <c r="AO19" s="83"/>
      <c r="AP19" s="82"/>
      <c r="AS19" s="83"/>
      <c r="AW19" s="83"/>
      <c r="BA19" s="84"/>
    </row>
    <row r="20" spans="1:53" s="208" customFormat="1">
      <c r="A20" s="102">
        <v>1966</v>
      </c>
      <c r="B20" s="207"/>
      <c r="C20" s="988" t="s">
        <v>790</v>
      </c>
      <c r="D20" s="988"/>
      <c r="E20" s="208">
        <v>95</v>
      </c>
      <c r="G20" s="123"/>
      <c r="I20" s="208">
        <v>23</v>
      </c>
      <c r="J20" s="134">
        <v>23</v>
      </c>
      <c r="K20" s="92">
        <f t="shared" si="1"/>
        <v>0</v>
      </c>
      <c r="L20" s="92">
        <f t="shared" si="1"/>
        <v>0</v>
      </c>
      <c r="M20" s="92">
        <f t="shared" si="1"/>
        <v>100</v>
      </c>
      <c r="N20" s="125">
        <f t="shared" si="2"/>
        <v>100</v>
      </c>
      <c r="O20" s="91"/>
      <c r="P20" s="92"/>
      <c r="Q20" s="92">
        <v>50.3</v>
      </c>
      <c r="R20" s="93">
        <f t="shared" si="3"/>
        <v>50.3</v>
      </c>
      <c r="S20" s="208">
        <v>1</v>
      </c>
      <c r="T20" s="81"/>
      <c r="V20" s="82" t="s">
        <v>461</v>
      </c>
      <c r="W20" s="208" t="s">
        <v>20</v>
      </c>
      <c r="X20" s="208" t="s">
        <v>12</v>
      </c>
      <c r="Y20" s="83">
        <v>50.3</v>
      </c>
      <c r="AD20" s="82"/>
      <c r="AG20" s="83"/>
      <c r="AL20" s="82"/>
      <c r="AO20" s="83"/>
      <c r="AP20" s="82"/>
      <c r="AS20" s="83"/>
      <c r="AW20" s="83"/>
      <c r="BA20" s="84"/>
    </row>
    <row r="21" spans="1:53" s="334" customFormat="1">
      <c r="A21" s="386">
        <v>1965.8</v>
      </c>
      <c r="B21" s="355">
        <v>24203</v>
      </c>
      <c r="C21" s="992" t="s">
        <v>791</v>
      </c>
      <c r="D21" s="992"/>
      <c r="E21" s="334">
        <f>365-E20</f>
        <v>270</v>
      </c>
      <c r="F21" s="334">
        <v>1</v>
      </c>
      <c r="G21" s="419"/>
      <c r="I21" s="334">
        <v>23</v>
      </c>
      <c r="J21" s="435">
        <v>23</v>
      </c>
      <c r="K21" s="384">
        <f t="shared" si="1"/>
        <v>0</v>
      </c>
      <c r="L21" s="384">
        <f t="shared" si="1"/>
        <v>0</v>
      </c>
      <c r="M21" s="384">
        <f t="shared" si="1"/>
        <v>100</v>
      </c>
      <c r="N21" s="421">
        <f t="shared" si="2"/>
        <v>100</v>
      </c>
      <c r="O21" s="383"/>
      <c r="P21" s="384"/>
      <c r="Q21" s="384">
        <v>57.8</v>
      </c>
      <c r="R21" s="385">
        <f t="shared" si="3"/>
        <v>57.8</v>
      </c>
      <c r="S21" s="334">
        <v>1</v>
      </c>
      <c r="T21" s="342">
        <v>24197</v>
      </c>
      <c r="U21" s="355">
        <v>24203</v>
      </c>
      <c r="V21" s="343" t="s">
        <v>461</v>
      </c>
      <c r="W21" s="334" t="s">
        <v>20</v>
      </c>
      <c r="X21" s="334" t="s">
        <v>12</v>
      </c>
      <c r="Y21" s="344">
        <v>57.8</v>
      </c>
      <c r="AD21" s="343"/>
      <c r="AG21" s="344"/>
      <c r="AL21" s="343"/>
      <c r="AO21" s="344"/>
      <c r="AP21" s="343"/>
      <c r="AS21" s="344"/>
      <c r="AW21" s="344"/>
      <c r="BA21" s="345"/>
    </row>
    <row r="22" spans="1:53" s="334" customFormat="1">
      <c r="A22" s="386">
        <v>1967</v>
      </c>
      <c r="B22" s="355"/>
      <c r="C22" s="992" t="s">
        <v>791</v>
      </c>
      <c r="D22" s="992"/>
      <c r="E22" s="334">
        <v>0</v>
      </c>
      <c r="G22" s="419"/>
      <c r="I22" s="334">
        <v>23</v>
      </c>
      <c r="J22" s="435">
        <v>23</v>
      </c>
      <c r="K22" s="384">
        <f t="shared" si="1"/>
        <v>0</v>
      </c>
      <c r="L22" s="384">
        <f t="shared" si="1"/>
        <v>0</v>
      </c>
      <c r="M22" s="384">
        <f t="shared" si="1"/>
        <v>100</v>
      </c>
      <c r="N22" s="421">
        <f t="shared" si="2"/>
        <v>100</v>
      </c>
      <c r="O22" s="383"/>
      <c r="P22" s="384"/>
      <c r="Q22" s="384">
        <v>57.8</v>
      </c>
      <c r="R22" s="385">
        <f t="shared" si="3"/>
        <v>57.8</v>
      </c>
      <c r="S22" s="334">
        <v>1</v>
      </c>
      <c r="T22" s="357"/>
      <c r="V22" s="343" t="s">
        <v>461</v>
      </c>
      <c r="W22" s="334" t="s">
        <v>20</v>
      </c>
      <c r="X22" s="334" t="s">
        <v>12</v>
      </c>
      <c r="Y22" s="344">
        <v>57.8</v>
      </c>
      <c r="AD22" s="343"/>
      <c r="AG22" s="344"/>
      <c r="AL22" s="343"/>
      <c r="AO22" s="344"/>
      <c r="AP22" s="343"/>
      <c r="AS22" s="344"/>
      <c r="AW22" s="344"/>
      <c r="BA22" s="345"/>
    </row>
    <row r="23" spans="1:53" s="334" customFormat="1">
      <c r="A23" s="386">
        <v>1966.7142857142901</v>
      </c>
      <c r="B23" s="355"/>
      <c r="C23" s="992" t="s">
        <v>791</v>
      </c>
      <c r="D23" s="992"/>
      <c r="E23" s="334">
        <v>365</v>
      </c>
      <c r="G23" s="419"/>
      <c r="I23" s="334">
        <v>23</v>
      </c>
      <c r="J23" s="435">
        <v>23</v>
      </c>
      <c r="K23" s="384">
        <f t="shared" si="1"/>
        <v>0</v>
      </c>
      <c r="L23" s="384">
        <f t="shared" si="1"/>
        <v>0</v>
      </c>
      <c r="M23" s="384">
        <f t="shared" si="1"/>
        <v>100</v>
      </c>
      <c r="N23" s="421">
        <f t="shared" si="2"/>
        <v>100</v>
      </c>
      <c r="O23" s="383"/>
      <c r="P23" s="384"/>
      <c r="Q23" s="384">
        <v>57.8</v>
      </c>
      <c r="R23" s="385">
        <f t="shared" si="3"/>
        <v>57.8</v>
      </c>
      <c r="S23" s="334">
        <v>1</v>
      </c>
      <c r="T23" s="357"/>
      <c r="V23" s="343" t="s">
        <v>461</v>
      </c>
      <c r="W23" s="334" t="s">
        <v>20</v>
      </c>
      <c r="X23" s="334" t="s">
        <v>12</v>
      </c>
      <c r="Y23" s="344">
        <v>57.8</v>
      </c>
      <c r="AD23" s="343"/>
      <c r="AG23" s="344"/>
      <c r="AL23" s="343"/>
      <c r="AO23" s="344"/>
      <c r="AP23" s="343"/>
      <c r="AS23" s="344"/>
      <c r="AW23" s="344"/>
      <c r="BA23" s="345"/>
    </row>
    <row r="24" spans="1:53" s="334" customFormat="1">
      <c r="A24" s="386">
        <v>1968</v>
      </c>
      <c r="B24" s="355"/>
      <c r="C24" s="992" t="s">
        <v>791</v>
      </c>
      <c r="D24" s="992"/>
      <c r="E24" s="334">
        <v>0</v>
      </c>
      <c r="G24" s="419"/>
      <c r="I24" s="334">
        <v>23</v>
      </c>
      <c r="J24" s="435">
        <v>23</v>
      </c>
      <c r="K24" s="384">
        <f t="shared" si="1"/>
        <v>0</v>
      </c>
      <c r="L24" s="384">
        <f t="shared" si="1"/>
        <v>0</v>
      </c>
      <c r="M24" s="384">
        <f t="shared" si="1"/>
        <v>100</v>
      </c>
      <c r="N24" s="421">
        <f t="shared" si="2"/>
        <v>100</v>
      </c>
      <c r="O24" s="383"/>
      <c r="P24" s="384"/>
      <c r="Q24" s="384">
        <v>57.8</v>
      </c>
      <c r="R24" s="385">
        <f t="shared" si="3"/>
        <v>57.8</v>
      </c>
      <c r="S24" s="334">
        <v>1</v>
      </c>
      <c r="T24" s="357"/>
      <c r="V24" s="343" t="s">
        <v>461</v>
      </c>
      <c r="W24" s="334" t="s">
        <v>20</v>
      </c>
      <c r="X24" s="334" t="s">
        <v>12</v>
      </c>
      <c r="Y24" s="344">
        <v>57.8</v>
      </c>
      <c r="AD24" s="343"/>
      <c r="AG24" s="344"/>
      <c r="AL24" s="343"/>
      <c r="AO24" s="344"/>
      <c r="AP24" s="343"/>
      <c r="AS24" s="344"/>
      <c r="AW24" s="344"/>
      <c r="BA24" s="345"/>
    </row>
    <row r="25" spans="1:53" s="334" customFormat="1">
      <c r="A25" s="386">
        <v>1967.62857142857</v>
      </c>
      <c r="B25" s="355"/>
      <c r="C25" s="992" t="s">
        <v>791</v>
      </c>
      <c r="D25" s="992"/>
      <c r="E25" s="334">
        <v>366</v>
      </c>
      <c r="G25" s="419"/>
      <c r="I25" s="334">
        <v>23</v>
      </c>
      <c r="J25" s="435">
        <v>23</v>
      </c>
      <c r="K25" s="384">
        <f t="shared" si="1"/>
        <v>0</v>
      </c>
      <c r="L25" s="384">
        <f t="shared" si="1"/>
        <v>0</v>
      </c>
      <c r="M25" s="384">
        <f t="shared" si="1"/>
        <v>100</v>
      </c>
      <c r="N25" s="421">
        <f t="shared" si="2"/>
        <v>100</v>
      </c>
      <c r="O25" s="383"/>
      <c r="P25" s="384"/>
      <c r="Q25" s="384">
        <v>57.8</v>
      </c>
      <c r="R25" s="385">
        <f t="shared" si="3"/>
        <v>57.8</v>
      </c>
      <c r="S25" s="334">
        <v>1</v>
      </c>
      <c r="T25" s="357"/>
      <c r="V25" s="343" t="s">
        <v>461</v>
      </c>
      <c r="W25" s="334" t="s">
        <v>20</v>
      </c>
      <c r="X25" s="334" t="s">
        <v>12</v>
      </c>
      <c r="Y25" s="344">
        <v>57.8</v>
      </c>
      <c r="AD25" s="343"/>
      <c r="AG25" s="344"/>
      <c r="AL25" s="343"/>
      <c r="AO25" s="344"/>
      <c r="AP25" s="343"/>
      <c r="AS25" s="344"/>
      <c r="AW25" s="344"/>
      <c r="BA25" s="345"/>
    </row>
    <row r="26" spans="1:53" s="334" customFormat="1">
      <c r="A26" s="386">
        <v>1969</v>
      </c>
      <c r="B26" s="355"/>
      <c r="C26" s="992" t="s">
        <v>791</v>
      </c>
      <c r="D26" s="992"/>
      <c r="E26" s="334">
        <v>0</v>
      </c>
      <c r="G26" s="419"/>
      <c r="I26" s="334">
        <v>23</v>
      </c>
      <c r="J26" s="435">
        <v>23</v>
      </c>
      <c r="K26" s="384">
        <f t="shared" si="1"/>
        <v>0</v>
      </c>
      <c r="L26" s="384">
        <f t="shared" si="1"/>
        <v>0</v>
      </c>
      <c r="M26" s="384">
        <f t="shared" si="1"/>
        <v>100</v>
      </c>
      <c r="N26" s="421">
        <f t="shared" si="2"/>
        <v>100</v>
      </c>
      <c r="O26" s="383"/>
      <c r="P26" s="384"/>
      <c r="Q26" s="384">
        <v>57.8</v>
      </c>
      <c r="R26" s="385">
        <f t="shared" si="3"/>
        <v>57.8</v>
      </c>
      <c r="S26" s="334">
        <v>1</v>
      </c>
      <c r="T26" s="357"/>
      <c r="V26" s="343" t="s">
        <v>461</v>
      </c>
      <c r="W26" s="334" t="s">
        <v>20</v>
      </c>
      <c r="X26" s="334" t="s">
        <v>12</v>
      </c>
      <c r="Y26" s="344">
        <v>57.8</v>
      </c>
      <c r="AD26" s="343"/>
      <c r="AG26" s="344"/>
      <c r="AL26" s="343"/>
      <c r="AO26" s="344"/>
      <c r="AP26" s="343"/>
      <c r="AS26" s="344"/>
      <c r="AW26" s="344"/>
      <c r="BA26" s="345"/>
    </row>
    <row r="27" spans="1:53" s="334" customFormat="1">
      <c r="A27" s="386">
        <v>1968.5428571428599</v>
      </c>
      <c r="B27" s="355"/>
      <c r="C27" s="992" t="s">
        <v>791</v>
      </c>
      <c r="D27" s="992"/>
      <c r="E27" s="334">
        <v>365</v>
      </c>
      <c r="G27" s="419"/>
      <c r="I27" s="334">
        <v>23</v>
      </c>
      <c r="J27" s="435">
        <v>23</v>
      </c>
      <c r="K27" s="384">
        <f t="shared" si="1"/>
        <v>0</v>
      </c>
      <c r="L27" s="384">
        <f t="shared" si="1"/>
        <v>0</v>
      </c>
      <c r="M27" s="384">
        <f t="shared" si="1"/>
        <v>100</v>
      </c>
      <c r="N27" s="421">
        <f t="shared" si="2"/>
        <v>100</v>
      </c>
      <c r="O27" s="383"/>
      <c r="P27" s="384"/>
      <c r="Q27" s="384">
        <v>57.8</v>
      </c>
      <c r="R27" s="385">
        <f t="shared" si="3"/>
        <v>57.8</v>
      </c>
      <c r="S27" s="334">
        <v>1</v>
      </c>
      <c r="T27" s="357"/>
      <c r="V27" s="343" t="s">
        <v>461</v>
      </c>
      <c r="W27" s="334" t="s">
        <v>20</v>
      </c>
      <c r="X27" s="334" t="s">
        <v>12</v>
      </c>
      <c r="Y27" s="344">
        <v>57.8</v>
      </c>
      <c r="AD27" s="343"/>
      <c r="AG27" s="344"/>
      <c r="AL27" s="343"/>
      <c r="AO27" s="344"/>
      <c r="AP27" s="343"/>
      <c r="AS27" s="344"/>
      <c r="AW27" s="344"/>
      <c r="BA27" s="345"/>
    </row>
    <row r="28" spans="1:53" s="334" customFormat="1">
      <c r="A28" s="386">
        <v>1970</v>
      </c>
      <c r="B28" s="355"/>
      <c r="C28" s="992" t="s">
        <v>791</v>
      </c>
      <c r="D28" s="992"/>
      <c r="E28" s="334">
        <v>170</v>
      </c>
      <c r="G28" s="419"/>
      <c r="I28" s="334">
        <v>23</v>
      </c>
      <c r="J28" s="435">
        <v>23</v>
      </c>
      <c r="K28" s="384">
        <f t="shared" si="1"/>
        <v>0</v>
      </c>
      <c r="L28" s="384">
        <f t="shared" si="1"/>
        <v>0</v>
      </c>
      <c r="M28" s="384">
        <f t="shared" si="1"/>
        <v>100</v>
      </c>
      <c r="N28" s="421">
        <f t="shared" si="2"/>
        <v>100</v>
      </c>
      <c r="O28" s="383"/>
      <c r="P28" s="384"/>
      <c r="Q28" s="384">
        <v>57.8</v>
      </c>
      <c r="R28" s="385">
        <f t="shared" si="3"/>
        <v>57.8</v>
      </c>
      <c r="S28" s="334">
        <v>1</v>
      </c>
      <c r="T28" s="357"/>
      <c r="V28" s="343" t="s">
        <v>461</v>
      </c>
      <c r="W28" s="334" t="s">
        <v>20</v>
      </c>
      <c r="X28" s="334" t="s">
        <v>12</v>
      </c>
      <c r="Y28" s="344">
        <v>57.8</v>
      </c>
      <c r="AD28" s="343"/>
      <c r="AG28" s="344"/>
      <c r="AL28" s="343"/>
      <c r="AO28" s="344"/>
      <c r="AP28" s="343"/>
      <c r="AS28" s="344"/>
      <c r="AW28" s="344"/>
      <c r="BA28" s="345"/>
    </row>
    <row r="29" spans="1:53" s="208" customFormat="1">
      <c r="A29" s="102">
        <v>1970</v>
      </c>
      <c r="B29" s="207">
        <v>25739</v>
      </c>
      <c r="C29" s="988" t="s">
        <v>801</v>
      </c>
      <c r="D29" s="988"/>
      <c r="E29" s="208">
        <f xml:space="preserve"> 365-E28</f>
        <v>195</v>
      </c>
      <c r="F29" s="208">
        <v>1</v>
      </c>
      <c r="G29" s="123">
        <v>18</v>
      </c>
      <c r="J29" s="134">
        <v>18</v>
      </c>
      <c r="K29" s="92">
        <f t="shared" si="1"/>
        <v>100</v>
      </c>
      <c r="L29" s="92">
        <f t="shared" si="1"/>
        <v>0</v>
      </c>
      <c r="M29" s="92">
        <f t="shared" si="1"/>
        <v>0</v>
      </c>
      <c r="N29" s="125">
        <f t="shared" si="2"/>
        <v>100</v>
      </c>
      <c r="O29" s="91">
        <v>52.4</v>
      </c>
      <c r="P29" s="92"/>
      <c r="Q29" s="92"/>
      <c r="R29" s="93">
        <f t="shared" si="3"/>
        <v>52.4</v>
      </c>
      <c r="S29" s="208">
        <v>1</v>
      </c>
      <c r="T29" s="95">
        <v>25737</v>
      </c>
      <c r="U29" s="207">
        <v>25739</v>
      </c>
      <c r="V29" s="82" t="s">
        <v>799</v>
      </c>
      <c r="W29" s="208" t="s">
        <v>74</v>
      </c>
      <c r="X29" s="208" t="s">
        <v>11</v>
      </c>
      <c r="Y29" s="83">
        <v>52.4</v>
      </c>
      <c r="AD29" s="82"/>
      <c r="AG29" s="83"/>
      <c r="AL29" s="82"/>
      <c r="AO29" s="83"/>
      <c r="AP29" s="82"/>
      <c r="AS29" s="83"/>
      <c r="AW29" s="83"/>
      <c r="BA29" s="84"/>
    </row>
    <row r="30" spans="1:53" s="208" customFormat="1">
      <c r="A30" s="102">
        <v>1971</v>
      </c>
      <c r="B30" s="207"/>
      <c r="C30" s="988" t="s">
        <v>801</v>
      </c>
      <c r="D30" s="988"/>
      <c r="E30" s="208">
        <v>0</v>
      </c>
      <c r="G30" s="123">
        <v>18</v>
      </c>
      <c r="J30" s="134">
        <v>18</v>
      </c>
      <c r="K30" s="92">
        <f t="shared" si="1"/>
        <v>100</v>
      </c>
      <c r="L30" s="92">
        <f t="shared" si="1"/>
        <v>0</v>
      </c>
      <c r="M30" s="92">
        <f t="shared" si="1"/>
        <v>0</v>
      </c>
      <c r="N30" s="125">
        <f t="shared" si="2"/>
        <v>100</v>
      </c>
      <c r="O30" s="91">
        <v>52.4</v>
      </c>
      <c r="P30" s="92"/>
      <c r="Q30" s="92"/>
      <c r="R30" s="93">
        <f t="shared" si="3"/>
        <v>52.4</v>
      </c>
      <c r="S30" s="208">
        <v>1</v>
      </c>
      <c r="T30" s="81"/>
      <c r="V30" s="82" t="s">
        <v>799</v>
      </c>
      <c r="W30" s="208" t="s">
        <v>74</v>
      </c>
      <c r="X30" s="208" t="s">
        <v>11</v>
      </c>
      <c r="Y30" s="83">
        <v>52.4</v>
      </c>
      <c r="AD30" s="82"/>
      <c r="AG30" s="83"/>
      <c r="AL30" s="82"/>
      <c r="AO30" s="83"/>
      <c r="AP30" s="82"/>
      <c r="AS30" s="83"/>
      <c r="AW30" s="83"/>
      <c r="BA30" s="84"/>
    </row>
    <row r="31" spans="1:53" s="208" customFormat="1">
      <c r="A31" s="102">
        <v>1971</v>
      </c>
      <c r="B31" s="207"/>
      <c r="C31" s="988" t="s">
        <v>801</v>
      </c>
      <c r="D31" s="988"/>
      <c r="E31" s="208">
        <v>365</v>
      </c>
      <c r="G31" s="123">
        <v>18</v>
      </c>
      <c r="J31" s="134">
        <v>18</v>
      </c>
      <c r="K31" s="92">
        <f t="shared" si="1"/>
        <v>100</v>
      </c>
      <c r="L31" s="92">
        <f t="shared" si="1"/>
        <v>0</v>
      </c>
      <c r="M31" s="92">
        <f t="shared" si="1"/>
        <v>0</v>
      </c>
      <c r="N31" s="125">
        <f t="shared" si="2"/>
        <v>100</v>
      </c>
      <c r="O31" s="91">
        <v>52.4</v>
      </c>
      <c r="P31" s="92"/>
      <c r="Q31" s="92"/>
      <c r="R31" s="93">
        <f t="shared" si="3"/>
        <v>52.4</v>
      </c>
      <c r="S31" s="208">
        <v>1</v>
      </c>
      <c r="T31" s="81"/>
      <c r="V31" s="82" t="s">
        <v>799</v>
      </c>
      <c r="W31" s="208" t="s">
        <v>74</v>
      </c>
      <c r="X31" s="208" t="s">
        <v>11</v>
      </c>
      <c r="Y31" s="83">
        <v>52.4</v>
      </c>
      <c r="AD31" s="82"/>
      <c r="AG31" s="83"/>
      <c r="AL31" s="82"/>
      <c r="AO31" s="83"/>
      <c r="AP31" s="82"/>
      <c r="AS31" s="83"/>
      <c r="AW31" s="83"/>
      <c r="BA31" s="84"/>
    </row>
    <row r="32" spans="1:53" s="208" customFormat="1">
      <c r="A32" s="102">
        <v>1972</v>
      </c>
      <c r="B32" s="207"/>
      <c r="C32" s="988" t="s">
        <v>801</v>
      </c>
      <c r="D32" s="988"/>
      <c r="E32" s="208">
        <v>0</v>
      </c>
      <c r="G32" s="123">
        <v>18</v>
      </c>
      <c r="J32" s="134">
        <v>18</v>
      </c>
      <c r="K32" s="92">
        <f t="shared" si="1"/>
        <v>100</v>
      </c>
      <c r="L32" s="92">
        <f t="shared" si="1"/>
        <v>0</v>
      </c>
      <c r="M32" s="92">
        <f t="shared" si="1"/>
        <v>0</v>
      </c>
      <c r="N32" s="125">
        <f t="shared" si="2"/>
        <v>100</v>
      </c>
      <c r="O32" s="91">
        <v>52.4</v>
      </c>
      <c r="P32" s="92"/>
      <c r="Q32" s="92"/>
      <c r="R32" s="93">
        <f t="shared" si="3"/>
        <v>52.4</v>
      </c>
      <c r="S32" s="208">
        <v>1</v>
      </c>
      <c r="T32" s="81"/>
      <c r="V32" s="82" t="s">
        <v>799</v>
      </c>
      <c r="W32" s="208" t="s">
        <v>74</v>
      </c>
      <c r="X32" s="208" t="s">
        <v>11</v>
      </c>
      <c r="Y32" s="83">
        <v>52.4</v>
      </c>
      <c r="AD32" s="82"/>
      <c r="AG32" s="83"/>
      <c r="AL32" s="82"/>
      <c r="AO32" s="83"/>
      <c r="AP32" s="82"/>
      <c r="AS32" s="83"/>
      <c r="AW32" s="83"/>
      <c r="BA32" s="84"/>
    </row>
    <row r="33" spans="1:53" s="208" customFormat="1">
      <c r="A33" s="102">
        <v>1972</v>
      </c>
      <c r="B33" s="207"/>
      <c r="C33" s="988" t="s">
        <v>801</v>
      </c>
      <c r="D33" s="988"/>
      <c r="E33" s="208">
        <v>366</v>
      </c>
      <c r="G33" s="123">
        <v>18</v>
      </c>
      <c r="J33" s="134">
        <v>18</v>
      </c>
      <c r="K33" s="92">
        <f t="shared" si="1"/>
        <v>100</v>
      </c>
      <c r="L33" s="92">
        <f t="shared" si="1"/>
        <v>0</v>
      </c>
      <c r="M33" s="92">
        <f t="shared" si="1"/>
        <v>0</v>
      </c>
      <c r="N33" s="125">
        <f t="shared" si="2"/>
        <v>100</v>
      </c>
      <c r="O33" s="91">
        <v>52.4</v>
      </c>
      <c r="P33" s="92"/>
      <c r="Q33" s="92"/>
      <c r="R33" s="93">
        <f t="shared" si="3"/>
        <v>52.4</v>
      </c>
      <c r="S33" s="208">
        <v>1</v>
      </c>
      <c r="T33" s="81"/>
      <c r="V33" s="82" t="s">
        <v>799</v>
      </c>
      <c r="W33" s="208" t="s">
        <v>74</v>
      </c>
      <c r="X33" s="208" t="s">
        <v>11</v>
      </c>
      <c r="Y33" s="83">
        <v>52.4</v>
      </c>
      <c r="AD33" s="82"/>
      <c r="AG33" s="83"/>
      <c r="AL33" s="82"/>
      <c r="AO33" s="83"/>
      <c r="AP33" s="82"/>
      <c r="AS33" s="83"/>
      <c r="AW33" s="83"/>
      <c r="BA33" s="84"/>
    </row>
    <row r="34" spans="1:53" s="208" customFormat="1">
      <c r="A34" s="102">
        <v>1973</v>
      </c>
      <c r="B34" s="207"/>
      <c r="C34" s="988" t="s">
        <v>801</v>
      </c>
      <c r="D34" s="988"/>
      <c r="E34" s="208">
        <v>0</v>
      </c>
      <c r="G34" s="123">
        <v>18</v>
      </c>
      <c r="J34" s="134">
        <v>18</v>
      </c>
      <c r="K34" s="92">
        <f t="shared" si="1"/>
        <v>100</v>
      </c>
      <c r="L34" s="92">
        <f t="shared" si="1"/>
        <v>0</v>
      </c>
      <c r="M34" s="92">
        <f t="shared" si="1"/>
        <v>0</v>
      </c>
      <c r="N34" s="125">
        <f t="shared" si="2"/>
        <v>100</v>
      </c>
      <c r="O34" s="91">
        <v>52.4</v>
      </c>
      <c r="P34" s="92"/>
      <c r="Q34" s="92"/>
      <c r="R34" s="93">
        <f t="shared" si="3"/>
        <v>52.4</v>
      </c>
      <c r="S34" s="208">
        <v>1</v>
      </c>
      <c r="T34" s="81"/>
      <c r="V34" s="82" t="s">
        <v>799</v>
      </c>
      <c r="W34" s="208" t="s">
        <v>74</v>
      </c>
      <c r="X34" s="208" t="s">
        <v>11</v>
      </c>
      <c r="Y34" s="83">
        <v>52.4</v>
      </c>
      <c r="AD34" s="82"/>
      <c r="AG34" s="83"/>
      <c r="AL34" s="82"/>
      <c r="AO34" s="83"/>
      <c r="AP34" s="82"/>
      <c r="AS34" s="83"/>
      <c r="AW34" s="83"/>
      <c r="BA34" s="84"/>
    </row>
    <row r="35" spans="1:53" s="208" customFormat="1">
      <c r="A35" s="102">
        <v>1973</v>
      </c>
      <c r="B35" s="207"/>
      <c r="C35" s="988" t="s">
        <v>801</v>
      </c>
      <c r="D35" s="988"/>
      <c r="E35" s="208">
        <v>365</v>
      </c>
      <c r="G35" s="123">
        <v>18</v>
      </c>
      <c r="J35" s="134">
        <v>18</v>
      </c>
      <c r="K35" s="92">
        <f t="shared" si="1"/>
        <v>100</v>
      </c>
      <c r="L35" s="92">
        <f t="shared" si="1"/>
        <v>0</v>
      </c>
      <c r="M35" s="92">
        <f t="shared" si="1"/>
        <v>0</v>
      </c>
      <c r="N35" s="125">
        <f t="shared" si="2"/>
        <v>100</v>
      </c>
      <c r="O35" s="91">
        <v>52.4</v>
      </c>
      <c r="P35" s="92"/>
      <c r="Q35" s="92"/>
      <c r="R35" s="93">
        <f t="shared" si="3"/>
        <v>52.4</v>
      </c>
      <c r="S35" s="208">
        <v>1</v>
      </c>
      <c r="T35" s="81"/>
      <c r="V35" s="82" t="s">
        <v>799</v>
      </c>
      <c r="W35" s="208" t="s">
        <v>74</v>
      </c>
      <c r="X35" s="208" t="s">
        <v>11</v>
      </c>
      <c r="Y35" s="83">
        <v>52.4</v>
      </c>
      <c r="AD35" s="82"/>
      <c r="AG35" s="83"/>
      <c r="AL35" s="82"/>
      <c r="AO35" s="83"/>
      <c r="AP35" s="82"/>
      <c r="AS35" s="83"/>
      <c r="AW35" s="83"/>
      <c r="BA35" s="84"/>
    </row>
    <row r="36" spans="1:53" s="208" customFormat="1">
      <c r="A36" s="102">
        <v>1974</v>
      </c>
      <c r="B36" s="207"/>
      <c r="C36" s="988" t="s">
        <v>801</v>
      </c>
      <c r="D36" s="988"/>
      <c r="E36" s="208">
        <v>63</v>
      </c>
      <c r="G36" s="123">
        <v>18</v>
      </c>
      <c r="J36" s="134">
        <v>18</v>
      </c>
      <c r="K36" s="92">
        <f t="shared" si="1"/>
        <v>100</v>
      </c>
      <c r="L36" s="92">
        <f t="shared" si="1"/>
        <v>0</v>
      </c>
      <c r="M36" s="92">
        <f t="shared" si="1"/>
        <v>0</v>
      </c>
      <c r="N36" s="125">
        <f t="shared" si="2"/>
        <v>100</v>
      </c>
      <c r="O36" s="91">
        <v>52.4</v>
      </c>
      <c r="P36" s="92"/>
      <c r="Q36" s="92"/>
      <c r="R36" s="93">
        <f t="shared" si="3"/>
        <v>52.4</v>
      </c>
      <c r="S36" s="208">
        <v>1</v>
      </c>
      <c r="T36" s="81"/>
      <c r="V36" s="82" t="s">
        <v>799</v>
      </c>
      <c r="W36" s="208" t="s">
        <v>74</v>
      </c>
      <c r="X36" s="208" t="s">
        <v>11</v>
      </c>
      <c r="Y36" s="83">
        <v>52.4</v>
      </c>
      <c r="AD36" s="82"/>
      <c r="AG36" s="83"/>
      <c r="AL36" s="82"/>
      <c r="AO36" s="83"/>
      <c r="AP36" s="82"/>
      <c r="AS36" s="83"/>
      <c r="AW36" s="83"/>
      <c r="BA36" s="84"/>
    </row>
    <row r="37" spans="1:53" s="334" customFormat="1">
      <c r="A37" s="386">
        <v>1974</v>
      </c>
      <c r="B37" s="355">
        <v>27093</v>
      </c>
      <c r="C37" s="992" t="s">
        <v>792</v>
      </c>
      <c r="D37" s="992"/>
      <c r="E37" s="334">
        <v>227</v>
      </c>
      <c r="F37" s="334">
        <v>1</v>
      </c>
      <c r="G37" s="419"/>
      <c r="I37" s="334">
        <v>20</v>
      </c>
      <c r="J37" s="435">
        <v>20</v>
      </c>
      <c r="K37" s="384">
        <f t="shared" si="1"/>
        <v>0</v>
      </c>
      <c r="L37" s="384">
        <f t="shared" si="1"/>
        <v>0</v>
      </c>
      <c r="M37" s="384">
        <f t="shared" si="1"/>
        <v>100</v>
      </c>
      <c r="N37" s="421">
        <f t="shared" si="2"/>
        <v>100</v>
      </c>
      <c r="O37" s="383"/>
      <c r="P37" s="384"/>
      <c r="Q37" s="384">
        <v>45.7</v>
      </c>
      <c r="R37" s="385">
        <f t="shared" si="3"/>
        <v>45.7</v>
      </c>
      <c r="S37" s="334">
        <v>4</v>
      </c>
      <c r="T37" s="357"/>
      <c r="U37" s="355">
        <v>27093</v>
      </c>
      <c r="V37" s="343" t="s">
        <v>461</v>
      </c>
      <c r="W37" s="334" t="s">
        <v>20</v>
      </c>
      <c r="X37" s="334" t="s">
        <v>12</v>
      </c>
      <c r="Y37" s="344">
        <v>45.7</v>
      </c>
      <c r="AD37" s="343"/>
      <c r="AG37" s="344"/>
      <c r="AL37" s="343"/>
      <c r="AO37" s="344"/>
      <c r="AP37" s="343"/>
      <c r="AS37" s="344"/>
      <c r="AW37" s="344"/>
      <c r="BA37" s="345"/>
    </row>
    <row r="38" spans="1:53" s="208" customFormat="1">
      <c r="A38" s="102">
        <v>1974</v>
      </c>
      <c r="B38" s="207">
        <v>27320</v>
      </c>
      <c r="C38" s="988" t="s">
        <v>793</v>
      </c>
      <c r="D38" s="988"/>
      <c r="E38" s="208">
        <f xml:space="preserve"> 365-E37-E36</f>
        <v>75</v>
      </c>
      <c r="F38" s="208">
        <v>1</v>
      </c>
      <c r="G38" s="123"/>
      <c r="I38" s="208">
        <v>23</v>
      </c>
      <c r="J38" s="134">
        <v>23</v>
      </c>
      <c r="K38" s="92">
        <f t="shared" si="1"/>
        <v>0</v>
      </c>
      <c r="L38" s="92">
        <f t="shared" si="1"/>
        <v>0</v>
      </c>
      <c r="M38" s="92">
        <f t="shared" si="1"/>
        <v>100</v>
      </c>
      <c r="N38" s="125">
        <f t="shared" si="2"/>
        <v>100</v>
      </c>
      <c r="O38" s="91"/>
      <c r="P38" s="92"/>
      <c r="Q38" s="92">
        <v>50.2</v>
      </c>
      <c r="R38" s="93">
        <f t="shared" si="3"/>
        <v>50.2</v>
      </c>
      <c r="S38" s="208">
        <v>1</v>
      </c>
      <c r="T38" s="95">
        <v>27312</v>
      </c>
      <c r="U38" s="207">
        <v>27320</v>
      </c>
      <c r="V38" s="82" t="s">
        <v>461</v>
      </c>
      <c r="W38" s="208" t="s">
        <v>20</v>
      </c>
      <c r="X38" s="208" t="s">
        <v>12</v>
      </c>
      <c r="Y38" s="83">
        <v>50.2</v>
      </c>
      <c r="AD38" s="82"/>
      <c r="AG38" s="83"/>
      <c r="AL38" s="82"/>
      <c r="AO38" s="83"/>
      <c r="AP38" s="82"/>
      <c r="AS38" s="83"/>
      <c r="AW38" s="83"/>
      <c r="BA38" s="84"/>
    </row>
    <row r="39" spans="1:53" s="208" customFormat="1">
      <c r="A39" s="102">
        <v>1975</v>
      </c>
      <c r="B39" s="207"/>
      <c r="C39" s="988" t="s">
        <v>793</v>
      </c>
      <c r="D39" s="988"/>
      <c r="E39" s="208">
        <v>0</v>
      </c>
      <c r="G39" s="123"/>
      <c r="I39" s="208">
        <v>23</v>
      </c>
      <c r="J39" s="134">
        <v>23</v>
      </c>
      <c r="K39" s="92">
        <f t="shared" si="1"/>
        <v>0</v>
      </c>
      <c r="L39" s="92">
        <f t="shared" si="1"/>
        <v>0</v>
      </c>
      <c r="M39" s="92">
        <f t="shared" si="1"/>
        <v>100</v>
      </c>
      <c r="N39" s="125">
        <f t="shared" si="2"/>
        <v>100</v>
      </c>
      <c r="O39" s="91"/>
      <c r="P39" s="92"/>
      <c r="Q39" s="92">
        <v>50.2</v>
      </c>
      <c r="R39" s="93">
        <f t="shared" si="3"/>
        <v>50.2</v>
      </c>
      <c r="S39" s="208">
        <v>1</v>
      </c>
      <c r="T39" s="81"/>
      <c r="V39" s="82" t="s">
        <v>461</v>
      </c>
      <c r="W39" s="208" t="s">
        <v>20</v>
      </c>
      <c r="X39" s="208" t="s">
        <v>12</v>
      </c>
      <c r="Y39" s="83">
        <v>50.2</v>
      </c>
      <c r="AD39" s="82"/>
      <c r="AG39" s="83"/>
      <c r="AL39" s="82"/>
      <c r="AO39" s="83"/>
      <c r="AP39" s="82"/>
      <c r="AS39" s="83"/>
      <c r="AW39" s="83"/>
      <c r="BA39" s="84"/>
    </row>
    <row r="40" spans="1:53" s="208" customFormat="1">
      <c r="A40" s="102">
        <v>1975</v>
      </c>
      <c r="B40" s="207"/>
      <c r="C40" s="988" t="s">
        <v>793</v>
      </c>
      <c r="D40" s="988"/>
      <c r="E40" s="208">
        <v>365</v>
      </c>
      <c r="G40" s="123"/>
      <c r="I40" s="208">
        <v>23</v>
      </c>
      <c r="J40" s="134">
        <v>23</v>
      </c>
      <c r="K40" s="92">
        <f t="shared" si="1"/>
        <v>0</v>
      </c>
      <c r="L40" s="92">
        <f t="shared" si="1"/>
        <v>0</v>
      </c>
      <c r="M40" s="92">
        <f t="shared" si="1"/>
        <v>100</v>
      </c>
      <c r="N40" s="125">
        <f t="shared" si="2"/>
        <v>100</v>
      </c>
      <c r="O40" s="91"/>
      <c r="P40" s="92"/>
      <c r="Q40" s="92">
        <v>50.2</v>
      </c>
      <c r="R40" s="93">
        <f t="shared" si="3"/>
        <v>50.2</v>
      </c>
      <c r="S40" s="208">
        <v>1</v>
      </c>
      <c r="T40" s="81"/>
      <c r="V40" s="82" t="s">
        <v>461</v>
      </c>
      <c r="W40" s="208" t="s">
        <v>20</v>
      </c>
      <c r="X40" s="208" t="s">
        <v>12</v>
      </c>
      <c r="Y40" s="83">
        <v>50.2</v>
      </c>
      <c r="AD40" s="82"/>
      <c r="AG40" s="83"/>
      <c r="AL40" s="82"/>
      <c r="AO40" s="83"/>
      <c r="AP40" s="82"/>
      <c r="AS40" s="83"/>
      <c r="AW40" s="83"/>
      <c r="BA40" s="84"/>
    </row>
    <row r="41" spans="1:53" s="208" customFormat="1">
      <c r="A41" s="102">
        <v>1976</v>
      </c>
      <c r="B41" s="207"/>
      <c r="C41" s="988" t="s">
        <v>793</v>
      </c>
      <c r="D41" s="988"/>
      <c r="E41" s="208">
        <v>96</v>
      </c>
      <c r="G41" s="123"/>
      <c r="I41" s="208">
        <v>23</v>
      </c>
      <c r="J41" s="134">
        <v>23</v>
      </c>
      <c r="K41" s="92">
        <f t="shared" si="1"/>
        <v>0</v>
      </c>
      <c r="L41" s="92">
        <f t="shared" si="1"/>
        <v>0</v>
      </c>
      <c r="M41" s="92">
        <f t="shared" si="1"/>
        <v>100</v>
      </c>
      <c r="N41" s="125">
        <f t="shared" si="2"/>
        <v>100</v>
      </c>
      <c r="O41" s="91"/>
      <c r="P41" s="92"/>
      <c r="Q41" s="92">
        <v>50.2</v>
      </c>
      <c r="R41" s="93">
        <f t="shared" si="3"/>
        <v>50.2</v>
      </c>
      <c r="S41" s="208">
        <v>1</v>
      </c>
      <c r="T41" s="81"/>
      <c r="V41" s="82" t="s">
        <v>461</v>
      </c>
      <c r="W41" s="208" t="s">
        <v>20</v>
      </c>
      <c r="X41" s="208" t="s">
        <v>12</v>
      </c>
      <c r="Y41" s="83">
        <v>50.2</v>
      </c>
      <c r="AD41" s="82"/>
      <c r="AG41" s="83"/>
      <c r="AL41" s="82"/>
      <c r="AO41" s="83"/>
      <c r="AP41" s="82"/>
      <c r="AS41" s="83"/>
      <c r="AW41" s="83"/>
      <c r="BA41" s="84"/>
    </row>
    <row r="42" spans="1:53" s="334" customFormat="1">
      <c r="A42" s="386">
        <v>1976</v>
      </c>
      <c r="B42" s="355">
        <v>27856</v>
      </c>
      <c r="C42" s="992" t="s">
        <v>794</v>
      </c>
      <c r="D42" s="992"/>
      <c r="E42" s="334">
        <f>366-E41</f>
        <v>270</v>
      </c>
      <c r="F42" s="334">
        <v>2</v>
      </c>
      <c r="G42" s="419"/>
      <c r="I42" s="334">
        <v>16</v>
      </c>
      <c r="J42" s="435">
        <v>16</v>
      </c>
      <c r="K42" s="384">
        <f t="shared" si="1"/>
        <v>0</v>
      </c>
      <c r="L42" s="384">
        <f t="shared" si="1"/>
        <v>0</v>
      </c>
      <c r="M42" s="384">
        <f t="shared" si="1"/>
        <v>100</v>
      </c>
      <c r="N42" s="421">
        <f t="shared" si="2"/>
        <v>100</v>
      </c>
      <c r="O42" s="383"/>
      <c r="P42" s="384"/>
      <c r="Q42" s="384">
        <v>50.2</v>
      </c>
      <c r="R42" s="385">
        <f t="shared" si="3"/>
        <v>50.2</v>
      </c>
      <c r="S42" s="334">
        <v>1</v>
      </c>
      <c r="T42" s="357"/>
      <c r="U42" s="355">
        <v>27856</v>
      </c>
      <c r="V42" s="343" t="s">
        <v>461</v>
      </c>
      <c r="W42" s="334" t="s">
        <v>20</v>
      </c>
      <c r="X42" s="334" t="s">
        <v>12</v>
      </c>
      <c r="Y42" s="344">
        <v>50.2</v>
      </c>
      <c r="AD42" s="343"/>
      <c r="AG42" s="344"/>
      <c r="AL42" s="343"/>
      <c r="AO42" s="344"/>
      <c r="AP42" s="343"/>
      <c r="AS42" s="344"/>
      <c r="AW42" s="344"/>
      <c r="BA42" s="345"/>
    </row>
    <row r="43" spans="1:53" s="334" customFormat="1">
      <c r="A43" s="386">
        <v>1977</v>
      </c>
      <c r="B43" s="355"/>
      <c r="C43" s="992" t="s">
        <v>794</v>
      </c>
      <c r="D43" s="992"/>
      <c r="E43" s="334">
        <v>0</v>
      </c>
      <c r="G43" s="419"/>
      <c r="I43" s="334">
        <v>16</v>
      </c>
      <c r="J43" s="435">
        <v>16</v>
      </c>
      <c r="K43" s="384">
        <f t="shared" si="1"/>
        <v>0</v>
      </c>
      <c r="L43" s="384">
        <f t="shared" si="1"/>
        <v>0</v>
      </c>
      <c r="M43" s="384">
        <f t="shared" si="1"/>
        <v>100</v>
      </c>
      <c r="N43" s="421">
        <f t="shared" si="2"/>
        <v>100</v>
      </c>
      <c r="O43" s="383"/>
      <c r="P43" s="384"/>
      <c r="Q43" s="384">
        <v>50.2</v>
      </c>
      <c r="R43" s="385">
        <f t="shared" si="3"/>
        <v>50.2</v>
      </c>
      <c r="S43" s="334">
        <v>1</v>
      </c>
      <c r="T43" s="357"/>
      <c r="V43" s="343" t="s">
        <v>461</v>
      </c>
      <c r="W43" s="334" t="s">
        <v>20</v>
      </c>
      <c r="X43" s="334" t="s">
        <v>12</v>
      </c>
      <c r="Y43" s="344">
        <v>50.2</v>
      </c>
      <c r="AD43" s="343"/>
      <c r="AG43" s="344"/>
      <c r="AL43" s="343"/>
      <c r="AO43" s="344"/>
      <c r="AP43" s="343"/>
      <c r="AS43" s="344"/>
      <c r="AW43" s="344"/>
      <c r="BA43" s="345"/>
    </row>
    <row r="44" spans="1:53" s="334" customFormat="1">
      <c r="A44" s="386">
        <v>1977</v>
      </c>
      <c r="B44" s="355"/>
      <c r="C44" s="992" t="s">
        <v>794</v>
      </c>
      <c r="D44" s="992"/>
      <c r="E44" s="334">
        <v>365</v>
      </c>
      <c r="G44" s="419"/>
      <c r="I44" s="334">
        <v>16</v>
      </c>
      <c r="J44" s="435">
        <v>16</v>
      </c>
      <c r="K44" s="384">
        <f t="shared" si="1"/>
        <v>0</v>
      </c>
      <c r="L44" s="384">
        <f t="shared" si="1"/>
        <v>0</v>
      </c>
      <c r="M44" s="384">
        <f t="shared" si="1"/>
        <v>100</v>
      </c>
      <c r="N44" s="421">
        <f t="shared" si="2"/>
        <v>100</v>
      </c>
      <c r="O44" s="383"/>
      <c r="P44" s="384"/>
      <c r="Q44" s="384">
        <v>50.2</v>
      </c>
      <c r="R44" s="385">
        <f t="shared" si="3"/>
        <v>50.2</v>
      </c>
      <c r="S44" s="334">
        <v>1</v>
      </c>
      <c r="T44" s="357"/>
      <c r="V44" s="343" t="s">
        <v>461</v>
      </c>
      <c r="W44" s="334" t="s">
        <v>20</v>
      </c>
      <c r="X44" s="334" t="s">
        <v>12</v>
      </c>
      <c r="Y44" s="344">
        <v>50.2</v>
      </c>
      <c r="AD44" s="343"/>
      <c r="AG44" s="344"/>
      <c r="AL44" s="343"/>
      <c r="AO44" s="344"/>
      <c r="AP44" s="343"/>
      <c r="AS44" s="344"/>
      <c r="AW44" s="344"/>
      <c r="BA44" s="345"/>
    </row>
    <row r="45" spans="1:53" s="334" customFormat="1">
      <c r="A45" s="386">
        <v>1978</v>
      </c>
      <c r="B45" s="355"/>
      <c r="C45" s="992" t="s">
        <v>794</v>
      </c>
      <c r="D45" s="992"/>
      <c r="E45" s="334">
        <v>0</v>
      </c>
      <c r="G45" s="419"/>
      <c r="I45" s="334">
        <v>16</v>
      </c>
      <c r="J45" s="435">
        <v>16</v>
      </c>
      <c r="K45" s="384">
        <f t="shared" si="1"/>
        <v>0</v>
      </c>
      <c r="L45" s="384">
        <f t="shared" si="1"/>
        <v>0</v>
      </c>
      <c r="M45" s="384">
        <f t="shared" si="1"/>
        <v>100</v>
      </c>
      <c r="N45" s="421">
        <f t="shared" si="2"/>
        <v>100</v>
      </c>
      <c r="O45" s="383"/>
      <c r="P45" s="384"/>
      <c r="Q45" s="384">
        <v>50.2</v>
      </c>
      <c r="R45" s="385">
        <f t="shared" si="3"/>
        <v>50.2</v>
      </c>
      <c r="S45" s="334">
        <v>1</v>
      </c>
      <c r="T45" s="357"/>
      <c r="V45" s="343" t="s">
        <v>461</v>
      </c>
      <c r="W45" s="334" t="s">
        <v>20</v>
      </c>
      <c r="X45" s="334" t="s">
        <v>12</v>
      </c>
      <c r="Y45" s="344">
        <v>50.2</v>
      </c>
      <c r="AD45" s="343"/>
      <c r="AG45" s="344"/>
      <c r="AL45" s="343"/>
      <c r="AO45" s="344"/>
      <c r="AP45" s="343"/>
      <c r="AS45" s="344"/>
      <c r="AW45" s="344"/>
      <c r="BA45" s="345"/>
    </row>
    <row r="46" spans="1:53" s="334" customFormat="1">
      <c r="A46" s="386">
        <v>1978</v>
      </c>
      <c r="B46" s="355"/>
      <c r="C46" s="992" t="s">
        <v>794</v>
      </c>
      <c r="D46" s="992"/>
      <c r="E46" s="334">
        <v>365</v>
      </c>
      <c r="G46" s="419"/>
      <c r="I46" s="334">
        <v>16</v>
      </c>
      <c r="J46" s="435">
        <v>16</v>
      </c>
      <c r="K46" s="384">
        <f t="shared" si="1"/>
        <v>0</v>
      </c>
      <c r="L46" s="384">
        <f t="shared" si="1"/>
        <v>0</v>
      </c>
      <c r="M46" s="384">
        <f t="shared" si="1"/>
        <v>100</v>
      </c>
      <c r="N46" s="421">
        <f t="shared" si="2"/>
        <v>100</v>
      </c>
      <c r="O46" s="383"/>
      <c r="P46" s="384"/>
      <c r="Q46" s="384">
        <v>50.2</v>
      </c>
      <c r="R46" s="385">
        <f t="shared" si="3"/>
        <v>50.2</v>
      </c>
      <c r="S46" s="334">
        <v>1</v>
      </c>
      <c r="T46" s="357"/>
      <c r="V46" s="343" t="s">
        <v>461</v>
      </c>
      <c r="W46" s="334" t="s">
        <v>20</v>
      </c>
      <c r="X46" s="334" t="s">
        <v>12</v>
      </c>
      <c r="Y46" s="344">
        <v>50.2</v>
      </c>
      <c r="AD46" s="343"/>
      <c r="AG46" s="344"/>
      <c r="AL46" s="343"/>
      <c r="AO46" s="344"/>
      <c r="AP46" s="343"/>
      <c r="AS46" s="344"/>
      <c r="AW46" s="344"/>
      <c r="BA46" s="345"/>
    </row>
    <row r="47" spans="1:53" s="334" customFormat="1">
      <c r="A47" s="386">
        <v>1979</v>
      </c>
      <c r="B47" s="355"/>
      <c r="C47" s="992" t="s">
        <v>794</v>
      </c>
      <c r="D47" s="992"/>
      <c r="E47" s="334">
        <v>124</v>
      </c>
      <c r="G47" s="419"/>
      <c r="I47" s="334">
        <v>16</v>
      </c>
      <c r="J47" s="435">
        <v>16</v>
      </c>
      <c r="K47" s="384">
        <f t="shared" si="1"/>
        <v>0</v>
      </c>
      <c r="L47" s="384">
        <f t="shared" si="1"/>
        <v>0</v>
      </c>
      <c r="M47" s="384">
        <f t="shared" si="1"/>
        <v>100</v>
      </c>
      <c r="N47" s="421">
        <f t="shared" si="2"/>
        <v>100</v>
      </c>
      <c r="O47" s="383"/>
      <c r="P47" s="384"/>
      <c r="Q47" s="384">
        <v>50.2</v>
      </c>
      <c r="R47" s="385">
        <f t="shared" si="3"/>
        <v>50.2</v>
      </c>
      <c r="S47" s="334">
        <v>1</v>
      </c>
      <c r="T47" s="357"/>
      <c r="V47" s="343" t="s">
        <v>461</v>
      </c>
      <c r="W47" s="334" t="s">
        <v>20</v>
      </c>
      <c r="X47" s="334" t="s">
        <v>12</v>
      </c>
      <c r="Y47" s="344">
        <v>50.2</v>
      </c>
      <c r="AD47" s="343"/>
      <c r="AG47" s="344"/>
      <c r="AL47" s="343"/>
      <c r="AO47" s="344"/>
      <c r="AP47" s="343"/>
      <c r="AS47" s="344"/>
      <c r="AW47" s="344"/>
      <c r="BA47" s="345"/>
    </row>
    <row r="48" spans="1:53" s="208" customFormat="1">
      <c r="A48" s="102">
        <v>1979</v>
      </c>
      <c r="B48" s="207">
        <v>28980</v>
      </c>
      <c r="C48" s="988" t="s">
        <v>802</v>
      </c>
      <c r="D48" s="988"/>
      <c r="E48" s="208">
        <f>365-E47</f>
        <v>241</v>
      </c>
      <c r="F48" s="208">
        <v>1</v>
      </c>
      <c r="G48" s="123">
        <v>22</v>
      </c>
      <c r="J48" s="134">
        <v>22</v>
      </c>
      <c r="K48" s="92">
        <f t="shared" si="1"/>
        <v>100</v>
      </c>
      <c r="L48" s="92">
        <f t="shared" si="1"/>
        <v>0</v>
      </c>
      <c r="M48" s="92">
        <f t="shared" si="1"/>
        <v>0</v>
      </c>
      <c r="N48" s="125">
        <f t="shared" si="2"/>
        <v>100</v>
      </c>
      <c r="O48" s="91">
        <v>53.4</v>
      </c>
      <c r="P48" s="92"/>
      <c r="Q48" s="92"/>
      <c r="R48" s="93">
        <f t="shared" si="3"/>
        <v>53.4</v>
      </c>
      <c r="S48" s="208">
        <v>1</v>
      </c>
      <c r="T48" s="95">
        <v>28978</v>
      </c>
      <c r="U48" s="207">
        <v>28980</v>
      </c>
      <c r="V48" s="82" t="s">
        <v>799</v>
      </c>
      <c r="W48" s="208" t="s">
        <v>74</v>
      </c>
      <c r="X48" s="208" t="s">
        <v>11</v>
      </c>
      <c r="Y48" s="83">
        <v>53.4</v>
      </c>
      <c r="AD48" s="82"/>
      <c r="AG48" s="83"/>
      <c r="AL48" s="82"/>
      <c r="AO48" s="83"/>
      <c r="AP48" s="82"/>
      <c r="AS48" s="83"/>
      <c r="AW48" s="83"/>
      <c r="BA48" s="84"/>
    </row>
    <row r="49" spans="1:53" s="208" customFormat="1">
      <c r="A49" s="102">
        <v>1980</v>
      </c>
      <c r="B49" s="207"/>
      <c r="C49" s="988" t="s">
        <v>802</v>
      </c>
      <c r="D49" s="988"/>
      <c r="E49" s="208">
        <v>0</v>
      </c>
      <c r="G49" s="123">
        <v>22</v>
      </c>
      <c r="J49" s="134">
        <v>22</v>
      </c>
      <c r="K49" s="92">
        <f t="shared" si="1"/>
        <v>100</v>
      </c>
      <c r="L49" s="92">
        <f t="shared" si="1"/>
        <v>0</v>
      </c>
      <c r="M49" s="92">
        <f t="shared" si="1"/>
        <v>0</v>
      </c>
      <c r="N49" s="125">
        <f t="shared" si="2"/>
        <v>100</v>
      </c>
      <c r="O49" s="91">
        <v>53.4</v>
      </c>
      <c r="P49" s="92"/>
      <c r="Q49" s="92"/>
      <c r="R49" s="93">
        <f t="shared" si="3"/>
        <v>53.4</v>
      </c>
      <c r="S49" s="208">
        <v>1</v>
      </c>
      <c r="T49" s="81"/>
      <c r="V49" s="82" t="s">
        <v>799</v>
      </c>
      <c r="W49" s="208" t="s">
        <v>74</v>
      </c>
      <c r="X49" s="208" t="s">
        <v>11</v>
      </c>
      <c r="Y49" s="83">
        <v>53.4</v>
      </c>
      <c r="AD49" s="82"/>
      <c r="AG49" s="83"/>
      <c r="AL49" s="82"/>
      <c r="AO49" s="83"/>
      <c r="AP49" s="82"/>
      <c r="AS49" s="83"/>
      <c r="AW49" s="83"/>
      <c r="BA49" s="84"/>
    </row>
    <row r="50" spans="1:53" s="208" customFormat="1">
      <c r="A50" s="102">
        <v>1980</v>
      </c>
      <c r="B50" s="207"/>
      <c r="C50" s="988" t="s">
        <v>802</v>
      </c>
      <c r="D50" s="988"/>
      <c r="E50" s="208">
        <v>366</v>
      </c>
      <c r="G50" s="123">
        <v>22</v>
      </c>
      <c r="J50" s="134">
        <v>22</v>
      </c>
      <c r="K50" s="92">
        <f t="shared" si="1"/>
        <v>100</v>
      </c>
      <c r="L50" s="92">
        <f t="shared" si="1"/>
        <v>0</v>
      </c>
      <c r="M50" s="92">
        <f t="shared" si="1"/>
        <v>0</v>
      </c>
      <c r="N50" s="125">
        <f t="shared" si="2"/>
        <v>100</v>
      </c>
      <c r="O50" s="91">
        <v>53.4</v>
      </c>
      <c r="P50" s="92"/>
      <c r="Q50" s="92"/>
      <c r="R50" s="93">
        <f t="shared" si="3"/>
        <v>53.4</v>
      </c>
      <c r="S50" s="208">
        <v>1</v>
      </c>
      <c r="T50" s="81"/>
      <c r="V50" s="82" t="s">
        <v>799</v>
      </c>
      <c r="W50" s="208" t="s">
        <v>74</v>
      </c>
      <c r="X50" s="208" t="s">
        <v>11</v>
      </c>
      <c r="Y50" s="83">
        <v>53.4</v>
      </c>
      <c r="AD50" s="82"/>
      <c r="AG50" s="83"/>
      <c r="AL50" s="82"/>
      <c r="AO50" s="83"/>
      <c r="AP50" s="82"/>
      <c r="AS50" s="83"/>
      <c r="AW50" s="83"/>
      <c r="BA50" s="84"/>
    </row>
    <row r="51" spans="1:53" s="208" customFormat="1">
      <c r="A51" s="102">
        <v>1981</v>
      </c>
      <c r="B51" s="207"/>
      <c r="C51" s="988" t="s">
        <v>802</v>
      </c>
      <c r="D51" s="988"/>
      <c r="E51" s="208">
        <v>0</v>
      </c>
      <c r="G51" s="123">
        <v>22</v>
      </c>
      <c r="J51" s="134">
        <v>22</v>
      </c>
      <c r="K51" s="92">
        <f t="shared" si="1"/>
        <v>100</v>
      </c>
      <c r="L51" s="92">
        <f t="shared" si="1"/>
        <v>0</v>
      </c>
      <c r="M51" s="92">
        <f t="shared" si="1"/>
        <v>0</v>
      </c>
      <c r="N51" s="125">
        <f t="shared" si="2"/>
        <v>100</v>
      </c>
      <c r="O51" s="91">
        <v>53.4</v>
      </c>
      <c r="P51" s="92"/>
      <c r="Q51" s="92"/>
      <c r="R51" s="93">
        <f t="shared" si="3"/>
        <v>53.4</v>
      </c>
      <c r="S51" s="208">
        <v>1</v>
      </c>
      <c r="T51" s="81"/>
      <c r="V51" s="82" t="s">
        <v>799</v>
      </c>
      <c r="W51" s="208" t="s">
        <v>74</v>
      </c>
      <c r="X51" s="208" t="s">
        <v>11</v>
      </c>
      <c r="Y51" s="83">
        <v>53.4</v>
      </c>
      <c r="AD51" s="82"/>
      <c r="AG51" s="83"/>
      <c r="AL51" s="82"/>
      <c r="AO51" s="83"/>
      <c r="AP51" s="82"/>
      <c r="AS51" s="83"/>
      <c r="AW51" s="83"/>
      <c r="BA51" s="84"/>
    </row>
    <row r="52" spans="1:53" s="208" customFormat="1">
      <c r="A52" s="102">
        <v>1981</v>
      </c>
      <c r="B52" s="207"/>
      <c r="C52" s="988" t="s">
        <v>802</v>
      </c>
      <c r="D52" s="988"/>
      <c r="E52" s="208">
        <v>365</v>
      </c>
      <c r="G52" s="123">
        <v>22</v>
      </c>
      <c r="J52" s="134">
        <v>22</v>
      </c>
      <c r="K52" s="92">
        <f t="shared" si="1"/>
        <v>100</v>
      </c>
      <c r="L52" s="92">
        <f t="shared" si="1"/>
        <v>0</v>
      </c>
      <c r="M52" s="92">
        <f t="shared" si="1"/>
        <v>0</v>
      </c>
      <c r="N52" s="125">
        <f t="shared" si="2"/>
        <v>100</v>
      </c>
      <c r="O52" s="91">
        <v>53.4</v>
      </c>
      <c r="P52" s="92"/>
      <c r="Q52" s="92"/>
      <c r="R52" s="93">
        <f t="shared" si="3"/>
        <v>53.4</v>
      </c>
      <c r="S52" s="208">
        <v>1</v>
      </c>
      <c r="T52" s="81"/>
      <c r="V52" s="82" t="s">
        <v>799</v>
      </c>
      <c r="W52" s="208" t="s">
        <v>74</v>
      </c>
      <c r="X52" s="208" t="s">
        <v>11</v>
      </c>
      <c r="Y52" s="83">
        <v>53.4</v>
      </c>
      <c r="AD52" s="82"/>
      <c r="AG52" s="83"/>
      <c r="AL52" s="82"/>
      <c r="AO52" s="83"/>
      <c r="AP52" s="82"/>
      <c r="AS52" s="83"/>
      <c r="AW52" s="83"/>
      <c r="BA52" s="84"/>
    </row>
    <row r="53" spans="1:53" s="208" customFormat="1">
      <c r="A53" s="102">
        <v>1982</v>
      </c>
      <c r="B53" s="207"/>
      <c r="C53" s="988" t="s">
        <v>802</v>
      </c>
      <c r="D53" s="988"/>
      <c r="E53" s="208">
        <v>0</v>
      </c>
      <c r="G53" s="123">
        <v>22</v>
      </c>
      <c r="J53" s="134">
        <v>22</v>
      </c>
      <c r="K53" s="92">
        <f t="shared" si="1"/>
        <v>100</v>
      </c>
      <c r="L53" s="92">
        <f t="shared" si="1"/>
        <v>0</v>
      </c>
      <c r="M53" s="92">
        <f t="shared" si="1"/>
        <v>0</v>
      </c>
      <c r="N53" s="125">
        <f t="shared" si="2"/>
        <v>100</v>
      </c>
      <c r="O53" s="91">
        <v>53.4</v>
      </c>
      <c r="P53" s="92"/>
      <c r="Q53" s="92"/>
      <c r="R53" s="93">
        <f t="shared" si="3"/>
        <v>53.4</v>
      </c>
      <c r="S53" s="208">
        <v>1</v>
      </c>
      <c r="T53" s="81"/>
      <c r="V53" s="82" t="s">
        <v>799</v>
      </c>
      <c r="W53" s="208" t="s">
        <v>74</v>
      </c>
      <c r="X53" s="208" t="s">
        <v>11</v>
      </c>
      <c r="Y53" s="83">
        <v>53.4</v>
      </c>
      <c r="AD53" s="82"/>
      <c r="AG53" s="83"/>
      <c r="AL53" s="82"/>
      <c r="AO53" s="83"/>
      <c r="AP53" s="82"/>
      <c r="AS53" s="83"/>
      <c r="AW53" s="83"/>
      <c r="BA53" s="84"/>
    </row>
    <row r="54" spans="1:53" s="208" customFormat="1">
      <c r="A54" s="102">
        <v>1982</v>
      </c>
      <c r="B54" s="207"/>
      <c r="C54" s="988" t="s">
        <v>802</v>
      </c>
      <c r="D54" s="988"/>
      <c r="E54" s="208">
        <v>365</v>
      </c>
      <c r="G54" s="123">
        <v>22</v>
      </c>
      <c r="J54" s="134">
        <v>22</v>
      </c>
      <c r="K54" s="92">
        <f t="shared" si="1"/>
        <v>100</v>
      </c>
      <c r="L54" s="92">
        <f t="shared" si="1"/>
        <v>0</v>
      </c>
      <c r="M54" s="92">
        <f t="shared" si="1"/>
        <v>0</v>
      </c>
      <c r="N54" s="125">
        <f t="shared" si="2"/>
        <v>100</v>
      </c>
      <c r="O54" s="91">
        <v>53.4</v>
      </c>
      <c r="P54" s="92"/>
      <c r="Q54" s="92"/>
      <c r="R54" s="93">
        <f t="shared" si="3"/>
        <v>53.4</v>
      </c>
      <c r="S54" s="208">
        <v>1</v>
      </c>
      <c r="T54" s="81"/>
      <c r="V54" s="82" t="s">
        <v>799</v>
      </c>
      <c r="W54" s="208" t="s">
        <v>74</v>
      </c>
      <c r="X54" s="208" t="s">
        <v>11</v>
      </c>
      <c r="Y54" s="83">
        <v>53.4</v>
      </c>
      <c r="AD54" s="82"/>
      <c r="AG54" s="83"/>
      <c r="AL54" s="82"/>
      <c r="AO54" s="83"/>
      <c r="AP54" s="82"/>
      <c r="AS54" s="83"/>
      <c r="AW54" s="83"/>
      <c r="BA54" s="84"/>
    </row>
    <row r="55" spans="1:53" s="208" customFormat="1">
      <c r="A55" s="102">
        <v>1983</v>
      </c>
      <c r="B55" s="207"/>
      <c r="C55" s="988" t="s">
        <v>802</v>
      </c>
      <c r="D55" s="988"/>
      <c r="E55" s="208">
        <v>162</v>
      </c>
      <c r="G55" s="123">
        <v>22</v>
      </c>
      <c r="J55" s="134">
        <v>22</v>
      </c>
      <c r="K55" s="92">
        <f t="shared" si="1"/>
        <v>100</v>
      </c>
      <c r="L55" s="92">
        <f t="shared" si="1"/>
        <v>0</v>
      </c>
      <c r="M55" s="92">
        <f t="shared" si="1"/>
        <v>0</v>
      </c>
      <c r="N55" s="125">
        <f t="shared" si="2"/>
        <v>100</v>
      </c>
      <c r="O55" s="91">
        <v>53.4</v>
      </c>
      <c r="P55" s="92"/>
      <c r="Q55" s="92"/>
      <c r="R55" s="93">
        <f t="shared" si="3"/>
        <v>53.4</v>
      </c>
      <c r="S55" s="208">
        <v>1</v>
      </c>
      <c r="T55" s="81"/>
      <c r="V55" s="82" t="s">
        <v>799</v>
      </c>
      <c r="W55" s="208" t="s">
        <v>74</v>
      </c>
      <c r="X55" s="208" t="s">
        <v>11</v>
      </c>
      <c r="Y55" s="83">
        <v>53.4</v>
      </c>
      <c r="AD55" s="82"/>
      <c r="AG55" s="83"/>
      <c r="AL55" s="82"/>
      <c r="AO55" s="83"/>
      <c r="AP55" s="82"/>
      <c r="AS55" s="83"/>
      <c r="AW55" s="83"/>
      <c r="BA55" s="84"/>
    </row>
    <row r="56" spans="1:53" s="334" customFormat="1">
      <c r="A56" s="386">
        <v>1983</v>
      </c>
      <c r="B56" s="355">
        <v>30479</v>
      </c>
      <c r="C56" s="992" t="s">
        <v>803</v>
      </c>
      <c r="D56" s="992"/>
      <c r="E56" s="334">
        <f>365-E55</f>
        <v>203</v>
      </c>
      <c r="F56" s="334">
        <v>1</v>
      </c>
      <c r="G56" s="419">
        <v>21</v>
      </c>
      <c r="J56" s="435">
        <v>21</v>
      </c>
      <c r="K56" s="384">
        <f t="shared" si="1"/>
        <v>100</v>
      </c>
      <c r="L56" s="384">
        <f t="shared" si="1"/>
        <v>0</v>
      </c>
      <c r="M56" s="384">
        <f t="shared" si="1"/>
        <v>0</v>
      </c>
      <c r="N56" s="421">
        <f t="shared" si="2"/>
        <v>100</v>
      </c>
      <c r="O56" s="383">
        <v>61.1</v>
      </c>
      <c r="P56" s="384"/>
      <c r="Q56" s="384"/>
      <c r="R56" s="385">
        <f t="shared" si="3"/>
        <v>61.1</v>
      </c>
      <c r="S56" s="334">
        <v>1</v>
      </c>
      <c r="T56" s="342">
        <v>30476</v>
      </c>
      <c r="U56" s="355">
        <v>30479</v>
      </c>
      <c r="V56" s="343" t="s">
        <v>799</v>
      </c>
      <c r="W56" s="334" t="s">
        <v>74</v>
      </c>
      <c r="X56" s="334" t="s">
        <v>11</v>
      </c>
      <c r="Y56" s="344">
        <v>61.1</v>
      </c>
      <c r="AD56" s="343"/>
      <c r="AG56" s="344"/>
      <c r="AL56" s="343"/>
      <c r="AO56" s="344"/>
      <c r="AP56" s="343"/>
      <c r="AS56" s="344"/>
      <c r="AW56" s="344"/>
      <c r="BA56" s="345"/>
    </row>
    <row r="57" spans="1:53" s="334" customFormat="1">
      <c r="A57" s="386">
        <v>1984</v>
      </c>
      <c r="B57" s="355"/>
      <c r="C57" s="992" t="s">
        <v>803</v>
      </c>
      <c r="D57" s="992"/>
      <c r="E57" s="334">
        <v>0</v>
      </c>
      <c r="G57" s="419">
        <v>21</v>
      </c>
      <c r="J57" s="435">
        <v>21</v>
      </c>
      <c r="K57" s="384">
        <f t="shared" si="1"/>
        <v>100</v>
      </c>
      <c r="L57" s="384">
        <f t="shared" si="1"/>
        <v>0</v>
      </c>
      <c r="M57" s="384">
        <f t="shared" si="1"/>
        <v>0</v>
      </c>
      <c r="N57" s="421">
        <f t="shared" si="2"/>
        <v>100</v>
      </c>
      <c r="O57" s="383">
        <v>61.1</v>
      </c>
      <c r="P57" s="384"/>
      <c r="Q57" s="384"/>
      <c r="R57" s="385">
        <f t="shared" si="3"/>
        <v>61.1</v>
      </c>
      <c r="S57" s="334">
        <v>1</v>
      </c>
      <c r="T57" s="357"/>
      <c r="V57" s="343" t="s">
        <v>799</v>
      </c>
      <c r="W57" s="334" t="s">
        <v>74</v>
      </c>
      <c r="X57" s="334" t="s">
        <v>11</v>
      </c>
      <c r="Y57" s="344">
        <v>61.1</v>
      </c>
      <c r="AD57" s="343"/>
      <c r="AG57" s="344"/>
      <c r="AL57" s="343"/>
      <c r="AO57" s="344"/>
      <c r="AP57" s="343"/>
      <c r="AS57" s="344"/>
      <c r="AW57" s="344"/>
      <c r="BA57" s="345"/>
    </row>
    <row r="58" spans="1:53" s="334" customFormat="1">
      <c r="A58" s="386">
        <v>1984</v>
      </c>
      <c r="B58" s="355"/>
      <c r="C58" s="992" t="s">
        <v>803</v>
      </c>
      <c r="D58" s="992"/>
      <c r="E58" s="334">
        <v>366</v>
      </c>
      <c r="G58" s="419">
        <v>21</v>
      </c>
      <c r="J58" s="435">
        <v>21</v>
      </c>
      <c r="K58" s="384">
        <f t="shared" si="1"/>
        <v>100</v>
      </c>
      <c r="L58" s="384">
        <f t="shared" si="1"/>
        <v>0</v>
      </c>
      <c r="M58" s="384">
        <f t="shared" si="1"/>
        <v>0</v>
      </c>
      <c r="N58" s="421">
        <f t="shared" si="2"/>
        <v>100</v>
      </c>
      <c r="O58" s="383">
        <v>61.1</v>
      </c>
      <c r="P58" s="384"/>
      <c r="Q58" s="384"/>
      <c r="R58" s="385">
        <f t="shared" si="3"/>
        <v>61.1</v>
      </c>
      <c r="S58" s="334">
        <v>1</v>
      </c>
      <c r="T58" s="357"/>
      <c r="V58" s="343" t="s">
        <v>799</v>
      </c>
      <c r="W58" s="334" t="s">
        <v>74</v>
      </c>
      <c r="X58" s="334" t="s">
        <v>11</v>
      </c>
      <c r="Y58" s="344">
        <v>61.1</v>
      </c>
      <c r="AD58" s="343"/>
      <c r="AG58" s="344"/>
      <c r="AL58" s="343"/>
      <c r="AO58" s="344"/>
      <c r="AP58" s="343"/>
      <c r="AS58" s="344"/>
      <c r="AW58" s="344"/>
      <c r="BA58" s="345"/>
    </row>
    <row r="59" spans="1:53" s="334" customFormat="1">
      <c r="A59" s="386">
        <v>1985</v>
      </c>
      <c r="B59" s="355"/>
      <c r="C59" s="992" t="s">
        <v>803</v>
      </c>
      <c r="D59" s="992"/>
      <c r="E59" s="334">
        <v>0</v>
      </c>
      <c r="G59" s="419">
        <v>21</v>
      </c>
      <c r="J59" s="435">
        <v>21</v>
      </c>
      <c r="K59" s="384">
        <f t="shared" si="1"/>
        <v>100</v>
      </c>
      <c r="L59" s="384">
        <f t="shared" si="1"/>
        <v>0</v>
      </c>
      <c r="M59" s="384">
        <f t="shared" si="1"/>
        <v>0</v>
      </c>
      <c r="N59" s="421">
        <f t="shared" si="2"/>
        <v>100</v>
      </c>
      <c r="O59" s="383">
        <v>61.1</v>
      </c>
      <c r="P59" s="384"/>
      <c r="Q59" s="384"/>
      <c r="R59" s="385">
        <f t="shared" si="3"/>
        <v>61.1</v>
      </c>
      <c r="S59" s="334">
        <v>1</v>
      </c>
      <c r="T59" s="357"/>
      <c r="V59" s="343" t="s">
        <v>799</v>
      </c>
      <c r="W59" s="334" t="s">
        <v>74</v>
      </c>
      <c r="X59" s="334" t="s">
        <v>11</v>
      </c>
      <c r="Y59" s="344">
        <v>61.1</v>
      </c>
      <c r="AD59" s="343"/>
      <c r="AG59" s="344"/>
      <c r="AL59" s="343"/>
      <c r="AO59" s="344"/>
      <c r="AP59" s="343"/>
      <c r="AS59" s="344"/>
      <c r="AW59" s="344"/>
      <c r="BA59" s="345"/>
    </row>
    <row r="60" spans="1:53" s="334" customFormat="1">
      <c r="A60" s="386">
        <v>1985</v>
      </c>
      <c r="B60" s="355"/>
      <c r="C60" s="992" t="s">
        <v>803</v>
      </c>
      <c r="D60" s="992"/>
      <c r="E60" s="334">
        <v>365</v>
      </c>
      <c r="G60" s="419">
        <v>21</v>
      </c>
      <c r="J60" s="435">
        <v>21</v>
      </c>
      <c r="K60" s="384">
        <f t="shared" si="1"/>
        <v>100</v>
      </c>
      <c r="L60" s="384">
        <f t="shared" si="1"/>
        <v>0</v>
      </c>
      <c r="M60" s="384">
        <f t="shared" si="1"/>
        <v>0</v>
      </c>
      <c r="N60" s="421">
        <f t="shared" si="2"/>
        <v>100</v>
      </c>
      <c r="O60" s="383">
        <v>61.1</v>
      </c>
      <c r="P60" s="384"/>
      <c r="Q60" s="384"/>
      <c r="R60" s="385">
        <f t="shared" si="3"/>
        <v>61.1</v>
      </c>
      <c r="S60" s="334">
        <v>1</v>
      </c>
      <c r="T60" s="357"/>
      <c r="V60" s="343" t="s">
        <v>799</v>
      </c>
      <c r="W60" s="334" t="s">
        <v>74</v>
      </c>
      <c r="X60" s="334" t="s">
        <v>11</v>
      </c>
      <c r="Y60" s="344">
        <v>61.1</v>
      </c>
      <c r="AD60" s="343"/>
      <c r="AG60" s="344"/>
      <c r="AL60" s="343"/>
      <c r="AO60" s="344"/>
      <c r="AP60" s="343"/>
      <c r="AS60" s="344"/>
      <c r="AW60" s="344"/>
      <c r="BA60" s="345"/>
    </row>
    <row r="61" spans="1:53" s="334" customFormat="1">
      <c r="A61" s="386">
        <v>1986</v>
      </c>
      <c r="B61" s="355"/>
      <c r="C61" s="992" t="s">
        <v>803</v>
      </c>
      <c r="D61" s="992"/>
      <c r="E61" s="334">
        <v>0</v>
      </c>
      <c r="G61" s="419">
        <v>21</v>
      </c>
      <c r="J61" s="435">
        <v>21</v>
      </c>
      <c r="K61" s="384">
        <f t="shared" si="1"/>
        <v>100</v>
      </c>
      <c r="L61" s="384">
        <f t="shared" si="1"/>
        <v>0</v>
      </c>
      <c r="M61" s="384">
        <f t="shared" si="1"/>
        <v>0</v>
      </c>
      <c r="N61" s="421">
        <f t="shared" si="2"/>
        <v>100</v>
      </c>
      <c r="O61" s="383">
        <v>61.1</v>
      </c>
      <c r="P61" s="384"/>
      <c r="Q61" s="384"/>
      <c r="R61" s="385">
        <f t="shared" si="3"/>
        <v>61.1</v>
      </c>
      <c r="S61" s="334">
        <v>1</v>
      </c>
      <c r="T61" s="357"/>
      <c r="V61" s="343" t="s">
        <v>799</v>
      </c>
      <c r="W61" s="334" t="s">
        <v>74</v>
      </c>
      <c r="X61" s="334" t="s">
        <v>11</v>
      </c>
      <c r="Y61" s="344">
        <v>61.1</v>
      </c>
      <c r="AD61" s="343"/>
      <c r="AG61" s="344"/>
      <c r="AL61" s="343"/>
      <c r="AO61" s="344"/>
      <c r="AP61" s="343"/>
      <c r="AS61" s="344"/>
      <c r="AW61" s="344"/>
      <c r="BA61" s="345"/>
    </row>
    <row r="62" spans="1:53" s="334" customFormat="1">
      <c r="A62" s="386">
        <v>1986</v>
      </c>
      <c r="B62" s="355"/>
      <c r="C62" s="992" t="s">
        <v>803</v>
      </c>
      <c r="D62" s="992"/>
      <c r="E62" s="334">
        <v>365</v>
      </c>
      <c r="G62" s="419">
        <v>21</v>
      </c>
      <c r="J62" s="435">
        <v>21</v>
      </c>
      <c r="K62" s="384">
        <f t="shared" si="1"/>
        <v>100</v>
      </c>
      <c r="L62" s="384">
        <f t="shared" si="1"/>
        <v>0</v>
      </c>
      <c r="M62" s="384">
        <f t="shared" si="1"/>
        <v>0</v>
      </c>
      <c r="N62" s="421">
        <f t="shared" si="2"/>
        <v>100</v>
      </c>
      <c r="O62" s="383">
        <v>61.1</v>
      </c>
      <c r="P62" s="384"/>
      <c r="Q62" s="384"/>
      <c r="R62" s="385">
        <f t="shared" si="3"/>
        <v>61.1</v>
      </c>
      <c r="S62" s="334">
        <v>1</v>
      </c>
      <c r="T62" s="357"/>
      <c r="V62" s="343" t="s">
        <v>799</v>
      </c>
      <c r="W62" s="334" t="s">
        <v>74</v>
      </c>
      <c r="X62" s="334" t="s">
        <v>11</v>
      </c>
      <c r="Y62" s="344">
        <v>61.1</v>
      </c>
      <c r="AD62" s="343"/>
      <c r="AG62" s="344"/>
      <c r="AL62" s="343"/>
      <c r="AO62" s="344"/>
      <c r="AP62" s="343"/>
      <c r="AS62" s="344"/>
      <c r="AW62" s="344"/>
      <c r="BA62" s="345"/>
    </row>
    <row r="63" spans="1:53" s="334" customFormat="1">
      <c r="A63" s="386">
        <v>1987</v>
      </c>
      <c r="B63" s="355"/>
      <c r="C63" s="992" t="s">
        <v>803</v>
      </c>
      <c r="D63" s="992"/>
      <c r="E63" s="334">
        <v>163</v>
      </c>
      <c r="G63" s="419">
        <v>21</v>
      </c>
      <c r="J63" s="435">
        <v>21</v>
      </c>
      <c r="K63" s="384">
        <f t="shared" si="1"/>
        <v>100</v>
      </c>
      <c r="L63" s="384">
        <f t="shared" si="1"/>
        <v>0</v>
      </c>
      <c r="M63" s="384">
        <f t="shared" si="1"/>
        <v>0</v>
      </c>
      <c r="N63" s="421">
        <f t="shared" si="2"/>
        <v>100</v>
      </c>
      <c r="O63" s="383">
        <v>61.1</v>
      </c>
      <c r="P63" s="384"/>
      <c r="Q63" s="384"/>
      <c r="R63" s="385">
        <f t="shared" si="3"/>
        <v>61.1</v>
      </c>
      <c r="S63" s="334">
        <v>1</v>
      </c>
      <c r="T63" s="357"/>
      <c r="V63" s="343" t="s">
        <v>799</v>
      </c>
      <c r="W63" s="334" t="s">
        <v>74</v>
      </c>
      <c r="X63" s="334" t="s">
        <v>11</v>
      </c>
      <c r="Y63" s="344">
        <v>61.1</v>
      </c>
      <c r="AD63" s="343"/>
      <c r="AG63" s="344"/>
      <c r="AL63" s="343"/>
      <c r="AO63" s="344"/>
      <c r="AP63" s="343"/>
      <c r="AS63" s="344"/>
      <c r="AW63" s="344"/>
      <c r="BA63" s="345"/>
    </row>
    <row r="64" spans="1:53" s="208" customFormat="1">
      <c r="A64" s="102">
        <v>1987</v>
      </c>
      <c r="B64" s="207">
        <v>31941</v>
      </c>
      <c r="C64" s="988" t="s">
        <v>804</v>
      </c>
      <c r="D64" s="988"/>
      <c r="E64" s="208">
        <f>365-E63</f>
        <v>202</v>
      </c>
      <c r="F64" s="208">
        <v>1</v>
      </c>
      <c r="G64" s="123">
        <v>21</v>
      </c>
      <c r="J64" s="134">
        <v>21</v>
      </c>
      <c r="K64" s="92">
        <f t="shared" si="1"/>
        <v>100</v>
      </c>
      <c r="L64" s="92">
        <f t="shared" si="1"/>
        <v>0</v>
      </c>
      <c r="M64" s="92">
        <f t="shared" si="1"/>
        <v>0</v>
      </c>
      <c r="N64" s="125">
        <f t="shared" si="2"/>
        <v>100</v>
      </c>
      <c r="O64" s="91">
        <v>57.8</v>
      </c>
      <c r="P64" s="92"/>
      <c r="Q64" s="92"/>
      <c r="R64" s="93">
        <f t="shared" si="3"/>
        <v>57.8</v>
      </c>
      <c r="S64" s="208">
        <v>1</v>
      </c>
      <c r="T64" s="95">
        <v>31939</v>
      </c>
      <c r="U64" s="207">
        <v>31941</v>
      </c>
      <c r="V64" s="82" t="s">
        <v>799</v>
      </c>
      <c r="W64" s="208" t="s">
        <v>74</v>
      </c>
      <c r="X64" s="208" t="s">
        <v>11</v>
      </c>
      <c r="Y64" s="83">
        <v>57.8</v>
      </c>
      <c r="AD64" s="82"/>
      <c r="AG64" s="83"/>
      <c r="AL64" s="82"/>
      <c r="AO64" s="83"/>
      <c r="AP64" s="82"/>
      <c r="AS64" s="83"/>
      <c r="AW64" s="83"/>
      <c r="BA64" s="84"/>
    </row>
    <row r="65" spans="1:53" s="208" customFormat="1">
      <c r="A65" s="102">
        <v>1988</v>
      </c>
      <c r="B65" s="207"/>
      <c r="C65" s="988" t="s">
        <v>804</v>
      </c>
      <c r="D65" s="988"/>
      <c r="E65" s="208">
        <v>0</v>
      </c>
      <c r="G65" s="123">
        <v>21</v>
      </c>
      <c r="J65" s="134">
        <v>21</v>
      </c>
      <c r="K65" s="92">
        <f t="shared" si="1"/>
        <v>100</v>
      </c>
      <c r="L65" s="92">
        <f t="shared" si="1"/>
        <v>0</v>
      </c>
      <c r="M65" s="92">
        <f t="shared" si="1"/>
        <v>0</v>
      </c>
      <c r="N65" s="125">
        <f t="shared" si="2"/>
        <v>100</v>
      </c>
      <c r="O65" s="91">
        <v>57.8</v>
      </c>
      <c r="P65" s="92"/>
      <c r="Q65" s="92"/>
      <c r="R65" s="93">
        <f t="shared" si="3"/>
        <v>57.8</v>
      </c>
      <c r="S65" s="208">
        <v>1</v>
      </c>
      <c r="T65" s="81"/>
      <c r="V65" s="82" t="s">
        <v>799</v>
      </c>
      <c r="W65" s="208" t="s">
        <v>74</v>
      </c>
      <c r="X65" s="208" t="s">
        <v>11</v>
      </c>
      <c r="Y65" s="83">
        <v>57.8</v>
      </c>
      <c r="AD65" s="82"/>
      <c r="AG65" s="83"/>
      <c r="AL65" s="82"/>
      <c r="AO65" s="83"/>
      <c r="AP65" s="82"/>
      <c r="AS65" s="83"/>
      <c r="AW65" s="83"/>
      <c r="BA65" s="84"/>
    </row>
    <row r="66" spans="1:53" s="208" customFormat="1">
      <c r="A66" s="102">
        <v>1988</v>
      </c>
      <c r="B66" s="207"/>
      <c r="C66" s="988" t="s">
        <v>804</v>
      </c>
      <c r="D66" s="988"/>
      <c r="E66" s="208">
        <v>366</v>
      </c>
      <c r="G66" s="123">
        <v>21</v>
      </c>
      <c r="J66" s="134">
        <v>21</v>
      </c>
      <c r="K66" s="92">
        <f t="shared" si="1"/>
        <v>100</v>
      </c>
      <c r="L66" s="92">
        <f t="shared" si="1"/>
        <v>0</v>
      </c>
      <c r="M66" s="92">
        <f t="shared" si="1"/>
        <v>0</v>
      </c>
      <c r="N66" s="125">
        <f t="shared" si="2"/>
        <v>100</v>
      </c>
      <c r="O66" s="91">
        <v>57.8</v>
      </c>
      <c r="P66" s="92"/>
      <c r="Q66" s="92"/>
      <c r="R66" s="93">
        <f t="shared" si="3"/>
        <v>57.8</v>
      </c>
      <c r="S66" s="208">
        <v>1</v>
      </c>
      <c r="T66" s="81"/>
      <c r="V66" s="82" t="s">
        <v>799</v>
      </c>
      <c r="W66" s="208" t="s">
        <v>74</v>
      </c>
      <c r="X66" s="208" t="s">
        <v>11</v>
      </c>
      <c r="Y66" s="83">
        <v>57.8</v>
      </c>
      <c r="AD66" s="82"/>
      <c r="AG66" s="83"/>
      <c r="AL66" s="82"/>
      <c r="AO66" s="83"/>
      <c r="AP66" s="82"/>
      <c r="AS66" s="83"/>
      <c r="AW66" s="83"/>
      <c r="BA66" s="84"/>
    </row>
    <row r="67" spans="1:53" s="208" customFormat="1">
      <c r="A67" s="102">
        <v>1989</v>
      </c>
      <c r="B67" s="207"/>
      <c r="C67" s="988" t="s">
        <v>804</v>
      </c>
      <c r="D67" s="988"/>
      <c r="E67" s="208">
        <v>0</v>
      </c>
      <c r="G67" s="123">
        <v>21</v>
      </c>
      <c r="J67" s="134">
        <v>21</v>
      </c>
      <c r="K67" s="92">
        <f t="shared" si="1"/>
        <v>100</v>
      </c>
      <c r="L67" s="92">
        <f t="shared" si="1"/>
        <v>0</v>
      </c>
      <c r="M67" s="92">
        <f t="shared" si="1"/>
        <v>0</v>
      </c>
      <c r="N67" s="125">
        <f t="shared" si="2"/>
        <v>100</v>
      </c>
      <c r="O67" s="91">
        <v>57.8</v>
      </c>
      <c r="P67" s="92"/>
      <c r="Q67" s="92"/>
      <c r="R67" s="93">
        <f>O67+P67+Q67</f>
        <v>57.8</v>
      </c>
      <c r="S67" s="208">
        <v>1</v>
      </c>
      <c r="T67" s="81"/>
      <c r="V67" s="82" t="s">
        <v>799</v>
      </c>
      <c r="W67" s="208" t="s">
        <v>74</v>
      </c>
      <c r="X67" s="208" t="s">
        <v>11</v>
      </c>
      <c r="Y67" s="83">
        <v>57.8</v>
      </c>
      <c r="AD67" s="82"/>
      <c r="AG67" s="83"/>
      <c r="AL67" s="82"/>
      <c r="AO67" s="83"/>
      <c r="AP67" s="82"/>
      <c r="AS67" s="83"/>
      <c r="AW67" s="83"/>
      <c r="BA67" s="84"/>
    </row>
    <row r="68" spans="1:53" s="212" customFormat="1">
      <c r="A68" s="162">
        <v>1989</v>
      </c>
      <c r="B68" s="210"/>
      <c r="C68" s="1027" t="s">
        <v>804</v>
      </c>
      <c r="D68" s="1027"/>
      <c r="E68" s="212">
        <f>365-E67</f>
        <v>365</v>
      </c>
      <c r="G68" s="138">
        <v>21</v>
      </c>
      <c r="J68" s="139">
        <v>21</v>
      </c>
      <c r="K68" s="140">
        <f t="shared" si="1"/>
        <v>100</v>
      </c>
      <c r="L68" s="140">
        <f t="shared" si="1"/>
        <v>0</v>
      </c>
      <c r="M68" s="140">
        <f t="shared" si="1"/>
        <v>0</v>
      </c>
      <c r="N68" s="143">
        <f t="shared" si="2"/>
        <v>100</v>
      </c>
      <c r="O68" s="141">
        <v>57.8</v>
      </c>
      <c r="P68" s="140"/>
      <c r="Q68" s="140"/>
      <c r="R68" s="143">
        <f t="shared" si="3"/>
        <v>57.8</v>
      </c>
      <c r="S68" s="221">
        <v>1</v>
      </c>
      <c r="T68" s="221"/>
      <c r="V68" s="146" t="s">
        <v>799</v>
      </c>
      <c r="W68" s="212" t="s">
        <v>74</v>
      </c>
      <c r="X68" s="212" t="s">
        <v>11</v>
      </c>
      <c r="Y68" s="147">
        <v>57.8</v>
      </c>
      <c r="AD68" s="146"/>
      <c r="AG68" s="147"/>
      <c r="AL68" s="146"/>
      <c r="AO68" s="147"/>
      <c r="AP68" s="146"/>
      <c r="AS68" s="147"/>
      <c r="AW68" s="147"/>
      <c r="BA68" s="148"/>
    </row>
    <row r="69" spans="1:53" s="208" customFormat="1">
      <c r="A69" s="208">
        <v>1990</v>
      </c>
      <c r="C69" s="988" t="s">
        <v>804</v>
      </c>
      <c r="D69" s="988"/>
      <c r="E69" s="208">
        <v>332</v>
      </c>
      <c r="G69" s="123">
        <v>21</v>
      </c>
      <c r="J69" s="134">
        <v>21</v>
      </c>
      <c r="K69" s="92">
        <f t="shared" si="1"/>
        <v>100</v>
      </c>
      <c r="L69" s="92">
        <f t="shared" si="1"/>
        <v>0</v>
      </c>
      <c r="M69" s="92">
        <f t="shared" si="1"/>
        <v>0</v>
      </c>
      <c r="N69" s="125">
        <f t="shared" si="2"/>
        <v>100</v>
      </c>
      <c r="O69" s="91">
        <v>57.8</v>
      </c>
      <c r="P69" s="92"/>
      <c r="Q69" s="92"/>
      <c r="R69" s="93">
        <f t="shared" si="3"/>
        <v>57.8</v>
      </c>
      <c r="S69" s="208">
        <v>1</v>
      </c>
      <c r="T69" s="81"/>
      <c r="V69" s="82" t="s">
        <v>799</v>
      </c>
      <c r="W69" s="208" t="s">
        <v>74</v>
      </c>
      <c r="X69" s="208" t="s">
        <v>11</v>
      </c>
      <c r="Y69" s="83">
        <v>57.8</v>
      </c>
      <c r="AD69" s="82"/>
      <c r="AG69" s="83"/>
      <c r="AL69" s="82"/>
      <c r="AO69" s="83"/>
      <c r="AP69" s="82"/>
      <c r="AS69" s="83"/>
      <c r="AW69" s="83"/>
      <c r="BA69" s="84"/>
    </row>
    <row r="70" spans="1:53" s="334" customFormat="1">
      <c r="A70" s="334">
        <v>1990</v>
      </c>
      <c r="B70" s="355">
        <v>33206</v>
      </c>
      <c r="C70" s="992" t="s">
        <v>805</v>
      </c>
      <c r="D70" s="992"/>
      <c r="E70" s="334">
        <f>365-E69</f>
        <v>33</v>
      </c>
      <c r="F70" s="334">
        <v>2</v>
      </c>
      <c r="G70" s="419">
        <v>22</v>
      </c>
      <c r="J70" s="435">
        <v>22</v>
      </c>
      <c r="K70" s="384">
        <f t="shared" si="1"/>
        <v>100</v>
      </c>
      <c r="L70" s="384">
        <f t="shared" si="1"/>
        <v>0</v>
      </c>
      <c r="M70" s="384">
        <f t="shared" si="1"/>
        <v>0</v>
      </c>
      <c r="N70" s="421">
        <f t="shared" si="2"/>
        <v>100</v>
      </c>
      <c r="O70" s="383">
        <v>57.8</v>
      </c>
      <c r="P70" s="384"/>
      <c r="Q70" s="384"/>
      <c r="R70" s="385">
        <f t="shared" si="3"/>
        <v>57.8</v>
      </c>
      <c r="S70" s="334">
        <v>1</v>
      </c>
      <c r="T70" s="357"/>
      <c r="U70" s="355">
        <v>33206</v>
      </c>
      <c r="V70" s="343" t="s">
        <v>799</v>
      </c>
      <c r="W70" s="334" t="s">
        <v>74</v>
      </c>
      <c r="X70" s="334" t="s">
        <v>11</v>
      </c>
      <c r="Y70" s="344">
        <v>57.8</v>
      </c>
      <c r="AD70" s="343"/>
      <c r="AG70" s="344"/>
      <c r="AL70" s="343"/>
      <c r="AO70" s="344"/>
      <c r="AP70" s="343"/>
      <c r="AS70" s="344"/>
      <c r="AW70" s="344"/>
      <c r="BA70" s="345"/>
    </row>
    <row r="71" spans="1:53" s="334" customFormat="1">
      <c r="A71" s="334">
        <v>1991</v>
      </c>
      <c r="C71" s="992" t="s">
        <v>805</v>
      </c>
      <c r="D71" s="992"/>
      <c r="E71" s="334">
        <v>0</v>
      </c>
      <c r="G71" s="419">
        <v>22</v>
      </c>
      <c r="J71" s="435">
        <v>22</v>
      </c>
      <c r="K71" s="384">
        <f t="shared" si="1"/>
        <v>100</v>
      </c>
      <c r="L71" s="384">
        <f t="shared" si="1"/>
        <v>0</v>
      </c>
      <c r="M71" s="384">
        <f t="shared" si="1"/>
        <v>0</v>
      </c>
      <c r="N71" s="421">
        <f t="shared" si="2"/>
        <v>100</v>
      </c>
      <c r="O71" s="383">
        <v>57.8</v>
      </c>
      <c r="P71" s="384"/>
      <c r="Q71" s="384"/>
      <c r="R71" s="385">
        <f t="shared" si="3"/>
        <v>57.8</v>
      </c>
      <c r="S71" s="334">
        <v>1</v>
      </c>
      <c r="T71" s="357"/>
      <c r="V71" s="343" t="s">
        <v>799</v>
      </c>
      <c r="W71" s="334" t="s">
        <v>74</v>
      </c>
      <c r="X71" s="334" t="s">
        <v>11</v>
      </c>
      <c r="Y71" s="344">
        <v>57.8</v>
      </c>
      <c r="AD71" s="343"/>
      <c r="AG71" s="344"/>
      <c r="AL71" s="343"/>
      <c r="AO71" s="344"/>
      <c r="AP71" s="343"/>
      <c r="AS71" s="344"/>
      <c r="AW71" s="344"/>
      <c r="BA71" s="345"/>
    </row>
    <row r="72" spans="1:53" s="334" customFormat="1">
      <c r="A72" s="334">
        <v>1991</v>
      </c>
      <c r="C72" s="992" t="s">
        <v>805</v>
      </c>
      <c r="D72" s="992"/>
      <c r="E72" s="334">
        <f>365-E71</f>
        <v>365</v>
      </c>
      <c r="G72" s="419">
        <v>22</v>
      </c>
      <c r="J72" s="435">
        <v>22</v>
      </c>
      <c r="K72" s="384">
        <f t="shared" si="1"/>
        <v>100</v>
      </c>
      <c r="L72" s="384">
        <f t="shared" si="1"/>
        <v>0</v>
      </c>
      <c r="M72" s="384">
        <f t="shared" si="1"/>
        <v>0</v>
      </c>
      <c r="N72" s="421">
        <f t="shared" si="2"/>
        <v>100</v>
      </c>
      <c r="O72" s="383">
        <v>57.8</v>
      </c>
      <c r="P72" s="384"/>
      <c r="Q72" s="384"/>
      <c r="R72" s="385">
        <f t="shared" si="3"/>
        <v>57.8</v>
      </c>
      <c r="S72" s="334">
        <v>1</v>
      </c>
      <c r="T72" s="357"/>
      <c r="V72" s="343" t="s">
        <v>799</v>
      </c>
      <c r="W72" s="334" t="s">
        <v>74</v>
      </c>
      <c r="X72" s="334" t="s">
        <v>11</v>
      </c>
      <c r="Y72" s="344">
        <v>57.8</v>
      </c>
      <c r="AD72" s="343"/>
      <c r="AG72" s="344"/>
      <c r="AL72" s="343"/>
      <c r="AO72" s="344"/>
      <c r="AP72" s="343"/>
      <c r="AS72" s="344"/>
      <c r="AW72" s="344"/>
      <c r="BA72" s="345"/>
    </row>
    <row r="73" spans="1:53" s="334" customFormat="1">
      <c r="A73" s="334">
        <v>1992</v>
      </c>
      <c r="C73" s="992" t="s">
        <v>805</v>
      </c>
      <c r="D73" s="992"/>
      <c r="E73" s="334">
        <v>101</v>
      </c>
      <c r="G73" s="419">
        <v>22</v>
      </c>
      <c r="J73" s="435">
        <v>22</v>
      </c>
      <c r="K73" s="384">
        <f t="shared" ref="K73:M101" si="4">G73/$J73*100</f>
        <v>100</v>
      </c>
      <c r="L73" s="384">
        <f t="shared" si="4"/>
        <v>0</v>
      </c>
      <c r="M73" s="384">
        <f t="shared" si="4"/>
        <v>0</v>
      </c>
      <c r="N73" s="421">
        <f t="shared" ref="N73:N101" si="5">K73+L73+M73</f>
        <v>100</v>
      </c>
      <c r="O73" s="383">
        <v>57.8</v>
      </c>
      <c r="P73" s="384"/>
      <c r="Q73" s="384"/>
      <c r="R73" s="385">
        <f t="shared" ref="R73:R83" si="6">O73+P73+Q73</f>
        <v>57.8</v>
      </c>
      <c r="S73" s="334">
        <v>1</v>
      </c>
      <c r="T73" s="357"/>
      <c r="V73" s="343" t="s">
        <v>799</v>
      </c>
      <c r="W73" s="334" t="s">
        <v>74</v>
      </c>
      <c r="X73" s="334" t="s">
        <v>11</v>
      </c>
      <c r="Y73" s="344">
        <v>57.8</v>
      </c>
      <c r="AD73" s="343"/>
      <c r="AG73" s="344"/>
      <c r="AL73" s="343"/>
      <c r="AO73" s="344"/>
      <c r="AP73" s="343"/>
      <c r="AS73" s="344"/>
      <c r="AW73" s="344"/>
      <c r="BA73" s="345"/>
    </row>
    <row r="74" spans="1:53" s="208" customFormat="1">
      <c r="A74" s="208">
        <v>1992</v>
      </c>
      <c r="B74" s="207">
        <v>33705</v>
      </c>
      <c r="C74" s="988" t="s">
        <v>806</v>
      </c>
      <c r="D74" s="988"/>
      <c r="E74" s="208">
        <f>366-E73</f>
        <v>265</v>
      </c>
      <c r="F74" s="208">
        <v>1</v>
      </c>
      <c r="G74" s="123">
        <v>22</v>
      </c>
      <c r="J74" s="134">
        <v>22</v>
      </c>
      <c r="K74" s="92">
        <f t="shared" si="4"/>
        <v>100</v>
      </c>
      <c r="L74" s="92">
        <f t="shared" si="4"/>
        <v>0</v>
      </c>
      <c r="M74" s="92">
        <f t="shared" si="4"/>
        <v>0</v>
      </c>
      <c r="N74" s="125">
        <f t="shared" si="5"/>
        <v>100</v>
      </c>
      <c r="O74" s="91">
        <v>51.6</v>
      </c>
      <c r="P74" s="92"/>
      <c r="Q74" s="92"/>
      <c r="R74" s="93">
        <f t="shared" si="6"/>
        <v>51.6</v>
      </c>
      <c r="S74" s="208">
        <v>1</v>
      </c>
      <c r="T74" s="95">
        <v>33703</v>
      </c>
      <c r="U74" s="207">
        <v>33705</v>
      </c>
      <c r="V74" s="82" t="s">
        <v>799</v>
      </c>
      <c r="W74" s="208" t="s">
        <v>74</v>
      </c>
      <c r="X74" s="208" t="s">
        <v>11</v>
      </c>
      <c r="Y74" s="83">
        <v>51.6</v>
      </c>
      <c r="AD74" s="82"/>
      <c r="AG74" s="83"/>
      <c r="AL74" s="82"/>
      <c r="AO74" s="83"/>
      <c r="AP74" s="82"/>
      <c r="AS74" s="83"/>
      <c r="AW74" s="83"/>
      <c r="BA74" s="84"/>
    </row>
    <row r="75" spans="1:53" s="208" customFormat="1">
      <c r="A75" s="208">
        <v>1993</v>
      </c>
      <c r="C75" s="988" t="s">
        <v>806</v>
      </c>
      <c r="D75" s="988"/>
      <c r="E75" s="208">
        <v>0</v>
      </c>
      <c r="G75" s="123">
        <v>22</v>
      </c>
      <c r="J75" s="134">
        <v>22</v>
      </c>
      <c r="K75" s="92">
        <f t="shared" si="4"/>
        <v>100</v>
      </c>
      <c r="L75" s="92">
        <f t="shared" si="4"/>
        <v>0</v>
      </c>
      <c r="M75" s="92">
        <f t="shared" si="4"/>
        <v>0</v>
      </c>
      <c r="N75" s="125">
        <f t="shared" si="5"/>
        <v>100</v>
      </c>
      <c r="O75" s="91">
        <v>51.6</v>
      </c>
      <c r="P75" s="92"/>
      <c r="Q75" s="92"/>
      <c r="R75" s="93">
        <f t="shared" si="6"/>
        <v>51.6</v>
      </c>
      <c r="S75" s="208">
        <v>1</v>
      </c>
      <c r="T75" s="81"/>
      <c r="V75" s="82" t="s">
        <v>799</v>
      </c>
      <c r="W75" s="208" t="s">
        <v>74</v>
      </c>
      <c r="X75" s="208" t="s">
        <v>11</v>
      </c>
      <c r="Y75" s="83">
        <v>51.6</v>
      </c>
      <c r="AD75" s="82"/>
      <c r="AG75" s="83"/>
      <c r="AL75" s="82"/>
      <c r="AO75" s="83"/>
      <c r="AP75" s="82"/>
      <c r="AS75" s="83"/>
      <c r="AW75" s="83"/>
      <c r="BA75" s="84"/>
    </row>
    <row r="76" spans="1:53" s="208" customFormat="1">
      <c r="A76" s="208">
        <v>1993</v>
      </c>
      <c r="C76" s="988" t="s">
        <v>806</v>
      </c>
      <c r="D76" s="988"/>
      <c r="E76" s="208">
        <f>365-E75</f>
        <v>365</v>
      </c>
      <c r="G76" s="123">
        <v>22</v>
      </c>
      <c r="J76" s="134">
        <v>22</v>
      </c>
      <c r="K76" s="92">
        <f t="shared" si="4"/>
        <v>100</v>
      </c>
      <c r="L76" s="92">
        <f t="shared" si="4"/>
        <v>0</v>
      </c>
      <c r="M76" s="92">
        <f t="shared" si="4"/>
        <v>0</v>
      </c>
      <c r="N76" s="125">
        <f t="shared" si="5"/>
        <v>100</v>
      </c>
      <c r="O76" s="91">
        <v>51.6</v>
      </c>
      <c r="P76" s="92"/>
      <c r="Q76" s="92"/>
      <c r="R76" s="93">
        <f t="shared" si="6"/>
        <v>51.6</v>
      </c>
      <c r="S76" s="208">
        <v>1</v>
      </c>
      <c r="T76" s="81"/>
      <c r="V76" s="82" t="s">
        <v>799</v>
      </c>
      <c r="W76" s="208" t="s">
        <v>74</v>
      </c>
      <c r="X76" s="208" t="s">
        <v>11</v>
      </c>
      <c r="Y76" s="83">
        <v>51.6</v>
      </c>
      <c r="AD76" s="82"/>
      <c r="AG76" s="83"/>
      <c r="AL76" s="82"/>
      <c r="AO76" s="83"/>
      <c r="AP76" s="82"/>
      <c r="AS76" s="83"/>
      <c r="AW76" s="83"/>
      <c r="BA76" s="84"/>
    </row>
    <row r="77" spans="1:53" s="208" customFormat="1">
      <c r="A77" s="208">
        <v>1994</v>
      </c>
      <c r="C77" s="988" t="s">
        <v>806</v>
      </c>
      <c r="D77" s="988"/>
      <c r="E77" s="208">
        <v>0</v>
      </c>
      <c r="G77" s="123">
        <v>22</v>
      </c>
      <c r="J77" s="134">
        <v>22</v>
      </c>
      <c r="K77" s="92">
        <f t="shared" si="4"/>
        <v>100</v>
      </c>
      <c r="L77" s="92">
        <f t="shared" si="4"/>
        <v>0</v>
      </c>
      <c r="M77" s="92">
        <f t="shared" si="4"/>
        <v>0</v>
      </c>
      <c r="N77" s="125">
        <f t="shared" si="5"/>
        <v>100</v>
      </c>
      <c r="O77" s="91">
        <v>51.6</v>
      </c>
      <c r="P77" s="92"/>
      <c r="Q77" s="92"/>
      <c r="R77" s="93">
        <f t="shared" si="6"/>
        <v>51.6</v>
      </c>
      <c r="S77" s="208">
        <v>1</v>
      </c>
      <c r="T77" s="81"/>
      <c r="V77" s="82" t="s">
        <v>799</v>
      </c>
      <c r="W77" s="208" t="s">
        <v>74</v>
      </c>
      <c r="X77" s="208" t="s">
        <v>11</v>
      </c>
      <c r="Y77" s="83">
        <v>51.6</v>
      </c>
      <c r="AD77" s="82"/>
      <c r="AG77" s="83"/>
      <c r="AL77" s="82"/>
      <c r="AO77" s="83"/>
      <c r="AP77" s="82"/>
      <c r="AS77" s="83"/>
      <c r="AW77" s="83"/>
      <c r="BA77" s="84"/>
    </row>
    <row r="78" spans="1:53" s="208" customFormat="1">
      <c r="A78" s="208">
        <v>1994</v>
      </c>
      <c r="C78" s="988" t="s">
        <v>806</v>
      </c>
      <c r="D78" s="988"/>
      <c r="E78" s="208">
        <f>365-E77</f>
        <v>365</v>
      </c>
      <c r="G78" s="123">
        <v>22</v>
      </c>
      <c r="J78" s="134">
        <v>22</v>
      </c>
      <c r="K78" s="92">
        <f t="shared" si="4"/>
        <v>100</v>
      </c>
      <c r="L78" s="92">
        <f t="shared" si="4"/>
        <v>0</v>
      </c>
      <c r="M78" s="92">
        <f t="shared" si="4"/>
        <v>0</v>
      </c>
      <c r="N78" s="125">
        <f t="shared" si="5"/>
        <v>100</v>
      </c>
      <c r="O78" s="91">
        <v>51.6</v>
      </c>
      <c r="P78" s="92"/>
      <c r="Q78" s="92"/>
      <c r="R78" s="93">
        <f t="shared" si="6"/>
        <v>51.6</v>
      </c>
      <c r="S78" s="208">
        <v>1</v>
      </c>
      <c r="T78" s="81"/>
      <c r="V78" s="82" t="s">
        <v>799</v>
      </c>
      <c r="W78" s="208" t="s">
        <v>74</v>
      </c>
      <c r="X78" s="208" t="s">
        <v>11</v>
      </c>
      <c r="Y78" s="83">
        <v>51.6</v>
      </c>
      <c r="AD78" s="82"/>
      <c r="AG78" s="83"/>
      <c r="AL78" s="82"/>
      <c r="AO78" s="83"/>
      <c r="AP78" s="82"/>
      <c r="AS78" s="83"/>
      <c r="AW78" s="83"/>
      <c r="BA78" s="84"/>
    </row>
    <row r="79" spans="1:53" s="208" customFormat="1">
      <c r="A79" s="208">
        <v>1995</v>
      </c>
      <c r="C79" s="988" t="s">
        <v>806</v>
      </c>
      <c r="D79" s="988"/>
      <c r="E79" s="208">
        <v>0</v>
      </c>
      <c r="G79" s="123">
        <v>22</v>
      </c>
      <c r="J79" s="134">
        <v>22</v>
      </c>
      <c r="K79" s="92">
        <f t="shared" si="4"/>
        <v>100</v>
      </c>
      <c r="L79" s="92">
        <f t="shared" si="4"/>
        <v>0</v>
      </c>
      <c r="M79" s="92">
        <f t="shared" si="4"/>
        <v>0</v>
      </c>
      <c r="N79" s="125">
        <f t="shared" si="5"/>
        <v>100</v>
      </c>
      <c r="O79" s="91">
        <v>51.6</v>
      </c>
      <c r="P79" s="92"/>
      <c r="Q79" s="92"/>
      <c r="R79" s="93">
        <f t="shared" si="6"/>
        <v>51.6</v>
      </c>
      <c r="S79" s="208">
        <v>1</v>
      </c>
      <c r="T79" s="81"/>
      <c r="V79" s="82" t="s">
        <v>799</v>
      </c>
      <c r="W79" s="208" t="s">
        <v>74</v>
      </c>
      <c r="X79" s="208" t="s">
        <v>11</v>
      </c>
      <c r="Y79" s="83">
        <v>51.6</v>
      </c>
      <c r="AD79" s="82"/>
      <c r="AG79" s="83"/>
      <c r="AL79" s="82"/>
      <c r="AO79" s="83"/>
      <c r="AP79" s="82"/>
      <c r="AS79" s="83"/>
      <c r="AW79" s="83"/>
      <c r="BA79" s="84"/>
    </row>
    <row r="80" spans="1:53" s="208" customFormat="1">
      <c r="A80" s="208">
        <v>1995</v>
      </c>
      <c r="C80" s="988" t="s">
        <v>806</v>
      </c>
      <c r="D80" s="988"/>
      <c r="E80" s="208">
        <f>365-E79</f>
        <v>365</v>
      </c>
      <c r="G80" s="123">
        <v>22</v>
      </c>
      <c r="J80" s="134">
        <v>22</v>
      </c>
      <c r="K80" s="92">
        <f t="shared" si="4"/>
        <v>100</v>
      </c>
      <c r="L80" s="92">
        <f t="shared" si="4"/>
        <v>0</v>
      </c>
      <c r="M80" s="92">
        <f t="shared" si="4"/>
        <v>0</v>
      </c>
      <c r="N80" s="125">
        <f t="shared" si="5"/>
        <v>100</v>
      </c>
      <c r="O80" s="91">
        <v>51.6</v>
      </c>
      <c r="P80" s="92"/>
      <c r="Q80" s="92"/>
      <c r="R80" s="93">
        <f t="shared" si="6"/>
        <v>51.6</v>
      </c>
      <c r="S80" s="208">
        <v>1</v>
      </c>
      <c r="T80" s="81"/>
      <c r="V80" s="82" t="s">
        <v>799</v>
      </c>
      <c r="W80" s="208" t="s">
        <v>74</v>
      </c>
      <c r="X80" s="208" t="s">
        <v>11</v>
      </c>
      <c r="Y80" s="83">
        <v>51.6</v>
      </c>
      <c r="AD80" s="82"/>
      <c r="AG80" s="83"/>
      <c r="AL80" s="82"/>
      <c r="AO80" s="83"/>
      <c r="AP80" s="82"/>
      <c r="AS80" s="83"/>
      <c r="AW80" s="83"/>
      <c r="BA80" s="84"/>
    </row>
    <row r="81" spans="1:53" s="208" customFormat="1">
      <c r="A81" s="208">
        <v>1996</v>
      </c>
      <c r="C81" s="988" t="s">
        <v>806</v>
      </c>
      <c r="D81" s="988"/>
      <c r="E81" s="208">
        <v>0</v>
      </c>
      <c r="G81" s="123">
        <v>23</v>
      </c>
      <c r="J81" s="134">
        <v>23</v>
      </c>
      <c r="K81" s="92">
        <f t="shared" si="4"/>
        <v>100</v>
      </c>
      <c r="L81" s="92">
        <f t="shared" si="4"/>
        <v>0</v>
      </c>
      <c r="M81" s="92">
        <f t="shared" si="4"/>
        <v>0</v>
      </c>
      <c r="N81" s="125">
        <f t="shared" si="5"/>
        <v>100</v>
      </c>
      <c r="O81" s="91">
        <v>51.6</v>
      </c>
      <c r="P81" s="92"/>
      <c r="Q81" s="92"/>
      <c r="R81" s="93">
        <f t="shared" si="6"/>
        <v>51.6</v>
      </c>
      <c r="S81" s="208">
        <v>1</v>
      </c>
      <c r="T81" s="81"/>
      <c r="V81" s="82" t="s">
        <v>799</v>
      </c>
      <c r="W81" s="208" t="s">
        <v>74</v>
      </c>
      <c r="X81" s="208" t="s">
        <v>11</v>
      </c>
      <c r="Y81" s="83">
        <v>51.6</v>
      </c>
      <c r="AD81" s="82"/>
      <c r="AG81" s="83"/>
      <c r="AL81" s="82"/>
      <c r="AO81" s="83"/>
      <c r="AP81" s="82"/>
      <c r="AS81" s="83"/>
      <c r="AW81" s="83"/>
      <c r="BA81" s="84"/>
    </row>
    <row r="82" spans="1:53" s="208" customFormat="1">
      <c r="A82" s="208">
        <v>1996</v>
      </c>
      <c r="C82" s="988" t="s">
        <v>806</v>
      </c>
      <c r="D82" s="988"/>
      <c r="E82" s="208">
        <f>366-E81</f>
        <v>366</v>
      </c>
      <c r="G82" s="123">
        <v>23</v>
      </c>
      <c r="J82" s="134">
        <v>23</v>
      </c>
      <c r="K82" s="92">
        <f t="shared" si="4"/>
        <v>100</v>
      </c>
      <c r="L82" s="92">
        <f t="shared" si="4"/>
        <v>0</v>
      </c>
      <c r="M82" s="92">
        <f t="shared" si="4"/>
        <v>0</v>
      </c>
      <c r="N82" s="125">
        <f t="shared" si="5"/>
        <v>100</v>
      </c>
      <c r="O82" s="91">
        <v>51.6</v>
      </c>
      <c r="P82" s="92"/>
      <c r="Q82" s="92"/>
      <c r="R82" s="93">
        <f t="shared" si="6"/>
        <v>51.6</v>
      </c>
      <c r="S82" s="208">
        <v>1</v>
      </c>
      <c r="T82" s="81"/>
      <c r="V82" s="82" t="s">
        <v>799</v>
      </c>
      <c r="W82" s="208" t="s">
        <v>74</v>
      </c>
      <c r="X82" s="208" t="s">
        <v>11</v>
      </c>
      <c r="Y82" s="83">
        <v>51.6</v>
      </c>
      <c r="AD82" s="82"/>
      <c r="AG82" s="83"/>
      <c r="AL82" s="82"/>
      <c r="AO82" s="83"/>
      <c r="AP82" s="82"/>
      <c r="AS82" s="83"/>
      <c r="AW82" s="83"/>
      <c r="BA82" s="84"/>
    </row>
    <row r="83" spans="1:53" s="208" customFormat="1">
      <c r="A83" s="208">
        <v>1997</v>
      </c>
      <c r="C83" s="988" t="s">
        <v>806</v>
      </c>
      <c r="D83" s="988"/>
      <c r="E83" s="208">
        <v>121</v>
      </c>
      <c r="G83" s="123">
        <v>23</v>
      </c>
      <c r="J83" s="134">
        <v>23</v>
      </c>
      <c r="K83" s="92">
        <f t="shared" si="4"/>
        <v>100</v>
      </c>
      <c r="L83" s="92">
        <f t="shared" si="4"/>
        <v>0</v>
      </c>
      <c r="M83" s="92">
        <f t="shared" si="4"/>
        <v>0</v>
      </c>
      <c r="N83" s="125">
        <f t="shared" si="5"/>
        <v>100</v>
      </c>
      <c r="O83" s="91">
        <v>51.6</v>
      </c>
      <c r="P83" s="92"/>
      <c r="Q83" s="92"/>
      <c r="R83" s="93">
        <f t="shared" si="6"/>
        <v>51.6</v>
      </c>
      <c r="S83" s="208">
        <v>1</v>
      </c>
      <c r="T83" s="81"/>
      <c r="V83" s="82" t="s">
        <v>799</v>
      </c>
      <c r="W83" s="208" t="s">
        <v>74</v>
      </c>
      <c r="X83" s="208" t="s">
        <v>11</v>
      </c>
      <c r="Y83" s="83">
        <v>51.6</v>
      </c>
      <c r="AD83" s="82"/>
      <c r="AG83" s="83"/>
      <c r="AL83" s="82"/>
      <c r="AO83" s="83"/>
      <c r="AP83" s="82"/>
      <c r="AS83" s="83"/>
      <c r="AW83" s="83"/>
      <c r="BA83" s="84"/>
    </row>
    <row r="84" spans="1:53" s="334" customFormat="1">
      <c r="A84" s="334">
        <v>1997</v>
      </c>
      <c r="B84" s="355">
        <v>35552</v>
      </c>
      <c r="C84" s="992" t="s">
        <v>795</v>
      </c>
      <c r="D84" s="992"/>
      <c r="E84" s="334">
        <f>365-E83</f>
        <v>244</v>
      </c>
      <c r="F84" s="334">
        <v>1</v>
      </c>
      <c r="G84" s="419"/>
      <c r="I84" s="334">
        <v>22</v>
      </c>
      <c r="J84" s="435">
        <v>22</v>
      </c>
      <c r="K84" s="384">
        <f t="shared" si="4"/>
        <v>0</v>
      </c>
      <c r="L84" s="384">
        <f t="shared" si="4"/>
        <v>0</v>
      </c>
      <c r="M84" s="384">
        <f t="shared" si="4"/>
        <v>100</v>
      </c>
      <c r="N84" s="421">
        <f t="shared" si="5"/>
        <v>100</v>
      </c>
      <c r="O84" s="383"/>
      <c r="P84" s="384"/>
      <c r="Q84" s="384">
        <v>63.6</v>
      </c>
      <c r="R84" s="385">
        <f>O84+P84+Q84</f>
        <v>63.6</v>
      </c>
      <c r="S84" s="334">
        <v>1</v>
      </c>
      <c r="T84" s="342">
        <v>35551</v>
      </c>
      <c r="U84" s="355">
        <v>35552</v>
      </c>
      <c r="V84" s="343" t="s">
        <v>461</v>
      </c>
      <c r="W84" s="334" t="s">
        <v>20</v>
      </c>
      <c r="X84" s="334" t="s">
        <v>12</v>
      </c>
      <c r="Y84" s="344">
        <v>63.6</v>
      </c>
      <c r="AD84" s="343"/>
      <c r="AG84" s="344"/>
      <c r="AL84" s="343"/>
      <c r="AO84" s="344"/>
      <c r="AP84" s="343"/>
      <c r="AS84" s="344"/>
      <c r="AW84" s="344"/>
      <c r="BA84" s="345"/>
    </row>
    <row r="85" spans="1:53" s="334" customFormat="1">
      <c r="A85" s="334">
        <v>1998</v>
      </c>
      <c r="C85" s="992" t="s">
        <v>795</v>
      </c>
      <c r="D85" s="992"/>
      <c r="E85" s="334">
        <v>0</v>
      </c>
      <c r="G85" s="419"/>
      <c r="I85" s="334">
        <v>22</v>
      </c>
      <c r="J85" s="435">
        <v>22</v>
      </c>
      <c r="K85" s="384">
        <f t="shared" si="4"/>
        <v>0</v>
      </c>
      <c r="L85" s="384">
        <f t="shared" si="4"/>
        <v>0</v>
      </c>
      <c r="M85" s="384">
        <f t="shared" si="4"/>
        <v>100</v>
      </c>
      <c r="N85" s="421">
        <f t="shared" si="5"/>
        <v>100</v>
      </c>
      <c r="O85" s="383"/>
      <c r="P85" s="384"/>
      <c r="Q85" s="384">
        <v>63.6</v>
      </c>
      <c r="R85" s="385">
        <f t="shared" ref="R85:R101" si="7">O85+P85+Q85</f>
        <v>63.6</v>
      </c>
      <c r="S85" s="334">
        <v>1</v>
      </c>
      <c r="T85" s="357"/>
      <c r="V85" s="343" t="s">
        <v>461</v>
      </c>
      <c r="W85" s="334" t="s">
        <v>20</v>
      </c>
      <c r="X85" s="334" t="s">
        <v>12</v>
      </c>
      <c r="Y85" s="344">
        <v>63.6</v>
      </c>
      <c r="AD85" s="343"/>
      <c r="AG85" s="344"/>
      <c r="AL85" s="343"/>
      <c r="AO85" s="344"/>
      <c r="AP85" s="343"/>
      <c r="AS85" s="344"/>
      <c r="AW85" s="344"/>
      <c r="BA85" s="345"/>
    </row>
    <row r="86" spans="1:53" s="334" customFormat="1">
      <c r="A86" s="334">
        <v>1998</v>
      </c>
      <c r="C86" s="992" t="s">
        <v>795</v>
      </c>
      <c r="D86" s="992"/>
      <c r="E86" s="334">
        <f>365-E85</f>
        <v>365</v>
      </c>
      <c r="G86" s="419"/>
      <c r="I86" s="334">
        <v>22</v>
      </c>
      <c r="J86" s="435">
        <v>22</v>
      </c>
      <c r="K86" s="384">
        <f t="shared" si="4"/>
        <v>0</v>
      </c>
      <c r="L86" s="384">
        <f t="shared" si="4"/>
        <v>0</v>
      </c>
      <c r="M86" s="384">
        <f t="shared" si="4"/>
        <v>100</v>
      </c>
      <c r="N86" s="421">
        <f t="shared" si="5"/>
        <v>100</v>
      </c>
      <c r="O86" s="383"/>
      <c r="P86" s="384"/>
      <c r="Q86" s="384">
        <v>63.6</v>
      </c>
      <c r="R86" s="385">
        <f t="shared" si="7"/>
        <v>63.6</v>
      </c>
      <c r="S86" s="334">
        <v>1</v>
      </c>
      <c r="T86" s="357"/>
      <c r="V86" s="343" t="s">
        <v>461</v>
      </c>
      <c r="W86" s="334" t="s">
        <v>20</v>
      </c>
      <c r="X86" s="334" t="s">
        <v>12</v>
      </c>
      <c r="Y86" s="344">
        <v>63.6</v>
      </c>
      <c r="AD86" s="343"/>
      <c r="AG86" s="344"/>
      <c r="AL86" s="343"/>
      <c r="AO86" s="344"/>
      <c r="AP86" s="343"/>
      <c r="AS86" s="344"/>
      <c r="AW86" s="344"/>
      <c r="BA86" s="345"/>
    </row>
    <row r="87" spans="1:53" s="334" customFormat="1">
      <c r="A87" s="334">
        <v>1999</v>
      </c>
      <c r="C87" s="992" t="s">
        <v>795</v>
      </c>
      <c r="D87" s="992"/>
      <c r="E87" s="334">
        <v>0</v>
      </c>
      <c r="G87" s="419"/>
      <c r="I87" s="334">
        <v>22</v>
      </c>
      <c r="J87" s="435">
        <v>22</v>
      </c>
      <c r="K87" s="384">
        <f t="shared" si="4"/>
        <v>0</v>
      </c>
      <c r="L87" s="384">
        <f t="shared" si="4"/>
        <v>0</v>
      </c>
      <c r="M87" s="384">
        <f t="shared" si="4"/>
        <v>100</v>
      </c>
      <c r="N87" s="421">
        <f t="shared" si="5"/>
        <v>100</v>
      </c>
      <c r="O87" s="383"/>
      <c r="P87" s="384"/>
      <c r="Q87" s="384">
        <v>63.6</v>
      </c>
      <c r="R87" s="385">
        <f t="shared" si="7"/>
        <v>63.6</v>
      </c>
      <c r="S87" s="334">
        <v>1</v>
      </c>
      <c r="T87" s="357"/>
      <c r="V87" s="343" t="s">
        <v>461</v>
      </c>
      <c r="W87" s="334" t="s">
        <v>20</v>
      </c>
      <c r="X87" s="334" t="s">
        <v>12</v>
      </c>
      <c r="Y87" s="344">
        <v>63.6</v>
      </c>
      <c r="AD87" s="343"/>
      <c r="AG87" s="344"/>
      <c r="AL87" s="343"/>
      <c r="AO87" s="344"/>
      <c r="AP87" s="343"/>
      <c r="AS87" s="344"/>
      <c r="AW87" s="344"/>
      <c r="BA87" s="345"/>
    </row>
    <row r="88" spans="1:53" s="334" customFormat="1">
      <c r="A88" s="334">
        <v>1999</v>
      </c>
      <c r="C88" s="992" t="s">
        <v>795</v>
      </c>
      <c r="D88" s="992"/>
      <c r="E88" s="334">
        <f>365-E87</f>
        <v>365</v>
      </c>
      <c r="G88" s="419"/>
      <c r="I88" s="334">
        <v>22</v>
      </c>
      <c r="J88" s="435">
        <v>22</v>
      </c>
      <c r="K88" s="384">
        <f t="shared" si="4"/>
        <v>0</v>
      </c>
      <c r="L88" s="384">
        <f t="shared" si="4"/>
        <v>0</v>
      </c>
      <c r="M88" s="384">
        <f t="shared" si="4"/>
        <v>100</v>
      </c>
      <c r="N88" s="421">
        <f t="shared" si="5"/>
        <v>100</v>
      </c>
      <c r="O88" s="383"/>
      <c r="P88" s="384"/>
      <c r="Q88" s="384">
        <v>63.6</v>
      </c>
      <c r="R88" s="385">
        <f t="shared" si="7"/>
        <v>63.6</v>
      </c>
      <c r="S88" s="334">
        <v>1</v>
      </c>
      <c r="T88" s="357"/>
      <c r="V88" s="343" t="s">
        <v>461</v>
      </c>
      <c r="W88" s="334" t="s">
        <v>20</v>
      </c>
      <c r="X88" s="334" t="s">
        <v>12</v>
      </c>
      <c r="Y88" s="344">
        <v>63.6</v>
      </c>
      <c r="AD88" s="343"/>
      <c r="AG88" s="344"/>
      <c r="AL88" s="343"/>
      <c r="AO88" s="344"/>
      <c r="AP88" s="343"/>
      <c r="AS88" s="344"/>
      <c r="AW88" s="344"/>
      <c r="BA88" s="345"/>
    </row>
    <row r="89" spans="1:53" s="334" customFormat="1">
      <c r="A89" s="334">
        <v>2000</v>
      </c>
      <c r="C89" s="992" t="s">
        <v>795</v>
      </c>
      <c r="D89" s="992"/>
      <c r="E89" s="334">
        <v>0</v>
      </c>
      <c r="G89" s="419"/>
      <c r="I89" s="334">
        <v>22</v>
      </c>
      <c r="J89" s="435">
        <v>22</v>
      </c>
      <c r="K89" s="384">
        <f t="shared" si="4"/>
        <v>0</v>
      </c>
      <c r="L89" s="384">
        <f t="shared" si="4"/>
        <v>0</v>
      </c>
      <c r="M89" s="384">
        <f t="shared" si="4"/>
        <v>100</v>
      </c>
      <c r="N89" s="421">
        <f t="shared" si="5"/>
        <v>100</v>
      </c>
      <c r="O89" s="383"/>
      <c r="P89" s="384"/>
      <c r="Q89" s="384">
        <v>63.6</v>
      </c>
      <c r="R89" s="385">
        <f t="shared" si="7"/>
        <v>63.6</v>
      </c>
      <c r="S89" s="334">
        <v>1</v>
      </c>
      <c r="T89" s="357"/>
      <c r="V89" s="343" t="s">
        <v>461</v>
      </c>
      <c r="W89" s="334" t="s">
        <v>20</v>
      </c>
      <c r="X89" s="334" t="s">
        <v>12</v>
      </c>
      <c r="Y89" s="344">
        <v>63.6</v>
      </c>
      <c r="AD89" s="343"/>
      <c r="AG89" s="344"/>
      <c r="AL89" s="343"/>
      <c r="AO89" s="344"/>
      <c r="AP89" s="343"/>
      <c r="AS89" s="344"/>
      <c r="AW89" s="344"/>
      <c r="BA89" s="345"/>
    </row>
    <row r="90" spans="1:53" s="334" customFormat="1">
      <c r="A90" s="334">
        <v>2000</v>
      </c>
      <c r="C90" s="992" t="s">
        <v>795</v>
      </c>
      <c r="D90" s="992"/>
      <c r="E90" s="334">
        <f>366-E89</f>
        <v>366</v>
      </c>
      <c r="G90" s="419"/>
      <c r="I90" s="334">
        <v>22</v>
      </c>
      <c r="J90" s="435">
        <v>22</v>
      </c>
      <c r="K90" s="384">
        <f t="shared" si="4"/>
        <v>0</v>
      </c>
      <c r="L90" s="384">
        <f t="shared" si="4"/>
        <v>0</v>
      </c>
      <c r="M90" s="384">
        <f t="shared" si="4"/>
        <v>100</v>
      </c>
      <c r="N90" s="421">
        <f t="shared" si="5"/>
        <v>100</v>
      </c>
      <c r="O90" s="383"/>
      <c r="P90" s="384"/>
      <c r="Q90" s="384">
        <v>63.6</v>
      </c>
      <c r="R90" s="385">
        <f t="shared" si="7"/>
        <v>63.6</v>
      </c>
      <c r="S90" s="334">
        <v>1</v>
      </c>
      <c r="T90" s="357"/>
      <c r="V90" s="343" t="s">
        <v>461</v>
      </c>
      <c r="W90" s="334" t="s">
        <v>20</v>
      </c>
      <c r="X90" s="334" t="s">
        <v>12</v>
      </c>
      <c r="Y90" s="344">
        <v>63.6</v>
      </c>
      <c r="AD90" s="343"/>
      <c r="AG90" s="344"/>
      <c r="AL90" s="343"/>
      <c r="AO90" s="344"/>
      <c r="AP90" s="343"/>
      <c r="AS90" s="344"/>
      <c r="AW90" s="344"/>
      <c r="BA90" s="345"/>
    </row>
    <row r="91" spans="1:53" s="334" customFormat="1">
      <c r="A91" s="334">
        <v>2001</v>
      </c>
      <c r="C91" s="992" t="s">
        <v>795</v>
      </c>
      <c r="D91" s="992"/>
      <c r="E91" s="334">
        <v>158</v>
      </c>
      <c r="G91" s="419"/>
      <c r="I91" s="334">
        <v>22</v>
      </c>
      <c r="J91" s="435">
        <v>22</v>
      </c>
      <c r="K91" s="384">
        <f t="shared" si="4"/>
        <v>0</v>
      </c>
      <c r="L91" s="384">
        <f t="shared" si="4"/>
        <v>0</v>
      </c>
      <c r="M91" s="384">
        <f t="shared" si="4"/>
        <v>100</v>
      </c>
      <c r="N91" s="421">
        <f t="shared" si="5"/>
        <v>100</v>
      </c>
      <c r="O91" s="383"/>
      <c r="P91" s="384"/>
      <c r="Q91" s="384">
        <v>63.6</v>
      </c>
      <c r="R91" s="385">
        <f t="shared" si="7"/>
        <v>63.6</v>
      </c>
      <c r="S91" s="334">
        <v>1</v>
      </c>
      <c r="T91" s="357"/>
      <c r="V91" s="343" t="s">
        <v>461</v>
      </c>
      <c r="W91" s="334" t="s">
        <v>20</v>
      </c>
      <c r="X91" s="334" t="s">
        <v>12</v>
      </c>
      <c r="Y91" s="344">
        <v>63.6</v>
      </c>
      <c r="AD91" s="343"/>
      <c r="AG91" s="344"/>
      <c r="AL91" s="343"/>
      <c r="AO91" s="344"/>
      <c r="AP91" s="343"/>
      <c r="AS91" s="344"/>
      <c r="AW91" s="344"/>
      <c r="BA91" s="345"/>
    </row>
    <row r="92" spans="1:53" s="208" customFormat="1">
      <c r="A92" s="208">
        <v>2001</v>
      </c>
      <c r="B92" s="207">
        <v>37050</v>
      </c>
      <c r="C92" s="988" t="s">
        <v>796</v>
      </c>
      <c r="D92" s="988"/>
      <c r="E92" s="208">
        <f>365-E91</f>
        <v>207</v>
      </c>
      <c r="F92" s="208">
        <v>1</v>
      </c>
      <c r="G92" s="123"/>
      <c r="I92" s="208">
        <v>23</v>
      </c>
      <c r="J92" s="134">
        <v>23</v>
      </c>
      <c r="K92" s="92">
        <f t="shared" si="4"/>
        <v>0</v>
      </c>
      <c r="L92" s="92">
        <f t="shared" si="4"/>
        <v>0</v>
      </c>
      <c r="M92" s="92">
        <f t="shared" si="4"/>
        <v>100</v>
      </c>
      <c r="N92" s="125">
        <f t="shared" si="5"/>
        <v>100</v>
      </c>
      <c r="O92" s="91"/>
      <c r="P92" s="92"/>
      <c r="Q92" s="92">
        <v>62.5</v>
      </c>
      <c r="R92" s="93">
        <f t="shared" si="7"/>
        <v>62.5</v>
      </c>
      <c r="S92" s="208">
        <v>1</v>
      </c>
      <c r="T92" s="95">
        <v>37049</v>
      </c>
      <c r="U92" s="207">
        <v>37050</v>
      </c>
      <c r="V92" s="82" t="s">
        <v>461</v>
      </c>
      <c r="W92" s="208" t="s">
        <v>20</v>
      </c>
      <c r="X92" s="208" t="s">
        <v>12</v>
      </c>
      <c r="Y92" s="83">
        <v>62.5</v>
      </c>
      <c r="AD92" s="82"/>
      <c r="AG92" s="83"/>
      <c r="AL92" s="82"/>
      <c r="AO92" s="83"/>
      <c r="AP92" s="82"/>
      <c r="AS92" s="83"/>
      <c r="AW92" s="83"/>
      <c r="BA92" s="84"/>
    </row>
    <row r="93" spans="1:53" s="208" customFormat="1">
      <c r="A93" s="208">
        <v>2002</v>
      </c>
      <c r="C93" s="988" t="s">
        <v>796</v>
      </c>
      <c r="D93" s="988"/>
      <c r="E93" s="208">
        <v>0</v>
      </c>
      <c r="G93" s="123"/>
      <c r="I93" s="208">
        <v>23</v>
      </c>
      <c r="J93" s="134">
        <v>23</v>
      </c>
      <c r="K93" s="92">
        <f t="shared" si="4"/>
        <v>0</v>
      </c>
      <c r="L93" s="92">
        <f t="shared" si="4"/>
        <v>0</v>
      </c>
      <c r="M93" s="92">
        <f t="shared" si="4"/>
        <v>100</v>
      </c>
      <c r="N93" s="125">
        <f t="shared" si="5"/>
        <v>100</v>
      </c>
      <c r="O93" s="91"/>
      <c r="P93" s="92"/>
      <c r="Q93" s="92">
        <v>62.5</v>
      </c>
      <c r="R93" s="93">
        <f t="shared" si="7"/>
        <v>62.5</v>
      </c>
      <c r="S93" s="208">
        <v>1</v>
      </c>
      <c r="T93" s="81"/>
      <c r="V93" s="82" t="s">
        <v>461</v>
      </c>
      <c r="W93" s="208" t="s">
        <v>20</v>
      </c>
      <c r="X93" s="208" t="s">
        <v>12</v>
      </c>
      <c r="Y93" s="83">
        <v>62.5</v>
      </c>
      <c r="AD93" s="82"/>
      <c r="AG93" s="83"/>
      <c r="AL93" s="82"/>
      <c r="AO93" s="83"/>
      <c r="AP93" s="82"/>
      <c r="AS93" s="83"/>
      <c r="AW93" s="83"/>
      <c r="BA93" s="84"/>
    </row>
    <row r="94" spans="1:53" s="208" customFormat="1">
      <c r="A94" s="208">
        <v>2002</v>
      </c>
      <c r="C94" s="988" t="s">
        <v>796</v>
      </c>
      <c r="D94" s="988"/>
      <c r="E94" s="208">
        <f>365-E93</f>
        <v>365</v>
      </c>
      <c r="G94" s="123"/>
      <c r="I94" s="208">
        <v>23</v>
      </c>
      <c r="J94" s="134">
        <v>23</v>
      </c>
      <c r="K94" s="92">
        <f t="shared" si="4"/>
        <v>0</v>
      </c>
      <c r="L94" s="92">
        <f t="shared" si="4"/>
        <v>0</v>
      </c>
      <c r="M94" s="92">
        <f t="shared" si="4"/>
        <v>100</v>
      </c>
      <c r="N94" s="125">
        <f t="shared" si="5"/>
        <v>100</v>
      </c>
      <c r="O94" s="91"/>
      <c r="P94" s="92"/>
      <c r="Q94" s="92">
        <v>62.5</v>
      </c>
      <c r="R94" s="93">
        <f t="shared" si="7"/>
        <v>62.5</v>
      </c>
      <c r="S94" s="208">
        <v>1</v>
      </c>
      <c r="T94" s="81"/>
      <c r="V94" s="82" t="s">
        <v>461</v>
      </c>
      <c r="W94" s="208" t="s">
        <v>20</v>
      </c>
      <c r="X94" s="208" t="s">
        <v>12</v>
      </c>
      <c r="Y94" s="83">
        <v>62.5</v>
      </c>
      <c r="AD94" s="82"/>
      <c r="AG94" s="83"/>
      <c r="AL94" s="82"/>
      <c r="AO94" s="83"/>
      <c r="AP94" s="82"/>
      <c r="AS94" s="83"/>
      <c r="AW94" s="83"/>
      <c r="BA94" s="84"/>
    </row>
    <row r="95" spans="1:53" s="208" customFormat="1">
      <c r="A95" s="208">
        <v>2003</v>
      </c>
      <c r="C95" s="988" t="s">
        <v>796</v>
      </c>
      <c r="D95" s="988"/>
      <c r="E95" s="208">
        <v>0</v>
      </c>
      <c r="G95" s="123"/>
      <c r="I95" s="208">
        <v>23</v>
      </c>
      <c r="J95" s="134">
        <v>23</v>
      </c>
      <c r="K95" s="92">
        <f t="shared" si="4"/>
        <v>0</v>
      </c>
      <c r="L95" s="92">
        <f t="shared" si="4"/>
        <v>0</v>
      </c>
      <c r="M95" s="92">
        <f t="shared" si="4"/>
        <v>100</v>
      </c>
      <c r="N95" s="125">
        <f t="shared" si="5"/>
        <v>100</v>
      </c>
      <c r="O95" s="91"/>
      <c r="P95" s="92"/>
      <c r="Q95" s="92">
        <v>62.5</v>
      </c>
      <c r="R95" s="93">
        <f t="shared" si="7"/>
        <v>62.5</v>
      </c>
      <c r="S95" s="208">
        <v>1</v>
      </c>
      <c r="T95" s="81"/>
      <c r="V95" s="82" t="s">
        <v>461</v>
      </c>
      <c r="W95" s="208" t="s">
        <v>20</v>
      </c>
      <c r="X95" s="208" t="s">
        <v>12</v>
      </c>
      <c r="Y95" s="83">
        <v>62.5</v>
      </c>
      <c r="AD95" s="82"/>
      <c r="AG95" s="83"/>
      <c r="AL95" s="82"/>
      <c r="AO95" s="83"/>
      <c r="AP95" s="82"/>
      <c r="AS95" s="83"/>
      <c r="AW95" s="83"/>
      <c r="BA95" s="84"/>
    </row>
    <row r="96" spans="1:53" s="208" customFormat="1">
      <c r="A96" s="208">
        <v>2003</v>
      </c>
      <c r="C96" s="988" t="s">
        <v>796</v>
      </c>
      <c r="D96" s="988"/>
      <c r="E96" s="208">
        <f>365-E95</f>
        <v>365</v>
      </c>
      <c r="G96" s="123"/>
      <c r="I96" s="208">
        <v>23</v>
      </c>
      <c r="J96" s="134">
        <v>23</v>
      </c>
      <c r="K96" s="92">
        <f t="shared" si="4"/>
        <v>0</v>
      </c>
      <c r="L96" s="92">
        <f t="shared" si="4"/>
        <v>0</v>
      </c>
      <c r="M96" s="92">
        <f t="shared" si="4"/>
        <v>100</v>
      </c>
      <c r="N96" s="125">
        <f t="shared" si="5"/>
        <v>100</v>
      </c>
      <c r="O96" s="91"/>
      <c r="P96" s="92"/>
      <c r="Q96" s="92">
        <v>62.5</v>
      </c>
      <c r="R96" s="93">
        <f t="shared" si="7"/>
        <v>62.5</v>
      </c>
      <c r="S96" s="208">
        <v>1</v>
      </c>
      <c r="T96" s="81"/>
      <c r="V96" s="82" t="s">
        <v>461</v>
      </c>
      <c r="W96" s="208" t="s">
        <v>20</v>
      </c>
      <c r="X96" s="208" t="s">
        <v>12</v>
      </c>
      <c r="Y96" s="83">
        <v>62.5</v>
      </c>
      <c r="AD96" s="82"/>
      <c r="AG96" s="83"/>
      <c r="AL96" s="82"/>
      <c r="AO96" s="83"/>
      <c r="AP96" s="82"/>
      <c r="AS96" s="83"/>
      <c r="AW96" s="83"/>
      <c r="BA96" s="84"/>
    </row>
    <row r="97" spans="1:53" s="208" customFormat="1">
      <c r="A97" s="208">
        <v>2004</v>
      </c>
      <c r="C97" s="988" t="s">
        <v>796</v>
      </c>
      <c r="D97" s="988"/>
      <c r="E97" s="208">
        <v>0</v>
      </c>
      <c r="G97" s="123"/>
      <c r="I97" s="208">
        <v>23</v>
      </c>
      <c r="J97" s="134">
        <v>23</v>
      </c>
      <c r="K97" s="92">
        <f t="shared" si="4"/>
        <v>0</v>
      </c>
      <c r="L97" s="92">
        <f t="shared" si="4"/>
        <v>0</v>
      </c>
      <c r="M97" s="92">
        <f t="shared" si="4"/>
        <v>100</v>
      </c>
      <c r="N97" s="125">
        <f t="shared" si="5"/>
        <v>100</v>
      </c>
      <c r="O97" s="91"/>
      <c r="P97" s="92"/>
      <c r="Q97" s="92">
        <v>62.5</v>
      </c>
      <c r="R97" s="93">
        <f t="shared" si="7"/>
        <v>62.5</v>
      </c>
      <c r="S97" s="208">
        <v>1</v>
      </c>
      <c r="T97" s="81"/>
      <c r="V97" s="82" t="s">
        <v>461</v>
      </c>
      <c r="W97" s="208" t="s">
        <v>20</v>
      </c>
      <c r="X97" s="208" t="s">
        <v>12</v>
      </c>
      <c r="Y97" s="83">
        <v>62.5</v>
      </c>
      <c r="AD97" s="82"/>
      <c r="AG97" s="83"/>
      <c r="AL97" s="82"/>
      <c r="AO97" s="83"/>
      <c r="AP97" s="82"/>
      <c r="AS97" s="83"/>
      <c r="AW97" s="83"/>
      <c r="BA97" s="84"/>
    </row>
    <row r="98" spans="1:53" s="208" customFormat="1">
      <c r="A98" s="208">
        <v>2004</v>
      </c>
      <c r="C98" s="988" t="s">
        <v>796</v>
      </c>
      <c r="D98" s="988"/>
      <c r="E98" s="208">
        <f>366-E97</f>
        <v>366</v>
      </c>
      <c r="G98" s="123"/>
      <c r="I98" s="208">
        <v>23</v>
      </c>
      <c r="J98" s="134">
        <v>23</v>
      </c>
      <c r="K98" s="92">
        <f t="shared" si="4"/>
        <v>0</v>
      </c>
      <c r="L98" s="92">
        <f t="shared" si="4"/>
        <v>0</v>
      </c>
      <c r="M98" s="92">
        <f t="shared" si="4"/>
        <v>100</v>
      </c>
      <c r="N98" s="125">
        <f t="shared" si="5"/>
        <v>100</v>
      </c>
      <c r="O98" s="91"/>
      <c r="P98" s="92"/>
      <c r="Q98" s="92">
        <v>62.5</v>
      </c>
      <c r="R98" s="93">
        <f t="shared" si="7"/>
        <v>62.5</v>
      </c>
      <c r="S98" s="208">
        <v>1</v>
      </c>
      <c r="T98" s="81"/>
      <c r="V98" s="82" t="s">
        <v>461</v>
      </c>
      <c r="W98" s="208" t="s">
        <v>20</v>
      </c>
      <c r="X98" s="208" t="s">
        <v>12</v>
      </c>
      <c r="Y98" s="83">
        <v>62.5</v>
      </c>
      <c r="AD98" s="82"/>
      <c r="AG98" s="83"/>
      <c r="AL98" s="82"/>
      <c r="AO98" s="83"/>
      <c r="AP98" s="82"/>
      <c r="AS98" s="83"/>
      <c r="AW98" s="83"/>
      <c r="BA98" s="84"/>
    </row>
    <row r="99" spans="1:53" s="208" customFormat="1">
      <c r="A99" s="208">
        <v>2005</v>
      </c>
      <c r="C99" s="988" t="s">
        <v>796</v>
      </c>
      <c r="D99" s="988"/>
      <c r="E99" s="208">
        <v>125</v>
      </c>
      <c r="G99" s="123"/>
      <c r="I99" s="208">
        <v>23</v>
      </c>
      <c r="J99" s="134">
        <v>23</v>
      </c>
      <c r="K99" s="92">
        <f t="shared" si="4"/>
        <v>0</v>
      </c>
      <c r="L99" s="92">
        <f t="shared" si="4"/>
        <v>0</v>
      </c>
      <c r="M99" s="92">
        <f t="shared" si="4"/>
        <v>100</v>
      </c>
      <c r="N99" s="125">
        <f t="shared" si="5"/>
        <v>100</v>
      </c>
      <c r="O99" s="91"/>
      <c r="P99" s="92"/>
      <c r="Q99" s="92">
        <v>62.5</v>
      </c>
      <c r="R99" s="93">
        <f t="shared" si="7"/>
        <v>62.5</v>
      </c>
      <c r="S99" s="208">
        <v>1</v>
      </c>
      <c r="T99" s="81"/>
      <c r="V99" s="82" t="s">
        <v>461</v>
      </c>
      <c r="W99" s="208" t="s">
        <v>20</v>
      </c>
      <c r="X99" s="208" t="s">
        <v>12</v>
      </c>
      <c r="Y99" s="83">
        <v>62.5</v>
      </c>
      <c r="AD99" s="82"/>
      <c r="AG99" s="83"/>
      <c r="AL99" s="82"/>
      <c r="AO99" s="83"/>
      <c r="AP99" s="82"/>
      <c r="AS99" s="83"/>
      <c r="AW99" s="83"/>
      <c r="BA99" s="84"/>
    </row>
    <row r="100" spans="1:53" s="334" customFormat="1">
      <c r="A100" s="334">
        <v>2005</v>
      </c>
      <c r="B100" s="355">
        <v>38478</v>
      </c>
      <c r="C100" s="992" t="s">
        <v>797</v>
      </c>
      <c r="D100" s="992"/>
      <c r="E100" s="334">
        <f>365-E99</f>
        <v>240</v>
      </c>
      <c r="F100" s="334">
        <v>1</v>
      </c>
      <c r="G100" s="419"/>
      <c r="I100" s="334">
        <v>23</v>
      </c>
      <c r="J100" s="435">
        <v>23</v>
      </c>
      <c r="K100" s="384">
        <f t="shared" si="4"/>
        <v>0</v>
      </c>
      <c r="L100" s="384">
        <f t="shared" si="4"/>
        <v>0</v>
      </c>
      <c r="M100" s="384">
        <f t="shared" si="4"/>
        <v>100</v>
      </c>
      <c r="N100" s="421">
        <f t="shared" si="5"/>
        <v>100</v>
      </c>
      <c r="O100" s="383"/>
      <c r="P100" s="384"/>
      <c r="Q100" s="384">
        <v>55</v>
      </c>
      <c r="R100" s="385">
        <f t="shared" si="7"/>
        <v>55</v>
      </c>
      <c r="S100" s="334">
        <v>1</v>
      </c>
      <c r="T100" s="342">
        <v>38477</v>
      </c>
      <c r="U100" s="355">
        <v>38478</v>
      </c>
      <c r="V100" s="343" t="s">
        <v>461</v>
      </c>
      <c r="W100" s="334" t="s">
        <v>20</v>
      </c>
      <c r="X100" s="334" t="s">
        <v>12</v>
      </c>
      <c r="Y100" s="344">
        <v>55</v>
      </c>
      <c r="AD100" s="343"/>
      <c r="AG100" s="344"/>
      <c r="AL100" s="343"/>
      <c r="AO100" s="344"/>
      <c r="AP100" s="343"/>
      <c r="AS100" s="344"/>
      <c r="AW100" s="344"/>
      <c r="BA100" s="345"/>
    </row>
    <row r="101" spans="1:53" s="334" customFormat="1">
      <c r="A101" s="334">
        <v>2006</v>
      </c>
      <c r="C101" s="992" t="s">
        <v>797</v>
      </c>
      <c r="D101" s="992"/>
      <c r="E101" s="334">
        <v>0</v>
      </c>
      <c r="G101" s="419"/>
      <c r="I101" s="334">
        <v>23</v>
      </c>
      <c r="J101" s="435">
        <v>23</v>
      </c>
      <c r="K101" s="384">
        <f t="shared" si="4"/>
        <v>0</v>
      </c>
      <c r="L101" s="384">
        <f t="shared" si="4"/>
        <v>0</v>
      </c>
      <c r="M101" s="384">
        <f t="shared" si="4"/>
        <v>100</v>
      </c>
      <c r="N101" s="421">
        <f t="shared" si="5"/>
        <v>100</v>
      </c>
      <c r="O101" s="383"/>
      <c r="P101" s="384"/>
      <c r="Q101" s="384">
        <v>55</v>
      </c>
      <c r="R101" s="385">
        <f t="shared" si="7"/>
        <v>55</v>
      </c>
      <c r="S101" s="334">
        <v>1</v>
      </c>
      <c r="T101" s="357"/>
      <c r="V101" s="343" t="s">
        <v>461</v>
      </c>
      <c r="W101" s="334" t="s">
        <v>20</v>
      </c>
      <c r="X101" s="334" t="s">
        <v>12</v>
      </c>
      <c r="Y101" s="344">
        <v>55</v>
      </c>
      <c r="AD101" s="343"/>
      <c r="AG101" s="344"/>
      <c r="AL101" s="343"/>
      <c r="AO101" s="344"/>
      <c r="AP101" s="343"/>
      <c r="AS101" s="344"/>
      <c r="AW101" s="344"/>
      <c r="BA101" s="345"/>
    </row>
    <row r="102" spans="1:53" s="334" customFormat="1">
      <c r="A102" s="334">
        <v>2006</v>
      </c>
      <c r="C102" s="992" t="s">
        <v>797</v>
      </c>
      <c r="D102" s="992"/>
      <c r="E102" s="334">
        <v>365</v>
      </c>
      <c r="G102" s="419"/>
      <c r="I102" s="334">
        <v>23</v>
      </c>
      <c r="J102" s="435">
        <v>23</v>
      </c>
      <c r="K102" s="384">
        <f>G102/$J102*100</f>
        <v>0</v>
      </c>
      <c r="L102" s="384">
        <f>H102/$J102*100</f>
        <v>0</v>
      </c>
      <c r="M102" s="384">
        <f>I102/$J102*100</f>
        <v>100</v>
      </c>
      <c r="N102" s="421">
        <f>K102+L102+M102</f>
        <v>100</v>
      </c>
      <c r="O102" s="383"/>
      <c r="P102" s="384"/>
      <c r="Q102" s="384">
        <v>55</v>
      </c>
      <c r="R102" s="385">
        <f>O102+P102+Q102</f>
        <v>55</v>
      </c>
      <c r="S102" s="334">
        <v>1</v>
      </c>
      <c r="T102" s="357"/>
      <c r="V102" s="343" t="s">
        <v>461</v>
      </c>
      <c r="W102" s="334" t="s">
        <v>20</v>
      </c>
      <c r="X102" s="334" t="s">
        <v>12</v>
      </c>
      <c r="Y102" s="344">
        <v>55</v>
      </c>
      <c r="AD102" s="343"/>
      <c r="AG102" s="344"/>
      <c r="AL102" s="343"/>
      <c r="AO102" s="344"/>
      <c r="AP102" s="343"/>
      <c r="AS102" s="344"/>
      <c r="AW102" s="344"/>
      <c r="BA102" s="345"/>
    </row>
    <row r="103" spans="1:53" s="334" customFormat="1">
      <c r="A103" s="334">
        <v>2007</v>
      </c>
      <c r="C103" s="992" t="s">
        <v>797</v>
      </c>
      <c r="D103" s="992"/>
      <c r="E103" s="334">
        <v>177</v>
      </c>
      <c r="G103" s="419"/>
      <c r="I103" s="334">
        <v>23</v>
      </c>
      <c r="J103" s="435">
        <v>23</v>
      </c>
      <c r="K103" s="384">
        <f t="shared" ref="K103:K114" si="8">G103/$J103*100</f>
        <v>0</v>
      </c>
      <c r="L103" s="384">
        <f t="shared" ref="L103:L114" si="9">H103/$J103*100</f>
        <v>0</v>
      </c>
      <c r="M103" s="384">
        <f t="shared" ref="M103:M114" si="10">I103/$J103*100</f>
        <v>100</v>
      </c>
      <c r="N103" s="421">
        <f t="shared" ref="N103:N114" si="11">K103+L103+M103</f>
        <v>100</v>
      </c>
      <c r="O103" s="383"/>
      <c r="P103" s="384"/>
      <c r="Q103" s="384">
        <v>55</v>
      </c>
      <c r="R103" s="385">
        <f t="shared" ref="R103:R124" si="12">O103+P103+Q103</f>
        <v>55</v>
      </c>
      <c r="S103" s="334">
        <v>1</v>
      </c>
      <c r="T103" s="357"/>
      <c r="V103" s="343" t="s">
        <v>461</v>
      </c>
      <c r="W103" s="334" t="s">
        <v>20</v>
      </c>
      <c r="X103" s="334" t="s">
        <v>12</v>
      </c>
      <c r="Y103" s="344">
        <v>55</v>
      </c>
      <c r="AD103" s="343"/>
      <c r="AG103" s="344"/>
      <c r="AL103" s="343"/>
      <c r="AO103" s="344"/>
      <c r="AP103" s="343"/>
      <c r="AS103" s="344"/>
      <c r="AW103" s="344"/>
      <c r="BA103" s="345"/>
    </row>
    <row r="104" spans="1:53" s="208" customFormat="1">
      <c r="A104" s="208">
        <v>2007</v>
      </c>
      <c r="B104" s="207">
        <v>39260</v>
      </c>
      <c r="C104" s="988" t="s">
        <v>798</v>
      </c>
      <c r="D104" s="988"/>
      <c r="E104" s="208">
        <f>365-E103</f>
        <v>188</v>
      </c>
      <c r="F104" s="208">
        <v>2</v>
      </c>
      <c r="G104" s="123"/>
      <c r="I104" s="208">
        <v>22</v>
      </c>
      <c r="J104" s="134">
        <v>22</v>
      </c>
      <c r="K104" s="92">
        <f t="shared" si="8"/>
        <v>0</v>
      </c>
      <c r="L104" s="92">
        <f t="shared" si="9"/>
        <v>0</v>
      </c>
      <c r="M104" s="92">
        <f t="shared" si="10"/>
        <v>100</v>
      </c>
      <c r="N104" s="125">
        <f t="shared" si="11"/>
        <v>100</v>
      </c>
      <c r="O104" s="91"/>
      <c r="P104" s="92"/>
      <c r="Q104" s="92">
        <v>55</v>
      </c>
      <c r="R104" s="93">
        <f t="shared" si="12"/>
        <v>55</v>
      </c>
      <c r="S104" s="208">
        <v>1</v>
      </c>
      <c r="T104" s="81"/>
      <c r="U104" s="207">
        <v>39260</v>
      </c>
      <c r="V104" s="82" t="s">
        <v>461</v>
      </c>
      <c r="W104" s="208" t="s">
        <v>20</v>
      </c>
      <c r="X104" s="208" t="s">
        <v>12</v>
      </c>
      <c r="Y104" s="83">
        <v>55</v>
      </c>
      <c r="AD104" s="82"/>
      <c r="AG104" s="83"/>
      <c r="AL104" s="82"/>
      <c r="AO104" s="83"/>
      <c r="AP104" s="82"/>
      <c r="AS104" s="83"/>
      <c r="AW104" s="83"/>
      <c r="BA104" s="84"/>
    </row>
    <row r="105" spans="1:53" s="208" customFormat="1">
      <c r="A105" s="208">
        <v>2008</v>
      </c>
      <c r="C105" s="988" t="s">
        <v>798</v>
      </c>
      <c r="D105" s="988"/>
      <c r="E105" s="208">
        <v>0</v>
      </c>
      <c r="G105" s="123"/>
      <c r="I105" s="208">
        <v>22</v>
      </c>
      <c r="J105" s="134">
        <v>22</v>
      </c>
      <c r="K105" s="92">
        <f t="shared" si="8"/>
        <v>0</v>
      </c>
      <c r="L105" s="92">
        <f t="shared" si="9"/>
        <v>0</v>
      </c>
      <c r="M105" s="92">
        <f t="shared" si="10"/>
        <v>100</v>
      </c>
      <c r="N105" s="125">
        <f t="shared" si="11"/>
        <v>100</v>
      </c>
      <c r="O105" s="91"/>
      <c r="P105" s="92"/>
      <c r="Q105" s="92">
        <v>55</v>
      </c>
      <c r="R105" s="93">
        <f t="shared" si="12"/>
        <v>55</v>
      </c>
      <c r="S105" s="208">
        <v>1</v>
      </c>
      <c r="T105" s="81"/>
      <c r="V105" s="82" t="s">
        <v>461</v>
      </c>
      <c r="W105" s="208" t="s">
        <v>20</v>
      </c>
      <c r="X105" s="208" t="s">
        <v>12</v>
      </c>
      <c r="Y105" s="83">
        <v>55</v>
      </c>
      <c r="AD105" s="82"/>
      <c r="AG105" s="83"/>
      <c r="AL105" s="82"/>
      <c r="AO105" s="83"/>
      <c r="AP105" s="82"/>
      <c r="AS105" s="83"/>
      <c r="AW105" s="83"/>
      <c r="BA105" s="84"/>
    </row>
    <row r="106" spans="1:53" s="208" customFormat="1">
      <c r="A106" s="208">
        <v>2008</v>
      </c>
      <c r="C106" s="988" t="s">
        <v>798</v>
      </c>
      <c r="D106" s="988"/>
      <c r="E106" s="208">
        <v>366</v>
      </c>
      <c r="G106" s="123"/>
      <c r="I106" s="208">
        <v>22</v>
      </c>
      <c r="J106" s="134">
        <v>22</v>
      </c>
      <c r="K106" s="92">
        <f t="shared" si="8"/>
        <v>0</v>
      </c>
      <c r="L106" s="92">
        <f t="shared" si="9"/>
        <v>0</v>
      </c>
      <c r="M106" s="92">
        <f t="shared" si="10"/>
        <v>100</v>
      </c>
      <c r="N106" s="125">
        <f t="shared" si="11"/>
        <v>100</v>
      </c>
      <c r="O106" s="91"/>
      <c r="P106" s="92"/>
      <c r="Q106" s="92">
        <v>55</v>
      </c>
      <c r="R106" s="93">
        <f t="shared" si="12"/>
        <v>55</v>
      </c>
      <c r="S106" s="208">
        <v>1</v>
      </c>
      <c r="T106" s="81"/>
      <c r="V106" s="82" t="s">
        <v>461</v>
      </c>
      <c r="W106" s="208" t="s">
        <v>20</v>
      </c>
      <c r="X106" s="208" t="s">
        <v>12</v>
      </c>
      <c r="Y106" s="83">
        <v>55</v>
      </c>
      <c r="AD106" s="82"/>
      <c r="AG106" s="83"/>
      <c r="AL106" s="82"/>
      <c r="AO106" s="83"/>
      <c r="AP106" s="82"/>
      <c r="AS106" s="83"/>
      <c r="AW106" s="83"/>
      <c r="BA106" s="84"/>
    </row>
    <row r="107" spans="1:53" s="208" customFormat="1">
      <c r="A107" s="208">
        <v>2009</v>
      </c>
      <c r="C107" s="988" t="s">
        <v>798</v>
      </c>
      <c r="D107" s="988"/>
      <c r="E107" s="208">
        <v>0</v>
      </c>
      <c r="G107" s="123"/>
      <c r="I107" s="208">
        <v>22</v>
      </c>
      <c r="J107" s="134">
        <v>22</v>
      </c>
      <c r="K107" s="92">
        <f t="shared" si="8"/>
        <v>0</v>
      </c>
      <c r="L107" s="92">
        <f t="shared" si="9"/>
        <v>0</v>
      </c>
      <c r="M107" s="92">
        <f t="shared" si="10"/>
        <v>100</v>
      </c>
      <c r="N107" s="125">
        <f t="shared" si="11"/>
        <v>100</v>
      </c>
      <c r="O107" s="91"/>
      <c r="P107" s="92"/>
      <c r="Q107" s="92">
        <v>55</v>
      </c>
      <c r="R107" s="93">
        <f t="shared" si="12"/>
        <v>55</v>
      </c>
      <c r="S107" s="208">
        <v>1</v>
      </c>
      <c r="T107" s="81"/>
      <c r="V107" s="82" t="s">
        <v>461</v>
      </c>
      <c r="W107" s="208" t="s">
        <v>20</v>
      </c>
      <c r="X107" s="208" t="s">
        <v>12</v>
      </c>
      <c r="Y107" s="83">
        <v>55</v>
      </c>
      <c r="AD107" s="82"/>
      <c r="AG107" s="83"/>
      <c r="AL107" s="82"/>
      <c r="AO107" s="83"/>
      <c r="AP107" s="82"/>
      <c r="AS107" s="83"/>
      <c r="AW107" s="83"/>
      <c r="BA107" s="84"/>
    </row>
    <row r="108" spans="1:53" s="208" customFormat="1">
      <c r="A108" s="208">
        <v>2009</v>
      </c>
      <c r="C108" s="988" t="s">
        <v>798</v>
      </c>
      <c r="D108" s="988"/>
      <c r="E108" s="208">
        <v>365</v>
      </c>
      <c r="G108" s="123"/>
      <c r="I108" s="208">
        <v>22</v>
      </c>
      <c r="J108" s="134">
        <v>22</v>
      </c>
      <c r="K108" s="92">
        <f t="shared" si="8"/>
        <v>0</v>
      </c>
      <c r="L108" s="92">
        <f t="shared" si="9"/>
        <v>0</v>
      </c>
      <c r="M108" s="92">
        <f t="shared" si="10"/>
        <v>100</v>
      </c>
      <c r="N108" s="125">
        <f t="shared" si="11"/>
        <v>100</v>
      </c>
      <c r="O108" s="91"/>
      <c r="P108" s="92"/>
      <c r="Q108" s="92">
        <v>55</v>
      </c>
      <c r="R108" s="93">
        <f t="shared" si="12"/>
        <v>55</v>
      </c>
      <c r="S108" s="208">
        <v>1</v>
      </c>
      <c r="T108" s="81"/>
      <c r="V108" s="82" t="s">
        <v>461</v>
      </c>
      <c r="W108" s="208" t="s">
        <v>20</v>
      </c>
      <c r="X108" s="208" t="s">
        <v>12</v>
      </c>
      <c r="Y108" s="83">
        <v>55</v>
      </c>
      <c r="AD108" s="82"/>
      <c r="AG108" s="83"/>
      <c r="AL108" s="82"/>
      <c r="AO108" s="83"/>
      <c r="AP108" s="82"/>
      <c r="AS108" s="83"/>
      <c r="AW108" s="83"/>
      <c r="BA108" s="84"/>
    </row>
    <row r="109" spans="1:53" s="208" customFormat="1">
      <c r="A109" s="208">
        <v>2010</v>
      </c>
      <c r="C109" s="988" t="s">
        <v>798</v>
      </c>
      <c r="D109" s="988"/>
      <c r="E109" s="208">
        <v>138</v>
      </c>
      <c r="G109" s="123"/>
      <c r="I109" s="208">
        <v>22</v>
      </c>
      <c r="J109" s="134">
        <v>22</v>
      </c>
      <c r="K109" s="92">
        <f t="shared" si="8"/>
        <v>0</v>
      </c>
      <c r="L109" s="92">
        <f t="shared" si="9"/>
        <v>0</v>
      </c>
      <c r="M109" s="92">
        <f t="shared" si="10"/>
        <v>100</v>
      </c>
      <c r="N109" s="125">
        <f t="shared" si="11"/>
        <v>100</v>
      </c>
      <c r="O109" s="91"/>
      <c r="P109" s="92"/>
      <c r="Q109" s="92">
        <v>55</v>
      </c>
      <c r="R109" s="594">
        <f t="shared" si="12"/>
        <v>55</v>
      </c>
      <c r="S109" s="208">
        <v>1</v>
      </c>
      <c r="T109" s="81"/>
      <c r="V109" s="82" t="s">
        <v>461</v>
      </c>
      <c r="W109" s="208" t="s">
        <v>20</v>
      </c>
      <c r="X109" s="208" t="s">
        <v>12</v>
      </c>
      <c r="Y109" s="83">
        <v>55</v>
      </c>
      <c r="AD109" s="82"/>
      <c r="AG109" s="83"/>
      <c r="AL109" s="82"/>
      <c r="AO109" s="83"/>
      <c r="AP109" s="82"/>
      <c r="AS109" s="83"/>
      <c r="AW109" s="83"/>
      <c r="BA109" s="84"/>
    </row>
    <row r="110" spans="1:53" s="334" customFormat="1">
      <c r="A110" s="334">
        <v>2010</v>
      </c>
      <c r="B110" s="355">
        <v>40317</v>
      </c>
      <c r="C110" s="992" t="s">
        <v>807</v>
      </c>
      <c r="D110" s="992"/>
      <c r="E110" s="334">
        <f>365-E109</f>
        <v>227</v>
      </c>
      <c r="F110" s="334">
        <v>1</v>
      </c>
      <c r="G110" s="419">
        <v>23</v>
      </c>
      <c r="J110" s="435">
        <v>23</v>
      </c>
      <c r="K110" s="384">
        <f t="shared" si="8"/>
        <v>100</v>
      </c>
      <c r="L110" s="384">
        <f t="shared" si="9"/>
        <v>0</v>
      </c>
      <c r="M110" s="384">
        <f t="shared" si="10"/>
        <v>0</v>
      </c>
      <c r="N110" s="421">
        <f t="shared" si="11"/>
        <v>100</v>
      </c>
      <c r="O110" s="383">
        <v>55.9</v>
      </c>
      <c r="P110" s="384"/>
      <c r="Q110" s="384"/>
      <c r="R110" s="641">
        <f t="shared" si="12"/>
        <v>55.9</v>
      </c>
      <c r="S110" s="334">
        <v>2</v>
      </c>
      <c r="T110" s="342">
        <v>40304</v>
      </c>
      <c r="U110" s="355">
        <v>40317</v>
      </c>
      <c r="V110" s="343" t="s">
        <v>799</v>
      </c>
      <c r="W110" s="334" t="s">
        <v>74</v>
      </c>
      <c r="X110" s="334" t="s">
        <v>11</v>
      </c>
      <c r="Y110" s="344">
        <v>47.1</v>
      </c>
      <c r="Z110" s="334" t="s">
        <v>72</v>
      </c>
      <c r="AA110" s="334" t="s">
        <v>88</v>
      </c>
      <c r="AB110" s="334" t="s">
        <v>11</v>
      </c>
      <c r="AC110" s="334">
        <v>8.8000000000000007</v>
      </c>
      <c r="AD110" s="343"/>
      <c r="AG110" s="344"/>
      <c r="AL110" s="343"/>
      <c r="AO110" s="344"/>
      <c r="AP110" s="343"/>
      <c r="AS110" s="344"/>
      <c r="AW110" s="344"/>
      <c r="BA110" s="345"/>
    </row>
    <row r="111" spans="1:53" s="334" customFormat="1">
      <c r="A111" s="334">
        <v>2011</v>
      </c>
      <c r="C111" s="992" t="s">
        <v>807</v>
      </c>
      <c r="D111" s="992"/>
      <c r="E111" s="334">
        <v>0</v>
      </c>
      <c r="G111" s="419">
        <v>23</v>
      </c>
      <c r="J111" s="435">
        <v>23</v>
      </c>
      <c r="K111" s="384">
        <f t="shared" si="8"/>
        <v>100</v>
      </c>
      <c r="L111" s="384">
        <f t="shared" si="9"/>
        <v>0</v>
      </c>
      <c r="M111" s="384">
        <f t="shared" si="10"/>
        <v>0</v>
      </c>
      <c r="N111" s="421">
        <f t="shared" si="11"/>
        <v>100</v>
      </c>
      <c r="O111" s="383">
        <v>55.9</v>
      </c>
      <c r="P111" s="384"/>
      <c r="Q111" s="384"/>
      <c r="R111" s="641">
        <f t="shared" si="12"/>
        <v>55.9</v>
      </c>
      <c r="S111" s="334">
        <v>2</v>
      </c>
      <c r="T111" s="357"/>
      <c r="V111" s="343" t="s">
        <v>799</v>
      </c>
      <c r="W111" s="334" t="s">
        <v>74</v>
      </c>
      <c r="X111" s="334" t="s">
        <v>11</v>
      </c>
      <c r="Y111" s="344">
        <v>47.1</v>
      </c>
      <c r="Z111" s="334" t="s">
        <v>72</v>
      </c>
      <c r="AA111" s="334" t="s">
        <v>88</v>
      </c>
      <c r="AB111" s="334" t="s">
        <v>11</v>
      </c>
      <c r="AC111" s="334">
        <v>8.8000000000000007</v>
      </c>
      <c r="AD111" s="343"/>
      <c r="AG111" s="344"/>
      <c r="AL111" s="343"/>
      <c r="AO111" s="344"/>
      <c r="AP111" s="343"/>
      <c r="AS111" s="344"/>
      <c r="AW111" s="344"/>
      <c r="BA111" s="345"/>
    </row>
    <row r="112" spans="1:53" s="334" customFormat="1">
      <c r="A112" s="334">
        <v>2011</v>
      </c>
      <c r="C112" s="992" t="s">
        <v>807</v>
      </c>
      <c r="D112" s="992"/>
      <c r="E112" s="334">
        <v>365</v>
      </c>
      <c r="G112" s="419">
        <v>23</v>
      </c>
      <c r="J112" s="435">
        <v>23</v>
      </c>
      <c r="K112" s="384">
        <f t="shared" si="8"/>
        <v>100</v>
      </c>
      <c r="L112" s="384">
        <f t="shared" si="9"/>
        <v>0</v>
      </c>
      <c r="M112" s="384">
        <f t="shared" si="10"/>
        <v>0</v>
      </c>
      <c r="N112" s="421">
        <f t="shared" si="11"/>
        <v>100</v>
      </c>
      <c r="O112" s="383">
        <v>55.9</v>
      </c>
      <c r="P112" s="384"/>
      <c r="Q112" s="384"/>
      <c r="R112" s="641">
        <f t="shared" si="12"/>
        <v>55.9</v>
      </c>
      <c r="S112" s="334">
        <v>2</v>
      </c>
      <c r="T112" s="357"/>
      <c r="V112" s="343" t="s">
        <v>799</v>
      </c>
      <c r="W112" s="334" t="s">
        <v>74</v>
      </c>
      <c r="X112" s="334" t="s">
        <v>11</v>
      </c>
      <c r="Y112" s="344">
        <v>47.1</v>
      </c>
      <c r="Z112" s="334" t="s">
        <v>72</v>
      </c>
      <c r="AA112" s="334" t="s">
        <v>88</v>
      </c>
      <c r="AB112" s="334" t="s">
        <v>11</v>
      </c>
      <c r="AC112" s="334">
        <v>8.8000000000000007</v>
      </c>
      <c r="AD112" s="343"/>
      <c r="AG112" s="344"/>
      <c r="AL112" s="343"/>
      <c r="AO112" s="344"/>
      <c r="AP112" s="343"/>
      <c r="AS112" s="344"/>
      <c r="AW112" s="344"/>
      <c r="BA112" s="345"/>
    </row>
    <row r="113" spans="1:53" s="334" customFormat="1">
      <c r="A113" s="334">
        <v>2012</v>
      </c>
      <c r="C113" s="992" t="s">
        <v>807</v>
      </c>
      <c r="D113" s="992"/>
      <c r="E113" s="334">
        <v>0</v>
      </c>
      <c r="G113" s="419">
        <v>23</v>
      </c>
      <c r="J113" s="435">
        <v>23</v>
      </c>
      <c r="K113" s="384">
        <f t="shared" si="8"/>
        <v>100</v>
      </c>
      <c r="L113" s="384">
        <f t="shared" si="9"/>
        <v>0</v>
      </c>
      <c r="M113" s="384">
        <f t="shared" si="10"/>
        <v>0</v>
      </c>
      <c r="N113" s="421">
        <f t="shared" si="11"/>
        <v>100</v>
      </c>
      <c r="O113" s="383">
        <v>55.9</v>
      </c>
      <c r="P113" s="384"/>
      <c r="Q113" s="384"/>
      <c r="R113" s="641">
        <f t="shared" si="12"/>
        <v>55.9</v>
      </c>
      <c r="S113" s="334">
        <v>2</v>
      </c>
      <c r="T113" s="357"/>
      <c r="V113" s="343" t="s">
        <v>799</v>
      </c>
      <c r="W113" s="334" t="s">
        <v>74</v>
      </c>
      <c r="X113" s="334" t="s">
        <v>11</v>
      </c>
      <c r="Y113" s="344">
        <v>47.1</v>
      </c>
      <c r="Z113" s="334" t="s">
        <v>72</v>
      </c>
      <c r="AA113" s="334" t="s">
        <v>88</v>
      </c>
      <c r="AB113" s="334" t="s">
        <v>11</v>
      </c>
      <c r="AC113" s="334">
        <v>8.8000000000000007</v>
      </c>
      <c r="AD113" s="343"/>
      <c r="AG113" s="344"/>
      <c r="AL113" s="343"/>
      <c r="AO113" s="344"/>
      <c r="AP113" s="343"/>
      <c r="AS113" s="344"/>
      <c r="AW113" s="344"/>
      <c r="BA113" s="345"/>
    </row>
    <row r="114" spans="1:53" s="334" customFormat="1">
      <c r="A114" s="334">
        <v>2012</v>
      </c>
      <c r="C114" s="992" t="s">
        <v>807</v>
      </c>
      <c r="D114" s="992"/>
      <c r="E114" s="334">
        <v>366</v>
      </c>
      <c r="G114" s="419">
        <v>23</v>
      </c>
      <c r="J114" s="435">
        <v>23</v>
      </c>
      <c r="K114" s="384">
        <f t="shared" si="8"/>
        <v>100</v>
      </c>
      <c r="L114" s="384">
        <f t="shared" si="9"/>
        <v>0</v>
      </c>
      <c r="M114" s="384">
        <f t="shared" si="10"/>
        <v>0</v>
      </c>
      <c r="N114" s="421">
        <f t="shared" si="11"/>
        <v>100</v>
      </c>
      <c r="O114" s="383">
        <v>55.9</v>
      </c>
      <c r="P114" s="384"/>
      <c r="Q114" s="384"/>
      <c r="R114" s="641">
        <f t="shared" si="12"/>
        <v>55.9</v>
      </c>
      <c r="S114" s="334">
        <v>2</v>
      </c>
      <c r="T114" s="357"/>
      <c r="V114" s="343" t="s">
        <v>799</v>
      </c>
      <c r="W114" s="334" t="s">
        <v>74</v>
      </c>
      <c r="X114" s="334" t="s">
        <v>11</v>
      </c>
      <c r="Y114" s="344">
        <v>47.1</v>
      </c>
      <c r="Z114" s="334" t="s">
        <v>72</v>
      </c>
      <c r="AA114" s="334" t="s">
        <v>88</v>
      </c>
      <c r="AB114" s="334" t="s">
        <v>11</v>
      </c>
      <c r="AC114" s="334">
        <v>8.8000000000000007</v>
      </c>
      <c r="AD114" s="343"/>
      <c r="AG114" s="344"/>
      <c r="AL114" s="343"/>
      <c r="AO114" s="344"/>
      <c r="AP114" s="343"/>
      <c r="AS114" s="344"/>
      <c r="AW114" s="344"/>
      <c r="BA114" s="345"/>
    </row>
    <row r="115" spans="1:53" s="334" customFormat="1">
      <c r="A115" s="334">
        <v>2013</v>
      </c>
      <c r="C115" s="992" t="s">
        <v>807</v>
      </c>
      <c r="D115" s="992"/>
      <c r="E115" s="334">
        <v>0</v>
      </c>
      <c r="G115" s="419">
        <v>23</v>
      </c>
      <c r="J115" s="435">
        <v>23</v>
      </c>
      <c r="K115" s="640">
        <f t="shared" ref="K115:K124" si="13">G115/$J115*100</f>
        <v>100</v>
      </c>
      <c r="L115" s="640">
        <f t="shared" ref="L115:L124" si="14">H115/$J115*100</f>
        <v>0</v>
      </c>
      <c r="M115" s="640">
        <f t="shared" ref="M115:M124" si="15">I115/$J115*100</f>
        <v>0</v>
      </c>
      <c r="N115" s="643">
        <f t="shared" ref="N115:N124" si="16">K115+L115+M115</f>
        <v>100</v>
      </c>
      <c r="O115" s="383">
        <v>55.9</v>
      </c>
      <c r="P115" s="384"/>
      <c r="Q115" s="384"/>
      <c r="R115" s="641">
        <f t="shared" si="12"/>
        <v>55.9</v>
      </c>
      <c r="S115" s="334">
        <v>2</v>
      </c>
      <c r="T115" s="357"/>
      <c r="V115" s="343" t="s">
        <v>799</v>
      </c>
      <c r="W115" s="334" t="s">
        <v>74</v>
      </c>
      <c r="X115" s="334" t="s">
        <v>11</v>
      </c>
      <c r="Y115" s="344">
        <v>47.1</v>
      </c>
      <c r="Z115" s="334" t="s">
        <v>72</v>
      </c>
      <c r="AA115" s="334" t="s">
        <v>88</v>
      </c>
      <c r="AB115" s="334" t="s">
        <v>11</v>
      </c>
      <c r="AC115" s="334">
        <v>8.8000000000000007</v>
      </c>
      <c r="AD115" s="343"/>
      <c r="AG115" s="344"/>
      <c r="AL115" s="343"/>
      <c r="AO115" s="344"/>
      <c r="AP115" s="343"/>
      <c r="AS115" s="344"/>
      <c r="AW115" s="344"/>
      <c r="BA115" s="345"/>
    </row>
    <row r="116" spans="1:53" s="334" customFormat="1">
      <c r="A116" s="334">
        <v>2013</v>
      </c>
      <c r="C116" s="992" t="s">
        <v>807</v>
      </c>
      <c r="D116" s="992"/>
      <c r="E116" s="334">
        <v>365</v>
      </c>
      <c r="G116" s="419">
        <v>23</v>
      </c>
      <c r="J116" s="435">
        <v>23</v>
      </c>
      <c r="K116" s="640">
        <f t="shared" si="13"/>
        <v>100</v>
      </c>
      <c r="L116" s="640">
        <f t="shared" si="14"/>
        <v>0</v>
      </c>
      <c r="M116" s="640">
        <f t="shared" si="15"/>
        <v>0</v>
      </c>
      <c r="N116" s="643">
        <f t="shared" si="16"/>
        <v>100</v>
      </c>
      <c r="O116" s="383">
        <v>55.9</v>
      </c>
      <c r="P116" s="384"/>
      <c r="Q116" s="384"/>
      <c r="R116" s="641">
        <f t="shared" si="12"/>
        <v>55.9</v>
      </c>
      <c r="S116" s="334">
        <v>2</v>
      </c>
      <c r="T116" s="357"/>
      <c r="V116" s="343" t="s">
        <v>799</v>
      </c>
      <c r="W116" s="334" t="s">
        <v>74</v>
      </c>
      <c r="X116" s="334" t="s">
        <v>11</v>
      </c>
      <c r="Y116" s="344">
        <v>47.1</v>
      </c>
      <c r="Z116" s="334" t="s">
        <v>72</v>
      </c>
      <c r="AA116" s="334" t="s">
        <v>88</v>
      </c>
      <c r="AB116" s="334" t="s">
        <v>11</v>
      </c>
      <c r="AC116" s="334">
        <v>8.8000000000000007</v>
      </c>
      <c r="AD116" s="343"/>
      <c r="AG116" s="344"/>
      <c r="AL116" s="343"/>
      <c r="AO116" s="344"/>
      <c r="AP116" s="343"/>
      <c r="AS116" s="344"/>
      <c r="AW116" s="344"/>
      <c r="BA116" s="345"/>
    </row>
    <row r="117" spans="1:53" s="601" customFormat="1">
      <c r="A117" s="602">
        <v>2014</v>
      </c>
      <c r="B117" s="602"/>
      <c r="C117" s="992" t="s">
        <v>807</v>
      </c>
      <c r="D117" s="992"/>
      <c r="E117" s="602">
        <v>0</v>
      </c>
      <c r="F117" s="602"/>
      <c r="G117" s="609">
        <v>23</v>
      </c>
      <c r="H117" s="602"/>
      <c r="I117" s="602"/>
      <c r="J117" s="610">
        <v>23</v>
      </c>
      <c r="K117" s="640">
        <f t="shared" si="13"/>
        <v>100</v>
      </c>
      <c r="L117" s="640">
        <f t="shared" si="14"/>
        <v>0</v>
      </c>
      <c r="M117" s="640">
        <f t="shared" si="15"/>
        <v>0</v>
      </c>
      <c r="N117" s="643">
        <f t="shared" si="16"/>
        <v>100</v>
      </c>
      <c r="O117" s="607">
        <v>55.9</v>
      </c>
      <c r="P117" s="608"/>
      <c r="Q117" s="608"/>
      <c r="R117" s="641">
        <f t="shared" si="12"/>
        <v>55.9</v>
      </c>
      <c r="S117" s="602">
        <v>2</v>
      </c>
      <c r="T117" s="606"/>
      <c r="U117" s="602"/>
      <c r="V117" s="603" t="s">
        <v>799</v>
      </c>
      <c r="W117" s="602" t="s">
        <v>74</v>
      </c>
      <c r="X117" s="602" t="s">
        <v>11</v>
      </c>
      <c r="Y117" s="604">
        <v>47.1</v>
      </c>
      <c r="Z117" s="602" t="s">
        <v>72</v>
      </c>
      <c r="AA117" s="602" t="s">
        <v>88</v>
      </c>
      <c r="AB117" s="602" t="s">
        <v>11</v>
      </c>
      <c r="AC117" s="602">
        <v>8.8000000000000007</v>
      </c>
      <c r="AD117" s="603"/>
      <c r="AE117" s="602"/>
      <c r="AF117" s="602"/>
      <c r="AG117" s="604"/>
      <c r="AH117" s="602"/>
      <c r="AI117" s="602"/>
      <c r="AJ117" s="602"/>
      <c r="AK117" s="602"/>
      <c r="AL117" s="603"/>
      <c r="AM117" s="602"/>
      <c r="AN117" s="602"/>
      <c r="AO117" s="604"/>
      <c r="AP117" s="603"/>
      <c r="AQ117" s="602"/>
      <c r="AR117" s="602"/>
      <c r="AS117" s="604"/>
      <c r="AT117" s="602"/>
      <c r="AU117" s="602"/>
      <c r="AV117" s="602"/>
      <c r="AW117" s="604"/>
      <c r="AX117" s="602"/>
      <c r="AY117" s="602"/>
      <c r="AZ117" s="602"/>
      <c r="BA117" s="605"/>
    </row>
    <row r="118" spans="1:53" s="602" customFormat="1" ht="8.25" customHeight="1">
      <c r="A118" s="612">
        <v>2014</v>
      </c>
      <c r="B118" s="612"/>
      <c r="C118" s="992" t="s">
        <v>807</v>
      </c>
      <c r="D118" s="992"/>
      <c r="E118" s="612">
        <v>365</v>
      </c>
      <c r="F118" s="612"/>
      <c r="G118" s="619">
        <v>23</v>
      </c>
      <c r="H118" s="612"/>
      <c r="I118" s="612"/>
      <c r="J118" s="620">
        <v>23</v>
      </c>
      <c r="K118" s="640">
        <f t="shared" si="13"/>
        <v>100</v>
      </c>
      <c r="L118" s="640">
        <f t="shared" si="14"/>
        <v>0</v>
      </c>
      <c r="M118" s="640">
        <f t="shared" si="15"/>
        <v>0</v>
      </c>
      <c r="N118" s="643">
        <f t="shared" si="16"/>
        <v>100</v>
      </c>
      <c r="O118" s="617">
        <v>55.9</v>
      </c>
      <c r="P118" s="618"/>
      <c r="Q118" s="618"/>
      <c r="R118" s="641">
        <f t="shared" si="12"/>
        <v>55.9</v>
      </c>
      <c r="S118" s="612">
        <v>2</v>
      </c>
      <c r="T118" s="616"/>
      <c r="U118" s="612"/>
      <c r="V118" s="613" t="s">
        <v>799</v>
      </c>
      <c r="W118" s="612" t="s">
        <v>74</v>
      </c>
      <c r="X118" s="612" t="s">
        <v>11</v>
      </c>
      <c r="Y118" s="614">
        <v>47.1</v>
      </c>
      <c r="Z118" s="612" t="s">
        <v>72</v>
      </c>
      <c r="AA118" s="612" t="s">
        <v>88</v>
      </c>
      <c r="AB118" s="612" t="s">
        <v>11</v>
      </c>
      <c r="AC118" s="612">
        <v>8.8000000000000007</v>
      </c>
      <c r="AD118" s="613"/>
      <c r="AE118" s="612"/>
      <c r="AF118" s="612"/>
      <c r="AG118" s="614"/>
      <c r="AH118" s="612"/>
      <c r="AI118" s="612"/>
      <c r="AJ118" s="612"/>
      <c r="AK118" s="612"/>
      <c r="AL118" s="613"/>
      <c r="AM118" s="612"/>
      <c r="AN118" s="612"/>
      <c r="AO118" s="614"/>
      <c r="AP118" s="613"/>
      <c r="AQ118" s="612"/>
      <c r="AR118" s="612"/>
      <c r="AS118" s="614"/>
      <c r="AT118" s="612"/>
      <c r="AU118" s="612"/>
      <c r="AV118" s="612"/>
      <c r="AW118" s="614"/>
      <c r="AX118" s="612"/>
      <c r="AY118" s="612"/>
      <c r="AZ118" s="612"/>
      <c r="BA118" s="615"/>
    </row>
    <row r="119" spans="1:53" s="763" customFormat="1">
      <c r="A119" s="763">
        <v>2015</v>
      </c>
      <c r="C119" s="992" t="s">
        <v>807</v>
      </c>
      <c r="D119" s="992"/>
      <c r="E119" s="763">
        <v>127</v>
      </c>
      <c r="G119" s="642">
        <v>23</v>
      </c>
      <c r="J119" s="644">
        <v>23</v>
      </c>
      <c r="K119" s="640">
        <f t="shared" si="13"/>
        <v>100</v>
      </c>
      <c r="L119" s="640">
        <f t="shared" si="14"/>
        <v>0</v>
      </c>
      <c r="M119" s="640">
        <f t="shared" si="15"/>
        <v>0</v>
      </c>
      <c r="N119" s="643">
        <f t="shared" si="16"/>
        <v>100</v>
      </c>
      <c r="O119" s="639">
        <v>55.9</v>
      </c>
      <c r="P119" s="640"/>
      <c r="Q119" s="640"/>
      <c r="R119" s="641">
        <f t="shared" si="12"/>
        <v>55.9</v>
      </c>
      <c r="S119" s="763">
        <v>2</v>
      </c>
      <c r="T119" s="638"/>
      <c r="V119" s="634" t="s">
        <v>799</v>
      </c>
      <c r="W119" s="763" t="s">
        <v>74</v>
      </c>
      <c r="X119" s="763" t="s">
        <v>11</v>
      </c>
      <c r="Y119" s="635">
        <v>47.1</v>
      </c>
      <c r="Z119" s="763" t="s">
        <v>72</v>
      </c>
      <c r="AA119" s="763" t="s">
        <v>88</v>
      </c>
      <c r="AB119" s="763" t="s">
        <v>11</v>
      </c>
      <c r="AC119" s="763">
        <v>8.8000000000000007</v>
      </c>
      <c r="AD119" s="634"/>
      <c r="AG119" s="635"/>
      <c r="AL119" s="634"/>
      <c r="AO119" s="635"/>
      <c r="AP119" s="634"/>
      <c r="AS119" s="635"/>
      <c r="AW119" s="635"/>
      <c r="BA119" s="636"/>
    </row>
    <row r="120" spans="1:53" s="762" customFormat="1">
      <c r="A120" s="762">
        <v>2015</v>
      </c>
      <c r="B120" s="758">
        <v>42132</v>
      </c>
      <c r="C120" s="988" t="s">
        <v>1347</v>
      </c>
      <c r="D120" s="988"/>
      <c r="E120" s="762">
        <v>238</v>
      </c>
      <c r="F120" s="762">
        <v>1</v>
      </c>
      <c r="G120" s="596">
        <v>22</v>
      </c>
      <c r="J120" s="598">
        <v>22</v>
      </c>
      <c r="K120" s="593">
        <f t="shared" si="13"/>
        <v>100</v>
      </c>
      <c r="L120" s="593">
        <f t="shared" si="14"/>
        <v>0</v>
      </c>
      <c r="M120" s="593">
        <f t="shared" si="15"/>
        <v>0</v>
      </c>
      <c r="N120" s="597">
        <f t="shared" si="16"/>
        <v>100</v>
      </c>
      <c r="O120" s="592">
        <v>50.9</v>
      </c>
      <c r="P120" s="593"/>
      <c r="Q120" s="593"/>
      <c r="R120" s="594">
        <f t="shared" si="12"/>
        <v>50.9</v>
      </c>
      <c r="S120" s="762">
        <v>1</v>
      </c>
      <c r="T120" s="595">
        <v>42131</v>
      </c>
      <c r="U120" s="758">
        <v>42132</v>
      </c>
      <c r="V120" s="588" t="s">
        <v>799</v>
      </c>
      <c r="W120" s="762" t="s">
        <v>74</v>
      </c>
      <c r="X120" s="762" t="s">
        <v>11</v>
      </c>
      <c r="Y120" s="589">
        <v>50.9</v>
      </c>
      <c r="AD120" s="588"/>
      <c r="AG120" s="589"/>
      <c r="AL120" s="588"/>
      <c r="AO120" s="589"/>
      <c r="AP120" s="588"/>
      <c r="AS120" s="589"/>
      <c r="AW120" s="589"/>
      <c r="BA120" s="590"/>
    </row>
    <row r="121" spans="1:53" s="849" customFormat="1">
      <c r="A121" s="849">
        <v>2016</v>
      </c>
      <c r="B121" s="846"/>
      <c r="C121" s="988" t="s">
        <v>1347</v>
      </c>
      <c r="D121" s="988"/>
      <c r="E121" s="849">
        <v>195</v>
      </c>
      <c r="G121" s="596">
        <v>22</v>
      </c>
      <c r="J121" s="598">
        <v>22</v>
      </c>
      <c r="K121" s="593">
        <f t="shared" si="13"/>
        <v>100</v>
      </c>
      <c r="L121" s="593">
        <f t="shared" si="14"/>
        <v>0</v>
      </c>
      <c r="M121" s="593">
        <f t="shared" si="15"/>
        <v>0</v>
      </c>
      <c r="N121" s="597">
        <f t="shared" si="16"/>
        <v>100</v>
      </c>
      <c r="O121" s="592">
        <v>50.9</v>
      </c>
      <c r="P121" s="593"/>
      <c r="Q121" s="593"/>
      <c r="R121" s="594">
        <f t="shared" si="12"/>
        <v>50.9</v>
      </c>
      <c r="S121" s="849">
        <v>1</v>
      </c>
      <c r="T121" s="595"/>
      <c r="U121" s="846"/>
      <c r="V121" s="588" t="s">
        <v>799</v>
      </c>
      <c r="W121" s="860" t="s">
        <v>74</v>
      </c>
      <c r="X121" s="849" t="s">
        <v>11</v>
      </c>
      <c r="Y121" s="589">
        <v>50.9</v>
      </c>
      <c r="AD121" s="588"/>
      <c r="AG121" s="589"/>
      <c r="AL121" s="588"/>
      <c r="AO121" s="589"/>
      <c r="AP121" s="588"/>
      <c r="AS121" s="589"/>
      <c r="AW121" s="589"/>
      <c r="BA121" s="590"/>
    </row>
    <row r="122" spans="1:53" s="848" customFormat="1">
      <c r="A122" s="848">
        <v>2016</v>
      </c>
      <c r="B122" s="847">
        <v>42565</v>
      </c>
      <c r="C122" s="992" t="s">
        <v>1368</v>
      </c>
      <c r="D122" s="992"/>
      <c r="E122" s="848">
        <v>171</v>
      </c>
      <c r="F122" s="865">
        <v>2</v>
      </c>
      <c r="G122" s="642">
        <v>23</v>
      </c>
      <c r="J122" s="644">
        <v>23</v>
      </c>
      <c r="K122" s="640">
        <f t="shared" si="13"/>
        <v>100</v>
      </c>
      <c r="L122" s="640">
        <f t="shared" si="14"/>
        <v>0</v>
      </c>
      <c r="M122" s="640">
        <f t="shared" si="15"/>
        <v>0</v>
      </c>
      <c r="N122" s="643">
        <f t="shared" si="16"/>
        <v>100</v>
      </c>
      <c r="O122" s="639">
        <v>50.7</v>
      </c>
      <c r="P122" s="640"/>
      <c r="Q122" s="640"/>
      <c r="R122" s="641">
        <f t="shared" si="12"/>
        <v>50.7</v>
      </c>
      <c r="S122" s="848">
        <v>1</v>
      </c>
      <c r="T122" s="642"/>
      <c r="U122" s="791">
        <v>42565</v>
      </c>
      <c r="V122" s="634" t="s">
        <v>799</v>
      </c>
      <c r="W122" s="861" t="s">
        <v>74</v>
      </c>
      <c r="X122" s="848" t="s">
        <v>11</v>
      </c>
      <c r="Y122" s="635">
        <v>50.7</v>
      </c>
      <c r="AD122" s="634"/>
      <c r="AG122" s="635"/>
      <c r="AL122" s="634"/>
      <c r="AO122" s="635"/>
      <c r="AP122" s="634"/>
      <c r="AS122" s="635"/>
      <c r="AW122" s="635"/>
      <c r="BA122" s="636"/>
    </row>
    <row r="123" spans="1:53" s="902" customFormat="1">
      <c r="A123" s="902">
        <v>2017</v>
      </c>
      <c r="B123" s="901"/>
      <c r="C123" s="992" t="s">
        <v>1368</v>
      </c>
      <c r="D123" s="992"/>
      <c r="E123" s="902">
        <v>161</v>
      </c>
      <c r="G123" s="642">
        <v>23</v>
      </c>
      <c r="J123" s="644">
        <v>23</v>
      </c>
      <c r="K123" s="640">
        <f t="shared" si="13"/>
        <v>100</v>
      </c>
      <c r="L123" s="640">
        <f t="shared" si="14"/>
        <v>0</v>
      </c>
      <c r="M123" s="640">
        <f t="shared" si="15"/>
        <v>0</v>
      </c>
      <c r="N123" s="643">
        <f t="shared" si="16"/>
        <v>100</v>
      </c>
      <c r="O123" s="639">
        <v>50.7</v>
      </c>
      <c r="P123" s="640"/>
      <c r="Q123" s="640"/>
      <c r="R123" s="641">
        <f t="shared" si="12"/>
        <v>50.7</v>
      </c>
      <c r="S123" s="902">
        <v>1</v>
      </c>
      <c r="T123" s="642"/>
      <c r="U123" s="791"/>
      <c r="V123" s="634" t="s">
        <v>799</v>
      </c>
      <c r="W123" s="902" t="s">
        <v>74</v>
      </c>
      <c r="X123" s="902" t="s">
        <v>11</v>
      </c>
      <c r="Y123" s="635">
        <v>50.7</v>
      </c>
      <c r="AD123" s="634"/>
      <c r="AG123" s="635"/>
      <c r="AL123" s="634"/>
      <c r="AO123" s="635"/>
      <c r="AP123" s="634"/>
      <c r="AS123" s="635"/>
      <c r="AW123" s="635"/>
      <c r="BA123" s="636"/>
    </row>
    <row r="124" spans="1:53" s="903" customFormat="1">
      <c r="A124" s="903">
        <v>2017</v>
      </c>
      <c r="B124" s="900">
        <v>42897</v>
      </c>
      <c r="C124" s="988" t="s">
        <v>1402</v>
      </c>
      <c r="D124" s="988"/>
      <c r="E124" s="903">
        <v>204</v>
      </c>
      <c r="F124" s="903">
        <v>1</v>
      </c>
      <c r="G124" s="596">
        <v>23</v>
      </c>
      <c r="J124" s="598">
        <v>23</v>
      </c>
      <c r="K124" s="593">
        <f t="shared" si="13"/>
        <v>100</v>
      </c>
      <c r="L124" s="593">
        <f t="shared" si="14"/>
        <v>0</v>
      </c>
      <c r="M124" s="593">
        <f t="shared" si="15"/>
        <v>0</v>
      </c>
      <c r="N124" s="597">
        <f t="shared" si="16"/>
        <v>100</v>
      </c>
      <c r="O124" s="592">
        <v>48.8</v>
      </c>
      <c r="P124" s="593"/>
      <c r="Q124" s="593"/>
      <c r="R124" s="594">
        <f t="shared" si="12"/>
        <v>48.8</v>
      </c>
      <c r="S124" s="903">
        <v>4</v>
      </c>
      <c r="T124" s="595">
        <v>42894</v>
      </c>
      <c r="U124" s="900">
        <v>42897</v>
      </c>
      <c r="V124" s="588" t="s">
        <v>799</v>
      </c>
      <c r="W124" s="903" t="s">
        <v>74</v>
      </c>
      <c r="X124" s="903" t="s">
        <v>11</v>
      </c>
      <c r="Y124" s="589">
        <v>48.8</v>
      </c>
      <c r="AD124" s="588"/>
      <c r="AG124" s="589"/>
      <c r="AL124" s="588"/>
      <c r="AO124" s="589"/>
      <c r="AP124" s="588"/>
      <c r="AS124" s="589"/>
      <c r="AW124" s="589"/>
      <c r="BA124" s="590"/>
    </row>
    <row r="125" spans="1:53" s="946" customFormat="1">
      <c r="A125" s="946">
        <v>2018</v>
      </c>
      <c r="B125" s="943"/>
      <c r="C125" s="988" t="s">
        <v>1402</v>
      </c>
      <c r="D125" s="988"/>
      <c r="E125" s="946">
        <v>0</v>
      </c>
      <c r="G125" s="596">
        <v>23</v>
      </c>
      <c r="J125" s="598">
        <v>23</v>
      </c>
      <c r="K125" s="593">
        <f t="shared" ref="K125:K126" si="17">G125/$J125*100</f>
        <v>100</v>
      </c>
      <c r="L125" s="593">
        <f t="shared" ref="L125:L126" si="18">H125/$J125*100</f>
        <v>0</v>
      </c>
      <c r="M125" s="593">
        <f t="shared" ref="M125:M126" si="19">I125/$J125*100</f>
        <v>0</v>
      </c>
      <c r="N125" s="597">
        <f t="shared" ref="N125:N126" si="20">K125+L125+M125</f>
        <v>100</v>
      </c>
      <c r="O125" s="592">
        <v>48.8</v>
      </c>
      <c r="P125" s="593"/>
      <c r="Q125" s="593"/>
      <c r="R125" s="594">
        <f t="shared" ref="R125:R126" si="21">O125+P125+Q125</f>
        <v>48.8</v>
      </c>
      <c r="S125" s="946">
        <v>4</v>
      </c>
      <c r="T125" s="595"/>
      <c r="U125" s="943"/>
      <c r="V125" s="588" t="s">
        <v>799</v>
      </c>
      <c r="W125" s="946" t="s">
        <v>74</v>
      </c>
      <c r="X125" s="946" t="s">
        <v>11</v>
      </c>
      <c r="Y125" s="589">
        <v>48.8</v>
      </c>
      <c r="AD125" s="588"/>
      <c r="AG125" s="589"/>
      <c r="AL125" s="588"/>
      <c r="AO125" s="589"/>
      <c r="AP125" s="588"/>
      <c r="AS125" s="589"/>
      <c r="AW125" s="589"/>
      <c r="BA125" s="590"/>
    </row>
    <row r="126" spans="1:53" s="946" customFormat="1">
      <c r="A126" s="946">
        <v>2018</v>
      </c>
      <c r="B126" s="943"/>
      <c r="C126" s="988" t="s">
        <v>1402</v>
      </c>
      <c r="D126" s="988"/>
      <c r="E126" s="946">
        <v>365</v>
      </c>
      <c r="G126" s="596">
        <v>23</v>
      </c>
      <c r="J126" s="598">
        <v>23</v>
      </c>
      <c r="K126" s="593">
        <f t="shared" si="17"/>
        <v>100</v>
      </c>
      <c r="L126" s="593">
        <f t="shared" si="18"/>
        <v>0</v>
      </c>
      <c r="M126" s="593">
        <f t="shared" si="19"/>
        <v>0</v>
      </c>
      <c r="N126" s="597">
        <f t="shared" si="20"/>
        <v>100</v>
      </c>
      <c r="O126" s="592">
        <v>48.8</v>
      </c>
      <c r="P126" s="593"/>
      <c r="Q126" s="593"/>
      <c r="R126" s="594">
        <f t="shared" si="21"/>
        <v>48.8</v>
      </c>
      <c r="S126" s="946">
        <v>4</v>
      </c>
      <c r="T126" s="595"/>
      <c r="U126" s="943"/>
      <c r="V126" s="588" t="s">
        <v>799</v>
      </c>
      <c r="W126" s="946" t="s">
        <v>74</v>
      </c>
      <c r="X126" s="946" t="s">
        <v>11</v>
      </c>
      <c r="Y126" s="589">
        <v>48.8</v>
      </c>
      <c r="AD126" s="588"/>
      <c r="AG126" s="589"/>
      <c r="AL126" s="588"/>
      <c r="AO126" s="589"/>
      <c r="AP126" s="588"/>
      <c r="AS126" s="589"/>
      <c r="AW126" s="589"/>
      <c r="BA126" s="590"/>
    </row>
    <row r="127" spans="1:53" s="903" customFormat="1">
      <c r="B127" s="900"/>
      <c r="J127" s="905"/>
      <c r="K127" s="593"/>
      <c r="L127" s="593"/>
      <c r="M127" s="593"/>
      <c r="N127" s="597"/>
      <c r="O127" s="593"/>
      <c r="P127" s="593"/>
      <c r="Q127" s="593"/>
      <c r="R127" s="597"/>
      <c r="U127" s="900"/>
      <c r="Y127" s="589"/>
    </row>
    <row r="128" spans="1:53">
      <c r="Y128" s="23"/>
    </row>
    <row r="130" spans="1:30" s="2" customFormat="1" ht="18" customHeight="1">
      <c r="B130" s="22" t="s">
        <v>1278</v>
      </c>
      <c r="H130" s="6"/>
    </row>
    <row r="131" spans="1:30" s="2" customFormat="1" ht="9" customHeight="1">
      <c r="H131" s="6"/>
    </row>
    <row r="132" spans="1:30" s="364" customFormat="1" ht="9" customHeight="1">
      <c r="A132" s="362"/>
      <c r="B132" s="363" t="s">
        <v>1229</v>
      </c>
      <c r="C132" s="363"/>
      <c r="D132" s="363"/>
      <c r="E132" s="363"/>
      <c r="F132" s="363"/>
      <c r="G132" s="363" t="s">
        <v>1230</v>
      </c>
      <c r="H132" s="363"/>
      <c r="I132" s="363"/>
      <c r="J132" s="363"/>
      <c r="K132" s="363"/>
      <c r="L132" s="363"/>
      <c r="M132" s="363"/>
      <c r="N132" s="363"/>
      <c r="R132" s="982" t="s">
        <v>1231</v>
      </c>
      <c r="S132" s="982"/>
      <c r="T132" s="982"/>
      <c r="U132" s="982"/>
      <c r="V132" s="982"/>
      <c r="W132" s="982"/>
      <c r="X132" s="365"/>
      <c r="Y132" s="365"/>
      <c r="AA132" s="365"/>
      <c r="AB132" s="365"/>
      <c r="AC132" s="365"/>
      <c r="AD132" s="365"/>
    </row>
    <row r="133" spans="1:30" s="369" customFormat="1" ht="9" customHeight="1">
      <c r="A133" s="366"/>
      <c r="B133" s="367" t="s">
        <v>1233</v>
      </c>
      <c r="C133" s="368"/>
      <c r="D133" s="368"/>
      <c r="E133" s="368"/>
      <c r="F133" s="368"/>
      <c r="G133" s="367" t="s">
        <v>1232</v>
      </c>
      <c r="H133" s="368"/>
      <c r="I133" s="368"/>
      <c r="J133" s="368"/>
      <c r="K133" s="368"/>
      <c r="L133" s="368"/>
      <c r="M133" s="368"/>
      <c r="N133" s="368"/>
      <c r="R133" s="370" t="s">
        <v>1234</v>
      </c>
      <c r="S133" s="371"/>
      <c r="T133" s="372"/>
      <c r="U133" s="372"/>
      <c r="V133" s="372"/>
      <c r="W133" s="370" t="s">
        <v>1235</v>
      </c>
      <c r="X133" s="372"/>
      <c r="Y133" s="372"/>
      <c r="AA133" s="372"/>
      <c r="AB133" s="372"/>
      <c r="AC133" s="372"/>
      <c r="AD133" s="372"/>
    </row>
    <row r="134" spans="1:30" s="351" customFormat="1" ht="12" customHeight="1">
      <c r="A134" s="373" t="s">
        <v>3</v>
      </c>
      <c r="B134" s="374" t="s">
        <v>8</v>
      </c>
      <c r="C134" s="374" t="s">
        <v>9</v>
      </c>
      <c r="D134" s="374" t="s">
        <v>10</v>
      </c>
      <c r="E134" s="375" t="s">
        <v>1209</v>
      </c>
      <c r="F134" s="374"/>
      <c r="G134" s="351" t="s">
        <v>3</v>
      </c>
      <c r="H134" s="983" t="s">
        <v>0</v>
      </c>
      <c r="I134" s="983"/>
      <c r="J134" s="983" t="s">
        <v>1</v>
      </c>
      <c r="K134" s="983"/>
      <c r="L134" s="983" t="s">
        <v>2</v>
      </c>
      <c r="M134" s="983"/>
      <c r="N134" s="984" t="s">
        <v>1209</v>
      </c>
      <c r="O134" s="984"/>
      <c r="P134" s="376"/>
      <c r="Q134" s="376"/>
      <c r="R134" s="377" t="s">
        <v>3</v>
      </c>
      <c r="S134" s="378" t="s">
        <v>136</v>
      </c>
      <c r="T134" s="376" t="s">
        <v>134</v>
      </c>
      <c r="U134" s="374" t="s">
        <v>135</v>
      </c>
      <c r="V134" s="376"/>
      <c r="W134" s="379" t="s">
        <v>26</v>
      </c>
    </row>
    <row r="135" spans="1:30" s="273" customFormat="1">
      <c r="A135" s="273">
        <v>1959</v>
      </c>
      <c r="B135" s="260">
        <f>(K6*($E6/365)) + (K7*($E7/365))</f>
        <v>100</v>
      </c>
      <c r="C135" s="260">
        <f>(L6*($E6/365)) + (L7*($E7/365))</f>
        <v>0</v>
      </c>
      <c r="D135" s="260">
        <f>(M6*($E6/365)) + (M7*($E7/365))</f>
        <v>0</v>
      </c>
      <c r="E135" s="261">
        <f>B135+C135+D135</f>
        <v>100</v>
      </c>
      <c r="G135" s="273">
        <v>1959</v>
      </c>
      <c r="H135" s="991">
        <f>(O6/$R6*100*($E6/365))+(O7/$R7*100*($E7/365))</f>
        <v>100</v>
      </c>
      <c r="I135" s="991"/>
      <c r="J135" s="991">
        <f>(P6/$R6*100*($E6/365))+(P7/$R7*100*($E7/365))</f>
        <v>0</v>
      </c>
      <c r="K135" s="991"/>
      <c r="L135" s="991">
        <f>(Q6/$R6*100*($E6/365))+(Q7/$R7*100*($E7/365))</f>
        <v>0</v>
      </c>
      <c r="M135" s="991"/>
      <c r="N135" s="993">
        <f>H135+J135+L135</f>
        <v>100</v>
      </c>
      <c r="O135" s="993"/>
      <c r="R135" s="273">
        <v>1959</v>
      </c>
      <c r="S135" s="260">
        <f>(O6*($E6/365)) + (O7*($E7/365))</f>
        <v>52.789041095890411</v>
      </c>
      <c r="T135" s="260">
        <f>(P6*($E6/365)) + (P7*($E7/365))</f>
        <v>0</v>
      </c>
      <c r="U135" s="260">
        <f>(Q6*($E6/365)) + (Q7*($E7/365))</f>
        <v>0</v>
      </c>
      <c r="V135" s="274"/>
      <c r="W135" s="274">
        <f>S135+T135+U135</f>
        <v>52.789041095890411</v>
      </c>
    </row>
    <row r="136" spans="1:30">
      <c r="A136" s="1">
        <v>1960</v>
      </c>
      <c r="B136" s="8">
        <f>(K8*($E8/366))+(K9*($E9/366))</f>
        <v>100</v>
      </c>
      <c r="C136" s="8">
        <f>(L8*($E8/366))+(L9*($E9/366))</f>
        <v>0</v>
      </c>
      <c r="D136" s="8">
        <f>(M8*($E8/366))+(M9*($E9/366))</f>
        <v>0</v>
      </c>
      <c r="E136" s="50">
        <f>B136+C136+D136</f>
        <v>100</v>
      </c>
      <c r="G136" s="1">
        <v>1960</v>
      </c>
      <c r="H136" s="989">
        <f>(O8/$R8*100*($E8/366))+(O9/$R9*100*($E9/366))</f>
        <v>100</v>
      </c>
      <c r="I136" s="989"/>
      <c r="J136" s="989">
        <f>(P8/$R8*100*($E8/366))+(P9/$R9*100*($E9/366))</f>
        <v>0</v>
      </c>
      <c r="K136" s="989"/>
      <c r="L136" s="989">
        <f>(Q8/$R8*100*($E8/366))+(Q9/$R9*100*($E9/366))</f>
        <v>0</v>
      </c>
      <c r="M136" s="989"/>
      <c r="N136" s="990">
        <f t="shared" ref="N136:N167" si="22">H136+J136+L136</f>
        <v>100</v>
      </c>
      <c r="O136" s="990"/>
      <c r="R136" s="1">
        <v>1960</v>
      </c>
      <c r="S136" s="8">
        <f>(O8*($E8/366))+(O9*($E9/366))</f>
        <v>57.9</v>
      </c>
      <c r="T136" s="8">
        <f>(P8*($E8/366))+(P9*($E9/366))</f>
        <v>0</v>
      </c>
      <c r="U136" s="8">
        <f>(Q8*($E8/366))+(Q9*($E9/366))</f>
        <v>0</v>
      </c>
      <c r="V136" s="7"/>
      <c r="W136" s="7">
        <f>S136+T136+U136</f>
        <v>57.9</v>
      </c>
    </row>
    <row r="137" spans="1:30">
      <c r="A137" s="1">
        <v>1961</v>
      </c>
      <c r="B137" s="8">
        <f>(K10*($E10/365))+(K11*($E11/365))</f>
        <v>100</v>
      </c>
      <c r="C137" s="8">
        <f>(L10*($E10/365))+(L11*($E11/365))</f>
        <v>0</v>
      </c>
      <c r="D137" s="8">
        <f>(M10*($E10/365))+(M11*($E11/365))</f>
        <v>0</v>
      </c>
      <c r="E137" s="50">
        <f t="shared" ref="E137:E189" si="23">B137+C137+D137</f>
        <v>100</v>
      </c>
      <c r="G137" s="1">
        <v>1961</v>
      </c>
      <c r="H137" s="989">
        <f>(O10/$R10*100*($E10/365))+(O11/$R11*100*($E11/365))</f>
        <v>100</v>
      </c>
      <c r="I137" s="989"/>
      <c r="J137" s="989">
        <f>(P10/$R10*100*($E10/365))+(P11/$R11*100*($E11/365))</f>
        <v>0</v>
      </c>
      <c r="K137" s="989"/>
      <c r="L137" s="989">
        <f>(Q10/$R10*100*($E10/365))+(Q11/$R11*100*($E11/365))</f>
        <v>0</v>
      </c>
      <c r="M137" s="989"/>
      <c r="N137" s="959">
        <f t="shared" si="22"/>
        <v>100</v>
      </c>
      <c r="O137" s="959"/>
      <c r="R137" s="1">
        <v>1961</v>
      </c>
      <c r="S137" s="8">
        <f>(O10*($E10/365))+(O11*($E11/365))</f>
        <v>57.9</v>
      </c>
      <c r="T137" s="8">
        <f>(P10*($E10/365))+(P11*($E11/365))</f>
        <v>0</v>
      </c>
      <c r="U137" s="8">
        <f>(Q10*($E10/365))+(Q11*($E11/365))</f>
        <v>0</v>
      </c>
      <c r="V137" s="7"/>
      <c r="W137" s="7">
        <f t="shared" ref="W137:W189" si="24">S137+T137+U137</f>
        <v>57.9</v>
      </c>
    </row>
    <row r="138" spans="1:30">
      <c r="A138" s="1">
        <v>1962</v>
      </c>
      <c r="B138" s="8">
        <f>(K12*($E12/365))+(K13*($E13/365))</f>
        <v>100</v>
      </c>
      <c r="C138" s="8">
        <f>(L12*($E12/365))+(L13*($E13/365))</f>
        <v>0</v>
      </c>
      <c r="D138" s="8">
        <f>(M12*($E12/365))+(M13*($E13/365))</f>
        <v>0</v>
      </c>
      <c r="E138" s="50">
        <f t="shared" si="23"/>
        <v>100</v>
      </c>
      <c r="G138" s="1">
        <v>1962</v>
      </c>
      <c r="H138" s="989">
        <f>(O12/$R12*100*($E12/365))+(O13/$R13*100*($E13/365))</f>
        <v>100</v>
      </c>
      <c r="I138" s="989"/>
      <c r="J138" s="989">
        <f>(P12/$R12*100*($E12/365))+(P13/$R13*100*($E13/365))</f>
        <v>0</v>
      </c>
      <c r="K138" s="989"/>
      <c r="L138" s="989">
        <f>(Q12/$R12*100*($E12/365))+(Q13/$R13*100*($E13/365))</f>
        <v>0</v>
      </c>
      <c r="M138" s="989"/>
      <c r="N138" s="959">
        <f t="shared" si="22"/>
        <v>100</v>
      </c>
      <c r="O138" s="959"/>
      <c r="R138" s="1">
        <v>1962</v>
      </c>
      <c r="S138" s="8">
        <f>(O12*($E12/365))+(O13*($E13/365))</f>
        <v>57.9</v>
      </c>
      <c r="T138" s="8">
        <f>(P12*($E12/365))+(P13*($E13/365))</f>
        <v>0</v>
      </c>
      <c r="U138" s="8">
        <f>(Q12*($E12/365))+(Q13*($E13/365))</f>
        <v>0</v>
      </c>
      <c r="V138" s="7"/>
      <c r="W138" s="7">
        <f t="shared" si="24"/>
        <v>57.9</v>
      </c>
    </row>
    <row r="139" spans="1:30">
      <c r="A139" s="1">
        <v>1963</v>
      </c>
      <c r="B139" s="8">
        <f>(K14*($E14/365))+(K15*($E15/365))</f>
        <v>100</v>
      </c>
      <c r="C139" s="8">
        <f>(L14*($E14/365))+(L15*($E15/365))</f>
        <v>0</v>
      </c>
      <c r="D139" s="8">
        <f>(M14*($E14/365))+(M15*($E15/365))</f>
        <v>0</v>
      </c>
      <c r="E139" s="50">
        <f t="shared" si="23"/>
        <v>100</v>
      </c>
      <c r="G139" s="1">
        <v>1963</v>
      </c>
      <c r="H139" s="989">
        <f>(O14/$R14*100*($E14/365))+(O15/$R15*100*($E15/365))</f>
        <v>100</v>
      </c>
      <c r="I139" s="989"/>
      <c r="J139" s="989">
        <f>(P14/$R14*100*($E14/365))+(P15/$R15*100*($E15/365))</f>
        <v>0</v>
      </c>
      <c r="K139" s="989"/>
      <c r="L139" s="989">
        <f>(Q14/$R14*100*($E14/365))+(Q15/$R15*100*($E15/365))</f>
        <v>0</v>
      </c>
      <c r="M139" s="989"/>
      <c r="N139" s="959">
        <f t="shared" si="22"/>
        <v>100</v>
      </c>
      <c r="O139" s="959"/>
      <c r="R139" s="1">
        <v>1963</v>
      </c>
      <c r="S139" s="8">
        <f>(O14*($E14/365))+(O15*($E15/365))</f>
        <v>57.9</v>
      </c>
      <c r="T139" s="8">
        <f>(P14*($E14/365))+(P15*($E15/365))</f>
        <v>0</v>
      </c>
      <c r="U139" s="8">
        <f>(Q14*($E14/365))+(Q15*($E15/365))</f>
        <v>0</v>
      </c>
      <c r="V139" s="7"/>
      <c r="W139" s="7">
        <f t="shared" si="24"/>
        <v>57.9</v>
      </c>
    </row>
    <row r="140" spans="1:30">
      <c r="A140" s="1">
        <v>1964</v>
      </c>
      <c r="B140" s="8">
        <f>(K16*($E16/366))+(K17*($E17/366))</f>
        <v>79.234972677595621</v>
      </c>
      <c r="C140" s="8">
        <f>(L16*($E16/366))+(L17*($E17/366))</f>
        <v>0</v>
      </c>
      <c r="D140" s="8">
        <f>(M16*($E16/366))+(M17*($E17/366))</f>
        <v>20.765027322404372</v>
      </c>
      <c r="E140" s="50">
        <f t="shared" si="23"/>
        <v>100</v>
      </c>
      <c r="G140" s="1">
        <v>1964</v>
      </c>
      <c r="H140" s="989">
        <f>(O16/$R16*100*($E16/366))+(O17/$R17*100*($E17/366))</f>
        <v>79.234972677595621</v>
      </c>
      <c r="I140" s="989"/>
      <c r="J140" s="989">
        <f>(P16/$R16*100*($E16/366))+(P17/$R17*100*($E17/366))</f>
        <v>0</v>
      </c>
      <c r="K140" s="989"/>
      <c r="L140" s="989">
        <f>(Q16/$R16*100*($E16/366))+(Q17/$R17*100*($E17/366))</f>
        <v>20.765027322404372</v>
      </c>
      <c r="M140" s="989"/>
      <c r="N140" s="959">
        <f t="shared" si="22"/>
        <v>100</v>
      </c>
      <c r="O140" s="959"/>
      <c r="R140" s="1">
        <v>1964</v>
      </c>
      <c r="S140" s="8">
        <f>(O16*($E16/366))+(O17*($E17/366))</f>
        <v>45.877049180327866</v>
      </c>
      <c r="T140" s="8">
        <f>(P16*($E16/366))+(P17*($E17/366))</f>
        <v>0</v>
      </c>
      <c r="U140" s="8">
        <f>(Q16*($E16/366))+(Q17*($E17/366))</f>
        <v>10.444808743169398</v>
      </c>
      <c r="V140" s="7"/>
      <c r="W140" s="7">
        <f t="shared" si="24"/>
        <v>56.321857923497262</v>
      </c>
    </row>
    <row r="141" spans="1:30">
      <c r="A141" s="1">
        <v>1965</v>
      </c>
      <c r="B141" s="8">
        <f>(K18*($E18/365))+(K19*($E19/365))</f>
        <v>0</v>
      </c>
      <c r="C141" s="8">
        <f>(L18*($E18/365))+(L19*($E19/365))</f>
        <v>0</v>
      </c>
      <c r="D141" s="8">
        <f>(M18*($E18/365))+(M19*($E19/365))</f>
        <v>100</v>
      </c>
      <c r="E141" s="50">
        <f t="shared" si="23"/>
        <v>100</v>
      </c>
      <c r="G141" s="1">
        <v>1965</v>
      </c>
      <c r="H141" s="989">
        <f>(O18/$R18*100*($E18/365))+(O19/$R19*100*($E19/365))</f>
        <v>0</v>
      </c>
      <c r="I141" s="989"/>
      <c r="J141" s="989">
        <f>(P18/$R18*100*($E18/365))+(P19/$R19*100*($E19/365))</f>
        <v>0</v>
      </c>
      <c r="K141" s="989"/>
      <c r="L141" s="989">
        <f>(Q18/$R18*100*($E18/365))+(Q19/$R19*100*($E19/365))</f>
        <v>100</v>
      </c>
      <c r="M141" s="989"/>
      <c r="N141" s="959">
        <f t="shared" si="22"/>
        <v>100</v>
      </c>
      <c r="O141" s="959"/>
      <c r="R141" s="1">
        <v>1965</v>
      </c>
      <c r="S141" s="8">
        <f>(O18*($E18/365))+(O19*($E19/365))</f>
        <v>0</v>
      </c>
      <c r="T141" s="8">
        <f>(P18*($E18/365))+(P19*($E19/365))</f>
        <v>0</v>
      </c>
      <c r="U141" s="8">
        <f>(Q18*($E18/365))+(Q19*($E19/365))</f>
        <v>50.3</v>
      </c>
      <c r="V141" s="7"/>
      <c r="W141" s="7">
        <f t="shared" si="24"/>
        <v>50.3</v>
      </c>
    </row>
    <row r="142" spans="1:30">
      <c r="A142" s="1">
        <v>1966</v>
      </c>
      <c r="B142" s="8">
        <f>(K20*($E20/365))+(K21*($E21/365))</f>
        <v>0</v>
      </c>
      <c r="C142" s="8">
        <f>(L20*($E20/365))+(L21*($E21/365))</f>
        <v>0</v>
      </c>
      <c r="D142" s="8">
        <f>(M20*($E20/365))+(M21*($E21/365))</f>
        <v>100</v>
      </c>
      <c r="E142" s="50">
        <f t="shared" si="23"/>
        <v>100</v>
      </c>
      <c r="G142" s="1">
        <v>1966</v>
      </c>
      <c r="H142" s="989">
        <f>(O20/$R20*100*($E20/365))+(O21/$R21*100*($E21/365))</f>
        <v>0</v>
      </c>
      <c r="I142" s="989"/>
      <c r="J142" s="989">
        <f>(P20/$R20*100*($E20/365))+(P21/$R21*100*($E21/365))</f>
        <v>0</v>
      </c>
      <c r="K142" s="989"/>
      <c r="L142" s="989">
        <f>(Q20/$R20*100*($E20/365))+(Q21/$R21*100*($E21/365))</f>
        <v>100</v>
      </c>
      <c r="M142" s="989"/>
      <c r="N142" s="959">
        <f t="shared" si="22"/>
        <v>100</v>
      </c>
      <c r="O142" s="959"/>
      <c r="R142" s="1">
        <v>1966</v>
      </c>
      <c r="S142" s="8">
        <f>(O20*($E20/365))+(O21*($E21/365))</f>
        <v>0</v>
      </c>
      <c r="T142" s="8">
        <f>(P20*($E20/365))+(P21*($E21/365))</f>
        <v>0</v>
      </c>
      <c r="U142" s="8">
        <f>(Q20*($E20/365))+(Q21*($E21/365))</f>
        <v>55.847945205479448</v>
      </c>
      <c r="V142" s="7"/>
      <c r="W142" s="7">
        <f t="shared" si="24"/>
        <v>55.847945205479448</v>
      </c>
    </row>
    <row r="143" spans="1:30">
      <c r="A143" s="1">
        <v>1967</v>
      </c>
      <c r="B143" s="8">
        <f>(K22*($E22/365))+(K23*($E23/365))</f>
        <v>0</v>
      </c>
      <c r="C143" s="8">
        <f>(L22*($E22/365))+(L23*($E23/365))</f>
        <v>0</v>
      </c>
      <c r="D143" s="8">
        <f>(M22*($E22/365))+(M23*($E23/365))</f>
        <v>100</v>
      </c>
      <c r="E143" s="50">
        <f t="shared" si="23"/>
        <v>100</v>
      </c>
      <c r="G143" s="1">
        <v>1967</v>
      </c>
      <c r="H143" s="989">
        <f>(O22/$R22*100*($E22/365))+(O23/$R23*100*($E23/365))</f>
        <v>0</v>
      </c>
      <c r="I143" s="989"/>
      <c r="J143" s="989">
        <f>(P22/$R22*100*($E22/365))+(P23/$R23*100*($E23/365))</f>
        <v>0</v>
      </c>
      <c r="K143" s="989"/>
      <c r="L143" s="989">
        <f>(Q22/$R22*100*($E22/365))+(Q23/$R23*100*($E23/365))</f>
        <v>100</v>
      </c>
      <c r="M143" s="989"/>
      <c r="N143" s="959">
        <f t="shared" si="22"/>
        <v>100</v>
      </c>
      <c r="O143" s="959"/>
      <c r="R143" s="1">
        <v>1967</v>
      </c>
      <c r="S143" s="8">
        <f>(O22*($E22/365))+(O23*($E23/365))</f>
        <v>0</v>
      </c>
      <c r="T143" s="8">
        <f>(P22*($E22/365))+(P23*($E23/365))</f>
        <v>0</v>
      </c>
      <c r="U143" s="8">
        <f>(Q22*($E22/365))+(Q23*($E23/365))</f>
        <v>57.8</v>
      </c>
      <c r="V143" s="7"/>
      <c r="W143" s="7">
        <f t="shared" si="24"/>
        <v>57.8</v>
      </c>
    </row>
    <row r="144" spans="1:30">
      <c r="A144" s="1">
        <v>1968</v>
      </c>
      <c r="B144" s="8">
        <f>(K24*($E24/366))+(K25*($E25/366))</f>
        <v>0</v>
      </c>
      <c r="C144" s="8">
        <f>(L24*($E24/366))+(L25*($E25/366))</f>
        <v>0</v>
      </c>
      <c r="D144" s="8">
        <f>(M24*($E24/366))+(M25*($E25/366))</f>
        <v>100</v>
      </c>
      <c r="E144" s="50">
        <f t="shared" si="23"/>
        <v>100</v>
      </c>
      <c r="G144" s="1">
        <v>1968</v>
      </c>
      <c r="H144" s="989">
        <f>(O24/$R24*100*($E24/366))+(O25/$R25*100*($E25/366))</f>
        <v>0</v>
      </c>
      <c r="I144" s="989"/>
      <c r="J144" s="989">
        <f>(P24/$R24*100*($E24/366))+(P25/$R25*100*($E25/366))</f>
        <v>0</v>
      </c>
      <c r="K144" s="989"/>
      <c r="L144" s="989">
        <f>(Q24/$R24*100*($E24/366))+(Q25/$R25*100*($E25/366))</f>
        <v>100</v>
      </c>
      <c r="M144" s="989"/>
      <c r="N144" s="959">
        <f t="shared" si="22"/>
        <v>100</v>
      </c>
      <c r="O144" s="959"/>
      <c r="R144" s="1">
        <v>1968</v>
      </c>
      <c r="S144" s="8">
        <f>(O24*($E24/366))+(O25*($E25/366))</f>
        <v>0</v>
      </c>
      <c r="T144" s="8">
        <f>(P24*($E24/366))+(P25*($E25/366))</f>
        <v>0</v>
      </c>
      <c r="U144" s="8">
        <f>(Q24*($E24/366))+(Q25*($E25/366))</f>
        <v>57.8</v>
      </c>
      <c r="V144" s="7"/>
      <c r="W144" s="7">
        <f t="shared" si="24"/>
        <v>57.8</v>
      </c>
    </row>
    <row r="145" spans="1:23">
      <c r="A145" s="1">
        <v>1969</v>
      </c>
      <c r="B145" s="8">
        <f>(K26*($E26/365))+(K27*($E27/365))</f>
        <v>0</v>
      </c>
      <c r="C145" s="8">
        <f>(L26*($E26/365))+(L27*($E27/365))</f>
        <v>0</v>
      </c>
      <c r="D145" s="8">
        <f>(M26*($E26/365))+(M27*($E27/365))</f>
        <v>100</v>
      </c>
      <c r="E145" s="50">
        <f t="shared" si="23"/>
        <v>100</v>
      </c>
      <c r="G145" s="1">
        <v>1969</v>
      </c>
      <c r="H145" s="989">
        <f>(O26/$R26*100*($E26/365))+(O27/$R27*100*($E27/365))</f>
        <v>0</v>
      </c>
      <c r="I145" s="989"/>
      <c r="J145" s="989">
        <f>(P26/$R26*100*($E26/365))+(P27/$R27*100*($E27/365))</f>
        <v>0</v>
      </c>
      <c r="K145" s="989"/>
      <c r="L145" s="989">
        <f>(Q26/$R26*100*($E26/365))+(Q27/$R27*100*($E27/365))</f>
        <v>100</v>
      </c>
      <c r="M145" s="989"/>
      <c r="N145" s="959">
        <f t="shared" si="22"/>
        <v>100</v>
      </c>
      <c r="O145" s="959"/>
      <c r="R145" s="1">
        <v>1969</v>
      </c>
      <c r="S145" s="8">
        <f>(O26*($E26/365))+(O27*($E27/365))</f>
        <v>0</v>
      </c>
      <c r="T145" s="8">
        <f>(P26*($E26/365))+(P27*($E27/365))</f>
        <v>0</v>
      </c>
      <c r="U145" s="8">
        <f>(Q26*($E26/365))+(Q27*($E27/365))</f>
        <v>57.8</v>
      </c>
      <c r="V145" s="7"/>
      <c r="W145" s="7">
        <f t="shared" si="24"/>
        <v>57.8</v>
      </c>
    </row>
    <row r="146" spans="1:23">
      <c r="A146" s="1">
        <v>1970</v>
      </c>
      <c r="B146" s="8">
        <f>(K28*($E28/365))+(K29*($E29/365))</f>
        <v>53.424657534246577</v>
      </c>
      <c r="C146" s="8">
        <f>(L28*($E28/365))+(L29*($E29/365))</f>
        <v>0</v>
      </c>
      <c r="D146" s="8">
        <f>(M28*($E28/365))+(M29*($E29/365))</f>
        <v>46.575342465753423</v>
      </c>
      <c r="E146" s="50">
        <f t="shared" si="23"/>
        <v>100</v>
      </c>
      <c r="G146" s="1">
        <v>1970</v>
      </c>
      <c r="H146" s="989">
        <f>(O28/$R28*100*($E28/365))+(O29/$R29*100*($E29/365))</f>
        <v>53.424657534246577</v>
      </c>
      <c r="I146" s="989"/>
      <c r="J146" s="989">
        <f>(P28/$R28*100*($E28/365))+(P29/$R29*100*($E29/365))</f>
        <v>0</v>
      </c>
      <c r="K146" s="989"/>
      <c r="L146" s="989">
        <f>(Q28/$R28*100*($E28/365))+(Q29/$R29*100*($E29/365))</f>
        <v>46.575342465753423</v>
      </c>
      <c r="M146" s="989"/>
      <c r="N146" s="959">
        <f t="shared" si="22"/>
        <v>100</v>
      </c>
      <c r="O146" s="959"/>
      <c r="R146" s="1">
        <v>1970</v>
      </c>
      <c r="S146" s="8">
        <f>(O28*($E28/365))+(O29*($E29/365))</f>
        <v>27.994520547945207</v>
      </c>
      <c r="T146" s="8">
        <f>(P28*($E28/365))+(P29*($E29/365))</f>
        <v>0</v>
      </c>
      <c r="U146" s="8">
        <f>(Q28*($E28/365))+(Q29*($E29/365))</f>
        <v>26.920547945205477</v>
      </c>
      <c r="V146" s="7"/>
      <c r="W146" s="7">
        <f t="shared" si="24"/>
        <v>54.915068493150685</v>
      </c>
    </row>
    <row r="147" spans="1:23">
      <c r="A147" s="1">
        <v>1971</v>
      </c>
      <c r="B147" s="8">
        <f>(K30*($E30/365))+(K31*($E31/365))</f>
        <v>100</v>
      </c>
      <c r="C147" s="8">
        <f>(L30*($E30/365))+(L31*($E31/365))</f>
        <v>0</v>
      </c>
      <c r="D147" s="8">
        <f>(M30*($E30/365))+(M31*($E31/365))</f>
        <v>0</v>
      </c>
      <c r="E147" s="50">
        <f t="shared" si="23"/>
        <v>100</v>
      </c>
      <c r="G147" s="1">
        <v>1971</v>
      </c>
      <c r="H147" s="989">
        <f>(O30/$R30*100*($E30/365))+(O31/$R31*100*($E31/365))</f>
        <v>100</v>
      </c>
      <c r="I147" s="989"/>
      <c r="J147" s="989">
        <f>(P30/$R30*100*($E30/365))+(P31/$R31*100*($E31/365))</f>
        <v>0</v>
      </c>
      <c r="K147" s="989"/>
      <c r="L147" s="989">
        <f>(Q30/$R30*100*($E30/365))+(Q31/$R31*100*($E31/365))</f>
        <v>0</v>
      </c>
      <c r="M147" s="989"/>
      <c r="N147" s="959">
        <f t="shared" si="22"/>
        <v>100</v>
      </c>
      <c r="O147" s="959"/>
      <c r="R147" s="1">
        <v>1971</v>
      </c>
      <c r="S147" s="8">
        <f>(O30*($E30/365))+(O31*($E31/365))</f>
        <v>52.4</v>
      </c>
      <c r="T147" s="8">
        <f>(P30*($E30/365))+(P31*($E31/365))</f>
        <v>0</v>
      </c>
      <c r="U147" s="8">
        <f>(Q30*($E30/365))+(Q31*($E31/365))</f>
        <v>0</v>
      </c>
      <c r="V147" s="7"/>
      <c r="W147" s="7">
        <f t="shared" si="24"/>
        <v>52.4</v>
      </c>
    </row>
    <row r="148" spans="1:23">
      <c r="A148" s="1">
        <v>1972</v>
      </c>
      <c r="B148" s="8">
        <f>(K32*($E32/366))+(K33*($E33/366))</f>
        <v>100</v>
      </c>
      <c r="C148" s="8">
        <f>(L32*($E32/366))+(L33*($E33/366))</f>
        <v>0</v>
      </c>
      <c r="D148" s="8">
        <f>(M32*($E32/366))+(M33*($E33/366))</f>
        <v>0</v>
      </c>
      <c r="E148" s="50">
        <f t="shared" si="23"/>
        <v>100</v>
      </c>
      <c r="G148" s="1">
        <v>1972</v>
      </c>
      <c r="H148" s="989">
        <f>(O32/$R32*100*($E32/366))+(O33/$R33*100*($E33/366))</f>
        <v>100</v>
      </c>
      <c r="I148" s="989"/>
      <c r="J148" s="989">
        <f>(P32/$R32*100*($E32/366))+(P33/$R33*100*($E33/366))</f>
        <v>0</v>
      </c>
      <c r="K148" s="989"/>
      <c r="L148" s="989">
        <f>(Q32/$R32*100*($E32/366))+(Q33/$R33*100*($E33/366))</f>
        <v>0</v>
      </c>
      <c r="M148" s="989"/>
      <c r="N148" s="959">
        <f t="shared" si="22"/>
        <v>100</v>
      </c>
      <c r="O148" s="959"/>
      <c r="R148" s="1">
        <v>1972</v>
      </c>
      <c r="S148" s="8">
        <f>(O32*($E32/366))+(O33*($E33/366))</f>
        <v>52.4</v>
      </c>
      <c r="T148" s="8">
        <f>(P32*($E32/366))+(P33*($E33/366))</f>
        <v>0</v>
      </c>
      <c r="U148" s="8">
        <f>(Q32*($E32/366))+(Q33*($E33/366))</f>
        <v>0</v>
      </c>
      <c r="V148" s="7"/>
      <c r="W148" s="7">
        <f t="shared" si="24"/>
        <v>52.4</v>
      </c>
    </row>
    <row r="149" spans="1:23">
      <c r="A149" s="1">
        <v>1973</v>
      </c>
      <c r="B149" s="8">
        <f>(K34*($E34/365))+(K35*($E35/365))</f>
        <v>100</v>
      </c>
      <c r="C149" s="8">
        <f>(L34*($E34/365))+(L35*($E35/365))</f>
        <v>0</v>
      </c>
      <c r="D149" s="8">
        <f>(M34*($E34/365))+(M35*($E35/365))</f>
        <v>0</v>
      </c>
      <c r="E149" s="50">
        <f t="shared" si="23"/>
        <v>100</v>
      </c>
      <c r="G149" s="1">
        <v>1973</v>
      </c>
      <c r="H149" s="989">
        <f>(O34/$R34*100*($E34/365))+(O35/$R35*100*($E35/365))</f>
        <v>100</v>
      </c>
      <c r="I149" s="989"/>
      <c r="J149" s="989">
        <f>(P34/$R34*100*($E34/365))+(P35/$R35*100*($E35/365))</f>
        <v>0</v>
      </c>
      <c r="K149" s="989"/>
      <c r="L149" s="989">
        <f>(Q34/$R34*100*($E34/365))+(Q35/$R35*100*($E35/365))</f>
        <v>0</v>
      </c>
      <c r="M149" s="989"/>
      <c r="N149" s="959">
        <f t="shared" si="22"/>
        <v>100</v>
      </c>
      <c r="O149" s="959"/>
      <c r="R149" s="1">
        <v>1973</v>
      </c>
      <c r="S149" s="8">
        <f>(O34*($E34/365))+(O35*($E35/365))</f>
        <v>52.4</v>
      </c>
      <c r="T149" s="8">
        <f>(P34*($E34/365))+(P35*($E35/365))</f>
        <v>0</v>
      </c>
      <c r="U149" s="8">
        <f>(Q34*($E34/365))+(Q35*($E35/365))</f>
        <v>0</v>
      </c>
      <c r="V149" s="7"/>
      <c r="W149" s="7">
        <f t="shared" si="24"/>
        <v>52.4</v>
      </c>
    </row>
    <row r="150" spans="1:23">
      <c r="A150" s="1">
        <v>1974</v>
      </c>
      <c r="B150" s="8">
        <f>(K36*($E36/365))+(K37*($E37/365))+(K38*($E38/365))</f>
        <v>17.260273972602739</v>
      </c>
      <c r="C150" s="8">
        <f>(L36*($E36/365))+(L37*($E37/365))+(L38*($E38/365))</f>
        <v>0</v>
      </c>
      <c r="D150" s="8">
        <f>(M36*($E36/365))+(M37*($E37/365))+(M38*($E38/365))</f>
        <v>82.739726027397268</v>
      </c>
      <c r="E150" s="50">
        <f t="shared" si="23"/>
        <v>100</v>
      </c>
      <c r="G150" s="1">
        <v>1974</v>
      </c>
      <c r="H150" s="989">
        <f>(O36/$R36*100*($E36/365))+(O37/$R37*100*($E37/365))+(O38/$R38*100*($E38/365))</f>
        <v>17.260273972602739</v>
      </c>
      <c r="I150" s="989"/>
      <c r="J150" s="989">
        <f>(P36/$R36*100*($E36/365))+(P37/$R37*100*($E37/365))+(P38/$R38*100*($E38/365))</f>
        <v>0</v>
      </c>
      <c r="K150" s="989"/>
      <c r="L150" s="989">
        <f>(Q36/$R36*100*($E36/365))+(Q37/$R37*100*($E37/365))+(Q38/$R38*100*($E38/365))</f>
        <v>82.739726027397268</v>
      </c>
      <c r="M150" s="989"/>
      <c r="N150" s="959">
        <f t="shared" si="22"/>
        <v>100</v>
      </c>
      <c r="O150" s="959"/>
      <c r="R150" s="1">
        <v>1974</v>
      </c>
      <c r="S150" s="8">
        <f>(O36*($E36/365))+(O37*($E37/365))+(O38*($E38/365))</f>
        <v>9.0443835616438353</v>
      </c>
      <c r="T150" s="8">
        <f>(P36*($E36/365))+(P37*($E37/365))+(P38*($E38/365))</f>
        <v>0</v>
      </c>
      <c r="U150" s="8">
        <f>(Q36*($E36/365))+(Q37*($E37/365))+(Q38*($E38/365))</f>
        <v>38.736712328767126</v>
      </c>
      <c r="V150" s="7"/>
      <c r="W150" s="7">
        <f t="shared" si="24"/>
        <v>47.78109589041096</v>
      </c>
    </row>
    <row r="151" spans="1:23">
      <c r="A151" s="1">
        <v>1975</v>
      </c>
      <c r="B151" s="8">
        <f>(K39*($E39/365))+(K40*($E40/365))</f>
        <v>0</v>
      </c>
      <c r="C151" s="8">
        <f>(L39*($E39/365))+(L40*($E40/365))</f>
        <v>0</v>
      </c>
      <c r="D151" s="8">
        <f>(M39*($E39/365))+(M40*($E40/365))</f>
        <v>100</v>
      </c>
      <c r="E151" s="50">
        <f t="shared" si="23"/>
        <v>100</v>
      </c>
      <c r="G151" s="1">
        <v>1975</v>
      </c>
      <c r="H151" s="989">
        <f>(O39/$R39*100*($E39/365))+(O40/$R40*100*($E40/365))</f>
        <v>0</v>
      </c>
      <c r="I151" s="989"/>
      <c r="J151" s="989">
        <f>(P39/$R39*100*($E39/365))+(P40/$R40*100*($E40/365))</f>
        <v>0</v>
      </c>
      <c r="K151" s="989"/>
      <c r="L151" s="989">
        <f>(Q39/$R39*100*($E39/365))+(Q40/$R40*100*($E40/365))</f>
        <v>100</v>
      </c>
      <c r="M151" s="989"/>
      <c r="N151" s="959">
        <f t="shared" si="22"/>
        <v>100</v>
      </c>
      <c r="O151" s="959"/>
      <c r="R151" s="1">
        <v>1975</v>
      </c>
      <c r="S151" s="8">
        <f>(O39*($E39/365))+(O40*($E40/365))</f>
        <v>0</v>
      </c>
      <c r="T151" s="8">
        <f>(P39*($E39/365))+(P40*($E40/365))</f>
        <v>0</v>
      </c>
      <c r="U151" s="8">
        <f>(Q39*($E39/365))+(Q40*($E40/365))</f>
        <v>50.2</v>
      </c>
      <c r="V151" s="7"/>
      <c r="W151" s="7">
        <f t="shared" si="24"/>
        <v>50.2</v>
      </c>
    </row>
    <row r="152" spans="1:23">
      <c r="A152" s="1">
        <v>1976</v>
      </c>
      <c r="B152" s="8">
        <f>(K41*($E41/366))+(K42*($E42/366))</f>
        <v>0</v>
      </c>
      <c r="C152" s="8">
        <f>(L41*($E41/366))+(L42*($E42/366))</f>
        <v>0</v>
      </c>
      <c r="D152" s="8">
        <f>(M41*($E41/366))+(M42*($E42/366))</f>
        <v>100</v>
      </c>
      <c r="E152" s="50">
        <f t="shared" si="23"/>
        <v>100</v>
      </c>
      <c r="G152" s="1">
        <v>1976</v>
      </c>
      <c r="H152" s="989">
        <f>(O41/$R41*100*($E41/366))+(O42/$R42*100*($E42/366))</f>
        <v>0</v>
      </c>
      <c r="I152" s="989"/>
      <c r="J152" s="989">
        <f>(P41/$R41*100*($E41/366))+(P42/$R42*100*($E42/366))</f>
        <v>0</v>
      </c>
      <c r="K152" s="989"/>
      <c r="L152" s="989">
        <f>(Q41/$R41*100*($E41/366))+(Q42/$R42*100*($E42/366))</f>
        <v>100</v>
      </c>
      <c r="M152" s="989"/>
      <c r="N152" s="959">
        <f t="shared" si="22"/>
        <v>100</v>
      </c>
      <c r="O152" s="959"/>
      <c r="R152" s="1">
        <v>1976</v>
      </c>
      <c r="S152" s="8">
        <f>(O41*($E41/366))+(O42*($E42/366))</f>
        <v>0</v>
      </c>
      <c r="T152" s="8">
        <f>(P41*($E41/366))+(P42*($E42/366))</f>
        <v>0</v>
      </c>
      <c r="U152" s="8">
        <f>(Q41*($E41/366))+(Q42*($E42/366))</f>
        <v>50.2</v>
      </c>
      <c r="V152" s="7"/>
      <c r="W152" s="7">
        <f t="shared" si="24"/>
        <v>50.2</v>
      </c>
    </row>
    <row r="153" spans="1:23">
      <c r="A153" s="1">
        <v>1977</v>
      </c>
      <c r="B153" s="8">
        <f>(K43*($E43/365))+(K44*($E44/365))</f>
        <v>0</v>
      </c>
      <c r="C153" s="8">
        <f>(L43*($E43/365))+(L44*($E44/365))</f>
        <v>0</v>
      </c>
      <c r="D153" s="8">
        <f>(M43*($E43/365))+(M44*($E44/365))</f>
        <v>100</v>
      </c>
      <c r="E153" s="50">
        <f t="shared" si="23"/>
        <v>100</v>
      </c>
      <c r="G153" s="1">
        <v>1977</v>
      </c>
      <c r="H153" s="989">
        <f>(O43/$R43*100*($E43/365))+(O44/$R44*100*($E44/365))</f>
        <v>0</v>
      </c>
      <c r="I153" s="989"/>
      <c r="J153" s="989">
        <f>(P43/$R43*100*($E43/365))+(P44/$R44*100*($E44/365))</f>
        <v>0</v>
      </c>
      <c r="K153" s="989"/>
      <c r="L153" s="989">
        <f>(Q43/$R43*100*($E43/365))+(Q44/$R44*100*($E44/365))</f>
        <v>100</v>
      </c>
      <c r="M153" s="989"/>
      <c r="N153" s="959">
        <f t="shared" si="22"/>
        <v>100</v>
      </c>
      <c r="O153" s="959"/>
      <c r="R153" s="1">
        <v>1977</v>
      </c>
      <c r="S153" s="8">
        <f>(O43*($E43/365))+(O44*($E44/365))</f>
        <v>0</v>
      </c>
      <c r="T153" s="8">
        <f>(P43*($E43/365))+(P44*($E44/365))</f>
        <v>0</v>
      </c>
      <c r="U153" s="8">
        <f>(Q43*($E43/365))+(Q44*($E44/365))</f>
        <v>50.2</v>
      </c>
      <c r="V153" s="7"/>
      <c r="W153" s="7">
        <f t="shared" si="24"/>
        <v>50.2</v>
      </c>
    </row>
    <row r="154" spans="1:23">
      <c r="A154" s="1">
        <v>1978</v>
      </c>
      <c r="B154" s="8">
        <f>(K45*($E45/365))+(K46*($E46/365))</f>
        <v>0</v>
      </c>
      <c r="C154" s="8">
        <f>(L45*($E45/365))+(L46*($E46/365))</f>
        <v>0</v>
      </c>
      <c r="D154" s="8">
        <f>(M45*($E45/365))+(M46*($E46/365))</f>
        <v>100</v>
      </c>
      <c r="E154" s="50">
        <f t="shared" si="23"/>
        <v>100</v>
      </c>
      <c r="G154" s="1">
        <v>1978</v>
      </c>
      <c r="H154" s="989">
        <f>(O45/$R45*100*($E45/365))+(O46/$R46*100*($E46/365))</f>
        <v>0</v>
      </c>
      <c r="I154" s="989"/>
      <c r="J154" s="989">
        <f>(P45/$R45*100*($E45/365))+(P46/$R46*100*($E46/365))</f>
        <v>0</v>
      </c>
      <c r="K154" s="989"/>
      <c r="L154" s="989">
        <f>(Q45/$R45*100*($E45/365))+(Q46/$R46*100*($E46/365))</f>
        <v>100</v>
      </c>
      <c r="M154" s="989"/>
      <c r="N154" s="959">
        <f t="shared" si="22"/>
        <v>100</v>
      </c>
      <c r="O154" s="959"/>
      <c r="R154" s="1">
        <v>1978</v>
      </c>
      <c r="S154" s="8">
        <f>(O45*($E45/365))+(O46*($E46/365))</f>
        <v>0</v>
      </c>
      <c r="T154" s="8">
        <f>(P45*($E45/365))+(P46*($E46/365))</f>
        <v>0</v>
      </c>
      <c r="U154" s="8">
        <f>(Q45*($E45/365))+(Q46*($E46/365))</f>
        <v>50.2</v>
      </c>
      <c r="V154" s="7"/>
      <c r="W154" s="7">
        <f t="shared" si="24"/>
        <v>50.2</v>
      </c>
    </row>
    <row r="155" spans="1:23">
      <c r="A155" s="1">
        <v>1979</v>
      </c>
      <c r="B155" s="8">
        <f>(K47*($E47/365))+(K48*($E48/365))</f>
        <v>66.027397260273972</v>
      </c>
      <c r="C155" s="8">
        <f>(L47*($E47/365))+(L48*($E48/365))</f>
        <v>0</v>
      </c>
      <c r="D155" s="8">
        <f>(M47*($E47/365))+(M48*($E48/365))</f>
        <v>33.972602739726028</v>
      </c>
      <c r="E155" s="50">
        <f t="shared" si="23"/>
        <v>100</v>
      </c>
      <c r="G155" s="1">
        <v>1979</v>
      </c>
      <c r="H155" s="989">
        <f>(O47/$R47*100*($E47/365))+(O48/$R48*100*($E48/365))</f>
        <v>66.027397260273972</v>
      </c>
      <c r="I155" s="989"/>
      <c r="J155" s="989">
        <f>(P47/$R47*100*($E47/365))+(P48/$R48*100*($E48/365))</f>
        <v>0</v>
      </c>
      <c r="K155" s="989"/>
      <c r="L155" s="989">
        <f>(Q47/$R47*100*($E47/365))+(Q48/$R48*100*($E48/365))</f>
        <v>33.972602739726028</v>
      </c>
      <c r="M155" s="989"/>
      <c r="N155" s="959">
        <f t="shared" si="22"/>
        <v>100</v>
      </c>
      <c r="O155" s="959"/>
      <c r="R155" s="1">
        <v>1979</v>
      </c>
      <c r="S155" s="8">
        <f>(O47*($E47/365))+(O48*($E48/365))</f>
        <v>35.258630136986298</v>
      </c>
      <c r="T155" s="8">
        <f>(P47*($E47/365))+(P48*($E48/365))</f>
        <v>0</v>
      </c>
      <c r="U155" s="8">
        <f>(Q47*($E47/365))+(Q48*($E48/365))</f>
        <v>17.054246575342468</v>
      </c>
      <c r="V155" s="7"/>
      <c r="W155" s="7">
        <f t="shared" si="24"/>
        <v>52.312876712328766</v>
      </c>
    </row>
    <row r="156" spans="1:23">
      <c r="A156" s="1">
        <v>1980</v>
      </c>
      <c r="B156" s="8">
        <f>(K49*($E49/366))+(K50*($E50/366))</f>
        <v>100</v>
      </c>
      <c r="C156" s="8">
        <f>(L49*($E49/366))+(L50*($E50/366))</f>
        <v>0</v>
      </c>
      <c r="D156" s="8">
        <f>(M49*($E49/366))+(M50*($E50/366))</f>
        <v>0</v>
      </c>
      <c r="E156" s="50">
        <f t="shared" si="23"/>
        <v>100</v>
      </c>
      <c r="G156" s="1">
        <v>1980</v>
      </c>
      <c r="H156" s="989">
        <f>(O49/$R49*100*($E49/366))+(O50/$R50*100*($E50/366))</f>
        <v>100</v>
      </c>
      <c r="I156" s="989"/>
      <c r="J156" s="989">
        <f>(P49/$R49*100*($E49/366))+(P50/$R50*100*($E50/366))</f>
        <v>0</v>
      </c>
      <c r="K156" s="989"/>
      <c r="L156" s="989">
        <f>(Q49/$R49*100*($E49/366))+(Q50/$R50*100*($E50/366))</f>
        <v>0</v>
      </c>
      <c r="M156" s="989"/>
      <c r="N156" s="959">
        <f t="shared" si="22"/>
        <v>100</v>
      </c>
      <c r="O156" s="959"/>
      <c r="R156" s="1">
        <v>1980</v>
      </c>
      <c r="S156" s="8">
        <f>(O49*($E49/366))+(O50*($E50/366))</f>
        <v>53.4</v>
      </c>
      <c r="T156" s="8">
        <f>(P49*($E49/366))+(P50*($E50/366))</f>
        <v>0</v>
      </c>
      <c r="U156" s="8">
        <f>(Q49*($E49/366))+(Q50*($E50/366))</f>
        <v>0</v>
      </c>
      <c r="V156" s="7"/>
      <c r="W156" s="7">
        <f t="shared" si="24"/>
        <v>53.4</v>
      </c>
    </row>
    <row r="157" spans="1:23">
      <c r="A157" s="1">
        <v>1981</v>
      </c>
      <c r="B157" s="8">
        <f>(K51*($E51/365))+(K52*($E52/365))</f>
        <v>100</v>
      </c>
      <c r="C157" s="8">
        <f>(L51*($E51/365))+(L52*($E52/365))</f>
        <v>0</v>
      </c>
      <c r="D157" s="8">
        <f>(M51*($E51/365))+(M52*($E52/365))</f>
        <v>0</v>
      </c>
      <c r="E157" s="50">
        <f t="shared" si="23"/>
        <v>100</v>
      </c>
      <c r="G157" s="1">
        <v>1981</v>
      </c>
      <c r="H157" s="989">
        <f>(O51/$R51*100*($E51/365))+(O52/$R52*100*($E52/365))</f>
        <v>100</v>
      </c>
      <c r="I157" s="989"/>
      <c r="J157" s="989">
        <f>(P51/$R51*100*($E51/365))+(P52/$R52*100*($E52/365))</f>
        <v>0</v>
      </c>
      <c r="K157" s="989"/>
      <c r="L157" s="989">
        <f>(Q51/$R51*100*($E51/365))+(Q52/$R52*100*($E52/365))</f>
        <v>0</v>
      </c>
      <c r="M157" s="989"/>
      <c r="N157" s="959">
        <f t="shared" si="22"/>
        <v>100</v>
      </c>
      <c r="O157" s="959"/>
      <c r="R157" s="1">
        <v>1981</v>
      </c>
      <c r="S157" s="8">
        <f>(O51*($E51/365))+(O52*($E52/365))</f>
        <v>53.4</v>
      </c>
      <c r="T157" s="8">
        <f>(P51*($E51/365))+(P52*($E52/365))</f>
        <v>0</v>
      </c>
      <c r="U157" s="8">
        <f>(Q51*($E51/365))+(Q52*($E52/365))</f>
        <v>0</v>
      </c>
      <c r="V157" s="7"/>
      <c r="W157" s="7">
        <f t="shared" si="24"/>
        <v>53.4</v>
      </c>
    </row>
    <row r="158" spans="1:23">
      <c r="A158" s="1">
        <v>1982</v>
      </c>
      <c r="B158" s="8">
        <f>(K53*($E53/365))+(K54*($E54/365))</f>
        <v>100</v>
      </c>
      <c r="C158" s="8">
        <f>(L53*($E53/365))+(L54*($E54/365))</f>
        <v>0</v>
      </c>
      <c r="D158" s="8">
        <f>(M53*($E53/365))+(M54*($E54/365))</f>
        <v>0</v>
      </c>
      <c r="E158" s="50">
        <f t="shared" si="23"/>
        <v>100</v>
      </c>
      <c r="G158" s="1">
        <v>1982</v>
      </c>
      <c r="H158" s="989">
        <f>(O53/$R53*100*($E53/365))+(O54/$R54*100*($E54/365))</f>
        <v>100</v>
      </c>
      <c r="I158" s="989"/>
      <c r="J158" s="989">
        <f>(P53/$R53*100*($E53/365))+(P54/$R54*100*($E54/365))</f>
        <v>0</v>
      </c>
      <c r="K158" s="989"/>
      <c r="L158" s="989">
        <f>(Q53/$R53*100*($E53/365))+(Q54/$R54*100*($E54/365))</f>
        <v>0</v>
      </c>
      <c r="M158" s="989"/>
      <c r="N158" s="959">
        <f t="shared" si="22"/>
        <v>100</v>
      </c>
      <c r="O158" s="959"/>
      <c r="R158" s="1">
        <v>1982</v>
      </c>
      <c r="S158" s="8">
        <f>(O53*($E53/365))+(O54*($E54/365))</f>
        <v>53.4</v>
      </c>
      <c r="T158" s="8">
        <f>(P53*($E53/365))+(P54*($E54/365))</f>
        <v>0</v>
      </c>
      <c r="U158" s="8">
        <f>(Q53*($E53/365))+(Q54*($E54/365))</f>
        <v>0</v>
      </c>
      <c r="V158" s="7"/>
      <c r="W158" s="7">
        <f t="shared" si="24"/>
        <v>53.4</v>
      </c>
    </row>
    <row r="159" spans="1:23">
      <c r="A159" s="1">
        <v>1983</v>
      </c>
      <c r="B159" s="8">
        <f>(K55*($E55/365))+(K56*($E56/365))</f>
        <v>100</v>
      </c>
      <c r="C159" s="8">
        <f>(L55*($E55/365))+(L56*($E56/365))</f>
        <v>0</v>
      </c>
      <c r="D159" s="8">
        <f>(M55*($E55/365))+(M56*($E56/365))</f>
        <v>0</v>
      </c>
      <c r="E159" s="50">
        <f t="shared" si="23"/>
        <v>100</v>
      </c>
      <c r="G159" s="1">
        <v>1983</v>
      </c>
      <c r="H159" s="989">
        <f>(O55/$R55*100*($E55/365))+(O56/$R56*100*($E56/365))</f>
        <v>100</v>
      </c>
      <c r="I159" s="989"/>
      <c r="J159" s="989">
        <f>(P55/$R55*100*($E55/365))+(P56/$R56*100*($E56/365))</f>
        <v>0</v>
      </c>
      <c r="K159" s="989"/>
      <c r="L159" s="989">
        <f>(Q55/$R55*100*($E55/365))+(Q56/$R56*100*($E56/365))</f>
        <v>0</v>
      </c>
      <c r="M159" s="989"/>
      <c r="N159" s="959">
        <f t="shared" si="22"/>
        <v>100</v>
      </c>
      <c r="O159" s="959"/>
      <c r="R159" s="1">
        <v>1983</v>
      </c>
      <c r="S159" s="8">
        <f>(O55*($E55/365))+(O56*($E56/365))</f>
        <v>57.682465753424665</v>
      </c>
      <c r="T159" s="8">
        <f>(P55*($E55/365))+(P56*($E56/365))</f>
        <v>0</v>
      </c>
      <c r="U159" s="8">
        <f>(Q55*($E55/365))+(Q56*($E56/365))</f>
        <v>0</v>
      </c>
      <c r="V159" s="7"/>
      <c r="W159" s="7">
        <f t="shared" si="24"/>
        <v>57.682465753424665</v>
      </c>
    </row>
    <row r="160" spans="1:23">
      <c r="A160" s="1">
        <v>1984</v>
      </c>
      <c r="B160" s="8">
        <f>(K57*($E57/366))+(K58*($E58/366))</f>
        <v>100</v>
      </c>
      <c r="C160" s="8">
        <f>(L57*($E57/366))+(L58*($E58/366))</f>
        <v>0</v>
      </c>
      <c r="D160" s="8">
        <f>(M57*($E57/366))+(M58*($E58/366))</f>
        <v>0</v>
      </c>
      <c r="E160" s="50">
        <f t="shared" si="23"/>
        <v>100</v>
      </c>
      <c r="G160" s="1">
        <v>1984</v>
      </c>
      <c r="H160" s="989">
        <f>(O57/$R57*100*($E57/366))+(O58/$R58*100*($E58/366))</f>
        <v>100</v>
      </c>
      <c r="I160" s="989"/>
      <c r="J160" s="989">
        <f>(P57/$R57*100*($E57/366))+(P58/$R58*100*($E58/366))</f>
        <v>0</v>
      </c>
      <c r="K160" s="989"/>
      <c r="L160" s="989">
        <f>(Q57/$R57*100*($E57/366))+(Q58/$R58*100*($E58/366))</f>
        <v>0</v>
      </c>
      <c r="M160" s="989"/>
      <c r="N160" s="959">
        <f t="shared" si="22"/>
        <v>100</v>
      </c>
      <c r="O160" s="959"/>
      <c r="R160" s="1">
        <v>1984</v>
      </c>
      <c r="S160" s="8">
        <f>(O57*($E57/366))+(O58*($E58/366))</f>
        <v>61.1</v>
      </c>
      <c r="T160" s="8">
        <f>(P57*($E57/366))+(P58*($E58/366))</f>
        <v>0</v>
      </c>
      <c r="U160" s="8">
        <f>(Q57*($E57/366))+(Q58*($E58/366))</f>
        <v>0</v>
      </c>
      <c r="V160" s="7"/>
      <c r="W160" s="7">
        <f t="shared" si="24"/>
        <v>61.1</v>
      </c>
    </row>
    <row r="161" spans="1:23">
      <c r="A161" s="1">
        <v>1985</v>
      </c>
      <c r="B161" s="8">
        <f>(K59*($E59/365))+(K60*($E60/365))</f>
        <v>100</v>
      </c>
      <c r="C161" s="8">
        <f>(L59*($E59/365))+(L60*($E60/365))</f>
        <v>0</v>
      </c>
      <c r="D161" s="8">
        <f>(M59*($E59/365))+(M60*($E60/365))</f>
        <v>0</v>
      </c>
      <c r="E161" s="50">
        <f t="shared" si="23"/>
        <v>100</v>
      </c>
      <c r="G161" s="1">
        <v>1985</v>
      </c>
      <c r="H161" s="989">
        <f>(O59/$R59*100*($E59/365))+(O60/$R60*100*($E60/365))</f>
        <v>100</v>
      </c>
      <c r="I161" s="989"/>
      <c r="J161" s="989">
        <f>(P59/$R59*100*($E59/365))+(P60/$R60*100*($E60/365))</f>
        <v>0</v>
      </c>
      <c r="K161" s="989"/>
      <c r="L161" s="989">
        <f>(Q59/$R59*100*($E59/365))+(Q60/$R60*100*($E60/365))</f>
        <v>0</v>
      </c>
      <c r="M161" s="989"/>
      <c r="N161" s="959">
        <f t="shared" si="22"/>
        <v>100</v>
      </c>
      <c r="O161" s="959"/>
      <c r="R161" s="1">
        <v>1985</v>
      </c>
      <c r="S161" s="8">
        <f>(O59*($E59/365))+(O60*($E60/365))</f>
        <v>61.1</v>
      </c>
      <c r="T161" s="8">
        <f>(P59*($E59/365))+(P60*($E60/365))</f>
        <v>0</v>
      </c>
      <c r="U161" s="8">
        <f>(Q59*($E59/365))+(Q60*($E60/365))</f>
        <v>0</v>
      </c>
      <c r="V161" s="7"/>
      <c r="W161" s="7">
        <f t="shared" si="24"/>
        <v>61.1</v>
      </c>
    </row>
    <row r="162" spans="1:23">
      <c r="A162" s="1">
        <v>1986</v>
      </c>
      <c r="B162" s="8">
        <f>(K61*($E61/365))+(K62*($E62/365))</f>
        <v>100</v>
      </c>
      <c r="C162" s="8">
        <f>(L61*($E61/365))+(L62*($E62/365))</f>
        <v>0</v>
      </c>
      <c r="D162" s="8">
        <f>(M61*($E61/365))+(M62*($E62/365))</f>
        <v>0</v>
      </c>
      <c r="E162" s="50">
        <f t="shared" si="23"/>
        <v>100</v>
      </c>
      <c r="G162" s="1">
        <v>1986</v>
      </c>
      <c r="H162" s="989">
        <f>(O61/$R61*100*($E61/365))+(O62/$R62*100*($E62/365))</f>
        <v>100</v>
      </c>
      <c r="I162" s="989"/>
      <c r="J162" s="989">
        <f>(P61/$R61*100*($E61/365))+(P62/$R62*100*($E62/365))</f>
        <v>0</v>
      </c>
      <c r="K162" s="989"/>
      <c r="L162" s="989">
        <f>(Q61/$R61*100*($E61/365))+(Q62/$R62*100*($E62/365))</f>
        <v>0</v>
      </c>
      <c r="M162" s="989"/>
      <c r="N162" s="959">
        <f t="shared" si="22"/>
        <v>100</v>
      </c>
      <c r="O162" s="959"/>
      <c r="R162" s="1">
        <v>1986</v>
      </c>
      <c r="S162" s="8">
        <f>(O61*($E61/365))+(O62*($E62/365))</f>
        <v>61.1</v>
      </c>
      <c r="T162" s="8">
        <f>(P61*($E61/365))+(P62*($E62/365))</f>
        <v>0</v>
      </c>
      <c r="U162" s="8">
        <f>(Q61*($E61/365))+(Q62*($E62/365))</f>
        <v>0</v>
      </c>
      <c r="V162" s="7"/>
      <c r="W162" s="7">
        <f t="shared" si="24"/>
        <v>61.1</v>
      </c>
    </row>
    <row r="163" spans="1:23">
      <c r="A163" s="1">
        <v>1987</v>
      </c>
      <c r="B163" s="8">
        <f>(K63*($E63/365))+(K64*($E64/365))</f>
        <v>100</v>
      </c>
      <c r="C163" s="8">
        <f>(L63*($E63/365))+(L64*($E64/365))</f>
        <v>0</v>
      </c>
      <c r="D163" s="8">
        <f>(M63*($E63/365))+(M64*($E64/365))</f>
        <v>0</v>
      </c>
      <c r="E163" s="50">
        <f t="shared" si="23"/>
        <v>100</v>
      </c>
      <c r="G163" s="1">
        <v>1987</v>
      </c>
      <c r="H163" s="989">
        <f>(O63/$R63*100*($E63/365))+(O64/$R64*100*($E64/365))</f>
        <v>100</v>
      </c>
      <c r="I163" s="989"/>
      <c r="J163" s="989">
        <f>(P63/$R63*100*($E63/365))+(P64/$R64*100*($E64/365))</f>
        <v>0</v>
      </c>
      <c r="K163" s="989"/>
      <c r="L163" s="989">
        <f>(Q63/$R63*100*($E63/365))+(Q64/$R64*100*($E64/365))</f>
        <v>0</v>
      </c>
      <c r="M163" s="989"/>
      <c r="N163" s="959">
        <f t="shared" si="22"/>
        <v>100</v>
      </c>
      <c r="O163" s="959"/>
      <c r="R163" s="1">
        <v>1987</v>
      </c>
      <c r="S163" s="8">
        <f>(O63*($E63/365))+(O64*($E64/365))</f>
        <v>59.273698630136984</v>
      </c>
      <c r="T163" s="8">
        <f>(P63*($E63/365))+(P64*($E64/365))</f>
        <v>0</v>
      </c>
      <c r="U163" s="8">
        <f>(Q63*($E63/365))+(Q64*($E64/365))</f>
        <v>0</v>
      </c>
      <c r="V163" s="7"/>
      <c r="W163" s="7">
        <f t="shared" si="24"/>
        <v>59.273698630136984</v>
      </c>
    </row>
    <row r="164" spans="1:23">
      <c r="A164" s="1">
        <v>1988</v>
      </c>
      <c r="B164" s="8">
        <f>(K65*($E65/366))+(K66*($E66/366))</f>
        <v>100</v>
      </c>
      <c r="C164" s="8">
        <f>(L65*($E65/366))+(L66*($E66/366))</f>
        <v>0</v>
      </c>
      <c r="D164" s="8">
        <f>(M65*($E65/366))+(M66*($E66/366))</f>
        <v>0</v>
      </c>
      <c r="E164" s="50">
        <f t="shared" si="23"/>
        <v>100</v>
      </c>
      <c r="G164" s="1">
        <v>1988</v>
      </c>
      <c r="H164" s="989">
        <f>(O65/$R65*100*($E65/366))+(O66/$R66*100*($E66/366))</f>
        <v>100</v>
      </c>
      <c r="I164" s="989"/>
      <c r="J164" s="989">
        <f>(P65/$R65*100*($E65/366))+(P66/$R66*100*($E66/366))</f>
        <v>0</v>
      </c>
      <c r="K164" s="989"/>
      <c r="L164" s="989">
        <f>(Q65/$R65*100*($E65/366))+(Q66/$R66*100*($E66/366))</f>
        <v>0</v>
      </c>
      <c r="M164" s="989"/>
      <c r="N164" s="959">
        <f t="shared" si="22"/>
        <v>100</v>
      </c>
      <c r="O164" s="959"/>
      <c r="R164" s="1">
        <v>1988</v>
      </c>
      <c r="S164" s="8">
        <f>(O65*($E65/366))+(O66*($E66/366))</f>
        <v>57.8</v>
      </c>
      <c r="T164" s="8">
        <f>(P65*($E65/366))+(P66*($E66/366))</f>
        <v>0</v>
      </c>
      <c r="U164" s="8">
        <f>(Q65*($E65/366))+(Q66*($E66/366))</f>
        <v>0</v>
      </c>
      <c r="V164" s="7"/>
      <c r="W164" s="7">
        <f t="shared" si="24"/>
        <v>57.8</v>
      </c>
    </row>
    <row r="165" spans="1:23">
      <c r="A165" s="1">
        <v>1989</v>
      </c>
      <c r="B165" s="8">
        <f>(K67*($E67/365))+(K68*($E68/365))</f>
        <v>100</v>
      </c>
      <c r="C165" s="8">
        <f>(L67*($E67/365))+(L68*($E68/365))</f>
        <v>0</v>
      </c>
      <c r="D165" s="8">
        <f>(M67*($E67/365))+(M68*($E68/365))</f>
        <v>0</v>
      </c>
      <c r="E165" s="50">
        <f t="shared" si="23"/>
        <v>100</v>
      </c>
      <c r="G165" s="1">
        <v>1989</v>
      </c>
      <c r="H165" s="989">
        <f>(O67/$R67*100*($E67/365))+(O68/$R68*100*($E68/365))</f>
        <v>100</v>
      </c>
      <c r="I165" s="989"/>
      <c r="J165" s="989">
        <f>(P67/$R67*100*($E67/365))+(P68/$R68*100*($E68/365))</f>
        <v>0</v>
      </c>
      <c r="K165" s="989"/>
      <c r="L165" s="989">
        <f>(Q67/$R67*100*($E67/365))+(Q68/$R68*100*($E68/365))</f>
        <v>0</v>
      </c>
      <c r="M165" s="989"/>
      <c r="N165" s="959">
        <f t="shared" si="22"/>
        <v>100</v>
      </c>
      <c r="O165" s="959"/>
      <c r="R165" s="1">
        <v>1989</v>
      </c>
      <c r="S165" s="8">
        <f>(O67*($E67/365))+(O68*($E68/365))</f>
        <v>57.8</v>
      </c>
      <c r="T165" s="8">
        <f>(P67*($E67/365))+(P68*($E68/365))</f>
        <v>0</v>
      </c>
      <c r="U165" s="8">
        <f>(Q67*($E67/365))+(Q68*($E68/365))</f>
        <v>0</v>
      </c>
      <c r="V165" s="7"/>
      <c r="W165" s="7">
        <f t="shared" si="24"/>
        <v>57.8</v>
      </c>
    </row>
    <row r="166" spans="1:23">
      <c r="A166" s="1">
        <v>1990</v>
      </c>
      <c r="B166" s="8">
        <f>(K69*($E69/365))+(K70*($E70/365))</f>
        <v>100</v>
      </c>
      <c r="C166" s="8">
        <f>(L69*($E69/365))+(L70*($E70/365))</f>
        <v>0</v>
      </c>
      <c r="D166" s="8">
        <f>(M69*($E69/365))+(M70*($E70/365))</f>
        <v>0</v>
      </c>
      <c r="E166" s="50">
        <f t="shared" si="23"/>
        <v>100</v>
      </c>
      <c r="G166" s="1">
        <v>1990</v>
      </c>
      <c r="H166" s="989">
        <f>(O69/$R69*100*($E69/365))+(O70/$R70*100*($E70/365))</f>
        <v>100</v>
      </c>
      <c r="I166" s="989"/>
      <c r="J166" s="989">
        <f>(P69/$R69*100*($E69/365))+(P70/$R70*100*($E70/365))</f>
        <v>0</v>
      </c>
      <c r="K166" s="989"/>
      <c r="L166" s="989">
        <f>(Q69/$R69*100*($E69/365))+(Q70/$R70*100*($E70/365))</f>
        <v>0</v>
      </c>
      <c r="M166" s="989"/>
      <c r="N166" s="959">
        <f t="shared" si="22"/>
        <v>100</v>
      </c>
      <c r="O166" s="959"/>
      <c r="R166" s="1">
        <v>1990</v>
      </c>
      <c r="S166" s="8">
        <f>(O69*($E69/365))+(O70*($E70/365))</f>
        <v>57.8</v>
      </c>
      <c r="T166" s="8">
        <f>(P69*($E69/365))+(P70*($E70/365))</f>
        <v>0</v>
      </c>
      <c r="U166" s="8">
        <f>(Q69*($E69/365))+(Q70*($E70/365))</f>
        <v>0</v>
      </c>
      <c r="V166" s="7"/>
      <c r="W166" s="7">
        <f t="shared" si="24"/>
        <v>57.8</v>
      </c>
    </row>
    <row r="167" spans="1:23">
      <c r="A167" s="1">
        <v>1991</v>
      </c>
      <c r="B167" s="8">
        <f>(K71*($E71/365))+(K72*($E72/365))</f>
        <v>100</v>
      </c>
      <c r="C167" s="8">
        <f>(L71*($E71/365))+(L72*($E72/365))</f>
        <v>0</v>
      </c>
      <c r="D167" s="8">
        <f>(M71*($E71/365))+(M72*($E72/365))</f>
        <v>0</v>
      </c>
      <c r="E167" s="50">
        <f t="shared" si="23"/>
        <v>100</v>
      </c>
      <c r="G167" s="1">
        <v>1991</v>
      </c>
      <c r="H167" s="989">
        <f>(O71/$R71*100*($E71/365))+(O72/$R72*100*($E72/365))</f>
        <v>100</v>
      </c>
      <c r="I167" s="989"/>
      <c r="J167" s="989">
        <f>(P71/$R71*100*($E71/365))+(P72/$R72*100*($E72/365))</f>
        <v>0</v>
      </c>
      <c r="K167" s="989"/>
      <c r="L167" s="989">
        <f>(Q71/$R71*100*($E71/365))+(Q72/$R72*100*($E72/365))</f>
        <v>0</v>
      </c>
      <c r="M167" s="989"/>
      <c r="N167" s="959">
        <f t="shared" si="22"/>
        <v>100</v>
      </c>
      <c r="O167" s="959"/>
      <c r="R167" s="1">
        <v>1991</v>
      </c>
      <c r="S167" s="8">
        <f>(O71*($E71/365))+(O72*($E72/365))</f>
        <v>57.8</v>
      </c>
      <c r="T167" s="8">
        <f>(P71*($E71/365))+(P72*($E72/365))</f>
        <v>0</v>
      </c>
      <c r="U167" s="8">
        <f>(Q71*($E71/365))+(Q72*($E72/365))</f>
        <v>0</v>
      </c>
      <c r="V167" s="7"/>
      <c r="W167" s="7">
        <f t="shared" si="24"/>
        <v>57.8</v>
      </c>
    </row>
    <row r="168" spans="1:23">
      <c r="A168" s="1">
        <v>1992</v>
      </c>
      <c r="B168" s="8">
        <f>(K73*($E73/366))+(K74*($E74/366))</f>
        <v>100</v>
      </c>
      <c r="C168" s="8">
        <f>(L73*($E73/366))+(L74*($E74/366))</f>
        <v>0</v>
      </c>
      <c r="D168" s="8">
        <f>(M73*($E73/366))+(M74*($E74/366))</f>
        <v>0</v>
      </c>
      <c r="E168" s="50">
        <f t="shared" si="23"/>
        <v>100</v>
      </c>
      <c r="G168" s="1">
        <v>1992</v>
      </c>
      <c r="H168" s="989">
        <f>(O73/$R73*100*($E73/366))+(O74/$R74*100*($E74/366))</f>
        <v>100</v>
      </c>
      <c r="I168" s="989"/>
      <c r="J168" s="989">
        <f>(P73/$R73*100*($E73/366))+(P74/$R74*100*($E74/366))</f>
        <v>0</v>
      </c>
      <c r="K168" s="989"/>
      <c r="L168" s="989">
        <f>(Q73/$R73*100*($E73/366))+(Q74/$R74*100*($E74/366))</f>
        <v>0</v>
      </c>
      <c r="M168" s="989"/>
      <c r="N168" s="959">
        <f t="shared" ref="N168:N188" si="25">H168+J168+L168</f>
        <v>100</v>
      </c>
      <c r="O168" s="959"/>
      <c r="R168" s="1">
        <v>1992</v>
      </c>
      <c r="S168" s="8">
        <f>(O73*($E73/366))+(O74*($E74/366))</f>
        <v>53.31092896174863</v>
      </c>
      <c r="T168" s="8">
        <f>(P73*($E73/366))+(P74*($E74/366))</f>
        <v>0</v>
      </c>
      <c r="U168" s="8">
        <f>(Q73*($E73/366))+(Q74*($E74/366))</f>
        <v>0</v>
      </c>
      <c r="V168" s="7"/>
      <c r="W168" s="7">
        <f t="shared" si="24"/>
        <v>53.31092896174863</v>
      </c>
    </row>
    <row r="169" spans="1:23">
      <c r="A169" s="1">
        <v>1993</v>
      </c>
      <c r="B169" s="8">
        <f>(K75*($E75/365))+(K76*($E76/365))</f>
        <v>100</v>
      </c>
      <c r="C169" s="8">
        <f>(L75*($E75/365))+(L76*($E76/365))</f>
        <v>0</v>
      </c>
      <c r="D169" s="8">
        <f>(M75*($E75/365))+(M76*($E76/365))</f>
        <v>0</v>
      </c>
      <c r="E169" s="50">
        <f t="shared" si="23"/>
        <v>100</v>
      </c>
      <c r="G169" s="1">
        <v>1993</v>
      </c>
      <c r="H169" s="989">
        <f>(O75/$R75*100*($E75/365))+(O76/$R76*100*($E76/365))</f>
        <v>100</v>
      </c>
      <c r="I169" s="989"/>
      <c r="J169" s="989">
        <f>(P75/$R75*100*($E75/365))+(P76/$R76*100*($E76/365))</f>
        <v>0</v>
      </c>
      <c r="K169" s="989"/>
      <c r="L169" s="989">
        <f>(Q75/$R75*100*($E75/365))+(Q76/$R76*100*($E76/365))</f>
        <v>0</v>
      </c>
      <c r="M169" s="989"/>
      <c r="N169" s="959">
        <f t="shared" si="25"/>
        <v>100</v>
      </c>
      <c r="O169" s="959"/>
      <c r="R169" s="1">
        <v>1993</v>
      </c>
      <c r="S169" s="8">
        <f>(O75*($E75/365))+(O76*($E76/365))</f>
        <v>51.6</v>
      </c>
      <c r="T169" s="8">
        <f>(P75*($E75/365))+(P76*($E76/365))</f>
        <v>0</v>
      </c>
      <c r="U169" s="8">
        <f>(Q75*($E75/365))+(Q76*($E76/365))</f>
        <v>0</v>
      </c>
      <c r="V169" s="7"/>
      <c r="W169" s="7">
        <f t="shared" si="24"/>
        <v>51.6</v>
      </c>
    </row>
    <row r="170" spans="1:23">
      <c r="A170" s="1">
        <v>1994</v>
      </c>
      <c r="B170" s="8">
        <f>(K77*($E77/365))+(K78*($E78/365))</f>
        <v>100</v>
      </c>
      <c r="C170" s="8">
        <f>(L77*($E77/365))+(L78*($E78/365))</f>
        <v>0</v>
      </c>
      <c r="D170" s="8">
        <f>(M77*($E77/365))+(M78*($E78/365))</f>
        <v>0</v>
      </c>
      <c r="E170" s="50">
        <f t="shared" si="23"/>
        <v>100</v>
      </c>
      <c r="G170" s="1">
        <v>1994</v>
      </c>
      <c r="H170" s="989">
        <f>(O77/$R77*100*($E77/365))+(O78/$R78*100*($E78/365))</f>
        <v>100</v>
      </c>
      <c r="I170" s="989"/>
      <c r="J170" s="989">
        <f>(P77/$R77*100*($E77/365))+(P78/$R78*100*($E78/365))</f>
        <v>0</v>
      </c>
      <c r="K170" s="989"/>
      <c r="L170" s="989">
        <f>(Q77/$R77*100*($E77/365))+(Q78/$R78*100*($E78/365))</f>
        <v>0</v>
      </c>
      <c r="M170" s="989"/>
      <c r="N170" s="959">
        <f t="shared" si="25"/>
        <v>100</v>
      </c>
      <c r="O170" s="959"/>
      <c r="R170" s="1">
        <v>1994</v>
      </c>
      <c r="S170" s="8">
        <f>(O77*($E77/365))+(O78*($E78/365))</f>
        <v>51.6</v>
      </c>
      <c r="T170" s="8">
        <f>(P77*($E77/365))+(P78*($E78/365))</f>
        <v>0</v>
      </c>
      <c r="U170" s="8">
        <f>(Q77*($E77/365))+(Q78*($E78/365))</f>
        <v>0</v>
      </c>
      <c r="V170" s="7"/>
      <c r="W170" s="7">
        <f t="shared" si="24"/>
        <v>51.6</v>
      </c>
    </row>
    <row r="171" spans="1:23">
      <c r="A171" s="1">
        <v>1995</v>
      </c>
      <c r="B171" s="8">
        <f>(K79*($E79/365))+(K80*($E80/365))</f>
        <v>100</v>
      </c>
      <c r="C171" s="8">
        <f>(L79*($E79/365))+(L80*($E80/365))</f>
        <v>0</v>
      </c>
      <c r="D171" s="8">
        <f>(M79*($E79/365))+(M80*($E80/365))</f>
        <v>0</v>
      </c>
      <c r="E171" s="50">
        <f t="shared" si="23"/>
        <v>100</v>
      </c>
      <c r="G171" s="1">
        <v>1995</v>
      </c>
      <c r="H171" s="989">
        <f>(O79/$R79*100*($E79/365))+(O80/$R80*100*($E80/365))</f>
        <v>100</v>
      </c>
      <c r="I171" s="989"/>
      <c r="J171" s="989">
        <f>(P79/$R79*100*($E79/365))+(P80/$R80*100*($E80/365))</f>
        <v>0</v>
      </c>
      <c r="K171" s="989"/>
      <c r="L171" s="989">
        <f>(Q79/$R79*100*($E79/365))+(Q80/$R80*100*($E80/365))</f>
        <v>0</v>
      </c>
      <c r="M171" s="989"/>
      <c r="N171" s="959">
        <f t="shared" si="25"/>
        <v>100</v>
      </c>
      <c r="O171" s="959"/>
      <c r="R171" s="1">
        <v>1995</v>
      </c>
      <c r="S171" s="8">
        <f>(O79*($E79/365))+(O80*($E80/365))</f>
        <v>51.6</v>
      </c>
      <c r="T171" s="8">
        <f>(P79*($E79/365))+(P80*($E80/365))</f>
        <v>0</v>
      </c>
      <c r="U171" s="8">
        <f>(Q79*($E79/365))+(Q80*($E80/365))</f>
        <v>0</v>
      </c>
      <c r="V171" s="7"/>
      <c r="W171" s="7">
        <f t="shared" si="24"/>
        <v>51.6</v>
      </c>
    </row>
    <row r="172" spans="1:23">
      <c r="A172" s="1">
        <v>1996</v>
      </c>
      <c r="B172" s="8">
        <f>(K81*($E81/366))+(K82*($E82/366))</f>
        <v>100</v>
      </c>
      <c r="C172" s="8">
        <f>(L81*($E81/366))+(L82*($E82/366))</f>
        <v>0</v>
      </c>
      <c r="D172" s="8">
        <f>(M81*($E81/366))+(M82*($E82/366))</f>
        <v>0</v>
      </c>
      <c r="E172" s="50">
        <f t="shared" si="23"/>
        <v>100</v>
      </c>
      <c r="G172" s="1">
        <v>1996</v>
      </c>
      <c r="H172" s="989">
        <f>(O81/$R81*100*($E81/366))+(O82/$R82*100*($E82/366))</f>
        <v>100</v>
      </c>
      <c r="I172" s="989"/>
      <c r="J172" s="989">
        <f>(P81/$R81*100*($E81/366))+(P82/$R82*100*($E82/366))</f>
        <v>0</v>
      </c>
      <c r="K172" s="989"/>
      <c r="L172" s="989">
        <f>(Q81/$R81*100*($E81/366))+(Q82/$R82*100*($E82/366))</f>
        <v>0</v>
      </c>
      <c r="M172" s="989"/>
      <c r="N172" s="959">
        <f t="shared" si="25"/>
        <v>100</v>
      </c>
      <c r="O172" s="959"/>
      <c r="R172" s="1">
        <v>1996</v>
      </c>
      <c r="S172" s="8">
        <f>(O81*($E81/366))+(O82*($E82/366))</f>
        <v>51.6</v>
      </c>
      <c r="T172" s="8">
        <f>(P81*($E81/366))+(P82*($E82/366))</f>
        <v>0</v>
      </c>
      <c r="U172" s="8">
        <f>(Q81*($E81/366))+(Q82*($E82/366))</f>
        <v>0</v>
      </c>
      <c r="V172" s="7"/>
      <c r="W172" s="7">
        <f t="shared" si="24"/>
        <v>51.6</v>
      </c>
    </row>
    <row r="173" spans="1:23">
      <c r="A173" s="1">
        <v>1997</v>
      </c>
      <c r="B173" s="8">
        <f>(K83*($E83/365))+(K84*($E84/365))</f>
        <v>33.150684931506852</v>
      </c>
      <c r="C173" s="8">
        <f>(L83*($E83/365))+(L84*($E84/365))</f>
        <v>0</v>
      </c>
      <c r="D173" s="8">
        <f>(M83*($E83/365))+(M84*($E84/365))</f>
        <v>66.849315068493155</v>
      </c>
      <c r="E173" s="50">
        <f t="shared" si="23"/>
        <v>100</v>
      </c>
      <c r="G173" s="1">
        <v>1997</v>
      </c>
      <c r="H173" s="989">
        <f>(O83/$R83*100*($E83/365))+(O84/$R84*100*($E84/365))</f>
        <v>33.150684931506852</v>
      </c>
      <c r="I173" s="989"/>
      <c r="J173" s="989">
        <f>(P83/$R83*100*($E83/365))+(P84/$R84*100*($E84/365))</f>
        <v>0</v>
      </c>
      <c r="K173" s="989"/>
      <c r="L173" s="989">
        <f>(Q83/$R83*100*($E83/365))+(Q84/$R84*100*($E84/365))</f>
        <v>66.849315068493155</v>
      </c>
      <c r="M173" s="989"/>
      <c r="N173" s="959">
        <f t="shared" si="25"/>
        <v>100</v>
      </c>
      <c r="O173" s="959"/>
      <c r="R173" s="1">
        <v>1997</v>
      </c>
      <c r="S173" s="8">
        <f>(O83*($E83/365))+(O84*($E84/365))</f>
        <v>17.105753424657536</v>
      </c>
      <c r="T173" s="8">
        <f>(P83*($E83/365))+(P84*($E84/365))</f>
        <v>0</v>
      </c>
      <c r="U173" s="8">
        <f>(Q83*($E83/365))+(Q84*($E84/365))</f>
        <v>42.516164383561645</v>
      </c>
      <c r="V173" s="7"/>
      <c r="W173" s="7">
        <f t="shared" si="24"/>
        <v>59.62191780821918</v>
      </c>
    </row>
    <row r="174" spans="1:23">
      <c r="A174" s="1">
        <v>1998</v>
      </c>
      <c r="B174" s="8">
        <f>(K85*($E85/365))+(K86*($E86/365))</f>
        <v>0</v>
      </c>
      <c r="C174" s="8">
        <f>(L85*($E85/365))+(L86*($E86/365))</f>
        <v>0</v>
      </c>
      <c r="D174" s="8">
        <f>(M85*($E85/365))+(M86*($E86/365))</f>
        <v>100</v>
      </c>
      <c r="E174" s="50">
        <f t="shared" si="23"/>
        <v>100</v>
      </c>
      <c r="G174" s="1">
        <v>1998</v>
      </c>
      <c r="H174" s="989">
        <f>(O85/$R85*100*($E85/365))+(O86/$R86*100*($E86/365))</f>
        <v>0</v>
      </c>
      <c r="I174" s="989"/>
      <c r="J174" s="989">
        <f>(P85/$R85*100*($E85/365))+(P86/$R86*100*($E86/365))</f>
        <v>0</v>
      </c>
      <c r="K174" s="989"/>
      <c r="L174" s="989">
        <f>(Q85/$R85*100*($E85/365))+(Q86/$R86*100*($E86/365))</f>
        <v>100</v>
      </c>
      <c r="M174" s="989"/>
      <c r="N174" s="959">
        <f t="shared" si="25"/>
        <v>100</v>
      </c>
      <c r="O174" s="959"/>
      <c r="R174" s="1">
        <v>1998</v>
      </c>
      <c r="S174" s="8">
        <f>(O85*($E85/365))+(O86*($E86/365))</f>
        <v>0</v>
      </c>
      <c r="T174" s="8">
        <f>(P85*($E85/365))+(P86*($E86/365))</f>
        <v>0</v>
      </c>
      <c r="U174" s="8">
        <f>(Q85*($E85/365))+(Q86*($E86/365))</f>
        <v>63.6</v>
      </c>
      <c r="V174" s="7"/>
      <c r="W174" s="7">
        <f t="shared" si="24"/>
        <v>63.6</v>
      </c>
    </row>
    <row r="175" spans="1:23">
      <c r="A175" s="1">
        <v>1999</v>
      </c>
      <c r="B175" s="8">
        <f>(K87*($E87/365))+(K88*($E88/365))</f>
        <v>0</v>
      </c>
      <c r="C175" s="8">
        <f>(L87*($E87/365))+(L88*($E88/365))</f>
        <v>0</v>
      </c>
      <c r="D175" s="8">
        <f>(M87*($E87/365))+(M88*($E88/365))</f>
        <v>100</v>
      </c>
      <c r="E175" s="50">
        <f t="shared" si="23"/>
        <v>100</v>
      </c>
      <c r="G175" s="1">
        <v>1999</v>
      </c>
      <c r="H175" s="989">
        <f>(O87/$R87*100*($E87/365))+(O88/$R88*100*($E88/365))</f>
        <v>0</v>
      </c>
      <c r="I175" s="989"/>
      <c r="J175" s="989">
        <f>(P87/$R87*100*($E87/365))+(P88/$R88*100*($E88/365))</f>
        <v>0</v>
      </c>
      <c r="K175" s="989"/>
      <c r="L175" s="989">
        <f>(Q87/$R87*100*($E87/365))+(Q88/$R88*100*($E88/365))</f>
        <v>100</v>
      </c>
      <c r="M175" s="989"/>
      <c r="N175" s="959">
        <f t="shared" si="25"/>
        <v>100</v>
      </c>
      <c r="O175" s="959"/>
      <c r="R175" s="1">
        <v>1999</v>
      </c>
      <c r="S175" s="8">
        <f>(O87*($E87/365))+(O88*($E88/365))</f>
        <v>0</v>
      </c>
      <c r="T175" s="8">
        <f>(P87*($E87/365))+(P88*($E88/365))</f>
        <v>0</v>
      </c>
      <c r="U175" s="8">
        <f>(Q87*($E87/365))+(Q88*($E88/365))</f>
        <v>63.6</v>
      </c>
      <c r="V175" s="7"/>
      <c r="W175" s="7">
        <f t="shared" si="24"/>
        <v>63.6</v>
      </c>
    </row>
    <row r="176" spans="1:23">
      <c r="A176" s="1">
        <v>2000</v>
      </c>
      <c r="B176" s="8">
        <f>(K89*($E89/366))+(K90*($E90/366))</f>
        <v>0</v>
      </c>
      <c r="C176" s="8">
        <f>(L89*($E89/366))+(L90*($E90/366))</f>
        <v>0</v>
      </c>
      <c r="D176" s="8">
        <f>(M89*($E89/366))+(M90*($E90/366))</f>
        <v>100</v>
      </c>
      <c r="E176" s="50">
        <f t="shared" si="23"/>
        <v>100</v>
      </c>
      <c r="G176" s="1">
        <v>2000</v>
      </c>
      <c r="H176" s="989">
        <f>(O89/$R89*100*($E89/366))+(O90/$R90*100*($E90/366))</f>
        <v>0</v>
      </c>
      <c r="I176" s="989"/>
      <c r="J176" s="989">
        <f>(P89/$R89*100*($E89/366))+(P90/$R90*100*($E90/366))</f>
        <v>0</v>
      </c>
      <c r="K176" s="989"/>
      <c r="L176" s="989">
        <f>(Q89/$R89*100*($E89/366))+(Q90/$R90*100*($E90/366))</f>
        <v>100</v>
      </c>
      <c r="M176" s="989"/>
      <c r="N176" s="959">
        <f t="shared" si="25"/>
        <v>100</v>
      </c>
      <c r="O176" s="959"/>
      <c r="R176" s="1">
        <v>2000</v>
      </c>
      <c r="S176" s="8">
        <f>(O89*($E89/366))+(O90*($E90/366))</f>
        <v>0</v>
      </c>
      <c r="T176" s="8">
        <f>(P89*($E89/366))+(P90*($E90/366))</f>
        <v>0</v>
      </c>
      <c r="U176" s="8">
        <f>(Q89*($E89/366))+(Q90*($E90/366))</f>
        <v>63.6</v>
      </c>
      <c r="V176" s="7"/>
      <c r="W176" s="7">
        <f t="shared" si="24"/>
        <v>63.6</v>
      </c>
    </row>
    <row r="177" spans="1:23">
      <c r="A177" s="1">
        <v>2001</v>
      </c>
      <c r="B177" s="8">
        <f>(K91*($E91/365))+(K92*($E92/365))</f>
        <v>0</v>
      </c>
      <c r="C177" s="8">
        <f>(L91*($E91/365))+(L92*($E92/365))</f>
        <v>0</v>
      </c>
      <c r="D177" s="8">
        <f>(M91*($E91/365))+(M92*($E92/365))</f>
        <v>100</v>
      </c>
      <c r="E177" s="50">
        <f t="shared" si="23"/>
        <v>100</v>
      </c>
      <c r="G177" s="1">
        <v>2001</v>
      </c>
      <c r="H177" s="989">
        <f>(O91/$R91*100*($E91/365))+(O92/$R92*100*($E92/365))</f>
        <v>0</v>
      </c>
      <c r="I177" s="989"/>
      <c r="J177" s="989">
        <f>(P91/$R91*100*($E91/365))+(P92/$R92*100*($E92/365))</f>
        <v>0</v>
      </c>
      <c r="K177" s="989"/>
      <c r="L177" s="989">
        <f>(Q91/$R91*100*($E91/365))+(Q92/$R92*100*($E92/365))</f>
        <v>100</v>
      </c>
      <c r="M177" s="989"/>
      <c r="N177" s="959">
        <f t="shared" si="25"/>
        <v>100</v>
      </c>
      <c r="O177" s="959"/>
      <c r="R177" s="1">
        <v>2001</v>
      </c>
      <c r="S177" s="8">
        <f>(O91*($E91/365))+(O92*($E92/365))</f>
        <v>0</v>
      </c>
      <c r="T177" s="8">
        <f>(P91*($E91/365))+(P92*($E92/365))</f>
        <v>0</v>
      </c>
      <c r="U177" s="8">
        <f>(Q91*($E91/365))+(Q92*($E92/365))</f>
        <v>62.976164383561645</v>
      </c>
      <c r="V177" s="7"/>
      <c r="W177" s="7">
        <f t="shared" si="24"/>
        <v>62.976164383561645</v>
      </c>
    </row>
    <row r="178" spans="1:23">
      <c r="A178" s="1">
        <v>2002</v>
      </c>
      <c r="B178" s="8">
        <f>(K93*($E93/365))+(K94*($E94/365))</f>
        <v>0</v>
      </c>
      <c r="C178" s="8">
        <f>(L93*($E93/365))+(L94*($E94/365))</f>
        <v>0</v>
      </c>
      <c r="D178" s="8">
        <f>(M93*($E93/365))+(M94*($E94/365))</f>
        <v>100</v>
      </c>
      <c r="E178" s="50">
        <f t="shared" si="23"/>
        <v>100</v>
      </c>
      <c r="G178" s="1">
        <v>2002</v>
      </c>
      <c r="H178" s="989">
        <f>(O93/$R93*100*($E93/365))+(O94/$R94*100*($E94/365))</f>
        <v>0</v>
      </c>
      <c r="I178" s="989"/>
      <c r="J178" s="989">
        <f>(P93/$R93*100*($E93/365))+(P94/$R94*100*($E94/365))</f>
        <v>0</v>
      </c>
      <c r="K178" s="989"/>
      <c r="L178" s="989">
        <f>(Q93/$R93*100*($E93/365))+(Q94/$R94*100*($E94/365))</f>
        <v>100</v>
      </c>
      <c r="M178" s="989"/>
      <c r="N178" s="959">
        <f t="shared" si="25"/>
        <v>100</v>
      </c>
      <c r="O178" s="959"/>
      <c r="R178" s="1">
        <v>2002</v>
      </c>
      <c r="S178" s="8">
        <f>(O93*($E93/365))+(O94*($E94/365))</f>
        <v>0</v>
      </c>
      <c r="T178" s="8">
        <f>(P93*($E93/365))+(P94*($E94/365))</f>
        <v>0</v>
      </c>
      <c r="U178" s="8">
        <f>(Q93*($E93/365))+(Q94*($E94/365))</f>
        <v>62.5</v>
      </c>
      <c r="V178" s="7"/>
      <c r="W178" s="7">
        <f t="shared" si="24"/>
        <v>62.5</v>
      </c>
    </row>
    <row r="179" spans="1:23">
      <c r="A179" s="1">
        <v>2003</v>
      </c>
      <c r="B179" s="8">
        <f>(K95*($E95/365))+(K96*($E96/365))</f>
        <v>0</v>
      </c>
      <c r="C179" s="8">
        <f>(L95*($E95/365))+(L96*($E96/365))</f>
        <v>0</v>
      </c>
      <c r="D179" s="8">
        <f>(M95*($E95/365))+(M96*($E96/365))</f>
        <v>100</v>
      </c>
      <c r="E179" s="50">
        <f t="shared" si="23"/>
        <v>100</v>
      </c>
      <c r="G179" s="1">
        <v>2003</v>
      </c>
      <c r="H179" s="989">
        <f>(O95/$R95*100*($E95/365))+(O96/$R96*100*($E96/365))</f>
        <v>0</v>
      </c>
      <c r="I179" s="989"/>
      <c r="J179" s="989">
        <f>(P95/$R95*100*($E95/365))+(P96/$R96*100*($E96/365))</f>
        <v>0</v>
      </c>
      <c r="K179" s="989"/>
      <c r="L179" s="989">
        <f>(Q95/$R95*100*($E95/365))+(Q96/$R96*100*($E96/365))</f>
        <v>100</v>
      </c>
      <c r="M179" s="989"/>
      <c r="N179" s="959">
        <f t="shared" si="25"/>
        <v>100</v>
      </c>
      <c r="O179" s="959"/>
      <c r="R179" s="1">
        <v>2003</v>
      </c>
      <c r="S179" s="8">
        <f>(O95*($E95/365))+(O96*($E96/365))</f>
        <v>0</v>
      </c>
      <c r="T179" s="8">
        <f>(P95*($E95/365))+(P96*($E96/365))</f>
        <v>0</v>
      </c>
      <c r="U179" s="8">
        <f>(Q95*($E95/365))+(Q96*($E96/365))</f>
        <v>62.5</v>
      </c>
      <c r="V179" s="7"/>
      <c r="W179" s="7">
        <f t="shared" si="24"/>
        <v>62.5</v>
      </c>
    </row>
    <row r="180" spans="1:23">
      <c r="A180" s="1">
        <v>2004</v>
      </c>
      <c r="B180" s="8">
        <f>(K97*($E97/366))+(K98*($E98/366))</f>
        <v>0</v>
      </c>
      <c r="C180" s="8">
        <f>(L97*($E97/366))+(L98*($E98/366))</f>
        <v>0</v>
      </c>
      <c r="D180" s="8">
        <f>(M97*($E97/366))+(M98*($E98/366))</f>
        <v>100</v>
      </c>
      <c r="E180" s="50">
        <f t="shared" si="23"/>
        <v>100</v>
      </c>
      <c r="G180" s="1">
        <v>2004</v>
      </c>
      <c r="H180" s="989">
        <f>(O97/$R97*100*($E97/366))+(O98/$R98*100*($E98/366))</f>
        <v>0</v>
      </c>
      <c r="I180" s="989"/>
      <c r="J180" s="989">
        <f>(P97/$R97*100*($E97/366))+(P98/$R98*100*($E98/366))</f>
        <v>0</v>
      </c>
      <c r="K180" s="989"/>
      <c r="L180" s="989">
        <f>(Q97/$R97*100*($E97/366))+(Q98/$R98*100*($E98/366))</f>
        <v>100</v>
      </c>
      <c r="M180" s="989"/>
      <c r="N180" s="959">
        <f t="shared" si="25"/>
        <v>100</v>
      </c>
      <c r="O180" s="959"/>
      <c r="R180" s="1">
        <v>2004</v>
      </c>
      <c r="S180" s="8">
        <f>(O97*($E97/366))+(O98*($E98/366))</f>
        <v>0</v>
      </c>
      <c r="T180" s="8">
        <f>(P97*($E97/366))+(P98*($E98/366))</f>
        <v>0</v>
      </c>
      <c r="U180" s="8">
        <f>(Q97*($E97/366))+(Q98*($E98/366))</f>
        <v>62.5</v>
      </c>
      <c r="V180" s="7"/>
      <c r="W180" s="7">
        <f t="shared" si="24"/>
        <v>62.5</v>
      </c>
    </row>
    <row r="181" spans="1:23">
      <c r="A181" s="1">
        <v>2005</v>
      </c>
      <c r="B181" s="8">
        <f>(K99*($E99/365))+(K100*($E100/365))</f>
        <v>0</v>
      </c>
      <c r="C181" s="8">
        <f>(L99*($E99/365))+(L100*($E100/365))</f>
        <v>0</v>
      </c>
      <c r="D181" s="8">
        <f>(M99*($E99/365))+(M100*($E100/365))</f>
        <v>100</v>
      </c>
      <c r="E181" s="50">
        <f t="shared" si="23"/>
        <v>100</v>
      </c>
      <c r="G181" s="1">
        <v>2005</v>
      </c>
      <c r="H181" s="989">
        <f>(O99/$R99*100*($E99/365))+(O100/$R100*100*($E100/365))</f>
        <v>0</v>
      </c>
      <c r="I181" s="989"/>
      <c r="J181" s="989">
        <f>(P99/$R99*100*($E99/365))+(P100/$R100*100*($E100/365))</f>
        <v>0</v>
      </c>
      <c r="K181" s="989"/>
      <c r="L181" s="989">
        <f>(Q99/$R99*100*($E99/365))+(Q100/$R100*100*($E100/365))</f>
        <v>100</v>
      </c>
      <c r="M181" s="989"/>
      <c r="N181" s="959">
        <f t="shared" si="25"/>
        <v>100</v>
      </c>
      <c r="O181" s="959"/>
      <c r="R181" s="1">
        <v>2005</v>
      </c>
      <c r="S181" s="8">
        <f>(O99*($E99/365))+(O100*($E100/365))</f>
        <v>0</v>
      </c>
      <c r="T181" s="8">
        <f>(P99*($E99/365))+(P100*($E100/365))</f>
        <v>0</v>
      </c>
      <c r="U181" s="8">
        <f>(Q99*($E99/365))+(Q100*($E100/365))</f>
        <v>57.56849315068493</v>
      </c>
      <c r="V181" s="7"/>
      <c r="W181" s="7">
        <f t="shared" si="24"/>
        <v>57.56849315068493</v>
      </c>
    </row>
    <row r="182" spans="1:23">
      <c r="A182" s="1">
        <v>2006</v>
      </c>
      <c r="B182" s="8">
        <f>(K101*($E101/365))+(K102*($E102/365))</f>
        <v>0</v>
      </c>
      <c r="C182" s="8">
        <f>(L101*($E101/365))+(L102*($E102/365))</f>
        <v>0</v>
      </c>
      <c r="D182" s="8">
        <f>(M101*($E101/365))+(M102*($E102/365))</f>
        <v>100</v>
      </c>
      <c r="E182" s="50">
        <f t="shared" si="23"/>
        <v>100</v>
      </c>
      <c r="G182" s="1">
        <v>2006</v>
      </c>
      <c r="H182" s="989">
        <f>(O101/$R101*100*($E101/365))+(O102/$R102*100*($E102/365))</f>
        <v>0</v>
      </c>
      <c r="I182" s="989"/>
      <c r="J182" s="989">
        <f>(P101/$R101*100*($E101/365))+(P102/$R102*100*($E102/365))</f>
        <v>0</v>
      </c>
      <c r="K182" s="989"/>
      <c r="L182" s="989">
        <f>(Q101/$R101*100*($E101/365))+(Q102/$R102*100*($E102/365))</f>
        <v>100</v>
      </c>
      <c r="M182" s="989"/>
      <c r="N182" s="959">
        <f t="shared" si="25"/>
        <v>100</v>
      </c>
      <c r="O182" s="959"/>
      <c r="R182" s="1">
        <v>2006</v>
      </c>
      <c r="S182" s="8">
        <f>(O101*($E101/365))+(O102*($E102/365))</f>
        <v>0</v>
      </c>
      <c r="T182" s="8">
        <f>(P101*($E101/365))+(P102*($E102/365))</f>
        <v>0</v>
      </c>
      <c r="U182" s="8">
        <f>(Q101*($E101/365))+(Q102*($E102/365))</f>
        <v>55</v>
      </c>
      <c r="V182" s="7"/>
      <c r="W182" s="7">
        <f t="shared" si="24"/>
        <v>55</v>
      </c>
    </row>
    <row r="183" spans="1:23">
      <c r="A183" s="1">
        <v>2007</v>
      </c>
      <c r="B183" s="8">
        <f>(K103*($E103/365))+(K104*($E104/365))</f>
        <v>0</v>
      </c>
      <c r="C183" s="8">
        <f>(L103*($E103/365))+(L104*($E104/365))</f>
        <v>0</v>
      </c>
      <c r="D183" s="8">
        <f>(M103*($E103/365))+(M104*($E104/365))</f>
        <v>100</v>
      </c>
      <c r="E183" s="50">
        <f t="shared" si="23"/>
        <v>100</v>
      </c>
      <c r="G183" s="1">
        <v>2007</v>
      </c>
      <c r="H183" s="989">
        <f>(O103/$R103*100*($E103/365))+(O104/$R104*100*($E104/365))</f>
        <v>0</v>
      </c>
      <c r="I183" s="989"/>
      <c r="J183" s="989">
        <f>(P103/$R103*100*($E103/365))+(P104/$R104*100*($E104/365))</f>
        <v>0</v>
      </c>
      <c r="K183" s="989"/>
      <c r="L183" s="989">
        <f>(Q103/$R103*100*($E103/365))+(Q104/$R104*100*($E104/365))</f>
        <v>100</v>
      </c>
      <c r="M183" s="989"/>
      <c r="N183" s="959">
        <f t="shared" si="25"/>
        <v>100</v>
      </c>
      <c r="O183" s="959"/>
      <c r="R183" s="1">
        <v>2007</v>
      </c>
      <c r="S183" s="8">
        <f>(O103*($E103/365))+(O104*($E104/365))</f>
        <v>0</v>
      </c>
      <c r="T183" s="8">
        <f>(P103*($E103/365))+(P104*($E104/365))</f>
        <v>0</v>
      </c>
      <c r="U183" s="8">
        <f>(Q103*($E103/365))+(Q104*($E104/365))</f>
        <v>55</v>
      </c>
      <c r="V183" s="7"/>
      <c r="W183" s="7">
        <f t="shared" si="24"/>
        <v>55</v>
      </c>
    </row>
    <row r="184" spans="1:23">
      <c r="A184" s="1">
        <v>2008</v>
      </c>
      <c r="B184" s="8">
        <f>(K105*($E105/366))+(K106*($E106/366))</f>
        <v>0</v>
      </c>
      <c r="C184" s="8">
        <f>(L105*($E105/366))+(L106*($E106/366))</f>
        <v>0</v>
      </c>
      <c r="D184" s="8">
        <f>(M105*($E105/366))+(M106*($E106/366))</f>
        <v>100</v>
      </c>
      <c r="E184" s="50">
        <f t="shared" si="23"/>
        <v>100</v>
      </c>
      <c r="G184" s="1">
        <v>2008</v>
      </c>
      <c r="H184" s="989">
        <f>(O105/$R105*100*($E105/366))+(O106/$R106*100*($E106/366))</f>
        <v>0</v>
      </c>
      <c r="I184" s="989"/>
      <c r="J184" s="989">
        <f>(P105/$R105*100*($E105/366))+(P106/$R106*100*($E106/366))</f>
        <v>0</v>
      </c>
      <c r="K184" s="989"/>
      <c r="L184" s="989">
        <f>(Q105/$R105*100*($E105/366))+(Q106/$R106*100*($E106/366))</f>
        <v>100</v>
      </c>
      <c r="M184" s="989"/>
      <c r="N184" s="959">
        <f t="shared" si="25"/>
        <v>100</v>
      </c>
      <c r="O184" s="959"/>
      <c r="R184" s="1">
        <v>2008</v>
      </c>
      <c r="S184" s="8">
        <f>(O105*($E105/366))+(O106*($E106/366))</f>
        <v>0</v>
      </c>
      <c r="T184" s="8">
        <f>(P105*($E105/366))+(P106*($E106/366))</f>
        <v>0</v>
      </c>
      <c r="U184" s="8">
        <f>(Q105*($E105/366))+(Q106*($E106/366))</f>
        <v>55</v>
      </c>
      <c r="V184" s="7"/>
      <c r="W184" s="7">
        <f t="shared" si="24"/>
        <v>55</v>
      </c>
    </row>
    <row r="185" spans="1:23">
      <c r="A185" s="1">
        <v>2009</v>
      </c>
      <c r="B185" s="8">
        <f>(K107*($E107/365))+(K108*($E108/365))</f>
        <v>0</v>
      </c>
      <c r="C185" s="8">
        <f>(L107*($E107/365))+(L108*($E108/365))</f>
        <v>0</v>
      </c>
      <c r="D185" s="8">
        <f>(M107*($E107/365))+(M108*($E108/365))</f>
        <v>100</v>
      </c>
      <c r="E185" s="50">
        <f t="shared" si="23"/>
        <v>100</v>
      </c>
      <c r="G185" s="1">
        <v>2009</v>
      </c>
      <c r="H185" s="989">
        <f>(O107/$R107*100*($E107/365))+(O108/$R108*100*($E108/365))</f>
        <v>0</v>
      </c>
      <c r="I185" s="989"/>
      <c r="J185" s="989">
        <f>(P107/$R107*100*($E107/365))+(P108/$R108*100*($E108/365))</f>
        <v>0</v>
      </c>
      <c r="K185" s="989"/>
      <c r="L185" s="989">
        <f>(Q107/$R107*100*($E107/365))+(Q108/$R108*100*($E108/365))</f>
        <v>100</v>
      </c>
      <c r="M185" s="989"/>
      <c r="N185" s="959">
        <f t="shared" si="25"/>
        <v>100</v>
      </c>
      <c r="O185" s="959"/>
      <c r="R185" s="1">
        <v>2009</v>
      </c>
      <c r="S185" s="8">
        <f>(O107*($E107/365))+(O108*($E108/365))</f>
        <v>0</v>
      </c>
      <c r="T185" s="8">
        <f>(P107*($E107/365))+(P108*($E108/365))</f>
        <v>0</v>
      </c>
      <c r="U185" s="8">
        <f>(Q107*($E107/365))+(Q108*($E108/365))</f>
        <v>55</v>
      </c>
      <c r="V185" s="7"/>
      <c r="W185" s="7">
        <f t="shared" si="24"/>
        <v>55</v>
      </c>
    </row>
    <row r="186" spans="1:23">
      <c r="A186" s="1">
        <v>2010</v>
      </c>
      <c r="B186" s="8">
        <f>(K109*($E109/365))+(K110*($E110/365))</f>
        <v>62.19178082191781</v>
      </c>
      <c r="C186" s="8">
        <f>(L109*($E109/365))+(L110*($E110/365))</f>
        <v>0</v>
      </c>
      <c r="D186" s="8">
        <f>(M109*($E109/365))+(M110*($E110/365))</f>
        <v>37.80821917808219</v>
      </c>
      <c r="E186" s="50">
        <f t="shared" si="23"/>
        <v>100</v>
      </c>
      <c r="G186" s="1">
        <v>2010</v>
      </c>
      <c r="H186" s="989">
        <f>(O109/$R109*100*($E109/365))+(O110/$R110*100*($E110/365))</f>
        <v>62.19178082191781</v>
      </c>
      <c r="I186" s="989"/>
      <c r="J186" s="989">
        <f>(P109/$R109*100*($E109/365))+(P110/$R110*100*($E110/365))</f>
        <v>0</v>
      </c>
      <c r="K186" s="989"/>
      <c r="L186" s="989">
        <f>(Q109/$R109*100*($E109/365))+(Q110/$R110*100*($E110/365))</f>
        <v>37.80821917808219</v>
      </c>
      <c r="M186" s="989"/>
      <c r="N186" s="959">
        <f t="shared" si="25"/>
        <v>100</v>
      </c>
      <c r="O186" s="959"/>
      <c r="R186" s="1">
        <v>2010</v>
      </c>
      <c r="S186" s="8">
        <f>(O109*($E109/365))+(O110*($E110/365))</f>
        <v>34.765205479452057</v>
      </c>
      <c r="T186" s="8">
        <f>(P109*($E109/365))+(P110*($E110/365))</f>
        <v>0</v>
      </c>
      <c r="U186" s="8">
        <f>(Q109*($E109/365))+(Q110*($E110/365))</f>
        <v>20.794520547945204</v>
      </c>
      <c r="V186" s="7"/>
      <c r="W186" s="7">
        <f t="shared" si="24"/>
        <v>55.559726027397261</v>
      </c>
    </row>
    <row r="187" spans="1:23">
      <c r="A187" s="1">
        <v>2011</v>
      </c>
      <c r="B187" s="8">
        <f>(K111*($E111/365))+(K112*($E112/365))</f>
        <v>100</v>
      </c>
      <c r="C187" s="8">
        <f>(L111*($E111/365))+(L112*($E112/365))</f>
        <v>0</v>
      </c>
      <c r="D187" s="8">
        <f>(M111*($E111/365))+(M112*($E112/365))</f>
        <v>0</v>
      </c>
      <c r="E187" s="50">
        <f t="shared" si="23"/>
        <v>100</v>
      </c>
      <c r="G187" s="1">
        <v>2011</v>
      </c>
      <c r="H187" s="989">
        <f>(O111/$R111*100*($E111/365))+(O112/$R112*100*($E112/365))</f>
        <v>100</v>
      </c>
      <c r="I187" s="989"/>
      <c r="J187" s="989">
        <f>(P111/$R111*100*($E111/365))+(P112/$R112*100*($E112/365))</f>
        <v>0</v>
      </c>
      <c r="K187" s="989"/>
      <c r="L187" s="989">
        <f>(Q111/$R111*100*($E111/365))+(Q112/$R112*100*($E112/365))</f>
        <v>0</v>
      </c>
      <c r="M187" s="989"/>
      <c r="N187" s="959">
        <f t="shared" si="25"/>
        <v>100</v>
      </c>
      <c r="O187" s="959"/>
      <c r="R187" s="1">
        <v>2011</v>
      </c>
      <c r="S187" s="8">
        <f>(O111*($E111/365))+(O112*($E112/365))</f>
        <v>55.9</v>
      </c>
      <c r="T187" s="8">
        <f>(P111*($E111/365))+(P112*($E112/365))</f>
        <v>0</v>
      </c>
      <c r="U187" s="8">
        <f>(Q111*($E111/365))+(Q112*($E112/365))</f>
        <v>0</v>
      </c>
      <c r="V187" s="7"/>
      <c r="W187" s="7">
        <f t="shared" si="24"/>
        <v>55.9</v>
      </c>
    </row>
    <row r="188" spans="1:23">
      <c r="A188" s="1">
        <v>2012</v>
      </c>
      <c r="B188" s="8">
        <f>(K113*($E113/366))+(K114*($E114/366))</f>
        <v>100</v>
      </c>
      <c r="C188" s="8">
        <f>(L113*($E113/366))+(L114*($E114/366))</f>
        <v>0</v>
      </c>
      <c r="D188" s="8">
        <f>(M113*($E113/366))+(M114*($E114/366))</f>
        <v>0</v>
      </c>
      <c r="E188" s="50">
        <f t="shared" si="23"/>
        <v>100</v>
      </c>
      <c r="G188" s="1">
        <v>2012</v>
      </c>
      <c r="H188" s="989">
        <f>(O113/$R113*100*($E113/366))+(O114/$R114*100*($E114/366))</f>
        <v>100</v>
      </c>
      <c r="I188" s="989"/>
      <c r="J188" s="989">
        <f>(P113/$R113*100*($E113/366))+(P114/$R114*100*($E114/366))</f>
        <v>0</v>
      </c>
      <c r="K188" s="989"/>
      <c r="L188" s="989">
        <f>(Q113/$R113*100*($E113/366))+(Q114/$R114*100*($E114/366))</f>
        <v>0</v>
      </c>
      <c r="M188" s="989"/>
      <c r="N188" s="959">
        <f t="shared" si="25"/>
        <v>100</v>
      </c>
      <c r="O188" s="959"/>
      <c r="R188" s="1">
        <v>2012</v>
      </c>
      <c r="S188" s="8">
        <f>(O113*($E113/366))+(O114*($E114/366))</f>
        <v>55.9</v>
      </c>
      <c r="T188" s="8">
        <f>(P113*($E113/366))+(P114*($E114/366))</f>
        <v>0</v>
      </c>
      <c r="U188" s="8">
        <f>(Q113*($E113/366))+(Q114*($E114/366))</f>
        <v>0</v>
      </c>
      <c r="V188" s="7"/>
      <c r="W188" s="7">
        <f t="shared" si="24"/>
        <v>55.9</v>
      </c>
    </row>
    <row r="189" spans="1:23">
      <c r="A189" s="1">
        <v>2013</v>
      </c>
      <c r="B189" s="8">
        <f>(K115*($E115/365))+(K116*($E116/365))</f>
        <v>100</v>
      </c>
      <c r="C189" s="8">
        <f>(L115*($E115/365))+(L116*($E116/365))</f>
        <v>0</v>
      </c>
      <c r="D189" s="8">
        <f>(M115*($E115/365))+(M116*($E116/365))</f>
        <v>0</v>
      </c>
      <c r="E189" s="309">
        <f t="shared" si="23"/>
        <v>100</v>
      </c>
      <c r="G189" s="1">
        <v>2013</v>
      </c>
      <c r="H189" s="989">
        <f>(O115/$R115*100*($E115/365))+(O116/$R116*100*($E116/365))</f>
        <v>100</v>
      </c>
      <c r="I189" s="989"/>
      <c r="J189" s="989">
        <f>(P115/$R115*100*($E115/365))+(P116/$R116*100*($E116/365))</f>
        <v>0</v>
      </c>
      <c r="K189" s="989"/>
      <c r="L189" s="989">
        <f>(Q115/$R115*100*($E115/365))+(Q116/$R116*100*($E116/365))</f>
        <v>0</v>
      </c>
      <c r="M189" s="989"/>
      <c r="N189" s="959">
        <f>H189+J189+L189</f>
        <v>100</v>
      </c>
      <c r="O189" s="959"/>
      <c r="R189" s="1">
        <v>2013</v>
      </c>
      <c r="S189" s="8">
        <f>(O115*($E115/365))+(O116*($E116/365))</f>
        <v>55.9</v>
      </c>
      <c r="T189" s="8">
        <f>(P115*($E115/365))+(P116*($E116/365))</f>
        <v>0</v>
      </c>
      <c r="U189" s="8">
        <f>(Q115*($E115/365))+(Q116*($E116/365))</f>
        <v>0</v>
      </c>
      <c r="W189" s="7">
        <f t="shared" si="24"/>
        <v>55.9</v>
      </c>
    </row>
    <row r="190" spans="1:23">
      <c r="A190" s="1">
        <v>2014</v>
      </c>
      <c r="B190" s="8">
        <f>(K117*($E117/365))+(K118*($E118/365))</f>
        <v>100</v>
      </c>
      <c r="C190" s="8">
        <f>(L117*($E117/365))+(L118*($E118/365))</f>
        <v>0</v>
      </c>
      <c r="D190" s="8">
        <f>(M117*($E117/365))+(M118*($E118/365))</f>
        <v>0</v>
      </c>
      <c r="E190" s="611">
        <f>B190+C190+D190</f>
        <v>100</v>
      </c>
      <c r="G190" s="1">
        <v>2014</v>
      </c>
      <c r="H190" s="989">
        <f>(O117/$R117*100*($E117/365))+(O118/$R118*100*($E118/365))</f>
        <v>100</v>
      </c>
      <c r="I190" s="989"/>
      <c r="J190" s="989">
        <f>(P117/$R117*100*($E117/365))+(P118/$R118*100*($E118/365))</f>
        <v>0</v>
      </c>
      <c r="K190" s="989"/>
      <c r="L190" s="989">
        <f>(Q117/$R117*100*($E117/365))+(Q118/$R118*100*($E118/365))</f>
        <v>0</v>
      </c>
      <c r="M190" s="989"/>
      <c r="N190" s="959">
        <f>H190+J190+L190</f>
        <v>100</v>
      </c>
      <c r="O190" s="959"/>
      <c r="R190" s="1">
        <v>2014</v>
      </c>
      <c r="S190" s="8">
        <f>(O117*($E117/365))+(O118*($E118/365))</f>
        <v>55.9</v>
      </c>
      <c r="T190" s="8">
        <f>(P117*($E117/365))+(P118*($E118/365))</f>
        <v>0</v>
      </c>
      <c r="U190" s="8">
        <f>(Q117*($E117/365))+(Q118*($E118/365))</f>
        <v>0</v>
      </c>
      <c r="W190" s="7">
        <f>S190+T190+U190</f>
        <v>55.9</v>
      </c>
    </row>
    <row r="191" spans="1:23" s="765" customFormat="1">
      <c r="A191" s="765">
        <v>2015</v>
      </c>
      <c r="B191" s="770">
        <f>(K119*($E119/365))+(K120*($E120/365))</f>
        <v>100</v>
      </c>
      <c r="C191" s="770">
        <f>(L119*($E119/365))+(L120*($E120/365))</f>
        <v>0</v>
      </c>
      <c r="D191" s="770">
        <f>(M119*($E119/365))+(M120*($E120/365))</f>
        <v>0</v>
      </c>
      <c r="E191" s="771">
        <f>B191+C191+D191</f>
        <v>100</v>
      </c>
      <c r="G191" s="765">
        <v>2015</v>
      </c>
      <c r="H191" s="989">
        <f>(O119/$R119*100*($E119/365))+(O120/$R120*100*($E120/365))</f>
        <v>100</v>
      </c>
      <c r="I191" s="989"/>
      <c r="J191" s="989">
        <f>(P119/$R119*100*($E119/365))+(P120/$R120*100*($E120/365))</f>
        <v>0</v>
      </c>
      <c r="K191" s="989"/>
      <c r="L191" s="989">
        <f>(Q119/$R119*100*($E119/365))+(Q120/$R120*100*($E120/365))</f>
        <v>0</v>
      </c>
      <c r="M191" s="989"/>
      <c r="N191" s="959">
        <f>H191+J191+L191</f>
        <v>100</v>
      </c>
      <c r="O191" s="959"/>
      <c r="R191" s="765">
        <v>2015</v>
      </c>
      <c r="S191" s="760">
        <f>(O119*($E119/365))+(O120*($E120/365))</f>
        <v>52.639726027397259</v>
      </c>
      <c r="T191" s="760">
        <f>(P119*($E119/365))+(P120*($E120/365))</f>
        <v>0</v>
      </c>
      <c r="U191" s="760">
        <f>(Q119*($E119/365))+(Q120*($E120/365))</f>
        <v>0</v>
      </c>
      <c r="W191" s="764">
        <f>S191+T191+U191</f>
        <v>52.639726027397259</v>
      </c>
    </row>
    <row r="192" spans="1:23" s="765" customFormat="1">
      <c r="A192" s="853">
        <v>2016</v>
      </c>
      <c r="B192" s="850">
        <f>(K121*($E121/366))+(K122*($E122/366))</f>
        <v>100</v>
      </c>
      <c r="C192" s="850">
        <f>(L121*($E121/366))+(L122*($E122/366))</f>
        <v>0</v>
      </c>
      <c r="D192" s="850">
        <f>(M121*($E121/366))+(M122*($E122/366))</f>
        <v>0</v>
      </c>
      <c r="E192" s="851">
        <f t="shared" ref="E192" si="26">B192+C192+D192</f>
        <v>100</v>
      </c>
      <c r="F192" s="853"/>
      <c r="G192" s="853">
        <v>2016</v>
      </c>
      <c r="H192" s="989">
        <f>(O121/$R121*100*($E121/366))+(O122/$R122*100*($E122/366))</f>
        <v>100</v>
      </c>
      <c r="I192" s="989"/>
      <c r="J192" s="989">
        <f>(P121/$R121*100*($E121/366))+(P122/$R122*100*($E122/366))</f>
        <v>0</v>
      </c>
      <c r="K192" s="989"/>
      <c r="L192" s="989">
        <f>(Q121/$R121*100*($E121/366))+(Q122/$R122*100*($E122/366))</f>
        <v>0</v>
      </c>
      <c r="M192" s="989"/>
      <c r="N192" s="959">
        <f t="shared" ref="N192" si="27">H192+J192+L192</f>
        <v>100</v>
      </c>
      <c r="O192" s="959"/>
      <c r="P192" s="853"/>
      <c r="Q192" s="853"/>
      <c r="R192" s="853">
        <v>2016</v>
      </c>
      <c r="S192" s="850">
        <f>(O121*($E121/366))+(O122*($E122/366))</f>
        <v>50.806557377049188</v>
      </c>
      <c r="T192" s="850">
        <f>(P121*($E121/366))+(P122*($E122/366))</f>
        <v>0</v>
      </c>
      <c r="U192" s="850">
        <f>(Q121*($E121/366))+(Q122*($E122/366))</f>
        <v>0</v>
      </c>
      <c r="V192" s="853"/>
      <c r="W192" s="852">
        <f t="shared" ref="W192" si="28">S192+T192+U192</f>
        <v>50.806557377049188</v>
      </c>
    </row>
    <row r="193" spans="1:23">
      <c r="A193" s="920">
        <v>2017</v>
      </c>
      <c r="B193" s="915">
        <f>(K123*($E123/365))+(K124*($E124/365))</f>
        <v>100</v>
      </c>
      <c r="C193" s="915">
        <f t="shared" ref="C193:D193" si="29">(L123*($E123/365))+(L124*($E124/365))</f>
        <v>0</v>
      </c>
      <c r="D193" s="915">
        <f t="shared" si="29"/>
        <v>0</v>
      </c>
      <c r="E193" s="916">
        <f t="shared" ref="E193" si="30">B193+C193+D193</f>
        <v>100</v>
      </c>
      <c r="F193" s="920"/>
      <c r="G193" s="920">
        <v>2017</v>
      </c>
      <c r="H193" s="989">
        <f>(O123/$R123*100*($E123/365))+(O124/$R124*100*($E124/365))</f>
        <v>100</v>
      </c>
      <c r="I193" s="989"/>
      <c r="J193" s="989">
        <f>(P123/$R123*100*($E123/365))+(P124/$R124*100*($E124/365))</f>
        <v>0</v>
      </c>
      <c r="K193" s="989"/>
      <c r="L193" s="989">
        <f>(Q123/$R123*100*($E123/365))+(Q124/$R124*100*($E124/365))</f>
        <v>0</v>
      </c>
      <c r="M193" s="989"/>
      <c r="N193" s="959">
        <f t="shared" ref="N193" si="31">H193+J193+L193</f>
        <v>100</v>
      </c>
      <c r="O193" s="959"/>
      <c r="P193" s="920"/>
      <c r="Q193" s="920"/>
      <c r="R193" s="920">
        <v>2017</v>
      </c>
      <c r="S193" s="915">
        <f>(O123*($E123/365))+(O124*($E124/365))</f>
        <v>49.638082191780825</v>
      </c>
      <c r="T193" s="915">
        <f>(P123*($E123/365))+(P124*($E124/365))</f>
        <v>0</v>
      </c>
      <c r="U193" s="915">
        <f>(Q123*($E123/365))+(Q124*($E124/365))</f>
        <v>0</v>
      </c>
      <c r="V193" s="920"/>
      <c r="W193" s="917">
        <f t="shared" ref="W193" si="32">S193+T193+U193</f>
        <v>49.638082191780825</v>
      </c>
    </row>
    <row r="194" spans="1:23">
      <c r="A194" s="950">
        <v>2018</v>
      </c>
      <c r="B194" s="947">
        <f>(K125*($E125/365))+(K126*($E126/365))</f>
        <v>100</v>
      </c>
      <c r="C194" s="947">
        <f>(L125*($E125/365))+(L126*($E126/365))</f>
        <v>0</v>
      </c>
      <c r="D194" s="947">
        <f>(M125*($E125/365))+(M126*($E126/365))</f>
        <v>0</v>
      </c>
      <c r="E194" s="948">
        <f t="shared" ref="E194" si="33">B194+C194+D194</f>
        <v>100</v>
      </c>
      <c r="F194" s="950"/>
      <c r="G194" s="950">
        <v>2018</v>
      </c>
      <c r="H194" s="989">
        <f>(O125/$R125*100*($E125/365))+(O126/$R126*100*($E126/365))</f>
        <v>100</v>
      </c>
      <c r="I194" s="989"/>
      <c r="J194" s="989">
        <f>(P125/$R125*100*($E125/365))+(P126/$R126*100*($E126/365))</f>
        <v>0</v>
      </c>
      <c r="K194" s="989"/>
      <c r="L194" s="989">
        <f>(Q125/$R125*100*($E125/365))+(Q126/$R126*100*($E126/365))</f>
        <v>0</v>
      </c>
      <c r="M194" s="989"/>
      <c r="N194" s="959">
        <f t="shared" ref="N194" si="34">H194+J194+L194</f>
        <v>100</v>
      </c>
      <c r="O194" s="959"/>
      <c r="P194" s="950"/>
      <c r="Q194" s="950"/>
      <c r="R194" s="950">
        <v>2018</v>
      </c>
      <c r="S194" s="947">
        <f>(O125*($E125/365))+(O126*($E126/365))</f>
        <v>48.8</v>
      </c>
      <c r="T194" s="947">
        <f>(P125*($E125/365))+(P126*($E126/365))</f>
        <v>0</v>
      </c>
      <c r="U194" s="947">
        <f>(Q125*($E125/365))+(Q126*($E126/365))</f>
        <v>0</v>
      </c>
      <c r="V194" s="950"/>
      <c r="W194" s="949">
        <f t="shared" ref="W194" si="35">S194+T194+U194</f>
        <v>48.8</v>
      </c>
    </row>
    <row r="195" spans="1:23">
      <c r="F195" s="950"/>
      <c r="P195" s="950"/>
      <c r="Q195" s="950"/>
    </row>
  </sheetData>
  <mergeCells count="387">
    <mergeCell ref="C125:D125"/>
    <mergeCell ref="C126:D126"/>
    <mergeCell ref="H194:I194"/>
    <mergeCell ref="J194:K194"/>
    <mergeCell ref="L194:M194"/>
    <mergeCell ref="N194:O194"/>
    <mergeCell ref="C123:D123"/>
    <mergeCell ref="C124:D124"/>
    <mergeCell ref="C121:D121"/>
    <mergeCell ref="C122:D122"/>
    <mergeCell ref="H192:I192"/>
    <mergeCell ref="J192:K192"/>
    <mergeCell ref="L192:M192"/>
    <mergeCell ref="N192:O192"/>
    <mergeCell ref="N181:O181"/>
    <mergeCell ref="N182:O182"/>
    <mergeCell ref="N183:O183"/>
    <mergeCell ref="N184:O184"/>
    <mergeCell ref="L184:M184"/>
    <mergeCell ref="L185:M185"/>
    <mergeCell ref="L186:M186"/>
    <mergeCell ref="N164:O164"/>
    <mergeCell ref="N165:O165"/>
    <mergeCell ref="N166:O166"/>
    <mergeCell ref="C119:D119"/>
    <mergeCell ref="C120:D120"/>
    <mergeCell ref="H191:I191"/>
    <mergeCell ref="J191:K191"/>
    <mergeCell ref="L191:M191"/>
    <mergeCell ref="N191:O191"/>
    <mergeCell ref="H190:I190"/>
    <mergeCell ref="J190:K190"/>
    <mergeCell ref="L190:M190"/>
    <mergeCell ref="N190:O190"/>
    <mergeCell ref="L187:M187"/>
    <mergeCell ref="L188:M188"/>
    <mergeCell ref="L176:M176"/>
    <mergeCell ref="L177:M177"/>
    <mergeCell ref="J187:K187"/>
    <mergeCell ref="J172:K172"/>
    <mergeCell ref="J173:K173"/>
    <mergeCell ref="J174:K174"/>
    <mergeCell ref="J188:K188"/>
    <mergeCell ref="L164:M164"/>
    <mergeCell ref="L165:M165"/>
    <mergeCell ref="L166:M166"/>
    <mergeCell ref="L167:M167"/>
    <mergeCell ref="L168:M168"/>
    <mergeCell ref="C117:D117"/>
    <mergeCell ref="C118:D118"/>
    <mergeCell ref="J181:K181"/>
    <mergeCell ref="J182:K182"/>
    <mergeCell ref="J183:K183"/>
    <mergeCell ref="J184:K184"/>
    <mergeCell ref="J185:K185"/>
    <mergeCell ref="J186:K186"/>
    <mergeCell ref="J175:K175"/>
    <mergeCell ref="J176:K176"/>
    <mergeCell ref="J177:K177"/>
    <mergeCell ref="J178:K178"/>
    <mergeCell ref="J179:K179"/>
    <mergeCell ref="J180:K180"/>
    <mergeCell ref="H184:I184"/>
    <mergeCell ref="H185:I185"/>
    <mergeCell ref="H186:I186"/>
    <mergeCell ref="H171:I171"/>
    <mergeCell ref="H163:I163"/>
    <mergeCell ref="J163:K163"/>
    <mergeCell ref="H161:I161"/>
    <mergeCell ref="J161:K161"/>
    <mergeCell ref="H157:I157"/>
    <mergeCell ref="J157:K157"/>
    <mergeCell ref="L178:M178"/>
    <mergeCell ref="L179:M179"/>
    <mergeCell ref="L180:M180"/>
    <mergeCell ref="L181:M181"/>
    <mergeCell ref="L182:M182"/>
    <mergeCell ref="L183:M183"/>
    <mergeCell ref="L172:M172"/>
    <mergeCell ref="L173:M173"/>
    <mergeCell ref="L174:M174"/>
    <mergeCell ref="L175:M175"/>
    <mergeCell ref="AT4:AW4"/>
    <mergeCell ref="AX4:BA4"/>
    <mergeCell ref="N189:O189"/>
    <mergeCell ref="C115:D115"/>
    <mergeCell ref="C116:D116"/>
    <mergeCell ref="H189:I189"/>
    <mergeCell ref="J189:K189"/>
    <mergeCell ref="L189:M189"/>
    <mergeCell ref="N187:O187"/>
    <mergeCell ref="N188:O188"/>
    <mergeCell ref="N185:O185"/>
    <mergeCell ref="N186:O186"/>
    <mergeCell ref="N175:O175"/>
    <mergeCell ref="N176:O176"/>
    <mergeCell ref="N177:O177"/>
    <mergeCell ref="N178:O178"/>
    <mergeCell ref="N179:O179"/>
    <mergeCell ref="N180:O180"/>
    <mergeCell ref="N169:O169"/>
    <mergeCell ref="N170:O170"/>
    <mergeCell ref="N171:O171"/>
    <mergeCell ref="N172:O172"/>
    <mergeCell ref="N173:O173"/>
    <mergeCell ref="N174:O174"/>
    <mergeCell ref="H187:I187"/>
    <mergeCell ref="H188:I188"/>
    <mergeCell ref="J164:K164"/>
    <mergeCell ref="J165:K165"/>
    <mergeCell ref="J166:K166"/>
    <mergeCell ref="J167:K167"/>
    <mergeCell ref="J168:K168"/>
    <mergeCell ref="H178:I178"/>
    <mergeCell ref="H179:I179"/>
    <mergeCell ref="H180:I180"/>
    <mergeCell ref="H181:I181"/>
    <mergeCell ref="H182:I182"/>
    <mergeCell ref="H183:I183"/>
    <mergeCell ref="H172:I172"/>
    <mergeCell ref="H173:I173"/>
    <mergeCell ref="H174:I174"/>
    <mergeCell ref="H175:I175"/>
    <mergeCell ref="H176:I176"/>
    <mergeCell ref="H177:I177"/>
    <mergeCell ref="H166:I166"/>
    <mergeCell ref="H167:I167"/>
    <mergeCell ref="H168:I168"/>
    <mergeCell ref="H169:I169"/>
    <mergeCell ref="H170:I170"/>
    <mergeCell ref="L163:M163"/>
    <mergeCell ref="N163:O163"/>
    <mergeCell ref="H164:I164"/>
    <mergeCell ref="H165:I165"/>
    <mergeCell ref="L169:M169"/>
    <mergeCell ref="L170:M170"/>
    <mergeCell ref="L171:M171"/>
    <mergeCell ref="J169:K169"/>
    <mergeCell ref="J170:K170"/>
    <mergeCell ref="J171:K171"/>
    <mergeCell ref="N167:O167"/>
    <mergeCell ref="N168:O168"/>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43:I143"/>
    <mergeCell ref="J143:K143"/>
    <mergeCell ref="L143:M143"/>
    <mergeCell ref="N143:O143"/>
    <mergeCell ref="H144:I144"/>
    <mergeCell ref="J144:K144"/>
    <mergeCell ref="L144:M144"/>
    <mergeCell ref="N144:O144"/>
    <mergeCell ref="J142:K142"/>
    <mergeCell ref="L142:M142"/>
    <mergeCell ref="N142:O142"/>
    <mergeCell ref="H139:I139"/>
    <mergeCell ref="J139:K139"/>
    <mergeCell ref="L139:M139"/>
    <mergeCell ref="N139:O139"/>
    <mergeCell ref="H140:I140"/>
    <mergeCell ref="J140:K140"/>
    <mergeCell ref="L140:M140"/>
    <mergeCell ref="N140:O140"/>
    <mergeCell ref="R132:W132"/>
    <mergeCell ref="H134:I134"/>
    <mergeCell ref="J134:K134"/>
    <mergeCell ref="L134:M134"/>
    <mergeCell ref="N134:O134"/>
    <mergeCell ref="H136:I136"/>
    <mergeCell ref="J136:K136"/>
    <mergeCell ref="L136:M136"/>
    <mergeCell ref="N136:O136"/>
    <mergeCell ref="H135:I135"/>
    <mergeCell ref="J135:K135"/>
    <mergeCell ref="L135:M135"/>
    <mergeCell ref="N135:O135"/>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9:D39"/>
    <mergeCell ref="C40:D40"/>
    <mergeCell ref="C41:D41"/>
    <mergeCell ref="C42:D42"/>
    <mergeCell ref="C43:D43"/>
    <mergeCell ref="C38:D38"/>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H193:I193"/>
    <mergeCell ref="J193:K193"/>
    <mergeCell ref="L193:M193"/>
    <mergeCell ref="N193:O193"/>
    <mergeCell ref="C111:D111"/>
    <mergeCell ref="C104:D104"/>
    <mergeCell ref="C105:D105"/>
    <mergeCell ref="C112:D112"/>
    <mergeCell ref="C113:D113"/>
    <mergeCell ref="C114:D114"/>
    <mergeCell ref="C106:D106"/>
    <mergeCell ref="H137:I137"/>
    <mergeCell ref="J137:K137"/>
    <mergeCell ref="L137:M137"/>
    <mergeCell ref="N137:O137"/>
    <mergeCell ref="H138:I138"/>
    <mergeCell ref="J138:K138"/>
    <mergeCell ref="L138:M138"/>
    <mergeCell ref="N138:O138"/>
    <mergeCell ref="H141:I141"/>
    <mergeCell ref="J141:K141"/>
    <mergeCell ref="L141:M141"/>
    <mergeCell ref="N141:O141"/>
    <mergeCell ref="H142:I14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A206"/>
  <sheetViews>
    <sheetView zoomScaleNormal="120" workbookViewId="0">
      <pane xSplit="1" ySplit="5" topLeftCell="B119" activePane="bottomRight" state="frozen"/>
      <selection pane="topRight" activeCell="B1" sqref="B1"/>
      <selection pane="bottomLeft" activeCell="A6" sqref="A6"/>
      <selection pane="bottomRight" activeCell="B206" sqref="B206"/>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71</v>
      </c>
    </row>
    <row r="3" spans="1:53" s="2" customFormat="1">
      <c r="G3" s="994"/>
      <c r="H3" s="994"/>
      <c r="I3" s="994"/>
      <c r="J3" s="994"/>
      <c r="K3" s="994"/>
      <c r="L3" s="994"/>
      <c r="M3" s="994"/>
      <c r="O3" s="994"/>
      <c r="P3" s="994"/>
      <c r="Q3" s="994"/>
    </row>
    <row r="4" spans="1:53" s="346" customFormat="1" ht="12.75" customHeight="1">
      <c r="A4" s="968" t="s">
        <v>3</v>
      </c>
      <c r="B4" s="974" t="s">
        <v>4</v>
      </c>
      <c r="C4" s="968" t="s">
        <v>1276</v>
      </c>
      <c r="D4" s="968"/>
      <c r="E4" s="974" t="s">
        <v>5</v>
      </c>
      <c r="F4" s="1016" t="s">
        <v>7</v>
      </c>
      <c r="G4" s="970" t="s">
        <v>1212</v>
      </c>
      <c r="H4" s="968"/>
      <c r="I4" s="968"/>
      <c r="J4" s="971"/>
      <c r="K4" s="970" t="s">
        <v>1213</v>
      </c>
      <c r="L4" s="968"/>
      <c r="M4" s="968"/>
      <c r="N4" s="971"/>
      <c r="O4" s="970" t="s">
        <v>1210</v>
      </c>
      <c r="P4" s="968"/>
      <c r="Q4" s="968"/>
      <c r="R4" s="971"/>
      <c r="S4" s="972" t="s">
        <v>13</v>
      </c>
      <c r="T4" s="1044" t="s">
        <v>788</v>
      </c>
      <c r="U4" s="976" t="s">
        <v>4</v>
      </c>
      <c r="V4" s="967" t="s">
        <v>1200</v>
      </c>
      <c r="W4" s="968"/>
      <c r="X4" s="968"/>
      <c r="Y4" s="969"/>
      <c r="Z4" s="967" t="s">
        <v>1201</v>
      </c>
      <c r="AA4" s="968"/>
      <c r="AB4" s="968"/>
      <c r="AC4" s="969"/>
      <c r="AD4" s="967" t="s">
        <v>1202</v>
      </c>
      <c r="AE4" s="968"/>
      <c r="AF4" s="968"/>
      <c r="AG4" s="969"/>
      <c r="AH4" s="967" t="s">
        <v>1203</v>
      </c>
      <c r="AI4" s="968"/>
      <c r="AJ4" s="968"/>
      <c r="AK4" s="969"/>
      <c r="AL4" s="967" t="s">
        <v>1204</v>
      </c>
      <c r="AM4" s="968"/>
      <c r="AN4" s="968"/>
      <c r="AO4" s="969"/>
      <c r="AP4" s="967" t="s">
        <v>1205</v>
      </c>
      <c r="AQ4" s="968"/>
      <c r="AR4" s="968"/>
      <c r="AS4" s="969"/>
      <c r="AT4" s="967" t="s">
        <v>1274</v>
      </c>
      <c r="AU4" s="968"/>
      <c r="AV4" s="968"/>
      <c r="AW4" s="969"/>
      <c r="AX4" s="967" t="s">
        <v>1275</v>
      </c>
      <c r="AY4" s="968"/>
      <c r="AZ4" s="968"/>
      <c r="BA4" s="971"/>
    </row>
    <row r="5" spans="1:53" s="351" customFormat="1">
      <c r="A5" s="980"/>
      <c r="B5" s="975"/>
      <c r="C5" s="981"/>
      <c r="D5" s="981"/>
      <c r="E5" s="975"/>
      <c r="F5" s="1017"/>
      <c r="G5" s="347" t="s">
        <v>1206</v>
      </c>
      <c r="H5" s="348" t="s">
        <v>1207</v>
      </c>
      <c r="I5" s="348" t="s">
        <v>1208</v>
      </c>
      <c r="J5" s="349" t="s">
        <v>1209</v>
      </c>
      <c r="K5" s="347" t="s">
        <v>1206</v>
      </c>
      <c r="L5" s="348" t="s">
        <v>1207</v>
      </c>
      <c r="M5" s="348" t="s">
        <v>1208</v>
      </c>
      <c r="N5" s="349" t="s">
        <v>1209</v>
      </c>
      <c r="O5" s="347" t="s">
        <v>1206</v>
      </c>
      <c r="P5" s="348" t="s">
        <v>1207</v>
      </c>
      <c r="Q5" s="348" t="s">
        <v>1208</v>
      </c>
      <c r="R5" s="350" t="s">
        <v>1209</v>
      </c>
      <c r="S5" s="973"/>
      <c r="T5" s="1045"/>
      <c r="U5" s="977"/>
      <c r="V5" s="351" t="s">
        <v>23</v>
      </c>
      <c r="W5" s="351" t="s">
        <v>24</v>
      </c>
      <c r="X5" s="351" t="s">
        <v>25</v>
      </c>
      <c r="Y5" s="351" t="s">
        <v>1211</v>
      </c>
      <c r="Z5" s="352" t="s">
        <v>23</v>
      </c>
      <c r="AA5" s="351" t="s">
        <v>24</v>
      </c>
      <c r="AB5" s="351" t="s">
        <v>25</v>
      </c>
      <c r="AC5" s="353" t="s">
        <v>1211</v>
      </c>
      <c r="AD5" s="352" t="s">
        <v>23</v>
      </c>
      <c r="AE5" s="351" t="s">
        <v>24</v>
      </c>
      <c r="AF5" s="351" t="s">
        <v>25</v>
      </c>
      <c r="AG5" s="353" t="s">
        <v>1211</v>
      </c>
      <c r="AH5" s="351" t="s">
        <v>23</v>
      </c>
      <c r="AI5" s="351" t="s">
        <v>24</v>
      </c>
      <c r="AJ5" s="351" t="s">
        <v>25</v>
      </c>
      <c r="AK5" s="351" t="s">
        <v>1211</v>
      </c>
      <c r="AL5" s="352" t="s">
        <v>23</v>
      </c>
      <c r="AM5" s="351" t="s">
        <v>24</v>
      </c>
      <c r="AN5" s="351" t="s">
        <v>25</v>
      </c>
      <c r="AO5" s="353" t="s">
        <v>1211</v>
      </c>
      <c r="AP5" s="352" t="s">
        <v>23</v>
      </c>
      <c r="AQ5" s="351" t="s">
        <v>24</v>
      </c>
      <c r="AR5" s="351" t="s">
        <v>25</v>
      </c>
      <c r="AS5" s="353" t="s">
        <v>1211</v>
      </c>
      <c r="AT5" s="351" t="s">
        <v>23</v>
      </c>
      <c r="AU5" s="351" t="s">
        <v>24</v>
      </c>
      <c r="AV5" s="351" t="s">
        <v>25</v>
      </c>
      <c r="AW5" s="353" t="s">
        <v>1211</v>
      </c>
      <c r="AX5" s="351" t="s">
        <v>23</v>
      </c>
      <c r="AY5" s="351" t="s">
        <v>24</v>
      </c>
      <c r="AZ5" s="351" t="s">
        <v>25</v>
      </c>
      <c r="BA5" s="354" t="s">
        <v>1211</v>
      </c>
    </row>
    <row r="6" spans="1:53" s="257" customFormat="1">
      <c r="A6" s="263">
        <v>1959</v>
      </c>
      <c r="B6" s="252"/>
      <c r="C6" s="995" t="s">
        <v>582</v>
      </c>
      <c r="D6" s="995"/>
      <c r="E6" s="257">
        <v>0</v>
      </c>
      <c r="G6" s="265">
        <v>12</v>
      </c>
      <c r="H6" s="257">
        <v>1</v>
      </c>
      <c r="J6" s="272">
        <v>13</v>
      </c>
      <c r="K6" s="248">
        <f t="shared" ref="K6:M8" si="0">G6/$J6*100</f>
        <v>92.307692307692307</v>
      </c>
      <c r="L6" s="248">
        <f t="shared" si="0"/>
        <v>7.6923076923076925</v>
      </c>
      <c r="M6" s="248">
        <f t="shared" si="0"/>
        <v>0</v>
      </c>
      <c r="N6" s="267">
        <f>K6+L6+M6</f>
        <v>100</v>
      </c>
      <c r="O6" s="247">
        <v>35</v>
      </c>
      <c r="P6" s="248"/>
      <c r="Q6" s="248"/>
      <c r="R6" s="249">
        <f>O6+P6+Q6</f>
        <v>35</v>
      </c>
      <c r="S6" s="257">
        <v>1</v>
      </c>
      <c r="T6" s="278"/>
      <c r="V6" s="256" t="s">
        <v>340</v>
      </c>
      <c r="W6" s="257" t="s">
        <v>74</v>
      </c>
      <c r="X6" s="257" t="s">
        <v>11</v>
      </c>
      <c r="Y6" s="258">
        <v>35</v>
      </c>
      <c r="Z6" s="257" t="s">
        <v>131</v>
      </c>
      <c r="AA6" s="257" t="s">
        <v>22</v>
      </c>
      <c r="AB6" s="257" t="s">
        <v>18</v>
      </c>
      <c r="AC6" s="257">
        <v>65</v>
      </c>
      <c r="AD6" s="256"/>
      <c r="AG6" s="258"/>
      <c r="AL6" s="256"/>
      <c r="AO6" s="258"/>
      <c r="AP6" s="256"/>
      <c r="AS6" s="258"/>
      <c r="AW6" s="258"/>
      <c r="BA6" s="259"/>
    </row>
    <row r="7" spans="1:53" s="257" customFormat="1">
      <c r="A7" s="263">
        <v>1959</v>
      </c>
      <c r="B7" s="252"/>
      <c r="C7" s="995" t="s">
        <v>582</v>
      </c>
      <c r="D7" s="995"/>
      <c r="E7" s="257">
        <v>365</v>
      </c>
      <c r="G7" s="265">
        <v>12</v>
      </c>
      <c r="H7" s="257">
        <v>1</v>
      </c>
      <c r="J7" s="272">
        <v>13</v>
      </c>
      <c r="K7" s="248">
        <f t="shared" si="0"/>
        <v>92.307692307692307</v>
      </c>
      <c r="L7" s="248">
        <f t="shared" si="0"/>
        <v>7.6923076923076925</v>
      </c>
      <c r="M7" s="248">
        <f t="shared" si="0"/>
        <v>0</v>
      </c>
      <c r="N7" s="267">
        <f>K7+L7+M7</f>
        <v>100</v>
      </c>
      <c r="O7" s="247">
        <v>35</v>
      </c>
      <c r="P7" s="248"/>
      <c r="Q7" s="248"/>
      <c r="R7" s="249">
        <f>O7+P7+Q7</f>
        <v>35</v>
      </c>
      <c r="S7" s="257">
        <v>1</v>
      </c>
      <c r="T7" s="278"/>
      <c r="V7" s="256" t="s">
        <v>340</v>
      </c>
      <c r="W7" s="257" t="s">
        <v>74</v>
      </c>
      <c r="X7" s="257" t="s">
        <v>11</v>
      </c>
      <c r="Y7" s="258">
        <v>35</v>
      </c>
      <c r="Z7" s="257" t="s">
        <v>131</v>
      </c>
      <c r="AA7" s="257" t="s">
        <v>22</v>
      </c>
      <c r="AB7" s="257" t="s">
        <v>18</v>
      </c>
      <c r="AC7" s="257">
        <v>65</v>
      </c>
      <c r="AD7" s="256"/>
      <c r="AG7" s="258"/>
      <c r="AL7" s="256"/>
      <c r="AO7" s="258"/>
      <c r="AP7" s="256"/>
      <c r="AS7" s="258"/>
      <c r="AW7" s="258"/>
      <c r="BA7" s="259"/>
    </row>
    <row r="8" spans="1:53" s="208" customFormat="1">
      <c r="A8" s="102">
        <v>1960</v>
      </c>
      <c r="B8" s="207"/>
      <c r="C8" s="988" t="s">
        <v>582</v>
      </c>
      <c r="D8" s="988"/>
      <c r="E8" s="208">
        <v>312</v>
      </c>
      <c r="G8" s="123">
        <v>12</v>
      </c>
      <c r="H8" s="208">
        <v>1</v>
      </c>
      <c r="J8" s="134">
        <v>13</v>
      </c>
      <c r="K8" s="92">
        <f t="shared" si="0"/>
        <v>92.307692307692307</v>
      </c>
      <c r="L8" s="92">
        <f t="shared" si="0"/>
        <v>7.6923076923076925</v>
      </c>
      <c r="M8" s="92">
        <f t="shared" si="0"/>
        <v>0</v>
      </c>
      <c r="N8" s="125">
        <f>K8+L8+M8</f>
        <v>100</v>
      </c>
      <c r="O8" s="91">
        <v>35</v>
      </c>
      <c r="P8" s="92"/>
      <c r="Q8" s="92"/>
      <c r="R8" s="93">
        <f>O8+P8+Q8</f>
        <v>35</v>
      </c>
      <c r="S8" s="208">
        <v>1</v>
      </c>
      <c r="T8" s="81"/>
      <c r="V8" s="82" t="s">
        <v>340</v>
      </c>
      <c r="W8" s="208" t="s">
        <v>74</v>
      </c>
      <c r="X8" s="208" t="s">
        <v>11</v>
      </c>
      <c r="Y8" s="83">
        <v>35</v>
      </c>
      <c r="Z8" s="150" t="s">
        <v>131</v>
      </c>
      <c r="AA8" s="150" t="s">
        <v>22</v>
      </c>
      <c r="AB8" s="150" t="s">
        <v>18</v>
      </c>
      <c r="AC8" s="150">
        <v>65</v>
      </c>
      <c r="AD8" s="82"/>
      <c r="AG8" s="83"/>
      <c r="AL8" s="82"/>
      <c r="AO8" s="83"/>
      <c r="AP8" s="82"/>
      <c r="AS8" s="83"/>
      <c r="AW8" s="83"/>
      <c r="BA8" s="84"/>
    </row>
    <row r="9" spans="1:53" s="208" customFormat="1">
      <c r="A9" s="102">
        <v>1960</v>
      </c>
      <c r="B9" s="149">
        <v>22228</v>
      </c>
      <c r="C9" s="988" t="s">
        <v>582</v>
      </c>
      <c r="D9" s="988"/>
      <c r="E9" s="208">
        <v>54</v>
      </c>
      <c r="F9" s="150" t="s">
        <v>337</v>
      </c>
      <c r="G9" s="123">
        <v>12</v>
      </c>
      <c r="H9" s="208">
        <v>1</v>
      </c>
      <c r="J9" s="134">
        <v>13</v>
      </c>
      <c r="K9" s="92">
        <f t="shared" ref="K9:M69" si="1">G9/$J9*100</f>
        <v>92.307692307692307</v>
      </c>
      <c r="L9" s="92">
        <f t="shared" si="1"/>
        <v>7.6923076923076925</v>
      </c>
      <c r="M9" s="92">
        <f t="shared" si="1"/>
        <v>0</v>
      </c>
      <c r="N9" s="125">
        <f t="shared" ref="N9:N75" si="2">K9+L9+M9</f>
        <v>100</v>
      </c>
      <c r="O9" s="91">
        <v>40</v>
      </c>
      <c r="P9" s="92"/>
      <c r="Q9" s="92"/>
      <c r="R9" s="93">
        <f>O9+P9+Q9</f>
        <v>40</v>
      </c>
      <c r="S9" s="208">
        <v>1</v>
      </c>
      <c r="T9" s="95">
        <v>22228</v>
      </c>
      <c r="V9" s="82" t="s">
        <v>340</v>
      </c>
      <c r="W9" s="208" t="s">
        <v>74</v>
      </c>
      <c r="X9" s="208" t="s">
        <v>11</v>
      </c>
      <c r="Y9" s="83">
        <v>40</v>
      </c>
      <c r="Z9" s="150" t="s">
        <v>131</v>
      </c>
      <c r="AA9" s="150" t="s">
        <v>22</v>
      </c>
      <c r="AB9" s="150" t="s">
        <v>18</v>
      </c>
      <c r="AC9" s="150">
        <v>60</v>
      </c>
      <c r="AD9" s="82"/>
      <c r="AG9" s="83"/>
      <c r="AL9" s="82"/>
      <c r="AO9" s="83"/>
      <c r="AP9" s="82"/>
      <c r="AS9" s="83"/>
      <c r="AW9" s="83"/>
      <c r="BA9" s="84"/>
    </row>
    <row r="10" spans="1:53" s="208" customFormat="1">
      <c r="A10" s="102">
        <v>1961</v>
      </c>
      <c r="B10" s="207"/>
      <c r="C10" s="988" t="s">
        <v>582</v>
      </c>
      <c r="D10" s="988"/>
      <c r="E10" s="208">
        <v>19</v>
      </c>
      <c r="G10" s="123">
        <v>12</v>
      </c>
      <c r="H10" s="208">
        <v>1</v>
      </c>
      <c r="J10" s="134">
        <v>13</v>
      </c>
      <c r="K10" s="92">
        <f t="shared" si="1"/>
        <v>92.307692307692307</v>
      </c>
      <c r="L10" s="92">
        <f t="shared" si="1"/>
        <v>7.6923076923076925</v>
      </c>
      <c r="M10" s="92">
        <f t="shared" si="1"/>
        <v>0</v>
      </c>
      <c r="N10" s="125">
        <f t="shared" si="2"/>
        <v>100</v>
      </c>
      <c r="O10" s="91">
        <v>40</v>
      </c>
      <c r="P10" s="92"/>
      <c r="Q10" s="92"/>
      <c r="R10" s="93">
        <f t="shared" ref="R10:R75" si="3">O10+P10+Q10</f>
        <v>40</v>
      </c>
      <c r="S10" s="208">
        <v>1</v>
      </c>
      <c r="T10" s="81"/>
      <c r="V10" s="82" t="s">
        <v>340</v>
      </c>
      <c r="W10" s="208" t="s">
        <v>74</v>
      </c>
      <c r="X10" s="208" t="s">
        <v>11</v>
      </c>
      <c r="Y10" s="83">
        <v>40</v>
      </c>
      <c r="Z10" s="150" t="s">
        <v>131</v>
      </c>
      <c r="AA10" s="150" t="s">
        <v>22</v>
      </c>
      <c r="AB10" s="150" t="s">
        <v>18</v>
      </c>
      <c r="AC10" s="150">
        <v>60</v>
      </c>
      <c r="AD10" s="82"/>
      <c r="AG10" s="83"/>
      <c r="AL10" s="82"/>
      <c r="AO10" s="83"/>
      <c r="AP10" s="82"/>
      <c r="AS10" s="83"/>
      <c r="AW10" s="83"/>
      <c r="BA10" s="84"/>
    </row>
    <row r="11" spans="1:53" s="334" customFormat="1">
      <c r="A11" s="386">
        <v>1961</v>
      </c>
      <c r="B11" s="355">
        <v>22301</v>
      </c>
      <c r="C11" s="992" t="s">
        <v>583</v>
      </c>
      <c r="D11" s="992"/>
      <c r="E11" s="334">
        <f>365-E10</f>
        <v>346</v>
      </c>
      <c r="F11" s="334">
        <v>1</v>
      </c>
      <c r="G11" s="419">
        <v>1</v>
      </c>
      <c r="H11" s="334">
        <v>14</v>
      </c>
      <c r="J11" s="435">
        <v>15</v>
      </c>
      <c r="K11" s="384">
        <f t="shared" si="1"/>
        <v>6.666666666666667</v>
      </c>
      <c r="L11" s="384">
        <f t="shared" si="1"/>
        <v>93.333333333333329</v>
      </c>
      <c r="M11" s="384">
        <f t="shared" si="1"/>
        <v>0</v>
      </c>
      <c r="N11" s="421">
        <f t="shared" si="2"/>
        <v>100</v>
      </c>
      <c r="O11" s="383"/>
      <c r="P11" s="384">
        <v>60</v>
      </c>
      <c r="Q11" s="384"/>
      <c r="R11" s="385">
        <f t="shared" si="3"/>
        <v>60</v>
      </c>
      <c r="S11" s="334">
        <v>1</v>
      </c>
      <c r="T11" s="357"/>
      <c r="U11" s="355">
        <v>22301</v>
      </c>
      <c r="V11" s="343" t="s">
        <v>131</v>
      </c>
      <c r="W11" s="334" t="s">
        <v>22</v>
      </c>
      <c r="X11" s="334" t="s">
        <v>18</v>
      </c>
      <c r="Y11" s="344">
        <v>60</v>
      </c>
      <c r="Z11" s="441" t="s">
        <v>340</v>
      </c>
      <c r="AA11" s="441" t="s">
        <v>74</v>
      </c>
      <c r="AB11" s="441" t="s">
        <v>11</v>
      </c>
      <c r="AC11" s="441">
        <v>40</v>
      </c>
      <c r="AD11" s="343"/>
      <c r="AG11" s="344"/>
      <c r="AL11" s="343"/>
      <c r="AO11" s="344"/>
      <c r="AP11" s="343"/>
      <c r="AS11" s="344"/>
      <c r="AW11" s="344"/>
      <c r="BA11" s="345"/>
    </row>
    <row r="12" spans="1:53" s="334" customFormat="1">
      <c r="A12" s="386">
        <v>1962</v>
      </c>
      <c r="B12" s="355"/>
      <c r="C12" s="992" t="s">
        <v>583</v>
      </c>
      <c r="D12" s="992"/>
      <c r="E12" s="334">
        <v>309</v>
      </c>
      <c r="G12" s="419">
        <v>1</v>
      </c>
      <c r="H12" s="334">
        <v>14</v>
      </c>
      <c r="J12" s="435">
        <v>15</v>
      </c>
      <c r="K12" s="384">
        <f t="shared" si="1"/>
        <v>6.666666666666667</v>
      </c>
      <c r="L12" s="384">
        <f t="shared" si="1"/>
        <v>93.333333333333329</v>
      </c>
      <c r="M12" s="384">
        <f t="shared" si="1"/>
        <v>0</v>
      </c>
      <c r="N12" s="421">
        <f t="shared" si="2"/>
        <v>100</v>
      </c>
      <c r="O12" s="383"/>
      <c r="P12" s="384">
        <v>60</v>
      </c>
      <c r="Q12" s="384"/>
      <c r="R12" s="385">
        <f t="shared" si="3"/>
        <v>60</v>
      </c>
      <c r="S12" s="334">
        <v>1</v>
      </c>
      <c r="T12" s="357"/>
      <c r="V12" s="343" t="s">
        <v>131</v>
      </c>
      <c r="W12" s="334" t="s">
        <v>22</v>
      </c>
      <c r="X12" s="334" t="s">
        <v>18</v>
      </c>
      <c r="Y12" s="344">
        <v>60</v>
      </c>
      <c r="Z12" s="441" t="s">
        <v>340</v>
      </c>
      <c r="AA12" s="441" t="s">
        <v>74</v>
      </c>
      <c r="AB12" s="441" t="s">
        <v>11</v>
      </c>
      <c r="AC12" s="441">
        <v>40</v>
      </c>
      <c r="AD12" s="343"/>
      <c r="AG12" s="344"/>
      <c r="AL12" s="343"/>
      <c r="AO12" s="344"/>
      <c r="AP12" s="343"/>
      <c r="AS12" s="344"/>
      <c r="AW12" s="344"/>
      <c r="BA12" s="345"/>
    </row>
    <row r="13" spans="1:53" s="334" customFormat="1">
      <c r="A13" s="386">
        <v>1962</v>
      </c>
      <c r="B13" s="445">
        <v>22956</v>
      </c>
      <c r="C13" s="992" t="s">
        <v>583</v>
      </c>
      <c r="D13" s="992"/>
      <c r="E13" s="334">
        <v>56</v>
      </c>
      <c r="F13" s="441" t="s">
        <v>337</v>
      </c>
      <c r="G13" s="419">
        <v>1</v>
      </c>
      <c r="H13" s="334">
        <v>14</v>
      </c>
      <c r="J13" s="435">
        <v>15</v>
      </c>
      <c r="K13" s="384">
        <f t="shared" si="1"/>
        <v>6.666666666666667</v>
      </c>
      <c r="L13" s="384">
        <f t="shared" si="1"/>
        <v>93.333333333333329</v>
      </c>
      <c r="M13" s="384">
        <f t="shared" si="1"/>
        <v>0</v>
      </c>
      <c r="N13" s="421">
        <f t="shared" si="2"/>
        <v>100</v>
      </c>
      <c r="O13" s="383"/>
      <c r="P13" s="384">
        <v>59.5</v>
      </c>
      <c r="Q13" s="384"/>
      <c r="R13" s="385">
        <f t="shared" si="3"/>
        <v>59.5</v>
      </c>
      <c r="S13" s="334">
        <v>1</v>
      </c>
      <c r="T13" s="342">
        <v>22956</v>
      </c>
      <c r="V13" s="343" t="s">
        <v>131</v>
      </c>
      <c r="W13" s="334" t="s">
        <v>22</v>
      </c>
      <c r="X13" s="334" t="s">
        <v>18</v>
      </c>
      <c r="Y13" s="344">
        <v>59.5</v>
      </c>
      <c r="Z13" s="441" t="s">
        <v>340</v>
      </c>
      <c r="AA13" s="441" t="s">
        <v>74</v>
      </c>
      <c r="AB13" s="441" t="s">
        <v>11</v>
      </c>
      <c r="AC13" s="441">
        <v>40.5</v>
      </c>
      <c r="AD13" s="343"/>
      <c r="AG13" s="344"/>
      <c r="AL13" s="343"/>
      <c r="AO13" s="344"/>
      <c r="AP13" s="343"/>
      <c r="AS13" s="344"/>
      <c r="AW13" s="344"/>
      <c r="BA13" s="345"/>
    </row>
    <row r="14" spans="1:53" s="334" customFormat="1">
      <c r="A14" s="386">
        <v>1962.6</v>
      </c>
      <c r="B14" s="355"/>
      <c r="C14" s="992" t="s">
        <v>583</v>
      </c>
      <c r="D14" s="992"/>
      <c r="E14" s="334">
        <v>305</v>
      </c>
      <c r="G14" s="419">
        <v>1</v>
      </c>
      <c r="H14" s="334">
        <v>14</v>
      </c>
      <c r="J14" s="435">
        <v>15</v>
      </c>
      <c r="K14" s="384">
        <f t="shared" si="1"/>
        <v>6.666666666666667</v>
      </c>
      <c r="L14" s="384">
        <f t="shared" si="1"/>
        <v>93.333333333333329</v>
      </c>
      <c r="M14" s="384">
        <f t="shared" si="1"/>
        <v>0</v>
      </c>
      <c r="N14" s="421">
        <f t="shared" si="2"/>
        <v>100</v>
      </c>
      <c r="O14" s="383"/>
      <c r="P14" s="384">
        <v>59.5</v>
      </c>
      <c r="Q14" s="384"/>
      <c r="R14" s="385">
        <f t="shared" si="3"/>
        <v>59.5</v>
      </c>
      <c r="S14" s="334">
        <v>1</v>
      </c>
      <c r="T14" s="357"/>
      <c r="V14" s="343" t="s">
        <v>131</v>
      </c>
      <c r="W14" s="334" t="s">
        <v>22</v>
      </c>
      <c r="X14" s="334" t="s">
        <v>18</v>
      </c>
      <c r="Y14" s="344">
        <v>59.5</v>
      </c>
      <c r="Z14" s="441" t="s">
        <v>340</v>
      </c>
      <c r="AA14" s="441" t="s">
        <v>74</v>
      </c>
      <c r="AB14" s="441" t="s">
        <v>11</v>
      </c>
      <c r="AC14" s="441">
        <v>40.5</v>
      </c>
      <c r="AD14" s="343"/>
      <c r="AG14" s="344"/>
      <c r="AL14" s="343"/>
      <c r="AO14" s="344"/>
      <c r="AP14" s="343"/>
      <c r="AS14" s="344"/>
      <c r="AW14" s="344"/>
      <c r="BA14" s="345"/>
    </row>
    <row r="15" spans="1:53" s="334" customFormat="1">
      <c r="A15" s="386">
        <v>1963</v>
      </c>
      <c r="B15" s="445">
        <v>23317</v>
      </c>
      <c r="C15" s="992" t="s">
        <v>583</v>
      </c>
      <c r="D15" s="992"/>
      <c r="E15" s="334">
        <v>20</v>
      </c>
      <c r="F15" s="441">
        <v>0</v>
      </c>
      <c r="G15" s="419">
        <v>1</v>
      </c>
      <c r="H15" s="334">
        <v>13</v>
      </c>
      <c r="J15" s="435">
        <v>14</v>
      </c>
      <c r="K15" s="384">
        <f t="shared" si="1"/>
        <v>7.1428571428571423</v>
      </c>
      <c r="L15" s="384">
        <f t="shared" si="1"/>
        <v>92.857142857142861</v>
      </c>
      <c r="M15" s="384">
        <f t="shared" si="1"/>
        <v>0</v>
      </c>
      <c r="N15" s="421">
        <f t="shared" si="2"/>
        <v>100</v>
      </c>
      <c r="O15" s="383"/>
      <c r="P15" s="384">
        <v>59.5</v>
      </c>
      <c r="Q15" s="384"/>
      <c r="R15" s="385">
        <f t="shared" si="3"/>
        <v>59.5</v>
      </c>
      <c r="S15" s="334">
        <v>1</v>
      </c>
      <c r="T15" s="357"/>
      <c r="V15" s="343" t="s">
        <v>131</v>
      </c>
      <c r="W15" s="334" t="s">
        <v>22</v>
      </c>
      <c r="X15" s="334" t="s">
        <v>18</v>
      </c>
      <c r="Y15" s="344">
        <v>59.5</v>
      </c>
      <c r="Z15" s="441" t="s">
        <v>340</v>
      </c>
      <c r="AA15" s="441" t="s">
        <v>74</v>
      </c>
      <c r="AB15" s="441" t="s">
        <v>11</v>
      </c>
      <c r="AC15" s="441">
        <v>40.5</v>
      </c>
      <c r="AD15" s="343"/>
      <c r="AG15" s="344"/>
      <c r="AL15" s="343"/>
      <c r="AO15" s="344"/>
      <c r="AP15" s="343"/>
      <c r="AS15" s="344"/>
      <c r="AW15" s="344"/>
      <c r="BA15" s="345"/>
    </row>
    <row r="16" spans="1:53" s="208" customFormat="1">
      <c r="A16" s="102">
        <v>1963.05714285714</v>
      </c>
      <c r="B16" s="207">
        <v>23337</v>
      </c>
      <c r="C16" s="988" t="s">
        <v>584</v>
      </c>
      <c r="D16" s="988"/>
      <c r="E16" s="208">
        <f>365-E15-E14</f>
        <v>40</v>
      </c>
      <c r="F16" s="208" t="s">
        <v>345</v>
      </c>
      <c r="G16" s="123">
        <v>1</v>
      </c>
      <c r="H16" s="208">
        <v>13</v>
      </c>
      <c r="J16" s="134">
        <v>14</v>
      </c>
      <c r="K16" s="92">
        <f t="shared" si="1"/>
        <v>7.1428571428571423</v>
      </c>
      <c r="L16" s="92">
        <f t="shared" si="1"/>
        <v>92.857142857142861</v>
      </c>
      <c r="M16" s="92">
        <f t="shared" si="1"/>
        <v>0</v>
      </c>
      <c r="N16" s="125">
        <f t="shared" si="2"/>
        <v>100</v>
      </c>
      <c r="O16" s="91"/>
      <c r="P16" s="92">
        <v>59.5</v>
      </c>
      <c r="Q16" s="92"/>
      <c r="R16" s="93">
        <f t="shared" si="3"/>
        <v>59.5</v>
      </c>
      <c r="S16" s="208">
        <v>1</v>
      </c>
      <c r="T16" s="81"/>
      <c r="U16" s="207">
        <v>23337</v>
      </c>
      <c r="V16" s="82" t="s">
        <v>131</v>
      </c>
      <c r="W16" s="208" t="s">
        <v>22</v>
      </c>
      <c r="X16" s="208" t="s">
        <v>18</v>
      </c>
      <c r="Y16" s="83">
        <v>59.5</v>
      </c>
      <c r="Z16" s="150" t="s">
        <v>340</v>
      </c>
      <c r="AA16" s="150" t="s">
        <v>74</v>
      </c>
      <c r="AB16" s="150" t="s">
        <v>11</v>
      </c>
      <c r="AC16" s="150">
        <v>40.5</v>
      </c>
      <c r="AD16" s="82"/>
      <c r="AG16" s="83"/>
      <c r="AL16" s="82"/>
      <c r="AO16" s="83"/>
      <c r="AP16" s="82"/>
      <c r="AS16" s="83"/>
      <c r="AW16" s="83"/>
      <c r="BA16" s="84"/>
    </row>
    <row r="17" spans="1:53" s="208" customFormat="1">
      <c r="A17" s="102">
        <v>1963.5142857142901</v>
      </c>
      <c r="B17" s="207"/>
      <c r="C17" s="988" t="s">
        <v>584</v>
      </c>
      <c r="D17" s="988"/>
      <c r="E17" s="208">
        <v>307</v>
      </c>
      <c r="F17" s="150"/>
      <c r="G17" s="123">
        <v>1</v>
      </c>
      <c r="H17" s="208">
        <v>13</v>
      </c>
      <c r="J17" s="134">
        <v>14</v>
      </c>
      <c r="K17" s="92">
        <f t="shared" si="1"/>
        <v>7.1428571428571423</v>
      </c>
      <c r="L17" s="92">
        <f t="shared" si="1"/>
        <v>92.857142857142861</v>
      </c>
      <c r="M17" s="92">
        <f t="shared" si="1"/>
        <v>0</v>
      </c>
      <c r="N17" s="125">
        <f t="shared" si="2"/>
        <v>100</v>
      </c>
      <c r="O17" s="91"/>
      <c r="P17" s="92">
        <v>59.5</v>
      </c>
      <c r="Q17" s="92"/>
      <c r="R17" s="93">
        <f t="shared" si="3"/>
        <v>59.5</v>
      </c>
      <c r="S17" s="208">
        <v>1</v>
      </c>
      <c r="T17" s="81"/>
      <c r="V17" s="82" t="s">
        <v>131</v>
      </c>
      <c r="W17" s="208" t="s">
        <v>22</v>
      </c>
      <c r="X17" s="208" t="s">
        <v>18</v>
      </c>
      <c r="Y17" s="83">
        <v>59.5</v>
      </c>
      <c r="Z17" s="150" t="s">
        <v>340</v>
      </c>
      <c r="AA17" s="150" t="s">
        <v>74</v>
      </c>
      <c r="AB17" s="150" t="s">
        <v>11</v>
      </c>
      <c r="AC17" s="150">
        <v>40.5</v>
      </c>
      <c r="AD17" s="82"/>
      <c r="AG17" s="83"/>
      <c r="AL17" s="82"/>
      <c r="AO17" s="83"/>
      <c r="AP17" s="82"/>
      <c r="AS17" s="83"/>
      <c r="AW17" s="83"/>
      <c r="BA17" s="84"/>
    </row>
    <row r="18" spans="1:53" s="208" customFormat="1">
      <c r="A18" s="102">
        <v>1963.9714285714299</v>
      </c>
      <c r="B18" s="149">
        <v>23684</v>
      </c>
      <c r="C18" s="988" t="s">
        <v>584</v>
      </c>
      <c r="D18" s="988"/>
      <c r="E18" s="208">
        <v>59</v>
      </c>
      <c r="F18" s="150" t="s">
        <v>337</v>
      </c>
      <c r="G18" s="123">
        <v>1</v>
      </c>
      <c r="H18" s="208">
        <v>13</v>
      </c>
      <c r="J18" s="134">
        <v>14</v>
      </c>
      <c r="K18" s="92">
        <f t="shared" si="1"/>
        <v>7.1428571428571423</v>
      </c>
      <c r="L18" s="92">
        <f t="shared" si="1"/>
        <v>92.857142857142861</v>
      </c>
      <c r="M18" s="92">
        <f t="shared" si="1"/>
        <v>0</v>
      </c>
      <c r="N18" s="125">
        <f t="shared" si="2"/>
        <v>100</v>
      </c>
      <c r="O18" s="91"/>
      <c r="P18" s="92">
        <v>67.8</v>
      </c>
      <c r="Q18" s="92"/>
      <c r="R18" s="93">
        <f t="shared" si="3"/>
        <v>67.8</v>
      </c>
      <c r="S18" s="208">
        <v>1</v>
      </c>
      <c r="T18" s="95">
        <v>23684</v>
      </c>
      <c r="V18" s="82" t="s">
        <v>131</v>
      </c>
      <c r="W18" s="208" t="s">
        <v>22</v>
      </c>
      <c r="X18" s="208" t="s">
        <v>18</v>
      </c>
      <c r="Y18" s="83">
        <v>67.8</v>
      </c>
      <c r="Z18" s="150" t="s">
        <v>340</v>
      </c>
      <c r="AA18" s="150" t="s">
        <v>74</v>
      </c>
      <c r="AB18" s="150" t="s">
        <v>11</v>
      </c>
      <c r="AC18" s="150">
        <v>32.200000000000003</v>
      </c>
      <c r="AD18" s="82"/>
      <c r="AG18" s="83"/>
      <c r="AL18" s="82"/>
      <c r="AO18" s="83"/>
      <c r="AP18" s="82"/>
      <c r="AS18" s="83"/>
      <c r="AW18" s="83"/>
      <c r="BA18" s="84"/>
    </row>
    <row r="19" spans="1:53" s="208" customFormat="1">
      <c r="A19" s="102">
        <v>1965</v>
      </c>
      <c r="B19" s="207"/>
      <c r="C19" s="988" t="s">
        <v>584</v>
      </c>
      <c r="D19" s="988"/>
      <c r="E19" s="208">
        <v>19</v>
      </c>
      <c r="G19" s="123">
        <v>1</v>
      </c>
      <c r="H19" s="208">
        <v>13</v>
      </c>
      <c r="J19" s="134">
        <v>14</v>
      </c>
      <c r="K19" s="92">
        <f t="shared" si="1"/>
        <v>7.1428571428571423</v>
      </c>
      <c r="L19" s="92">
        <f t="shared" si="1"/>
        <v>92.857142857142861</v>
      </c>
      <c r="M19" s="92">
        <f t="shared" si="1"/>
        <v>0</v>
      </c>
      <c r="N19" s="125">
        <f t="shared" si="2"/>
        <v>100</v>
      </c>
      <c r="O19" s="91"/>
      <c r="P19" s="92">
        <v>67.8</v>
      </c>
      <c r="Q19" s="92"/>
      <c r="R19" s="93">
        <f t="shared" si="3"/>
        <v>67.8</v>
      </c>
      <c r="S19" s="208">
        <v>1</v>
      </c>
      <c r="T19" s="81"/>
      <c r="V19" s="82" t="s">
        <v>131</v>
      </c>
      <c r="W19" s="208" t="s">
        <v>22</v>
      </c>
      <c r="X19" s="208" t="s">
        <v>18</v>
      </c>
      <c r="Y19" s="83">
        <v>67.8</v>
      </c>
      <c r="Z19" s="150" t="s">
        <v>340</v>
      </c>
      <c r="AA19" s="150" t="s">
        <v>74</v>
      </c>
      <c r="AB19" s="150" t="s">
        <v>11</v>
      </c>
      <c r="AC19" s="150">
        <v>32.200000000000003</v>
      </c>
      <c r="AD19" s="82"/>
      <c r="AG19" s="83"/>
      <c r="AL19" s="82"/>
      <c r="AO19" s="83"/>
      <c r="AP19" s="82"/>
      <c r="AS19" s="83"/>
      <c r="AW19" s="83"/>
      <c r="BA19" s="84"/>
    </row>
    <row r="20" spans="1:53" s="334" customFormat="1">
      <c r="A20" s="386">
        <v>1964.88571428572</v>
      </c>
      <c r="B20" s="355">
        <v>23762</v>
      </c>
      <c r="C20" s="992" t="s">
        <v>585</v>
      </c>
      <c r="D20" s="992"/>
      <c r="E20" s="334">
        <v>71</v>
      </c>
      <c r="F20" s="334">
        <v>1</v>
      </c>
      <c r="G20" s="419">
        <v>1</v>
      </c>
      <c r="H20" s="334">
        <v>14</v>
      </c>
      <c r="J20" s="435">
        <v>15</v>
      </c>
      <c r="K20" s="384">
        <f t="shared" si="1"/>
        <v>6.666666666666667</v>
      </c>
      <c r="L20" s="384">
        <f t="shared" si="1"/>
        <v>93.333333333333329</v>
      </c>
      <c r="M20" s="384">
        <f t="shared" si="1"/>
        <v>0</v>
      </c>
      <c r="N20" s="421">
        <f t="shared" si="2"/>
        <v>100</v>
      </c>
      <c r="O20" s="383"/>
      <c r="P20" s="384">
        <v>67.8</v>
      </c>
      <c r="Q20" s="384"/>
      <c r="R20" s="385">
        <f t="shared" si="3"/>
        <v>67.8</v>
      </c>
      <c r="S20" s="334">
        <v>1</v>
      </c>
      <c r="T20" s="357"/>
      <c r="U20" s="355">
        <v>23762</v>
      </c>
      <c r="V20" s="343" t="s">
        <v>131</v>
      </c>
      <c r="W20" s="334" t="s">
        <v>22</v>
      </c>
      <c r="X20" s="334" t="s">
        <v>18</v>
      </c>
      <c r="Y20" s="344">
        <v>67.8</v>
      </c>
      <c r="Z20" s="441" t="s">
        <v>340</v>
      </c>
      <c r="AA20" s="441" t="s">
        <v>74</v>
      </c>
      <c r="AB20" s="441" t="s">
        <v>11</v>
      </c>
      <c r="AC20" s="441">
        <v>32.200000000000003</v>
      </c>
      <c r="AD20" s="343"/>
      <c r="AG20" s="344"/>
      <c r="AL20" s="343"/>
      <c r="AO20" s="344"/>
      <c r="AP20" s="343"/>
      <c r="AS20" s="344"/>
      <c r="AW20" s="344"/>
      <c r="BA20" s="345"/>
    </row>
    <row r="21" spans="1:53" s="334" customFormat="1">
      <c r="A21" s="386">
        <v>1965</v>
      </c>
      <c r="B21" s="445">
        <v>23833</v>
      </c>
      <c r="C21" s="992" t="s">
        <v>585</v>
      </c>
      <c r="D21" s="992"/>
      <c r="E21" s="334">
        <v>139</v>
      </c>
      <c r="F21" s="441">
        <v>0</v>
      </c>
      <c r="G21" s="419">
        <v>2</v>
      </c>
      <c r="H21" s="334">
        <v>13</v>
      </c>
      <c r="J21" s="435">
        <v>15</v>
      </c>
      <c r="K21" s="384">
        <f t="shared" si="1"/>
        <v>13.333333333333334</v>
      </c>
      <c r="L21" s="384">
        <f t="shared" si="1"/>
        <v>86.666666666666671</v>
      </c>
      <c r="M21" s="384">
        <f t="shared" si="1"/>
        <v>0</v>
      </c>
      <c r="N21" s="421">
        <f t="shared" si="2"/>
        <v>100</v>
      </c>
      <c r="O21" s="383"/>
      <c r="P21" s="384">
        <v>67.8</v>
      </c>
      <c r="Q21" s="384"/>
      <c r="R21" s="385">
        <f t="shared" si="3"/>
        <v>67.8</v>
      </c>
      <c r="S21" s="334">
        <v>1</v>
      </c>
      <c r="T21" s="357"/>
      <c r="V21" s="343" t="s">
        <v>131</v>
      </c>
      <c r="W21" s="334" t="s">
        <v>22</v>
      </c>
      <c r="X21" s="334" t="s">
        <v>18</v>
      </c>
      <c r="Y21" s="344">
        <v>67.8</v>
      </c>
      <c r="Z21" s="441" t="s">
        <v>340</v>
      </c>
      <c r="AA21" s="441" t="s">
        <v>74</v>
      </c>
      <c r="AB21" s="441" t="s">
        <v>11</v>
      </c>
      <c r="AC21" s="441">
        <v>32.200000000000003</v>
      </c>
      <c r="AD21" s="343"/>
      <c r="AG21" s="344"/>
      <c r="AL21" s="343"/>
      <c r="AO21" s="344"/>
      <c r="AP21" s="343"/>
      <c r="AS21" s="344"/>
      <c r="AW21" s="344"/>
      <c r="BA21" s="345"/>
    </row>
    <row r="22" spans="1:53" s="334" customFormat="1">
      <c r="A22" s="386">
        <v>1965</v>
      </c>
      <c r="B22" s="445">
        <v>23972</v>
      </c>
      <c r="C22" s="992" t="s">
        <v>585</v>
      </c>
      <c r="D22" s="992"/>
      <c r="E22" s="334">
        <f xml:space="preserve"> 365-E21-E20-E19</f>
        <v>136</v>
      </c>
      <c r="F22" s="441">
        <v>0</v>
      </c>
      <c r="G22" s="419">
        <v>3</v>
      </c>
      <c r="H22" s="334">
        <v>12</v>
      </c>
      <c r="J22" s="435">
        <v>15</v>
      </c>
      <c r="K22" s="384">
        <f t="shared" si="1"/>
        <v>20</v>
      </c>
      <c r="L22" s="384">
        <f t="shared" si="1"/>
        <v>80</v>
      </c>
      <c r="M22" s="384">
        <f t="shared" si="1"/>
        <v>0</v>
      </c>
      <c r="N22" s="421">
        <f t="shared" si="2"/>
        <v>100</v>
      </c>
      <c r="O22" s="383"/>
      <c r="P22" s="384">
        <v>67.8</v>
      </c>
      <c r="Q22" s="384"/>
      <c r="R22" s="385">
        <f t="shared" si="3"/>
        <v>67.8</v>
      </c>
      <c r="S22" s="334">
        <v>1</v>
      </c>
      <c r="T22" s="357"/>
      <c r="V22" s="343" t="s">
        <v>131</v>
      </c>
      <c r="W22" s="334" t="s">
        <v>22</v>
      </c>
      <c r="X22" s="334" t="s">
        <v>18</v>
      </c>
      <c r="Y22" s="344">
        <v>67.8</v>
      </c>
      <c r="Z22" s="441" t="s">
        <v>340</v>
      </c>
      <c r="AA22" s="441" t="s">
        <v>74</v>
      </c>
      <c r="AB22" s="441" t="s">
        <v>11</v>
      </c>
      <c r="AC22" s="441">
        <v>32.200000000000003</v>
      </c>
      <c r="AD22" s="343"/>
      <c r="AG22" s="344"/>
      <c r="AL22" s="343"/>
      <c r="AO22" s="344"/>
      <c r="AP22" s="343"/>
      <c r="AS22" s="344"/>
      <c r="AW22" s="344"/>
      <c r="BA22" s="345"/>
    </row>
    <row r="23" spans="1:53" s="334" customFormat="1">
      <c r="A23" s="386">
        <v>1966</v>
      </c>
      <c r="B23" s="445"/>
      <c r="C23" s="992" t="s">
        <v>585</v>
      </c>
      <c r="D23" s="992"/>
      <c r="E23" s="334">
        <v>17</v>
      </c>
      <c r="F23" s="441"/>
      <c r="G23" s="419">
        <v>3</v>
      </c>
      <c r="H23" s="334">
        <v>12</v>
      </c>
      <c r="J23" s="435">
        <v>15</v>
      </c>
      <c r="K23" s="384">
        <f t="shared" si="1"/>
        <v>20</v>
      </c>
      <c r="L23" s="384">
        <f t="shared" si="1"/>
        <v>80</v>
      </c>
      <c r="M23" s="384">
        <f t="shared" si="1"/>
        <v>0</v>
      </c>
      <c r="N23" s="421">
        <f t="shared" si="2"/>
        <v>100</v>
      </c>
      <c r="O23" s="383"/>
      <c r="P23" s="384">
        <v>67.8</v>
      </c>
      <c r="Q23" s="384"/>
      <c r="R23" s="385">
        <f t="shared" si="3"/>
        <v>67.8</v>
      </c>
      <c r="S23" s="334">
        <v>1</v>
      </c>
      <c r="T23" s="357"/>
      <c r="V23" s="343" t="s">
        <v>131</v>
      </c>
      <c r="W23" s="334" t="s">
        <v>22</v>
      </c>
      <c r="X23" s="334" t="s">
        <v>18</v>
      </c>
      <c r="Y23" s="344">
        <v>67.8</v>
      </c>
      <c r="Z23" s="441" t="s">
        <v>340</v>
      </c>
      <c r="AA23" s="441" t="s">
        <v>74</v>
      </c>
      <c r="AB23" s="441" t="s">
        <v>11</v>
      </c>
      <c r="AC23" s="441">
        <v>32.200000000000003</v>
      </c>
      <c r="AD23" s="343"/>
      <c r="AG23" s="344"/>
      <c r="AL23" s="343"/>
      <c r="AO23" s="344"/>
      <c r="AP23" s="343"/>
      <c r="AS23" s="344"/>
      <c r="AW23" s="344"/>
      <c r="BA23" s="345"/>
    </row>
    <row r="24" spans="1:53" s="334" customFormat="1">
      <c r="A24" s="386">
        <v>1965.8</v>
      </c>
      <c r="B24" s="445">
        <v>24125</v>
      </c>
      <c r="C24" s="992" t="s">
        <v>585</v>
      </c>
      <c r="D24" s="992"/>
      <c r="E24" s="334">
        <v>294</v>
      </c>
      <c r="F24" s="441">
        <v>0</v>
      </c>
      <c r="G24" s="419">
        <v>3</v>
      </c>
      <c r="H24" s="334">
        <v>13</v>
      </c>
      <c r="J24" s="435">
        <v>16</v>
      </c>
      <c r="K24" s="384">
        <f>G24/$J24*100</f>
        <v>18.75</v>
      </c>
      <c r="L24" s="384">
        <f>H24/$J24*100</f>
        <v>81.25</v>
      </c>
      <c r="M24" s="384">
        <f>I24/$J24*100</f>
        <v>0</v>
      </c>
      <c r="N24" s="421">
        <f>K24+L24+M24</f>
        <v>100</v>
      </c>
      <c r="O24" s="383"/>
      <c r="P24" s="384">
        <v>67.8</v>
      </c>
      <c r="Q24" s="384"/>
      <c r="R24" s="385">
        <f>O24+P24+Q24</f>
        <v>67.8</v>
      </c>
      <c r="S24" s="334">
        <v>1</v>
      </c>
      <c r="T24" s="342"/>
      <c r="V24" s="343" t="s">
        <v>131</v>
      </c>
      <c r="W24" s="334" t="s">
        <v>22</v>
      </c>
      <c r="X24" s="334" t="s">
        <v>18</v>
      </c>
      <c r="Y24" s="344">
        <v>67.8</v>
      </c>
      <c r="Z24" s="441" t="s">
        <v>340</v>
      </c>
      <c r="AA24" s="441" t="s">
        <v>74</v>
      </c>
      <c r="AB24" s="441" t="s">
        <v>11</v>
      </c>
      <c r="AC24" s="441">
        <v>32.200000000000003</v>
      </c>
      <c r="AD24" s="343"/>
      <c r="AG24" s="344"/>
      <c r="AL24" s="343"/>
      <c r="AO24" s="344"/>
      <c r="AP24" s="343"/>
      <c r="AS24" s="344"/>
      <c r="AW24" s="344"/>
      <c r="BA24" s="345"/>
    </row>
    <row r="25" spans="1:53" s="334" customFormat="1">
      <c r="A25" s="386">
        <v>1965.8</v>
      </c>
      <c r="B25" s="445">
        <v>24419</v>
      </c>
      <c r="C25" s="992" t="s">
        <v>585</v>
      </c>
      <c r="D25" s="992"/>
      <c r="E25" s="334">
        <v>54</v>
      </c>
      <c r="F25" s="441" t="s">
        <v>337</v>
      </c>
      <c r="G25" s="419">
        <v>3</v>
      </c>
      <c r="H25" s="334">
        <v>13</v>
      </c>
      <c r="J25" s="435">
        <v>16</v>
      </c>
      <c r="K25" s="384">
        <f t="shared" si="1"/>
        <v>18.75</v>
      </c>
      <c r="L25" s="384">
        <f t="shared" si="1"/>
        <v>81.25</v>
      </c>
      <c r="M25" s="384">
        <f t="shared" si="1"/>
        <v>0</v>
      </c>
      <c r="N25" s="421">
        <f t="shared" si="2"/>
        <v>100</v>
      </c>
      <c r="O25" s="383"/>
      <c r="P25" s="384">
        <v>57.2</v>
      </c>
      <c r="Q25" s="384"/>
      <c r="R25" s="385">
        <f t="shared" si="3"/>
        <v>57.2</v>
      </c>
      <c r="S25" s="334">
        <v>1</v>
      </c>
      <c r="T25" s="342">
        <v>24419</v>
      </c>
      <c r="V25" s="343" t="s">
        <v>131</v>
      </c>
      <c r="W25" s="334" t="s">
        <v>22</v>
      </c>
      <c r="X25" s="334" t="s">
        <v>18</v>
      </c>
      <c r="Y25" s="344">
        <v>57.2</v>
      </c>
      <c r="Z25" s="441" t="s">
        <v>340</v>
      </c>
      <c r="AA25" s="441" t="s">
        <v>74</v>
      </c>
      <c r="AB25" s="441" t="s">
        <v>11</v>
      </c>
      <c r="AC25" s="441">
        <v>42.8</v>
      </c>
      <c r="AD25" s="343"/>
      <c r="AG25" s="344"/>
      <c r="AL25" s="343"/>
      <c r="AO25" s="344"/>
      <c r="AP25" s="343"/>
      <c r="AS25" s="344"/>
      <c r="AW25" s="344"/>
      <c r="BA25" s="345"/>
    </row>
    <row r="26" spans="1:53" s="334" customFormat="1">
      <c r="A26" s="386">
        <v>1967</v>
      </c>
      <c r="B26" s="445"/>
      <c r="C26" s="992" t="s">
        <v>585</v>
      </c>
      <c r="D26" s="992"/>
      <c r="E26" s="334">
        <v>0</v>
      </c>
      <c r="F26" s="441"/>
      <c r="G26" s="419">
        <v>3</v>
      </c>
      <c r="H26" s="334">
        <v>13</v>
      </c>
      <c r="J26" s="435">
        <v>16</v>
      </c>
      <c r="K26" s="384">
        <f t="shared" si="1"/>
        <v>18.75</v>
      </c>
      <c r="L26" s="384">
        <f t="shared" si="1"/>
        <v>81.25</v>
      </c>
      <c r="M26" s="384">
        <f t="shared" si="1"/>
        <v>0</v>
      </c>
      <c r="N26" s="421">
        <f t="shared" si="2"/>
        <v>100</v>
      </c>
      <c r="O26" s="383"/>
      <c r="P26" s="384">
        <v>57.2</v>
      </c>
      <c r="Q26" s="384"/>
      <c r="R26" s="385">
        <f t="shared" si="3"/>
        <v>57.2</v>
      </c>
      <c r="S26" s="334">
        <v>1</v>
      </c>
      <c r="T26" s="357"/>
      <c r="V26" s="343" t="s">
        <v>131</v>
      </c>
      <c r="W26" s="334" t="s">
        <v>22</v>
      </c>
      <c r="X26" s="334" t="s">
        <v>18</v>
      </c>
      <c r="Y26" s="344">
        <v>57.2</v>
      </c>
      <c r="Z26" s="441" t="s">
        <v>340</v>
      </c>
      <c r="AA26" s="441" t="s">
        <v>74</v>
      </c>
      <c r="AB26" s="441" t="s">
        <v>11</v>
      </c>
      <c r="AC26" s="441">
        <v>42.8</v>
      </c>
      <c r="AD26" s="343"/>
      <c r="AG26" s="344"/>
      <c r="AL26" s="343"/>
      <c r="AO26" s="344"/>
      <c r="AP26" s="343"/>
      <c r="AS26" s="344"/>
      <c r="AW26" s="344"/>
      <c r="BA26" s="345"/>
    </row>
    <row r="27" spans="1:53" s="334" customFormat="1">
      <c r="A27" s="386">
        <v>1966.7142857142901</v>
      </c>
      <c r="B27" s="445"/>
      <c r="C27" s="992" t="s">
        <v>585</v>
      </c>
      <c r="D27" s="992"/>
      <c r="E27" s="334">
        <v>365</v>
      </c>
      <c r="F27" s="441"/>
      <c r="G27" s="419">
        <v>3</v>
      </c>
      <c r="H27" s="334">
        <v>13</v>
      </c>
      <c r="J27" s="435">
        <v>16</v>
      </c>
      <c r="K27" s="384">
        <f t="shared" si="1"/>
        <v>18.75</v>
      </c>
      <c r="L27" s="384">
        <f t="shared" si="1"/>
        <v>81.25</v>
      </c>
      <c r="M27" s="384">
        <f t="shared" si="1"/>
        <v>0</v>
      </c>
      <c r="N27" s="421">
        <f t="shared" si="2"/>
        <v>100</v>
      </c>
      <c r="O27" s="383"/>
      <c r="P27" s="384">
        <v>57.2</v>
      </c>
      <c r="Q27" s="384"/>
      <c r="R27" s="385">
        <f t="shared" si="3"/>
        <v>57.2</v>
      </c>
      <c r="S27" s="334">
        <v>1</v>
      </c>
      <c r="T27" s="357"/>
      <c r="V27" s="343" t="s">
        <v>131</v>
      </c>
      <c r="W27" s="334" t="s">
        <v>22</v>
      </c>
      <c r="X27" s="334" t="s">
        <v>18</v>
      </c>
      <c r="Y27" s="344">
        <v>57.2</v>
      </c>
      <c r="Z27" s="441" t="s">
        <v>340</v>
      </c>
      <c r="AA27" s="441" t="s">
        <v>74</v>
      </c>
      <c r="AB27" s="441" t="s">
        <v>11</v>
      </c>
      <c r="AC27" s="441">
        <v>42.8</v>
      </c>
      <c r="AD27" s="343"/>
      <c r="AG27" s="344"/>
      <c r="AL27" s="343"/>
      <c r="AO27" s="344"/>
      <c r="AP27" s="343"/>
      <c r="AS27" s="344"/>
      <c r="AW27" s="344"/>
      <c r="BA27" s="345"/>
    </row>
    <row r="28" spans="1:53" s="334" customFormat="1">
      <c r="A28" s="386">
        <v>1968</v>
      </c>
      <c r="B28" s="445"/>
      <c r="C28" s="992" t="s">
        <v>585</v>
      </c>
      <c r="D28" s="992"/>
      <c r="E28" s="334">
        <v>60</v>
      </c>
      <c r="F28" s="441"/>
      <c r="G28" s="419">
        <v>3</v>
      </c>
      <c r="H28" s="334">
        <v>13</v>
      </c>
      <c r="J28" s="435">
        <v>16</v>
      </c>
      <c r="K28" s="384">
        <f t="shared" si="1"/>
        <v>18.75</v>
      </c>
      <c r="L28" s="384">
        <f t="shared" si="1"/>
        <v>81.25</v>
      </c>
      <c r="M28" s="384">
        <f t="shared" si="1"/>
        <v>0</v>
      </c>
      <c r="N28" s="421">
        <f t="shared" si="2"/>
        <v>100</v>
      </c>
      <c r="O28" s="383"/>
      <c r="P28" s="384">
        <v>57.2</v>
      </c>
      <c r="Q28" s="384"/>
      <c r="R28" s="385">
        <f t="shared" si="3"/>
        <v>57.2</v>
      </c>
      <c r="S28" s="334">
        <v>1</v>
      </c>
      <c r="T28" s="357"/>
      <c r="V28" s="343" t="s">
        <v>131</v>
      </c>
      <c r="W28" s="334" t="s">
        <v>22</v>
      </c>
      <c r="X28" s="334" t="s">
        <v>18</v>
      </c>
      <c r="Y28" s="344">
        <v>57.2</v>
      </c>
      <c r="Z28" s="441" t="s">
        <v>340</v>
      </c>
      <c r="AA28" s="441" t="s">
        <v>74</v>
      </c>
      <c r="AB28" s="441" t="s">
        <v>11</v>
      </c>
      <c r="AC28" s="441">
        <v>42.8</v>
      </c>
      <c r="AD28" s="343"/>
      <c r="AG28" s="344"/>
      <c r="AL28" s="343"/>
      <c r="AO28" s="344"/>
      <c r="AP28" s="343"/>
      <c r="AS28" s="344"/>
      <c r="AW28" s="344"/>
      <c r="BA28" s="345"/>
    </row>
    <row r="29" spans="1:53" s="334" customFormat="1">
      <c r="A29" s="386">
        <v>1968</v>
      </c>
      <c r="B29" s="445">
        <v>24898</v>
      </c>
      <c r="C29" s="992" t="s">
        <v>585</v>
      </c>
      <c r="D29" s="992"/>
      <c r="E29" s="334">
        <v>249</v>
      </c>
      <c r="F29" s="441">
        <v>0</v>
      </c>
      <c r="G29" s="419">
        <v>1</v>
      </c>
      <c r="H29" s="334">
        <v>15</v>
      </c>
      <c r="J29" s="435">
        <v>16</v>
      </c>
      <c r="K29" s="384">
        <f t="shared" si="1"/>
        <v>6.25</v>
      </c>
      <c r="L29" s="384">
        <f t="shared" si="1"/>
        <v>93.75</v>
      </c>
      <c r="M29" s="384">
        <f t="shared" si="1"/>
        <v>0</v>
      </c>
      <c r="N29" s="421">
        <f t="shared" si="2"/>
        <v>100</v>
      </c>
      <c r="O29" s="383"/>
      <c r="P29" s="384">
        <v>57.2</v>
      </c>
      <c r="Q29" s="384"/>
      <c r="R29" s="385">
        <f t="shared" si="3"/>
        <v>57.2</v>
      </c>
      <c r="S29" s="334">
        <v>1</v>
      </c>
      <c r="T29" s="357"/>
      <c r="V29" s="343" t="s">
        <v>131</v>
      </c>
      <c r="W29" s="334" t="s">
        <v>22</v>
      </c>
      <c r="X29" s="334" t="s">
        <v>18</v>
      </c>
      <c r="Y29" s="344">
        <v>57.2</v>
      </c>
      <c r="Z29" s="441" t="s">
        <v>340</v>
      </c>
      <c r="AA29" s="441" t="s">
        <v>74</v>
      </c>
      <c r="AB29" s="441" t="s">
        <v>11</v>
      </c>
      <c r="AC29" s="441">
        <v>42.8</v>
      </c>
      <c r="AD29" s="343"/>
      <c r="AG29" s="344"/>
      <c r="AL29" s="343"/>
      <c r="AO29" s="344"/>
      <c r="AP29" s="343"/>
      <c r="AS29" s="344"/>
      <c r="AW29" s="344"/>
      <c r="BA29" s="345"/>
    </row>
    <row r="30" spans="1:53" s="334" customFormat="1">
      <c r="A30" s="386">
        <v>1967.62857142857</v>
      </c>
      <c r="B30" s="445">
        <v>25147</v>
      </c>
      <c r="C30" s="992" t="s">
        <v>585</v>
      </c>
      <c r="D30" s="992"/>
      <c r="E30" s="334">
        <v>46</v>
      </c>
      <c r="F30" s="441" t="s">
        <v>337</v>
      </c>
      <c r="G30" s="419">
        <v>1</v>
      </c>
      <c r="H30" s="334">
        <v>15</v>
      </c>
      <c r="J30" s="435">
        <v>16</v>
      </c>
      <c r="K30" s="384">
        <f>G30/$J30*100</f>
        <v>6.25</v>
      </c>
      <c r="L30" s="384">
        <f>H30/$J30*100</f>
        <v>93.75</v>
      </c>
      <c r="M30" s="384">
        <f>I30/$J30*100</f>
        <v>0</v>
      </c>
      <c r="N30" s="421">
        <f>K30+L30+M30</f>
        <v>100</v>
      </c>
      <c r="O30" s="383"/>
      <c r="P30" s="384">
        <v>55.9</v>
      </c>
      <c r="Q30" s="384"/>
      <c r="R30" s="385">
        <f>O30+P30+Q30</f>
        <v>55.9</v>
      </c>
      <c r="S30" s="334">
        <v>1</v>
      </c>
      <c r="T30" s="342">
        <v>25147</v>
      </c>
      <c r="V30" s="343" t="s">
        <v>131</v>
      </c>
      <c r="W30" s="334" t="s">
        <v>22</v>
      </c>
      <c r="X30" s="334" t="s">
        <v>18</v>
      </c>
      <c r="Y30" s="344">
        <v>55.9</v>
      </c>
      <c r="Z30" s="441" t="s">
        <v>340</v>
      </c>
      <c r="AA30" s="441" t="s">
        <v>74</v>
      </c>
      <c r="AB30" s="441" t="s">
        <v>11</v>
      </c>
      <c r="AC30" s="441">
        <v>44.1</v>
      </c>
      <c r="AD30" s="343"/>
      <c r="AG30" s="344"/>
      <c r="AL30" s="343"/>
      <c r="AO30" s="344"/>
      <c r="AP30" s="343"/>
      <c r="AS30" s="344"/>
      <c r="AW30" s="344"/>
      <c r="BA30" s="345"/>
    </row>
    <row r="31" spans="1:53" s="334" customFormat="1">
      <c r="A31" s="386">
        <v>1967.62857142857</v>
      </c>
      <c r="B31" s="445">
        <v>25193</v>
      </c>
      <c r="C31" s="992" t="s">
        <v>585</v>
      </c>
      <c r="D31" s="992"/>
      <c r="E31" s="334">
        <v>11</v>
      </c>
      <c r="F31" s="441">
        <v>0</v>
      </c>
      <c r="G31" s="419"/>
      <c r="H31" s="334">
        <v>16</v>
      </c>
      <c r="J31" s="435">
        <v>16</v>
      </c>
      <c r="K31" s="384">
        <f t="shared" si="1"/>
        <v>0</v>
      </c>
      <c r="L31" s="384">
        <f t="shared" si="1"/>
        <v>100</v>
      </c>
      <c r="M31" s="384">
        <f t="shared" si="1"/>
        <v>0</v>
      </c>
      <c r="N31" s="421">
        <f t="shared" si="2"/>
        <v>100</v>
      </c>
      <c r="O31" s="383"/>
      <c r="P31" s="384">
        <v>55.9</v>
      </c>
      <c r="Q31" s="384"/>
      <c r="R31" s="385">
        <f t="shared" si="3"/>
        <v>55.9</v>
      </c>
      <c r="S31" s="334">
        <v>1</v>
      </c>
      <c r="T31" s="342"/>
      <c r="V31" s="343" t="s">
        <v>131</v>
      </c>
      <c r="W31" s="334" t="s">
        <v>22</v>
      </c>
      <c r="X31" s="334" t="s">
        <v>18</v>
      </c>
      <c r="Y31" s="344">
        <v>55.9</v>
      </c>
      <c r="Z31" s="441" t="s">
        <v>340</v>
      </c>
      <c r="AA31" s="441" t="s">
        <v>74</v>
      </c>
      <c r="AB31" s="441" t="s">
        <v>11</v>
      </c>
      <c r="AC31" s="441">
        <v>44.1</v>
      </c>
      <c r="AD31" s="343"/>
      <c r="AG31" s="344"/>
      <c r="AL31" s="343"/>
      <c r="AO31" s="344"/>
      <c r="AP31" s="343"/>
      <c r="AS31" s="344"/>
      <c r="AW31" s="344"/>
      <c r="BA31" s="345"/>
    </row>
    <row r="32" spans="1:53" s="334" customFormat="1">
      <c r="A32" s="386">
        <v>1969</v>
      </c>
      <c r="B32" s="355"/>
      <c r="C32" s="992" t="s">
        <v>585</v>
      </c>
      <c r="D32" s="992"/>
      <c r="E32" s="334">
        <v>19</v>
      </c>
      <c r="G32" s="419"/>
      <c r="H32" s="334">
        <v>16</v>
      </c>
      <c r="J32" s="435">
        <v>16</v>
      </c>
      <c r="K32" s="384">
        <f t="shared" si="1"/>
        <v>0</v>
      </c>
      <c r="L32" s="384">
        <f t="shared" si="1"/>
        <v>100</v>
      </c>
      <c r="M32" s="384">
        <f t="shared" si="1"/>
        <v>0</v>
      </c>
      <c r="N32" s="421">
        <f t="shared" si="2"/>
        <v>100</v>
      </c>
      <c r="O32" s="383"/>
      <c r="P32" s="384">
        <v>55.9</v>
      </c>
      <c r="Q32" s="384"/>
      <c r="R32" s="385">
        <f t="shared" si="3"/>
        <v>55.9</v>
      </c>
      <c r="S32" s="334">
        <v>1</v>
      </c>
      <c r="T32" s="357"/>
      <c r="V32" s="343" t="s">
        <v>131</v>
      </c>
      <c r="W32" s="334" t="s">
        <v>22</v>
      </c>
      <c r="X32" s="334" t="s">
        <v>18</v>
      </c>
      <c r="Y32" s="344">
        <v>55.9</v>
      </c>
      <c r="Z32" s="441" t="s">
        <v>340</v>
      </c>
      <c r="AA32" s="441" t="s">
        <v>74</v>
      </c>
      <c r="AB32" s="441" t="s">
        <v>11</v>
      </c>
      <c r="AC32" s="441">
        <v>44.1</v>
      </c>
      <c r="AD32" s="343"/>
      <c r="AG32" s="344"/>
      <c r="AL32" s="343"/>
      <c r="AO32" s="344"/>
      <c r="AP32" s="343"/>
      <c r="AS32" s="344"/>
      <c r="AW32" s="344"/>
      <c r="BA32" s="345"/>
    </row>
    <row r="33" spans="1:53" s="208" customFormat="1">
      <c r="A33" s="102">
        <v>1968.5428571428599</v>
      </c>
      <c r="B33" s="207">
        <v>25223</v>
      </c>
      <c r="C33" s="988" t="s">
        <v>586</v>
      </c>
      <c r="D33" s="988"/>
      <c r="E33" s="208">
        <f xml:space="preserve"> 365-E32</f>
        <v>346</v>
      </c>
      <c r="F33" s="208">
        <v>1</v>
      </c>
      <c r="G33" s="123">
        <v>14</v>
      </c>
      <c r="J33" s="134">
        <v>14</v>
      </c>
      <c r="K33" s="92">
        <f t="shared" si="1"/>
        <v>100</v>
      </c>
      <c r="L33" s="92">
        <f t="shared" si="1"/>
        <v>0</v>
      </c>
      <c r="M33" s="92">
        <f t="shared" si="1"/>
        <v>0</v>
      </c>
      <c r="N33" s="125">
        <f t="shared" si="2"/>
        <v>100</v>
      </c>
      <c r="O33" s="91">
        <v>44.1</v>
      </c>
      <c r="P33" s="92"/>
      <c r="Q33" s="92"/>
      <c r="R33" s="93">
        <f t="shared" si="3"/>
        <v>44.1</v>
      </c>
      <c r="S33" s="208">
        <v>1</v>
      </c>
      <c r="T33" s="81"/>
      <c r="U33" s="207">
        <v>25223</v>
      </c>
      <c r="V33" s="82" t="s">
        <v>340</v>
      </c>
      <c r="W33" s="208" t="s">
        <v>74</v>
      </c>
      <c r="X33" s="208" t="s">
        <v>11</v>
      </c>
      <c r="Y33" s="83">
        <v>44.1</v>
      </c>
      <c r="AD33" s="82"/>
      <c r="AG33" s="83"/>
      <c r="AL33" s="82"/>
      <c r="AO33" s="83"/>
      <c r="AP33" s="82"/>
      <c r="AS33" s="83"/>
      <c r="AW33" s="83"/>
      <c r="BA33" s="84"/>
    </row>
    <row r="34" spans="1:53" s="208" customFormat="1">
      <c r="A34" s="102">
        <v>1970</v>
      </c>
      <c r="B34" s="207"/>
      <c r="C34" s="988" t="s">
        <v>586</v>
      </c>
      <c r="D34" s="988"/>
      <c r="E34" s="208">
        <v>306</v>
      </c>
      <c r="G34" s="123">
        <v>14</v>
      </c>
      <c r="J34" s="134">
        <v>14</v>
      </c>
      <c r="K34" s="92">
        <f t="shared" si="1"/>
        <v>100</v>
      </c>
      <c r="L34" s="92">
        <f t="shared" si="1"/>
        <v>0</v>
      </c>
      <c r="M34" s="92">
        <f t="shared" si="1"/>
        <v>0</v>
      </c>
      <c r="N34" s="125">
        <f t="shared" si="2"/>
        <v>100</v>
      </c>
      <c r="O34" s="91">
        <v>44.1</v>
      </c>
      <c r="P34" s="92"/>
      <c r="Q34" s="92"/>
      <c r="R34" s="93">
        <f t="shared" si="3"/>
        <v>44.1</v>
      </c>
      <c r="S34" s="208">
        <v>1</v>
      </c>
      <c r="T34" s="81"/>
      <c r="V34" s="82" t="s">
        <v>340</v>
      </c>
      <c r="W34" s="208" t="s">
        <v>74</v>
      </c>
      <c r="X34" s="208" t="s">
        <v>11</v>
      </c>
      <c r="Y34" s="83">
        <v>44.1</v>
      </c>
      <c r="AD34" s="82"/>
      <c r="AG34" s="83"/>
      <c r="AL34" s="82"/>
      <c r="AO34" s="83"/>
      <c r="AP34" s="82"/>
      <c r="AS34" s="83"/>
      <c r="AW34" s="83"/>
      <c r="BA34" s="84"/>
    </row>
    <row r="35" spans="1:53" s="208" customFormat="1">
      <c r="A35" s="102">
        <v>1970</v>
      </c>
      <c r="B35" s="149">
        <v>25875</v>
      </c>
      <c r="C35" s="988" t="s">
        <v>586</v>
      </c>
      <c r="D35" s="988"/>
      <c r="E35" s="208">
        <v>59</v>
      </c>
      <c r="F35" s="150" t="s">
        <v>337</v>
      </c>
      <c r="G35" s="123">
        <v>14</v>
      </c>
      <c r="J35" s="134">
        <v>14</v>
      </c>
      <c r="K35" s="92">
        <f t="shared" si="1"/>
        <v>100</v>
      </c>
      <c r="L35" s="92">
        <f t="shared" si="1"/>
        <v>0</v>
      </c>
      <c r="M35" s="92">
        <f t="shared" si="1"/>
        <v>0</v>
      </c>
      <c r="N35" s="125">
        <f t="shared" si="2"/>
        <v>100</v>
      </c>
      <c r="O35" s="91">
        <v>41.4</v>
      </c>
      <c r="P35" s="92"/>
      <c r="Q35" s="92"/>
      <c r="R35" s="93">
        <f t="shared" si="3"/>
        <v>41.4</v>
      </c>
      <c r="S35" s="208">
        <v>1</v>
      </c>
      <c r="T35" s="95">
        <v>25875</v>
      </c>
      <c r="V35" s="82" t="s">
        <v>340</v>
      </c>
      <c r="W35" s="208" t="s">
        <v>74</v>
      </c>
      <c r="X35" s="208" t="s">
        <v>11</v>
      </c>
      <c r="Y35" s="83">
        <v>41.4</v>
      </c>
      <c r="AD35" s="82"/>
      <c r="AG35" s="83"/>
      <c r="AL35" s="82"/>
      <c r="AO35" s="83"/>
      <c r="AP35" s="82"/>
      <c r="AS35" s="83"/>
      <c r="AW35" s="83"/>
      <c r="BA35" s="84"/>
    </row>
    <row r="36" spans="1:53" s="208" customFormat="1">
      <c r="A36" s="102">
        <v>1971</v>
      </c>
      <c r="B36" s="207"/>
      <c r="C36" s="988" t="s">
        <v>586</v>
      </c>
      <c r="D36" s="988"/>
      <c r="E36" s="208">
        <v>0</v>
      </c>
      <c r="G36" s="123">
        <v>14</v>
      </c>
      <c r="J36" s="134">
        <v>14</v>
      </c>
      <c r="K36" s="92">
        <f t="shared" si="1"/>
        <v>100</v>
      </c>
      <c r="L36" s="92">
        <f t="shared" si="1"/>
        <v>0</v>
      </c>
      <c r="M36" s="92">
        <f t="shared" si="1"/>
        <v>0</v>
      </c>
      <c r="N36" s="125">
        <f t="shared" si="2"/>
        <v>100</v>
      </c>
      <c r="O36" s="91">
        <v>41.4</v>
      </c>
      <c r="P36" s="92"/>
      <c r="Q36" s="92"/>
      <c r="R36" s="93">
        <f t="shared" si="3"/>
        <v>41.4</v>
      </c>
      <c r="S36" s="208">
        <v>1</v>
      </c>
      <c r="T36" s="81"/>
      <c r="V36" s="82" t="s">
        <v>340</v>
      </c>
      <c r="W36" s="208" t="s">
        <v>74</v>
      </c>
      <c r="X36" s="208" t="s">
        <v>11</v>
      </c>
      <c r="Y36" s="83">
        <v>41.4</v>
      </c>
      <c r="AD36" s="82"/>
      <c r="AG36" s="83"/>
      <c r="AL36" s="82"/>
      <c r="AO36" s="83"/>
      <c r="AP36" s="82"/>
      <c r="AS36" s="83"/>
      <c r="AW36" s="83"/>
      <c r="BA36" s="84"/>
    </row>
    <row r="37" spans="1:53" s="208" customFormat="1">
      <c r="A37" s="102">
        <v>1971</v>
      </c>
      <c r="B37" s="207"/>
      <c r="C37" s="988" t="s">
        <v>586</v>
      </c>
      <c r="D37" s="988"/>
      <c r="E37" s="208">
        <v>365</v>
      </c>
      <c r="G37" s="123">
        <v>14</v>
      </c>
      <c r="J37" s="134">
        <v>14</v>
      </c>
      <c r="K37" s="92">
        <f t="shared" si="1"/>
        <v>100</v>
      </c>
      <c r="L37" s="92">
        <f t="shared" si="1"/>
        <v>0</v>
      </c>
      <c r="M37" s="92">
        <f t="shared" si="1"/>
        <v>0</v>
      </c>
      <c r="N37" s="125">
        <f t="shared" si="2"/>
        <v>100</v>
      </c>
      <c r="O37" s="91">
        <v>41.4</v>
      </c>
      <c r="P37" s="92"/>
      <c r="Q37" s="92"/>
      <c r="R37" s="93">
        <f t="shared" si="3"/>
        <v>41.4</v>
      </c>
      <c r="S37" s="208">
        <v>1</v>
      </c>
      <c r="T37" s="81"/>
      <c r="V37" s="82" t="s">
        <v>340</v>
      </c>
      <c r="W37" s="208" t="s">
        <v>74</v>
      </c>
      <c r="X37" s="208" t="s">
        <v>11</v>
      </c>
      <c r="Y37" s="83">
        <v>41.4</v>
      </c>
      <c r="AD37" s="82"/>
      <c r="AG37" s="83"/>
      <c r="AL37" s="82"/>
      <c r="AO37" s="83"/>
      <c r="AP37" s="82"/>
      <c r="AS37" s="83"/>
      <c r="AW37" s="83"/>
      <c r="BA37" s="84"/>
    </row>
    <row r="38" spans="1:53" s="208" customFormat="1">
      <c r="A38" s="102">
        <v>1972</v>
      </c>
      <c r="B38" s="207"/>
      <c r="C38" s="988" t="s">
        <v>586</v>
      </c>
      <c r="D38" s="988"/>
      <c r="E38" s="208">
        <v>311</v>
      </c>
      <c r="G38" s="123">
        <v>14</v>
      </c>
      <c r="J38" s="134">
        <v>14</v>
      </c>
      <c r="K38" s="92">
        <f t="shared" si="1"/>
        <v>100</v>
      </c>
      <c r="L38" s="92">
        <f t="shared" si="1"/>
        <v>0</v>
      </c>
      <c r="M38" s="92">
        <f t="shared" si="1"/>
        <v>0</v>
      </c>
      <c r="N38" s="125">
        <f t="shared" si="2"/>
        <v>100</v>
      </c>
      <c r="O38" s="91">
        <v>41.4</v>
      </c>
      <c r="P38" s="92"/>
      <c r="Q38" s="92"/>
      <c r="R38" s="93">
        <f t="shared" si="3"/>
        <v>41.4</v>
      </c>
      <c r="S38" s="208">
        <v>1</v>
      </c>
      <c r="T38" s="81"/>
      <c r="V38" s="82" t="s">
        <v>340</v>
      </c>
      <c r="W38" s="208" t="s">
        <v>74</v>
      </c>
      <c r="X38" s="208" t="s">
        <v>11</v>
      </c>
      <c r="Y38" s="83">
        <v>41.4</v>
      </c>
      <c r="AD38" s="82"/>
      <c r="AG38" s="83"/>
      <c r="AL38" s="82"/>
      <c r="AO38" s="83"/>
      <c r="AP38" s="82"/>
      <c r="AS38" s="83"/>
      <c r="AW38" s="83"/>
      <c r="BA38" s="84"/>
    </row>
    <row r="39" spans="1:53" s="208" customFormat="1">
      <c r="A39" s="102">
        <v>1972</v>
      </c>
      <c r="B39" s="149">
        <v>26610</v>
      </c>
      <c r="C39" s="988" t="s">
        <v>586</v>
      </c>
      <c r="D39" s="988"/>
      <c r="E39" s="208">
        <v>55</v>
      </c>
      <c r="F39" s="150" t="s">
        <v>337</v>
      </c>
      <c r="G39" s="123">
        <v>14</v>
      </c>
      <c r="J39" s="134">
        <v>14</v>
      </c>
      <c r="K39" s="92">
        <f t="shared" si="1"/>
        <v>100</v>
      </c>
      <c r="L39" s="92">
        <f t="shared" si="1"/>
        <v>0</v>
      </c>
      <c r="M39" s="92">
        <f t="shared" si="1"/>
        <v>0</v>
      </c>
      <c r="N39" s="125">
        <f t="shared" si="2"/>
        <v>100</v>
      </c>
      <c r="O39" s="91">
        <v>44.1</v>
      </c>
      <c r="P39" s="92"/>
      <c r="Q39" s="92"/>
      <c r="R39" s="93">
        <f t="shared" si="3"/>
        <v>44.1</v>
      </c>
      <c r="S39" s="208">
        <v>1</v>
      </c>
      <c r="T39" s="95">
        <v>26610</v>
      </c>
      <c r="V39" s="82" t="s">
        <v>340</v>
      </c>
      <c r="W39" s="208" t="s">
        <v>74</v>
      </c>
      <c r="X39" s="208" t="s">
        <v>11</v>
      </c>
      <c r="Y39" s="83">
        <v>44.1</v>
      </c>
      <c r="AD39" s="82"/>
      <c r="AG39" s="83"/>
      <c r="AL39" s="82"/>
      <c r="AO39" s="83"/>
      <c r="AP39" s="82"/>
      <c r="AS39" s="83"/>
      <c r="AW39" s="83"/>
      <c r="BA39" s="84"/>
    </row>
    <row r="40" spans="1:53" s="208" customFormat="1">
      <c r="A40" s="102">
        <v>1973</v>
      </c>
      <c r="B40" s="207"/>
      <c r="C40" s="988" t="s">
        <v>586</v>
      </c>
      <c r="D40" s="988"/>
      <c r="E40" s="208">
        <v>19</v>
      </c>
      <c r="G40" s="123">
        <v>14</v>
      </c>
      <c r="J40" s="134">
        <v>14</v>
      </c>
      <c r="K40" s="92">
        <f t="shared" si="1"/>
        <v>100</v>
      </c>
      <c r="L40" s="92">
        <f t="shared" si="1"/>
        <v>0</v>
      </c>
      <c r="M40" s="92">
        <f t="shared" si="1"/>
        <v>0</v>
      </c>
      <c r="N40" s="125">
        <f t="shared" si="2"/>
        <v>100</v>
      </c>
      <c r="O40" s="91">
        <v>44.1</v>
      </c>
      <c r="P40" s="92"/>
      <c r="Q40" s="92"/>
      <c r="R40" s="93">
        <f t="shared" si="3"/>
        <v>44.1</v>
      </c>
      <c r="S40" s="208">
        <v>1</v>
      </c>
      <c r="T40" s="81"/>
      <c r="V40" s="82" t="s">
        <v>340</v>
      </c>
      <c r="W40" s="208" t="s">
        <v>74</v>
      </c>
      <c r="X40" s="208" t="s">
        <v>11</v>
      </c>
      <c r="Y40" s="83">
        <v>44.1</v>
      </c>
      <c r="AD40" s="82"/>
      <c r="AG40" s="83"/>
      <c r="AL40" s="82"/>
      <c r="AO40" s="83"/>
      <c r="AP40" s="82"/>
      <c r="AS40" s="83"/>
      <c r="AW40" s="83"/>
      <c r="BA40" s="84"/>
    </row>
    <row r="41" spans="1:53" s="334" customFormat="1">
      <c r="A41" s="386">
        <v>1973</v>
      </c>
      <c r="B41" s="355">
        <v>26684</v>
      </c>
      <c r="C41" s="992" t="s">
        <v>587</v>
      </c>
      <c r="D41" s="992"/>
      <c r="E41" s="334">
        <v>13</v>
      </c>
      <c r="F41" s="334">
        <v>1</v>
      </c>
      <c r="G41" s="419">
        <v>14</v>
      </c>
      <c r="J41" s="435">
        <v>14</v>
      </c>
      <c r="K41" s="384">
        <f t="shared" si="1"/>
        <v>100</v>
      </c>
      <c r="L41" s="384">
        <f t="shared" si="1"/>
        <v>0</v>
      </c>
      <c r="M41" s="384">
        <f t="shared" si="1"/>
        <v>0</v>
      </c>
      <c r="N41" s="421">
        <f t="shared" si="2"/>
        <v>100</v>
      </c>
      <c r="O41" s="383">
        <v>44.1</v>
      </c>
      <c r="P41" s="384"/>
      <c r="Q41" s="384"/>
      <c r="R41" s="385">
        <f t="shared" si="3"/>
        <v>44.1</v>
      </c>
      <c r="S41" s="334">
        <v>1</v>
      </c>
      <c r="T41" s="357"/>
      <c r="U41" s="355">
        <v>26684</v>
      </c>
      <c r="V41" s="343" t="s">
        <v>340</v>
      </c>
      <c r="W41" s="334" t="s">
        <v>74</v>
      </c>
      <c r="X41" s="334" t="s">
        <v>11</v>
      </c>
      <c r="Y41" s="344">
        <v>44.1</v>
      </c>
      <c r="AD41" s="343"/>
      <c r="AG41" s="344"/>
      <c r="AL41" s="343"/>
      <c r="AO41" s="344"/>
      <c r="AP41" s="343"/>
      <c r="AS41" s="344"/>
      <c r="AW41" s="344"/>
      <c r="BA41" s="345"/>
    </row>
    <row r="42" spans="1:53" s="334" customFormat="1">
      <c r="A42" s="386">
        <v>1973</v>
      </c>
      <c r="B42" s="445">
        <v>26697</v>
      </c>
      <c r="C42" s="992" t="s">
        <v>587</v>
      </c>
      <c r="D42" s="992"/>
      <c r="E42" s="334">
        <f xml:space="preserve"> 365-E41-E40</f>
        <v>333</v>
      </c>
      <c r="F42" s="441">
        <v>0</v>
      </c>
      <c r="G42" s="419">
        <v>13</v>
      </c>
      <c r="H42" s="334">
        <v>1</v>
      </c>
      <c r="J42" s="435">
        <v>14</v>
      </c>
      <c r="K42" s="384">
        <f t="shared" si="1"/>
        <v>92.857142857142861</v>
      </c>
      <c r="L42" s="384">
        <f t="shared" si="1"/>
        <v>7.1428571428571423</v>
      </c>
      <c r="M42" s="384">
        <f t="shared" si="1"/>
        <v>0</v>
      </c>
      <c r="N42" s="421">
        <f t="shared" si="2"/>
        <v>100</v>
      </c>
      <c r="O42" s="383">
        <v>44.1</v>
      </c>
      <c r="P42" s="384"/>
      <c r="Q42" s="384"/>
      <c r="R42" s="385">
        <f t="shared" si="3"/>
        <v>44.1</v>
      </c>
      <c r="S42" s="334">
        <v>1</v>
      </c>
      <c r="T42" s="357"/>
      <c r="U42" s="355"/>
      <c r="V42" s="343" t="s">
        <v>340</v>
      </c>
      <c r="W42" s="334" t="s">
        <v>74</v>
      </c>
      <c r="X42" s="334" t="s">
        <v>11</v>
      </c>
      <c r="Y42" s="344">
        <v>44.1</v>
      </c>
      <c r="Z42" s="441" t="s">
        <v>131</v>
      </c>
      <c r="AA42" s="441" t="s">
        <v>22</v>
      </c>
      <c r="AB42" s="441" t="s">
        <v>18</v>
      </c>
      <c r="AC42" s="441">
        <v>55.9</v>
      </c>
      <c r="AD42" s="343"/>
      <c r="AG42" s="344"/>
      <c r="AL42" s="343"/>
      <c r="AO42" s="344"/>
      <c r="AP42" s="343"/>
      <c r="AS42" s="344"/>
      <c r="AW42" s="344"/>
      <c r="BA42" s="345"/>
    </row>
    <row r="43" spans="1:53" s="334" customFormat="1">
      <c r="A43" s="386">
        <v>1974</v>
      </c>
      <c r="B43" s="355"/>
      <c r="C43" s="992" t="s">
        <v>587</v>
      </c>
      <c r="D43" s="992"/>
      <c r="E43" s="334">
        <v>220</v>
      </c>
      <c r="G43" s="419">
        <v>13</v>
      </c>
      <c r="H43" s="334">
        <v>1</v>
      </c>
      <c r="J43" s="435">
        <v>14</v>
      </c>
      <c r="K43" s="384">
        <f t="shared" si="1"/>
        <v>92.857142857142861</v>
      </c>
      <c r="L43" s="384">
        <f t="shared" si="1"/>
        <v>7.1428571428571423</v>
      </c>
      <c r="M43" s="384">
        <f t="shared" si="1"/>
        <v>0</v>
      </c>
      <c r="N43" s="421">
        <f t="shared" si="2"/>
        <v>100</v>
      </c>
      <c r="O43" s="383">
        <v>44.1</v>
      </c>
      <c r="P43" s="384"/>
      <c r="Q43" s="384"/>
      <c r="R43" s="385">
        <f t="shared" si="3"/>
        <v>44.1</v>
      </c>
      <c r="S43" s="334">
        <v>1</v>
      </c>
      <c r="T43" s="357"/>
      <c r="V43" s="343" t="s">
        <v>340</v>
      </c>
      <c r="W43" s="334" t="s">
        <v>74</v>
      </c>
      <c r="X43" s="334" t="s">
        <v>11</v>
      </c>
      <c r="Y43" s="344">
        <v>44.1</v>
      </c>
      <c r="Z43" s="441" t="s">
        <v>131</v>
      </c>
      <c r="AA43" s="441" t="s">
        <v>22</v>
      </c>
      <c r="AB43" s="441" t="s">
        <v>18</v>
      </c>
      <c r="AC43" s="441">
        <v>55.9</v>
      </c>
      <c r="AD43" s="343"/>
      <c r="AG43" s="344"/>
      <c r="AL43" s="343"/>
      <c r="AO43" s="344"/>
      <c r="AP43" s="343"/>
      <c r="AS43" s="344"/>
      <c r="AW43" s="344"/>
      <c r="BA43" s="345"/>
    </row>
    <row r="44" spans="1:53" s="208" customFormat="1">
      <c r="A44" s="102">
        <v>1974</v>
      </c>
      <c r="B44" s="207">
        <v>27250</v>
      </c>
      <c r="C44" s="988" t="s">
        <v>588</v>
      </c>
      <c r="D44" s="988"/>
      <c r="E44" s="208">
        <v>88</v>
      </c>
      <c r="F44" s="208">
        <v>2</v>
      </c>
      <c r="G44" s="123">
        <v>12</v>
      </c>
      <c r="H44" s="208">
        <v>1</v>
      </c>
      <c r="J44" s="134">
        <v>13</v>
      </c>
      <c r="K44" s="92">
        <f>G44/$J44*100</f>
        <v>92.307692307692307</v>
      </c>
      <c r="L44" s="92">
        <f>H44/$J44*100</f>
        <v>7.6923076923076925</v>
      </c>
      <c r="M44" s="92">
        <f>I44/$J44*100</f>
        <v>0</v>
      </c>
      <c r="N44" s="125">
        <f>K44+L44+M44</f>
        <v>100</v>
      </c>
      <c r="O44" s="91">
        <v>44.1</v>
      </c>
      <c r="P44" s="92"/>
      <c r="Q44" s="92"/>
      <c r="R44" s="93">
        <f t="shared" si="3"/>
        <v>44.1</v>
      </c>
      <c r="S44" s="208">
        <v>1</v>
      </c>
      <c r="T44" s="95"/>
      <c r="U44" s="207">
        <v>27250</v>
      </c>
      <c r="V44" s="82" t="s">
        <v>340</v>
      </c>
      <c r="W44" s="208" t="s">
        <v>74</v>
      </c>
      <c r="X44" s="208" t="s">
        <v>11</v>
      </c>
      <c r="Y44" s="83">
        <v>44.1</v>
      </c>
      <c r="Z44" s="150" t="s">
        <v>131</v>
      </c>
      <c r="AA44" s="150" t="s">
        <v>22</v>
      </c>
      <c r="AB44" s="150" t="s">
        <v>18</v>
      </c>
      <c r="AC44" s="150">
        <v>55.9</v>
      </c>
      <c r="AD44" s="82"/>
      <c r="AG44" s="83"/>
      <c r="AL44" s="82"/>
      <c r="AO44" s="83"/>
      <c r="AP44" s="82"/>
      <c r="AS44" s="83"/>
      <c r="AW44" s="83"/>
      <c r="BA44" s="84"/>
    </row>
    <row r="45" spans="1:53" s="208" customFormat="1">
      <c r="A45" s="102">
        <v>1974</v>
      </c>
      <c r="B45" s="220">
        <v>27338</v>
      </c>
      <c r="C45" s="988" t="s">
        <v>588</v>
      </c>
      <c r="D45" s="988"/>
      <c r="E45" s="208">
        <v>57</v>
      </c>
      <c r="F45" s="150" t="s">
        <v>337</v>
      </c>
      <c r="G45" s="123">
        <v>12</v>
      </c>
      <c r="H45" s="208">
        <v>1</v>
      </c>
      <c r="J45" s="134">
        <v>13</v>
      </c>
      <c r="K45" s="92">
        <f t="shared" si="1"/>
        <v>92.307692307692307</v>
      </c>
      <c r="L45" s="92">
        <f t="shared" si="1"/>
        <v>7.6923076923076925</v>
      </c>
      <c r="M45" s="92">
        <f t="shared" si="1"/>
        <v>0</v>
      </c>
      <c r="N45" s="125">
        <f t="shared" si="2"/>
        <v>100</v>
      </c>
      <c r="O45" s="91">
        <v>33.1</v>
      </c>
      <c r="P45" s="92"/>
      <c r="Q45" s="92"/>
      <c r="R45" s="93">
        <f t="shared" si="3"/>
        <v>33.1</v>
      </c>
      <c r="S45" s="208">
        <v>1</v>
      </c>
      <c r="T45" s="95">
        <v>27338</v>
      </c>
      <c r="U45" s="207"/>
      <c r="V45" s="82" t="s">
        <v>340</v>
      </c>
      <c r="W45" s="208" t="s">
        <v>74</v>
      </c>
      <c r="X45" s="208" t="s">
        <v>11</v>
      </c>
      <c r="Y45" s="83">
        <v>33.1</v>
      </c>
      <c r="Z45" s="150" t="s">
        <v>131</v>
      </c>
      <c r="AA45" s="150" t="s">
        <v>22</v>
      </c>
      <c r="AB45" s="150" t="s">
        <v>18</v>
      </c>
      <c r="AC45" s="150">
        <v>66.900000000000006</v>
      </c>
      <c r="AD45" s="82"/>
      <c r="AG45" s="83"/>
      <c r="AL45" s="82"/>
      <c r="AO45" s="83"/>
      <c r="AP45" s="82"/>
      <c r="AS45" s="83"/>
      <c r="AW45" s="83"/>
      <c r="BA45" s="84"/>
    </row>
    <row r="46" spans="1:53" s="208" customFormat="1">
      <c r="A46" s="102">
        <v>1975</v>
      </c>
      <c r="B46" s="207"/>
      <c r="C46" s="988" t="s">
        <v>588</v>
      </c>
      <c r="D46" s="988"/>
      <c r="E46" s="208">
        <v>37</v>
      </c>
      <c r="G46" s="123">
        <v>12</v>
      </c>
      <c r="H46" s="208">
        <v>1</v>
      </c>
      <c r="J46" s="134">
        <v>13</v>
      </c>
      <c r="K46" s="92">
        <f t="shared" si="1"/>
        <v>92.307692307692307</v>
      </c>
      <c r="L46" s="92">
        <f t="shared" si="1"/>
        <v>7.6923076923076925</v>
      </c>
      <c r="M46" s="92">
        <f t="shared" si="1"/>
        <v>0</v>
      </c>
      <c r="N46" s="125">
        <f t="shared" si="2"/>
        <v>100</v>
      </c>
      <c r="O46" s="91">
        <v>33.1</v>
      </c>
      <c r="P46" s="92"/>
      <c r="Q46" s="92"/>
      <c r="R46" s="93">
        <f t="shared" si="3"/>
        <v>33.1</v>
      </c>
      <c r="S46" s="208">
        <v>1</v>
      </c>
      <c r="T46" s="81"/>
      <c r="V46" s="82" t="s">
        <v>340</v>
      </c>
      <c r="W46" s="208" t="s">
        <v>74</v>
      </c>
      <c r="X46" s="208" t="s">
        <v>11</v>
      </c>
      <c r="Y46" s="83">
        <v>33.1</v>
      </c>
      <c r="Z46" s="150" t="s">
        <v>131</v>
      </c>
      <c r="AA46" s="150" t="s">
        <v>22</v>
      </c>
      <c r="AB46" s="150" t="s">
        <v>18</v>
      </c>
      <c r="AC46" s="150">
        <v>66.900000000000006</v>
      </c>
      <c r="AD46" s="82"/>
      <c r="AG46" s="83"/>
      <c r="AL46" s="82"/>
      <c r="AO46" s="83"/>
      <c r="AP46" s="82"/>
      <c r="AS46" s="83"/>
      <c r="AW46" s="83"/>
      <c r="BA46" s="84"/>
    </row>
    <row r="47" spans="1:53" s="208" customFormat="1">
      <c r="A47" s="102">
        <v>1975</v>
      </c>
      <c r="B47" s="149">
        <v>27432</v>
      </c>
      <c r="C47" s="988" t="s">
        <v>588</v>
      </c>
      <c r="D47" s="988"/>
      <c r="E47" s="208">
        <v>182</v>
      </c>
      <c r="F47" s="150">
        <v>0</v>
      </c>
      <c r="G47" s="123">
        <v>11</v>
      </c>
      <c r="H47" s="208">
        <v>2</v>
      </c>
      <c r="J47" s="134">
        <v>13</v>
      </c>
      <c r="K47" s="92">
        <f t="shared" si="1"/>
        <v>84.615384615384613</v>
      </c>
      <c r="L47" s="92">
        <f t="shared" si="1"/>
        <v>15.384615384615385</v>
      </c>
      <c r="M47" s="92">
        <f t="shared" si="1"/>
        <v>0</v>
      </c>
      <c r="N47" s="125">
        <f t="shared" si="2"/>
        <v>100</v>
      </c>
      <c r="O47" s="91">
        <v>33.1</v>
      </c>
      <c r="P47" s="92"/>
      <c r="Q47" s="92"/>
      <c r="R47" s="93">
        <f t="shared" si="3"/>
        <v>33.1</v>
      </c>
      <c r="S47" s="208">
        <v>1</v>
      </c>
      <c r="T47" s="81"/>
      <c r="V47" s="82" t="s">
        <v>340</v>
      </c>
      <c r="W47" s="208" t="s">
        <v>74</v>
      </c>
      <c r="X47" s="208" t="s">
        <v>11</v>
      </c>
      <c r="Y47" s="83">
        <v>33.1</v>
      </c>
      <c r="Z47" s="150" t="s">
        <v>131</v>
      </c>
      <c r="AA47" s="150" t="s">
        <v>22</v>
      </c>
      <c r="AB47" s="150" t="s">
        <v>18</v>
      </c>
      <c r="AC47" s="150">
        <v>66.900000000000006</v>
      </c>
      <c r="AD47" s="82"/>
      <c r="AG47" s="83"/>
      <c r="AL47" s="82"/>
      <c r="AO47" s="83"/>
      <c r="AP47" s="82"/>
      <c r="AS47" s="83"/>
      <c r="AW47" s="83"/>
      <c r="BA47" s="84"/>
    </row>
    <row r="48" spans="1:53" s="208" customFormat="1">
      <c r="A48" s="102">
        <v>1975</v>
      </c>
      <c r="B48" s="149">
        <v>27614</v>
      </c>
      <c r="C48" s="988" t="s">
        <v>588</v>
      </c>
      <c r="D48" s="988"/>
      <c r="E48" s="208">
        <f xml:space="preserve"> 365-E47-E46</f>
        <v>146</v>
      </c>
      <c r="F48" s="150">
        <v>0</v>
      </c>
      <c r="G48" s="123">
        <v>10</v>
      </c>
      <c r="H48" s="208">
        <v>3</v>
      </c>
      <c r="J48" s="134">
        <v>13</v>
      </c>
      <c r="K48" s="92">
        <f t="shared" si="1"/>
        <v>76.923076923076934</v>
      </c>
      <c r="L48" s="92">
        <f t="shared" si="1"/>
        <v>23.076923076923077</v>
      </c>
      <c r="M48" s="92">
        <f t="shared" si="1"/>
        <v>0</v>
      </c>
      <c r="N48" s="125">
        <f t="shared" si="2"/>
        <v>100.00000000000001</v>
      </c>
      <c r="O48" s="91">
        <v>33.1</v>
      </c>
      <c r="P48" s="92"/>
      <c r="Q48" s="92"/>
      <c r="R48" s="93">
        <f t="shared" si="3"/>
        <v>33.1</v>
      </c>
      <c r="S48" s="208">
        <v>1</v>
      </c>
      <c r="T48" s="81"/>
      <c r="V48" s="82" t="s">
        <v>340</v>
      </c>
      <c r="W48" s="208" t="s">
        <v>74</v>
      </c>
      <c r="X48" s="208" t="s">
        <v>11</v>
      </c>
      <c r="Y48" s="83">
        <v>33.1</v>
      </c>
      <c r="Z48" s="150" t="s">
        <v>131</v>
      </c>
      <c r="AA48" s="150" t="s">
        <v>22</v>
      </c>
      <c r="AB48" s="150" t="s">
        <v>18</v>
      </c>
      <c r="AC48" s="150">
        <v>66.900000000000006</v>
      </c>
      <c r="AD48" s="82"/>
      <c r="AG48" s="83"/>
      <c r="AL48" s="82"/>
      <c r="AO48" s="83"/>
      <c r="AP48" s="82"/>
      <c r="AS48" s="83"/>
      <c r="AW48" s="83"/>
      <c r="BA48" s="84"/>
    </row>
    <row r="49" spans="1:53" s="208" customFormat="1">
      <c r="A49" s="102">
        <v>1976</v>
      </c>
      <c r="B49" s="207"/>
      <c r="C49" s="988" t="s">
        <v>588</v>
      </c>
      <c r="D49" s="988"/>
      <c r="E49" s="208">
        <v>306</v>
      </c>
      <c r="G49" s="123">
        <v>10</v>
      </c>
      <c r="H49" s="208">
        <v>3</v>
      </c>
      <c r="J49" s="134">
        <v>13</v>
      </c>
      <c r="K49" s="92">
        <f t="shared" si="1"/>
        <v>76.923076923076934</v>
      </c>
      <c r="L49" s="92">
        <f t="shared" si="1"/>
        <v>23.076923076923077</v>
      </c>
      <c r="M49" s="92">
        <f t="shared" si="1"/>
        <v>0</v>
      </c>
      <c r="N49" s="125">
        <f t="shared" si="2"/>
        <v>100.00000000000001</v>
      </c>
      <c r="O49" s="91">
        <v>33.1</v>
      </c>
      <c r="P49" s="92"/>
      <c r="Q49" s="92"/>
      <c r="R49" s="93">
        <f t="shared" si="3"/>
        <v>33.1</v>
      </c>
      <c r="S49" s="208">
        <v>1</v>
      </c>
      <c r="T49" s="81"/>
      <c r="V49" s="82" t="s">
        <v>340</v>
      </c>
      <c r="W49" s="208" t="s">
        <v>74</v>
      </c>
      <c r="X49" s="208" t="s">
        <v>11</v>
      </c>
      <c r="Y49" s="83">
        <v>33.1</v>
      </c>
      <c r="Z49" s="150" t="s">
        <v>131</v>
      </c>
      <c r="AA49" s="150" t="s">
        <v>22</v>
      </c>
      <c r="AB49" s="150" t="s">
        <v>18</v>
      </c>
      <c r="AC49" s="150">
        <v>66.900000000000006</v>
      </c>
      <c r="AD49" s="82"/>
      <c r="AG49" s="83"/>
      <c r="AL49" s="82"/>
      <c r="AO49" s="83"/>
      <c r="AP49" s="82"/>
      <c r="AS49" s="83"/>
      <c r="AW49" s="83"/>
      <c r="BA49" s="84"/>
    </row>
    <row r="50" spans="1:53" s="208" customFormat="1">
      <c r="A50" s="102">
        <v>1976</v>
      </c>
      <c r="B50" s="149">
        <v>28066</v>
      </c>
      <c r="C50" s="988" t="s">
        <v>588</v>
      </c>
      <c r="D50" s="988"/>
      <c r="E50" s="208">
        <v>60</v>
      </c>
      <c r="F50" s="150" t="s">
        <v>337</v>
      </c>
      <c r="G50" s="123">
        <v>10</v>
      </c>
      <c r="H50" s="208">
        <v>3</v>
      </c>
      <c r="J50" s="134">
        <v>13</v>
      </c>
      <c r="K50" s="92">
        <f t="shared" si="1"/>
        <v>76.923076923076934</v>
      </c>
      <c r="L50" s="92">
        <f t="shared" si="1"/>
        <v>23.076923076923077</v>
      </c>
      <c r="M50" s="92">
        <f t="shared" si="1"/>
        <v>0</v>
      </c>
      <c r="N50" s="125">
        <f t="shared" si="2"/>
        <v>100.00000000000001</v>
      </c>
      <c r="O50" s="91">
        <v>32.9</v>
      </c>
      <c r="P50" s="92"/>
      <c r="Q50" s="92"/>
      <c r="R50" s="93">
        <f t="shared" si="3"/>
        <v>32.9</v>
      </c>
      <c r="S50" s="208">
        <v>1</v>
      </c>
      <c r="T50" s="95">
        <v>28066</v>
      </c>
      <c r="V50" s="82" t="s">
        <v>340</v>
      </c>
      <c r="W50" s="208" t="s">
        <v>74</v>
      </c>
      <c r="X50" s="208" t="s">
        <v>11</v>
      </c>
      <c r="Y50" s="83">
        <v>32.9</v>
      </c>
      <c r="Z50" s="150" t="s">
        <v>131</v>
      </c>
      <c r="AA50" s="150" t="s">
        <v>22</v>
      </c>
      <c r="AB50" s="150" t="s">
        <v>18</v>
      </c>
      <c r="AC50" s="150">
        <v>67.099999999999994</v>
      </c>
      <c r="AD50" s="82"/>
      <c r="AG50" s="83"/>
      <c r="AL50" s="82"/>
      <c r="AO50" s="83"/>
      <c r="AP50" s="82"/>
      <c r="AS50" s="83"/>
      <c r="AW50" s="83"/>
      <c r="BA50" s="84"/>
    </row>
    <row r="51" spans="1:53" s="208" customFormat="1">
      <c r="A51" s="102">
        <v>1977</v>
      </c>
      <c r="B51" s="207"/>
      <c r="C51" s="988" t="s">
        <v>588</v>
      </c>
      <c r="D51" s="988"/>
      <c r="E51" s="208">
        <v>19</v>
      </c>
      <c r="G51" s="123">
        <v>10</v>
      </c>
      <c r="H51" s="208">
        <v>3</v>
      </c>
      <c r="J51" s="134">
        <v>13</v>
      </c>
      <c r="K51" s="92">
        <f t="shared" si="1"/>
        <v>76.923076923076934</v>
      </c>
      <c r="L51" s="92">
        <f t="shared" si="1"/>
        <v>23.076923076923077</v>
      </c>
      <c r="M51" s="92">
        <f t="shared" si="1"/>
        <v>0</v>
      </c>
      <c r="N51" s="125">
        <f t="shared" si="2"/>
        <v>100.00000000000001</v>
      </c>
      <c r="O51" s="91">
        <v>32.9</v>
      </c>
      <c r="P51" s="92"/>
      <c r="Q51" s="92"/>
      <c r="R51" s="93">
        <f t="shared" si="3"/>
        <v>32.9</v>
      </c>
      <c r="S51" s="208">
        <v>1</v>
      </c>
      <c r="T51" s="81"/>
      <c r="V51" s="82" t="s">
        <v>340</v>
      </c>
      <c r="W51" s="208" t="s">
        <v>74</v>
      </c>
      <c r="X51" s="208" t="s">
        <v>11</v>
      </c>
      <c r="Y51" s="83">
        <v>32.9</v>
      </c>
      <c r="Z51" s="150" t="s">
        <v>131</v>
      </c>
      <c r="AA51" s="150" t="s">
        <v>22</v>
      </c>
      <c r="AB51" s="150" t="s">
        <v>18</v>
      </c>
      <c r="AC51" s="150">
        <v>67.099999999999994</v>
      </c>
      <c r="AD51" s="82"/>
      <c r="AG51" s="83"/>
      <c r="AL51" s="82"/>
      <c r="AO51" s="83"/>
      <c r="AP51" s="82"/>
      <c r="AS51" s="83"/>
      <c r="AW51" s="83"/>
      <c r="BA51" s="84"/>
    </row>
    <row r="52" spans="1:53" s="334" customFormat="1">
      <c r="A52" s="386">
        <v>1977</v>
      </c>
      <c r="B52" s="355">
        <v>28145</v>
      </c>
      <c r="C52" s="992" t="s">
        <v>589</v>
      </c>
      <c r="D52" s="992"/>
      <c r="E52" s="334">
        <f xml:space="preserve"> 365-E51</f>
        <v>346</v>
      </c>
      <c r="F52" s="334">
        <v>1</v>
      </c>
      <c r="G52" s="419">
        <v>1</v>
      </c>
      <c r="H52" s="334">
        <v>13</v>
      </c>
      <c r="J52" s="435">
        <v>14</v>
      </c>
      <c r="K52" s="384">
        <f t="shared" si="1"/>
        <v>7.1428571428571423</v>
      </c>
      <c r="L52" s="384">
        <f t="shared" si="1"/>
        <v>92.857142857142861</v>
      </c>
      <c r="M52" s="384">
        <f t="shared" si="1"/>
        <v>0</v>
      </c>
      <c r="N52" s="421">
        <f t="shared" si="2"/>
        <v>100</v>
      </c>
      <c r="O52" s="383"/>
      <c r="P52" s="384">
        <v>67.099999999999994</v>
      </c>
      <c r="Q52" s="384"/>
      <c r="R52" s="385">
        <f t="shared" si="3"/>
        <v>67.099999999999994</v>
      </c>
      <c r="S52" s="334">
        <v>1</v>
      </c>
      <c r="T52" s="357"/>
      <c r="U52" s="355">
        <v>28145</v>
      </c>
      <c r="V52" s="343" t="s">
        <v>131</v>
      </c>
      <c r="W52" s="334" t="s">
        <v>22</v>
      </c>
      <c r="X52" s="334" t="s">
        <v>18</v>
      </c>
      <c r="Y52" s="344">
        <v>67.099999999999994</v>
      </c>
      <c r="Z52" s="441" t="s">
        <v>340</v>
      </c>
      <c r="AA52" s="441" t="s">
        <v>74</v>
      </c>
      <c r="AB52" s="441" t="s">
        <v>11</v>
      </c>
      <c r="AC52" s="441">
        <v>32.9</v>
      </c>
      <c r="AD52" s="343"/>
      <c r="AG52" s="344"/>
      <c r="AL52" s="343"/>
      <c r="AO52" s="344"/>
      <c r="AP52" s="343"/>
      <c r="AS52" s="344"/>
      <c r="AW52" s="344"/>
      <c r="BA52" s="345"/>
    </row>
    <row r="53" spans="1:53" s="334" customFormat="1">
      <c r="A53" s="386">
        <v>1978</v>
      </c>
      <c r="B53" s="355"/>
      <c r="C53" s="992" t="s">
        <v>589</v>
      </c>
      <c r="D53" s="992"/>
      <c r="E53" s="334">
        <v>311</v>
      </c>
      <c r="G53" s="419">
        <v>1</v>
      </c>
      <c r="H53" s="334">
        <v>13</v>
      </c>
      <c r="J53" s="435">
        <v>14</v>
      </c>
      <c r="K53" s="384">
        <f t="shared" si="1"/>
        <v>7.1428571428571423</v>
      </c>
      <c r="L53" s="384">
        <f t="shared" si="1"/>
        <v>92.857142857142861</v>
      </c>
      <c r="M53" s="384">
        <f t="shared" si="1"/>
        <v>0</v>
      </c>
      <c r="N53" s="421">
        <f t="shared" si="2"/>
        <v>100</v>
      </c>
      <c r="O53" s="383"/>
      <c r="P53" s="384">
        <v>67.099999999999994</v>
      </c>
      <c r="Q53" s="384"/>
      <c r="R53" s="385">
        <f t="shared" si="3"/>
        <v>67.099999999999994</v>
      </c>
      <c r="S53" s="334">
        <v>1</v>
      </c>
      <c r="T53" s="357"/>
      <c r="V53" s="343" t="s">
        <v>131</v>
      </c>
      <c r="W53" s="334" t="s">
        <v>22</v>
      </c>
      <c r="X53" s="334" t="s">
        <v>18</v>
      </c>
      <c r="Y53" s="344">
        <v>67.099999999999994</v>
      </c>
      <c r="Z53" s="441" t="s">
        <v>340</v>
      </c>
      <c r="AA53" s="441" t="s">
        <v>74</v>
      </c>
      <c r="AB53" s="441" t="s">
        <v>11</v>
      </c>
      <c r="AC53" s="441">
        <v>32.9</v>
      </c>
      <c r="AD53" s="343"/>
      <c r="AG53" s="344"/>
      <c r="AL53" s="343"/>
      <c r="AO53" s="344"/>
      <c r="AP53" s="343"/>
      <c r="AS53" s="344"/>
      <c r="AW53" s="344"/>
      <c r="BA53" s="345"/>
    </row>
    <row r="54" spans="1:53" s="334" customFormat="1">
      <c r="A54" s="386">
        <v>1978</v>
      </c>
      <c r="B54" s="445">
        <v>28802</v>
      </c>
      <c r="C54" s="992" t="s">
        <v>589</v>
      </c>
      <c r="D54" s="992"/>
      <c r="E54" s="334">
        <v>54</v>
      </c>
      <c r="F54" s="441" t="s">
        <v>337</v>
      </c>
      <c r="G54" s="419">
        <v>1</v>
      </c>
      <c r="H54" s="334">
        <v>13</v>
      </c>
      <c r="J54" s="435">
        <v>14</v>
      </c>
      <c r="K54" s="384">
        <f t="shared" si="1"/>
        <v>7.1428571428571423</v>
      </c>
      <c r="L54" s="384">
        <f t="shared" si="1"/>
        <v>92.857142857142861</v>
      </c>
      <c r="M54" s="384">
        <f t="shared" si="1"/>
        <v>0</v>
      </c>
      <c r="N54" s="421">
        <f t="shared" si="2"/>
        <v>100</v>
      </c>
      <c r="O54" s="383"/>
      <c r="P54" s="384">
        <v>63.7</v>
      </c>
      <c r="Q54" s="384"/>
      <c r="R54" s="385">
        <f t="shared" si="3"/>
        <v>63.7</v>
      </c>
      <c r="S54" s="334">
        <v>1</v>
      </c>
      <c r="T54" s="342">
        <v>28802</v>
      </c>
      <c r="V54" s="343" t="s">
        <v>131</v>
      </c>
      <c r="W54" s="334" t="s">
        <v>22</v>
      </c>
      <c r="X54" s="334" t="s">
        <v>18</v>
      </c>
      <c r="Y54" s="344">
        <v>63.7</v>
      </c>
      <c r="Z54" s="441" t="s">
        <v>340</v>
      </c>
      <c r="AA54" s="441" t="s">
        <v>74</v>
      </c>
      <c r="AB54" s="441" t="s">
        <v>11</v>
      </c>
      <c r="AC54" s="441">
        <v>36.299999999999997</v>
      </c>
      <c r="AD54" s="343"/>
      <c r="AG54" s="344"/>
      <c r="AL54" s="343"/>
      <c r="AO54" s="344"/>
      <c r="AP54" s="343"/>
      <c r="AS54" s="344"/>
      <c r="AW54" s="344"/>
      <c r="BA54" s="345"/>
    </row>
    <row r="55" spans="1:53" s="334" customFormat="1">
      <c r="A55" s="386">
        <v>1979</v>
      </c>
      <c r="B55" s="355"/>
      <c r="C55" s="992" t="s">
        <v>589</v>
      </c>
      <c r="D55" s="992"/>
      <c r="E55" s="334">
        <v>235</v>
      </c>
      <c r="G55" s="419">
        <v>1</v>
      </c>
      <c r="H55" s="334">
        <v>13</v>
      </c>
      <c r="J55" s="435">
        <v>14</v>
      </c>
      <c r="K55" s="384">
        <f t="shared" si="1"/>
        <v>7.1428571428571423</v>
      </c>
      <c r="L55" s="384">
        <f t="shared" si="1"/>
        <v>92.857142857142861</v>
      </c>
      <c r="M55" s="384">
        <f t="shared" si="1"/>
        <v>0</v>
      </c>
      <c r="N55" s="421">
        <f t="shared" si="2"/>
        <v>100</v>
      </c>
      <c r="O55" s="383"/>
      <c r="P55" s="384">
        <v>63.7</v>
      </c>
      <c r="Q55" s="384"/>
      <c r="R55" s="385">
        <f t="shared" si="3"/>
        <v>63.7</v>
      </c>
      <c r="S55" s="334">
        <v>1</v>
      </c>
      <c r="T55" s="357"/>
      <c r="V55" s="343" t="s">
        <v>131</v>
      </c>
      <c r="W55" s="334" t="s">
        <v>22</v>
      </c>
      <c r="X55" s="334" t="s">
        <v>18</v>
      </c>
      <c r="Y55" s="344">
        <v>63.7</v>
      </c>
      <c r="Z55" s="441" t="s">
        <v>340</v>
      </c>
      <c r="AA55" s="441" t="s">
        <v>74</v>
      </c>
      <c r="AB55" s="441" t="s">
        <v>11</v>
      </c>
      <c r="AC55" s="441">
        <v>36.299999999999997</v>
      </c>
      <c r="AD55" s="343"/>
      <c r="AG55" s="344"/>
      <c r="AL55" s="343"/>
      <c r="AO55" s="344"/>
      <c r="AP55" s="343"/>
      <c r="AS55" s="344"/>
      <c r="AW55" s="344"/>
      <c r="BA55" s="345"/>
    </row>
    <row r="56" spans="1:53" s="334" customFormat="1">
      <c r="A56" s="386">
        <v>1979</v>
      </c>
      <c r="B56" s="445">
        <v>29091</v>
      </c>
      <c r="C56" s="992" t="s">
        <v>589</v>
      </c>
      <c r="D56" s="992"/>
      <c r="E56" s="334">
        <v>67</v>
      </c>
      <c r="F56" s="441">
        <v>0</v>
      </c>
      <c r="G56" s="419"/>
      <c r="H56" s="334">
        <v>14</v>
      </c>
      <c r="J56" s="435">
        <v>14</v>
      </c>
      <c r="K56" s="384">
        <f t="shared" si="1"/>
        <v>0</v>
      </c>
      <c r="L56" s="384">
        <f t="shared" si="1"/>
        <v>100</v>
      </c>
      <c r="M56" s="384">
        <f t="shared" si="1"/>
        <v>0</v>
      </c>
      <c r="N56" s="421">
        <f t="shared" si="2"/>
        <v>100</v>
      </c>
      <c r="O56" s="383"/>
      <c r="P56" s="384">
        <v>63.7</v>
      </c>
      <c r="Q56" s="384"/>
      <c r="R56" s="385">
        <f t="shared" si="3"/>
        <v>63.7</v>
      </c>
      <c r="S56" s="334">
        <v>1</v>
      </c>
      <c r="T56" s="357"/>
      <c r="V56" s="343" t="s">
        <v>131</v>
      </c>
      <c r="W56" s="334" t="s">
        <v>22</v>
      </c>
      <c r="X56" s="334" t="s">
        <v>18</v>
      </c>
      <c r="Y56" s="344">
        <v>63.7</v>
      </c>
      <c r="AD56" s="343"/>
      <c r="AG56" s="344"/>
      <c r="AL56" s="343"/>
      <c r="AO56" s="344"/>
      <c r="AP56" s="343"/>
      <c r="AS56" s="344"/>
      <c r="AW56" s="344"/>
      <c r="BA56" s="345"/>
    </row>
    <row r="57" spans="1:53" s="334" customFormat="1">
      <c r="A57" s="386">
        <v>1979</v>
      </c>
      <c r="B57" s="445">
        <v>29158</v>
      </c>
      <c r="C57" s="992" t="s">
        <v>589</v>
      </c>
      <c r="D57" s="992"/>
      <c r="E57" s="334">
        <f>365-E56-E55</f>
        <v>63</v>
      </c>
      <c r="F57" s="441">
        <v>0</v>
      </c>
      <c r="G57" s="419"/>
      <c r="H57" s="334">
        <v>16</v>
      </c>
      <c r="J57" s="435">
        <v>16</v>
      </c>
      <c r="K57" s="384">
        <f t="shared" si="1"/>
        <v>0</v>
      </c>
      <c r="L57" s="384">
        <f t="shared" si="1"/>
        <v>100</v>
      </c>
      <c r="M57" s="384">
        <f t="shared" si="1"/>
        <v>0</v>
      </c>
      <c r="N57" s="421">
        <f t="shared" si="2"/>
        <v>100</v>
      </c>
      <c r="O57" s="383"/>
      <c r="P57" s="384">
        <v>63.7</v>
      </c>
      <c r="Q57" s="384"/>
      <c r="R57" s="385">
        <f t="shared" si="3"/>
        <v>63.7</v>
      </c>
      <c r="S57" s="334">
        <v>1</v>
      </c>
      <c r="T57" s="357"/>
      <c r="V57" s="343" t="s">
        <v>131</v>
      </c>
      <c r="W57" s="334" t="s">
        <v>22</v>
      </c>
      <c r="X57" s="334" t="s">
        <v>18</v>
      </c>
      <c r="Y57" s="344">
        <v>63.7</v>
      </c>
      <c r="AD57" s="343"/>
      <c r="AG57" s="344"/>
      <c r="AL57" s="343"/>
      <c r="AO57" s="344"/>
      <c r="AP57" s="343"/>
      <c r="AS57" s="344"/>
      <c r="AW57" s="344"/>
      <c r="BA57" s="345"/>
    </row>
    <row r="58" spans="1:53" s="334" customFormat="1">
      <c r="A58" s="386">
        <v>1980</v>
      </c>
      <c r="B58" s="355"/>
      <c r="C58" s="992" t="s">
        <v>589</v>
      </c>
      <c r="D58" s="992"/>
      <c r="E58" s="334">
        <v>308</v>
      </c>
      <c r="G58" s="419"/>
      <c r="H58" s="334">
        <v>16</v>
      </c>
      <c r="J58" s="435">
        <v>16</v>
      </c>
      <c r="K58" s="384">
        <f t="shared" si="1"/>
        <v>0</v>
      </c>
      <c r="L58" s="384">
        <f t="shared" si="1"/>
        <v>100</v>
      </c>
      <c r="M58" s="384">
        <f t="shared" si="1"/>
        <v>0</v>
      </c>
      <c r="N58" s="421">
        <f t="shared" si="2"/>
        <v>100</v>
      </c>
      <c r="O58" s="383"/>
      <c r="P58" s="384">
        <v>63.7</v>
      </c>
      <c r="Q58" s="384"/>
      <c r="R58" s="385">
        <f t="shared" si="3"/>
        <v>63.7</v>
      </c>
      <c r="S58" s="334">
        <v>1</v>
      </c>
      <c r="T58" s="357"/>
      <c r="V58" s="343" t="s">
        <v>131</v>
      </c>
      <c r="W58" s="334" t="s">
        <v>22</v>
      </c>
      <c r="X58" s="334" t="s">
        <v>18</v>
      </c>
      <c r="Y58" s="344">
        <v>63.7</v>
      </c>
      <c r="AD58" s="343"/>
      <c r="AG58" s="344"/>
      <c r="AL58" s="343"/>
      <c r="AO58" s="344"/>
      <c r="AP58" s="343"/>
      <c r="AS58" s="344"/>
      <c r="AW58" s="344"/>
      <c r="BA58" s="345"/>
    </row>
    <row r="59" spans="1:53" s="334" customFormat="1">
      <c r="A59" s="386">
        <v>1980</v>
      </c>
      <c r="B59" s="445">
        <v>29529</v>
      </c>
      <c r="C59" s="992" t="s">
        <v>589</v>
      </c>
      <c r="D59" s="992"/>
      <c r="E59" s="334">
        <v>58</v>
      </c>
      <c r="F59" s="441" t="s">
        <v>337</v>
      </c>
      <c r="G59" s="419"/>
      <c r="H59" s="334">
        <v>16</v>
      </c>
      <c r="J59" s="435">
        <v>16</v>
      </c>
      <c r="K59" s="384">
        <f t="shared" si="1"/>
        <v>0</v>
      </c>
      <c r="L59" s="384">
        <f t="shared" si="1"/>
        <v>100</v>
      </c>
      <c r="M59" s="384">
        <f t="shared" si="1"/>
        <v>0</v>
      </c>
      <c r="N59" s="421">
        <f t="shared" si="2"/>
        <v>100</v>
      </c>
      <c r="O59" s="383"/>
      <c r="P59" s="384">
        <v>55.9</v>
      </c>
      <c r="Q59" s="384"/>
      <c r="R59" s="385">
        <f t="shared" si="3"/>
        <v>55.9</v>
      </c>
      <c r="S59" s="334">
        <v>1</v>
      </c>
      <c r="T59" s="342">
        <v>29529</v>
      </c>
      <c r="V59" s="343" t="s">
        <v>131</v>
      </c>
      <c r="W59" s="334" t="s">
        <v>22</v>
      </c>
      <c r="X59" s="334" t="s">
        <v>18</v>
      </c>
      <c r="Y59" s="344">
        <v>55.9</v>
      </c>
      <c r="AD59" s="343"/>
      <c r="AG59" s="344"/>
      <c r="AL59" s="343"/>
      <c r="AO59" s="344"/>
      <c r="AP59" s="343"/>
      <c r="AS59" s="344"/>
      <c r="AW59" s="344"/>
      <c r="BA59" s="345"/>
    </row>
    <row r="60" spans="1:53" s="334" customFormat="1">
      <c r="A60" s="386">
        <v>1981</v>
      </c>
      <c r="B60" s="355"/>
      <c r="C60" s="992" t="s">
        <v>589</v>
      </c>
      <c r="D60" s="992"/>
      <c r="E60" s="334">
        <v>19</v>
      </c>
      <c r="G60" s="419"/>
      <c r="H60" s="334">
        <v>16</v>
      </c>
      <c r="J60" s="435">
        <v>16</v>
      </c>
      <c r="K60" s="384">
        <f t="shared" si="1"/>
        <v>0</v>
      </c>
      <c r="L60" s="384">
        <f t="shared" si="1"/>
        <v>100</v>
      </c>
      <c r="M60" s="384">
        <f t="shared" si="1"/>
        <v>0</v>
      </c>
      <c r="N60" s="421">
        <f t="shared" si="2"/>
        <v>100</v>
      </c>
      <c r="O60" s="383"/>
      <c r="P60" s="384">
        <v>55.9</v>
      </c>
      <c r="Q60" s="384"/>
      <c r="R60" s="385">
        <f t="shared" si="3"/>
        <v>55.9</v>
      </c>
      <c r="S60" s="334">
        <v>1</v>
      </c>
      <c r="T60" s="357"/>
      <c r="V60" s="343" t="s">
        <v>131</v>
      </c>
      <c r="W60" s="334" t="s">
        <v>22</v>
      </c>
      <c r="X60" s="334" t="s">
        <v>18</v>
      </c>
      <c r="Y60" s="344">
        <v>55.9</v>
      </c>
      <c r="AD60" s="343"/>
      <c r="AG60" s="344"/>
      <c r="AL60" s="343"/>
      <c r="AO60" s="344"/>
      <c r="AP60" s="343"/>
      <c r="AS60" s="344"/>
      <c r="AW60" s="344"/>
      <c r="BA60" s="345"/>
    </row>
    <row r="61" spans="1:53" s="208" customFormat="1">
      <c r="A61" s="102">
        <v>1981</v>
      </c>
      <c r="B61" s="207">
        <v>29606</v>
      </c>
      <c r="C61" s="988" t="s">
        <v>590</v>
      </c>
      <c r="D61" s="988"/>
      <c r="E61" s="208">
        <f xml:space="preserve"> 365-E60</f>
        <v>346</v>
      </c>
      <c r="F61" s="208">
        <v>1</v>
      </c>
      <c r="G61" s="123">
        <v>19</v>
      </c>
      <c r="J61" s="134">
        <v>19</v>
      </c>
      <c r="K61" s="92">
        <f t="shared" si="1"/>
        <v>100</v>
      </c>
      <c r="L61" s="92">
        <f t="shared" si="1"/>
        <v>0</v>
      </c>
      <c r="M61" s="92">
        <f t="shared" si="1"/>
        <v>0</v>
      </c>
      <c r="N61" s="125">
        <f t="shared" si="2"/>
        <v>100</v>
      </c>
      <c r="O61" s="91">
        <v>44.1</v>
      </c>
      <c r="P61" s="92"/>
      <c r="Q61" s="92"/>
      <c r="R61" s="93">
        <f t="shared" si="3"/>
        <v>44.1</v>
      </c>
      <c r="S61" s="208">
        <v>1</v>
      </c>
      <c r="T61" s="81"/>
      <c r="U61" s="207">
        <v>29606</v>
      </c>
      <c r="V61" s="82" t="s">
        <v>340</v>
      </c>
      <c r="W61" s="208" t="s">
        <v>74</v>
      </c>
      <c r="X61" s="208" t="s">
        <v>11</v>
      </c>
      <c r="Y61" s="83">
        <v>44.1</v>
      </c>
      <c r="AD61" s="82"/>
      <c r="AG61" s="83"/>
      <c r="AL61" s="82"/>
      <c r="AO61" s="83"/>
      <c r="AP61" s="82"/>
      <c r="AS61" s="83"/>
      <c r="AW61" s="83"/>
      <c r="BA61" s="84"/>
    </row>
    <row r="62" spans="1:53" s="208" customFormat="1">
      <c r="A62" s="102">
        <v>1982</v>
      </c>
      <c r="B62" s="207"/>
      <c r="C62" s="988" t="s">
        <v>590</v>
      </c>
      <c r="D62" s="988"/>
      <c r="E62" s="208">
        <v>305</v>
      </c>
      <c r="G62" s="123">
        <v>19</v>
      </c>
      <c r="J62" s="134">
        <v>19</v>
      </c>
      <c r="K62" s="92">
        <f t="shared" si="1"/>
        <v>100</v>
      </c>
      <c r="L62" s="92">
        <f t="shared" si="1"/>
        <v>0</v>
      </c>
      <c r="M62" s="92">
        <f t="shared" si="1"/>
        <v>0</v>
      </c>
      <c r="N62" s="125">
        <f t="shared" si="2"/>
        <v>100</v>
      </c>
      <c r="O62" s="91">
        <v>44.1</v>
      </c>
      <c r="P62" s="92"/>
      <c r="Q62" s="92"/>
      <c r="R62" s="93">
        <f t="shared" si="3"/>
        <v>44.1</v>
      </c>
      <c r="S62" s="208">
        <v>1</v>
      </c>
      <c r="T62" s="81"/>
      <c r="V62" s="82" t="s">
        <v>340</v>
      </c>
      <c r="W62" s="208" t="s">
        <v>74</v>
      </c>
      <c r="X62" s="208" t="s">
        <v>11</v>
      </c>
      <c r="Y62" s="83">
        <v>44.1</v>
      </c>
      <c r="AD62" s="82"/>
      <c r="AG62" s="83"/>
      <c r="AL62" s="82"/>
      <c r="AO62" s="83"/>
      <c r="AP62" s="82"/>
      <c r="AS62" s="83"/>
      <c r="AW62" s="83"/>
      <c r="BA62" s="84"/>
    </row>
    <row r="63" spans="1:53" s="208" customFormat="1">
      <c r="A63" s="102">
        <v>1982</v>
      </c>
      <c r="B63" s="149">
        <v>30257</v>
      </c>
      <c r="C63" s="988" t="s">
        <v>590</v>
      </c>
      <c r="D63" s="988"/>
      <c r="E63" s="208">
        <v>60</v>
      </c>
      <c r="F63" s="150" t="s">
        <v>337</v>
      </c>
      <c r="G63" s="123">
        <v>19</v>
      </c>
      <c r="J63" s="134">
        <v>19</v>
      </c>
      <c r="K63" s="92">
        <f t="shared" si="1"/>
        <v>100</v>
      </c>
      <c r="L63" s="92">
        <f t="shared" si="1"/>
        <v>0</v>
      </c>
      <c r="M63" s="92">
        <f t="shared" si="1"/>
        <v>0</v>
      </c>
      <c r="N63" s="125">
        <f t="shared" si="2"/>
        <v>100</v>
      </c>
      <c r="O63" s="91">
        <v>38.200000000000003</v>
      </c>
      <c r="P63" s="92"/>
      <c r="Q63" s="92"/>
      <c r="R63" s="93">
        <f t="shared" si="3"/>
        <v>38.200000000000003</v>
      </c>
      <c r="S63" s="208">
        <v>1</v>
      </c>
      <c r="T63" s="95">
        <v>30257</v>
      </c>
      <c r="V63" s="82" t="s">
        <v>340</v>
      </c>
      <c r="W63" s="208" t="s">
        <v>74</v>
      </c>
      <c r="X63" s="208" t="s">
        <v>11</v>
      </c>
      <c r="Y63" s="83">
        <v>38.200000000000003</v>
      </c>
      <c r="AD63" s="82"/>
      <c r="AG63" s="83"/>
      <c r="AL63" s="82"/>
      <c r="AO63" s="83"/>
      <c r="AP63" s="82"/>
      <c r="AS63" s="83"/>
      <c r="AW63" s="83"/>
      <c r="BA63" s="84"/>
    </row>
    <row r="64" spans="1:53" s="208" customFormat="1">
      <c r="A64" s="102">
        <v>1983</v>
      </c>
      <c r="B64" s="207"/>
      <c r="C64" s="988" t="s">
        <v>590</v>
      </c>
      <c r="D64" s="988"/>
      <c r="E64" s="208">
        <v>0</v>
      </c>
      <c r="G64" s="123">
        <v>19</v>
      </c>
      <c r="J64" s="134">
        <v>19</v>
      </c>
      <c r="K64" s="92">
        <f t="shared" si="1"/>
        <v>100</v>
      </c>
      <c r="L64" s="92">
        <f t="shared" si="1"/>
        <v>0</v>
      </c>
      <c r="M64" s="92">
        <f t="shared" si="1"/>
        <v>0</v>
      </c>
      <c r="N64" s="125">
        <f t="shared" si="2"/>
        <v>100</v>
      </c>
      <c r="O64" s="91">
        <v>38.200000000000003</v>
      </c>
      <c r="P64" s="92"/>
      <c r="Q64" s="92"/>
      <c r="R64" s="93">
        <f t="shared" si="3"/>
        <v>38.200000000000003</v>
      </c>
      <c r="S64" s="208">
        <v>1</v>
      </c>
      <c r="T64" s="81"/>
      <c r="V64" s="82" t="s">
        <v>340</v>
      </c>
      <c r="W64" s="208" t="s">
        <v>74</v>
      </c>
      <c r="X64" s="208" t="s">
        <v>11</v>
      </c>
      <c r="Y64" s="83">
        <v>38.200000000000003</v>
      </c>
      <c r="AD64" s="82"/>
      <c r="AG64" s="83"/>
      <c r="AL64" s="82"/>
      <c r="AO64" s="83"/>
      <c r="AP64" s="82"/>
      <c r="AS64" s="83"/>
      <c r="AW64" s="83"/>
      <c r="BA64" s="84"/>
    </row>
    <row r="65" spans="1:53" s="208" customFormat="1">
      <c r="A65" s="102">
        <v>1983</v>
      </c>
      <c r="B65" s="207"/>
      <c r="C65" s="988" t="s">
        <v>590</v>
      </c>
      <c r="D65" s="988"/>
      <c r="E65" s="208">
        <v>365</v>
      </c>
      <c r="G65" s="123">
        <v>19</v>
      </c>
      <c r="J65" s="134">
        <v>19</v>
      </c>
      <c r="K65" s="92">
        <f t="shared" si="1"/>
        <v>100</v>
      </c>
      <c r="L65" s="92">
        <f t="shared" si="1"/>
        <v>0</v>
      </c>
      <c r="M65" s="92">
        <f t="shared" si="1"/>
        <v>0</v>
      </c>
      <c r="N65" s="125">
        <f t="shared" si="2"/>
        <v>100</v>
      </c>
      <c r="O65" s="91">
        <v>38.200000000000003</v>
      </c>
      <c r="P65" s="92"/>
      <c r="Q65" s="92"/>
      <c r="R65" s="93">
        <f t="shared" si="3"/>
        <v>38.200000000000003</v>
      </c>
      <c r="S65" s="208">
        <v>1</v>
      </c>
      <c r="T65" s="81"/>
      <c r="V65" s="82" t="s">
        <v>340</v>
      </c>
      <c r="W65" s="208" t="s">
        <v>74</v>
      </c>
      <c r="X65" s="208" t="s">
        <v>11</v>
      </c>
      <c r="Y65" s="83">
        <v>38.200000000000003</v>
      </c>
      <c r="AD65" s="82"/>
      <c r="AG65" s="83"/>
      <c r="AL65" s="82"/>
      <c r="AO65" s="83"/>
      <c r="AP65" s="82"/>
      <c r="AS65" s="83"/>
      <c r="AW65" s="83"/>
      <c r="BA65" s="84"/>
    </row>
    <row r="66" spans="1:53" s="208" customFormat="1">
      <c r="A66" s="102">
        <v>1984</v>
      </c>
      <c r="B66" s="207"/>
      <c r="C66" s="988" t="s">
        <v>590</v>
      </c>
      <c r="D66" s="988"/>
      <c r="E66" s="208">
        <v>310</v>
      </c>
      <c r="G66" s="123">
        <v>19</v>
      </c>
      <c r="J66" s="134">
        <v>19</v>
      </c>
      <c r="K66" s="92">
        <f t="shared" si="1"/>
        <v>100</v>
      </c>
      <c r="L66" s="92">
        <f t="shared" si="1"/>
        <v>0</v>
      </c>
      <c r="M66" s="92">
        <f t="shared" si="1"/>
        <v>0</v>
      </c>
      <c r="N66" s="125">
        <f t="shared" si="2"/>
        <v>100</v>
      </c>
      <c r="O66" s="91">
        <v>38.200000000000003</v>
      </c>
      <c r="P66" s="92"/>
      <c r="Q66" s="92"/>
      <c r="R66" s="93">
        <f t="shared" si="3"/>
        <v>38.200000000000003</v>
      </c>
      <c r="S66" s="208">
        <v>1</v>
      </c>
      <c r="T66" s="81"/>
      <c r="V66" s="82" t="s">
        <v>340</v>
      </c>
      <c r="W66" s="208" t="s">
        <v>74</v>
      </c>
      <c r="X66" s="208" t="s">
        <v>11</v>
      </c>
      <c r="Y66" s="83">
        <v>38.200000000000003</v>
      </c>
      <c r="AD66" s="82"/>
      <c r="AG66" s="83"/>
      <c r="AL66" s="82"/>
      <c r="AO66" s="83"/>
      <c r="AP66" s="82"/>
      <c r="AS66" s="83"/>
      <c r="AW66" s="83"/>
      <c r="BA66" s="84"/>
    </row>
    <row r="67" spans="1:53" s="208" customFormat="1">
      <c r="A67" s="102">
        <v>1984</v>
      </c>
      <c r="B67" s="149">
        <v>30992</v>
      </c>
      <c r="C67" s="988" t="s">
        <v>590</v>
      </c>
      <c r="D67" s="988"/>
      <c r="E67" s="208">
        <v>56</v>
      </c>
      <c r="F67" s="150" t="s">
        <v>337</v>
      </c>
      <c r="G67" s="123">
        <v>19</v>
      </c>
      <c r="J67" s="134">
        <v>19</v>
      </c>
      <c r="K67" s="92">
        <f t="shared" si="1"/>
        <v>100</v>
      </c>
      <c r="L67" s="92">
        <f t="shared" si="1"/>
        <v>0</v>
      </c>
      <c r="M67" s="92">
        <f t="shared" si="1"/>
        <v>0</v>
      </c>
      <c r="N67" s="125">
        <f t="shared" si="2"/>
        <v>100</v>
      </c>
      <c r="O67" s="91">
        <v>41.8</v>
      </c>
      <c r="P67" s="92"/>
      <c r="Q67" s="92"/>
      <c r="R67" s="93">
        <f t="shared" si="3"/>
        <v>41.8</v>
      </c>
      <c r="S67" s="208">
        <v>1</v>
      </c>
      <c r="T67" s="95">
        <v>30992</v>
      </c>
      <c r="V67" s="82" t="s">
        <v>340</v>
      </c>
      <c r="W67" s="208" t="s">
        <v>74</v>
      </c>
      <c r="X67" s="208" t="s">
        <v>11</v>
      </c>
      <c r="Y67" s="83">
        <v>41.8</v>
      </c>
      <c r="AD67" s="82"/>
      <c r="AG67" s="83"/>
      <c r="AL67" s="82"/>
      <c r="AO67" s="83"/>
      <c r="AP67" s="82"/>
      <c r="AS67" s="83"/>
      <c r="AW67" s="83"/>
      <c r="BA67" s="84"/>
    </row>
    <row r="68" spans="1:53" s="208" customFormat="1">
      <c r="A68" s="102">
        <v>1985</v>
      </c>
      <c r="B68" s="207"/>
      <c r="C68" s="988" t="s">
        <v>590</v>
      </c>
      <c r="D68" s="988"/>
      <c r="E68" s="208">
        <v>20</v>
      </c>
      <c r="G68" s="123">
        <v>19</v>
      </c>
      <c r="J68" s="134">
        <v>19</v>
      </c>
      <c r="K68" s="92">
        <f t="shared" si="1"/>
        <v>100</v>
      </c>
      <c r="L68" s="92">
        <f t="shared" si="1"/>
        <v>0</v>
      </c>
      <c r="M68" s="92">
        <f t="shared" si="1"/>
        <v>0</v>
      </c>
      <c r="N68" s="125">
        <f t="shared" si="2"/>
        <v>100</v>
      </c>
      <c r="O68" s="91">
        <v>41.8</v>
      </c>
      <c r="P68" s="92"/>
      <c r="Q68" s="92"/>
      <c r="R68" s="93">
        <f t="shared" si="3"/>
        <v>41.8</v>
      </c>
      <c r="S68" s="208">
        <v>1</v>
      </c>
      <c r="T68" s="81"/>
      <c r="V68" s="82" t="s">
        <v>340</v>
      </c>
      <c r="W68" s="208" t="s">
        <v>74</v>
      </c>
      <c r="X68" s="208" t="s">
        <v>11</v>
      </c>
      <c r="Y68" s="83">
        <v>41.8</v>
      </c>
      <c r="AD68" s="82"/>
      <c r="AG68" s="83"/>
      <c r="AL68" s="82"/>
      <c r="AO68" s="83"/>
      <c r="AP68" s="82"/>
      <c r="AS68" s="83"/>
      <c r="AW68" s="83"/>
      <c r="BA68" s="84"/>
    </row>
    <row r="69" spans="1:53" s="334" customFormat="1">
      <c r="A69" s="386">
        <v>1985</v>
      </c>
      <c r="B69" s="355">
        <v>31068</v>
      </c>
      <c r="C69" s="992" t="s">
        <v>591</v>
      </c>
      <c r="D69" s="992"/>
      <c r="E69" s="334">
        <f xml:space="preserve"> 365-E68</f>
        <v>345</v>
      </c>
      <c r="F69" s="334">
        <v>1</v>
      </c>
      <c r="G69" s="419">
        <v>19</v>
      </c>
      <c r="J69" s="435">
        <v>19</v>
      </c>
      <c r="K69" s="384">
        <f t="shared" si="1"/>
        <v>100</v>
      </c>
      <c r="L69" s="384">
        <f t="shared" si="1"/>
        <v>0</v>
      </c>
      <c r="M69" s="384">
        <f t="shared" si="1"/>
        <v>0</v>
      </c>
      <c r="N69" s="421">
        <f t="shared" si="2"/>
        <v>100</v>
      </c>
      <c r="O69" s="383">
        <v>41.8</v>
      </c>
      <c r="P69" s="384"/>
      <c r="Q69" s="384"/>
      <c r="R69" s="385">
        <f t="shared" si="3"/>
        <v>41.8</v>
      </c>
      <c r="S69" s="334">
        <v>1</v>
      </c>
      <c r="T69" s="357"/>
      <c r="U69" s="355">
        <v>31068</v>
      </c>
      <c r="V69" s="343" t="s">
        <v>340</v>
      </c>
      <c r="W69" s="334" t="s">
        <v>74</v>
      </c>
      <c r="X69" s="334" t="s">
        <v>11</v>
      </c>
      <c r="Y69" s="344">
        <v>41.8</v>
      </c>
      <c r="AD69" s="343"/>
      <c r="AG69" s="344"/>
      <c r="AL69" s="343"/>
      <c r="AO69" s="344"/>
      <c r="AP69" s="343"/>
      <c r="AS69" s="344"/>
      <c r="AW69" s="344"/>
      <c r="BA69" s="345"/>
    </row>
    <row r="70" spans="1:53" s="334" customFormat="1">
      <c r="A70" s="386">
        <v>1986</v>
      </c>
      <c r="B70" s="355"/>
      <c r="C70" s="992" t="s">
        <v>591</v>
      </c>
      <c r="D70" s="992"/>
      <c r="E70" s="334">
        <v>304</v>
      </c>
      <c r="G70" s="419">
        <v>19</v>
      </c>
      <c r="J70" s="435">
        <v>19</v>
      </c>
      <c r="K70" s="384">
        <f t="shared" ref="K70:M119" si="4">G70/$J70*100</f>
        <v>100</v>
      </c>
      <c r="L70" s="384">
        <f t="shared" si="4"/>
        <v>0</v>
      </c>
      <c r="M70" s="384">
        <f t="shared" si="4"/>
        <v>0</v>
      </c>
      <c r="N70" s="421">
        <f t="shared" si="2"/>
        <v>100</v>
      </c>
      <c r="O70" s="383">
        <v>41.8</v>
      </c>
      <c r="P70" s="384"/>
      <c r="Q70" s="384"/>
      <c r="R70" s="385">
        <f t="shared" si="3"/>
        <v>41.8</v>
      </c>
      <c r="S70" s="334">
        <v>1</v>
      </c>
      <c r="T70" s="357"/>
      <c r="V70" s="343" t="s">
        <v>340</v>
      </c>
      <c r="W70" s="334" t="s">
        <v>74</v>
      </c>
      <c r="X70" s="334" t="s">
        <v>11</v>
      </c>
      <c r="Y70" s="344">
        <v>41.8</v>
      </c>
      <c r="AD70" s="343"/>
      <c r="AG70" s="344"/>
      <c r="AL70" s="343"/>
      <c r="AO70" s="344"/>
      <c r="AP70" s="343"/>
      <c r="AS70" s="344"/>
      <c r="AW70" s="344"/>
      <c r="BA70" s="345"/>
    </row>
    <row r="71" spans="1:53" s="334" customFormat="1">
      <c r="A71" s="386">
        <v>1986</v>
      </c>
      <c r="B71" s="445">
        <v>31717</v>
      </c>
      <c r="C71" s="992" t="s">
        <v>591</v>
      </c>
      <c r="D71" s="992"/>
      <c r="E71" s="334">
        <v>61</v>
      </c>
      <c r="F71" s="441" t="s">
        <v>337</v>
      </c>
      <c r="G71" s="419">
        <v>19</v>
      </c>
      <c r="J71" s="435">
        <v>19</v>
      </c>
      <c r="K71" s="384">
        <f t="shared" si="4"/>
        <v>100</v>
      </c>
      <c r="L71" s="384">
        <f t="shared" si="4"/>
        <v>0</v>
      </c>
      <c r="M71" s="384">
        <f t="shared" si="4"/>
        <v>0</v>
      </c>
      <c r="N71" s="421">
        <f t="shared" si="2"/>
        <v>100</v>
      </c>
      <c r="O71" s="383">
        <v>40.700000000000003</v>
      </c>
      <c r="P71" s="384"/>
      <c r="Q71" s="384"/>
      <c r="R71" s="385">
        <f t="shared" si="3"/>
        <v>40.700000000000003</v>
      </c>
      <c r="S71" s="334">
        <v>1</v>
      </c>
      <c r="T71" s="342">
        <v>31717</v>
      </c>
      <c r="V71" s="343" t="s">
        <v>340</v>
      </c>
      <c r="W71" s="334" t="s">
        <v>74</v>
      </c>
      <c r="X71" s="334" t="s">
        <v>11</v>
      </c>
      <c r="Y71" s="344">
        <v>40.700000000000003</v>
      </c>
      <c r="AD71" s="343"/>
      <c r="AG71" s="344"/>
      <c r="AL71" s="343"/>
      <c r="AO71" s="344"/>
      <c r="AP71" s="343"/>
      <c r="AS71" s="344"/>
      <c r="AW71" s="344"/>
      <c r="BA71" s="345"/>
    </row>
    <row r="72" spans="1:53" s="334" customFormat="1">
      <c r="A72" s="386">
        <v>1987</v>
      </c>
      <c r="B72" s="355"/>
      <c r="C72" s="992" t="s">
        <v>591</v>
      </c>
      <c r="D72" s="992"/>
      <c r="E72" s="334">
        <v>301</v>
      </c>
      <c r="G72" s="419">
        <v>19</v>
      </c>
      <c r="J72" s="435">
        <v>19</v>
      </c>
      <c r="K72" s="384">
        <f t="shared" si="4"/>
        <v>100</v>
      </c>
      <c r="L72" s="384">
        <f t="shared" si="4"/>
        <v>0</v>
      </c>
      <c r="M72" s="384">
        <f t="shared" si="4"/>
        <v>0</v>
      </c>
      <c r="N72" s="421">
        <f t="shared" si="2"/>
        <v>100</v>
      </c>
      <c r="O72" s="383">
        <v>40.700000000000003</v>
      </c>
      <c r="P72" s="384"/>
      <c r="Q72" s="384"/>
      <c r="R72" s="385">
        <f t="shared" si="3"/>
        <v>40.700000000000003</v>
      </c>
      <c r="S72" s="334">
        <v>1</v>
      </c>
      <c r="T72" s="357"/>
      <c r="V72" s="343" t="s">
        <v>340</v>
      </c>
      <c r="W72" s="334" t="s">
        <v>74</v>
      </c>
      <c r="X72" s="334" t="s">
        <v>11</v>
      </c>
      <c r="Y72" s="344">
        <v>40.700000000000003</v>
      </c>
      <c r="AD72" s="343"/>
      <c r="AG72" s="344"/>
      <c r="AL72" s="343"/>
      <c r="AO72" s="344"/>
      <c r="AP72" s="343"/>
      <c r="AS72" s="344"/>
      <c r="AW72" s="344"/>
      <c r="BA72" s="345"/>
    </row>
    <row r="73" spans="1:53" s="334" customFormat="1">
      <c r="A73" s="386">
        <v>1987</v>
      </c>
      <c r="B73" s="445">
        <v>32079</v>
      </c>
      <c r="C73" s="992" t="s">
        <v>591</v>
      </c>
      <c r="D73" s="992"/>
      <c r="E73" s="334">
        <f>365-E72</f>
        <v>64</v>
      </c>
      <c r="F73" s="441">
        <v>0</v>
      </c>
      <c r="G73" s="419">
        <v>20</v>
      </c>
      <c r="J73" s="435">
        <v>20</v>
      </c>
      <c r="K73" s="384">
        <f t="shared" si="4"/>
        <v>100</v>
      </c>
      <c r="L73" s="384">
        <f t="shared" si="4"/>
        <v>0</v>
      </c>
      <c r="M73" s="384">
        <f t="shared" si="4"/>
        <v>0</v>
      </c>
      <c r="N73" s="421">
        <f t="shared" si="2"/>
        <v>100</v>
      </c>
      <c r="O73" s="383">
        <v>40.700000000000003</v>
      </c>
      <c r="P73" s="384"/>
      <c r="Q73" s="384"/>
      <c r="R73" s="385">
        <f t="shared" si="3"/>
        <v>40.700000000000003</v>
      </c>
      <c r="S73" s="334">
        <v>1</v>
      </c>
      <c r="T73" s="357"/>
      <c r="V73" s="343" t="s">
        <v>340</v>
      </c>
      <c r="W73" s="334" t="s">
        <v>74</v>
      </c>
      <c r="X73" s="334" t="s">
        <v>11</v>
      </c>
      <c r="Y73" s="344">
        <v>40.700000000000003</v>
      </c>
      <c r="AD73" s="343"/>
      <c r="AG73" s="344"/>
      <c r="AL73" s="343"/>
      <c r="AO73" s="344"/>
      <c r="AP73" s="343"/>
      <c r="AS73" s="344"/>
      <c r="AW73" s="344"/>
      <c r="BA73" s="345"/>
    </row>
    <row r="74" spans="1:53" s="334" customFormat="1">
      <c r="A74" s="386">
        <v>1988</v>
      </c>
      <c r="B74" s="355"/>
      <c r="C74" s="992" t="s">
        <v>591</v>
      </c>
      <c r="D74" s="992"/>
      <c r="E74" s="334">
        <v>312</v>
      </c>
      <c r="G74" s="419">
        <v>20</v>
      </c>
      <c r="J74" s="435">
        <v>20</v>
      </c>
      <c r="K74" s="384">
        <f t="shared" si="4"/>
        <v>100</v>
      </c>
      <c r="L74" s="384">
        <f t="shared" si="4"/>
        <v>0</v>
      </c>
      <c r="M74" s="384">
        <f t="shared" si="4"/>
        <v>0</v>
      </c>
      <c r="N74" s="421">
        <f t="shared" si="2"/>
        <v>100</v>
      </c>
      <c r="O74" s="383">
        <v>40.700000000000003</v>
      </c>
      <c r="P74" s="384"/>
      <c r="Q74" s="384"/>
      <c r="R74" s="385">
        <f t="shared" si="3"/>
        <v>40.700000000000003</v>
      </c>
      <c r="S74" s="334">
        <v>1</v>
      </c>
      <c r="T74" s="357"/>
      <c r="V74" s="343" t="s">
        <v>340</v>
      </c>
      <c r="W74" s="334" t="s">
        <v>74</v>
      </c>
      <c r="X74" s="334" t="s">
        <v>11</v>
      </c>
      <c r="Y74" s="344">
        <v>40.700000000000003</v>
      </c>
      <c r="AD74" s="343"/>
      <c r="AG74" s="344"/>
      <c r="AL74" s="343"/>
      <c r="AO74" s="344"/>
      <c r="AP74" s="343"/>
      <c r="AS74" s="344"/>
      <c r="AW74" s="344"/>
      <c r="BA74" s="345"/>
    </row>
    <row r="75" spans="1:53" s="334" customFormat="1">
      <c r="A75" s="386">
        <v>1988</v>
      </c>
      <c r="B75" s="445">
        <v>32455</v>
      </c>
      <c r="C75" s="992" t="s">
        <v>591</v>
      </c>
      <c r="D75" s="992"/>
      <c r="E75" s="334">
        <v>54</v>
      </c>
      <c r="F75" s="441" t="s">
        <v>337</v>
      </c>
      <c r="G75" s="419">
        <v>20</v>
      </c>
      <c r="J75" s="435">
        <v>20</v>
      </c>
      <c r="K75" s="384">
        <f t="shared" si="4"/>
        <v>100</v>
      </c>
      <c r="L75" s="384">
        <f t="shared" si="4"/>
        <v>0</v>
      </c>
      <c r="M75" s="384">
        <f t="shared" si="4"/>
        <v>0</v>
      </c>
      <c r="N75" s="421">
        <f t="shared" si="2"/>
        <v>100</v>
      </c>
      <c r="O75" s="383">
        <v>40.200000000000003</v>
      </c>
      <c r="P75" s="384"/>
      <c r="Q75" s="384"/>
      <c r="R75" s="385">
        <f t="shared" si="3"/>
        <v>40.200000000000003</v>
      </c>
      <c r="S75" s="334">
        <v>1</v>
      </c>
      <c r="T75" s="342">
        <v>32455</v>
      </c>
      <c r="V75" s="343" t="s">
        <v>340</v>
      </c>
      <c r="W75" s="334" t="s">
        <v>74</v>
      </c>
      <c r="X75" s="334" t="s">
        <v>11</v>
      </c>
      <c r="Y75" s="344">
        <v>40.200000000000003</v>
      </c>
      <c r="AD75" s="343"/>
      <c r="AG75" s="344"/>
      <c r="AL75" s="343"/>
      <c r="AO75" s="344"/>
      <c r="AP75" s="343"/>
      <c r="AS75" s="344"/>
      <c r="AW75" s="344"/>
      <c r="BA75" s="345"/>
    </row>
    <row r="76" spans="1:53" s="334" customFormat="1">
      <c r="A76" s="386">
        <v>1989</v>
      </c>
      <c r="B76" s="355"/>
      <c r="C76" s="992" t="s">
        <v>591</v>
      </c>
      <c r="D76" s="992"/>
      <c r="E76" s="334">
        <v>19</v>
      </c>
      <c r="G76" s="419">
        <v>20</v>
      </c>
      <c r="J76" s="435">
        <v>20</v>
      </c>
      <c r="K76" s="384">
        <f t="shared" si="4"/>
        <v>100</v>
      </c>
      <c r="L76" s="384">
        <f t="shared" si="4"/>
        <v>0</v>
      </c>
      <c r="M76" s="384">
        <f t="shared" si="4"/>
        <v>0</v>
      </c>
      <c r="N76" s="421">
        <f t="shared" ref="N76:N119" si="5">K76+L76+M76</f>
        <v>100</v>
      </c>
      <c r="O76" s="383">
        <v>40.200000000000003</v>
      </c>
      <c r="P76" s="384"/>
      <c r="Q76" s="384"/>
      <c r="R76" s="385">
        <f t="shared" ref="R76:R137" si="6">O76+P76+Q76</f>
        <v>40.200000000000003</v>
      </c>
      <c r="S76" s="334">
        <v>1</v>
      </c>
      <c r="T76" s="357"/>
      <c r="V76" s="343" t="s">
        <v>340</v>
      </c>
      <c r="W76" s="334" t="s">
        <v>74</v>
      </c>
      <c r="X76" s="334" t="s">
        <v>11</v>
      </c>
      <c r="Y76" s="344">
        <v>40.200000000000003</v>
      </c>
      <c r="AD76" s="343"/>
      <c r="AG76" s="344"/>
      <c r="AL76" s="343"/>
      <c r="AO76" s="344"/>
      <c r="AP76" s="343"/>
      <c r="AS76" s="344"/>
      <c r="AW76" s="344"/>
      <c r="BA76" s="345"/>
    </row>
    <row r="77" spans="1:53" s="212" customFormat="1" ht="9" customHeight="1">
      <c r="A77" s="162">
        <v>1989</v>
      </c>
      <c r="B77" s="210">
        <v>32528</v>
      </c>
      <c r="C77" s="1027" t="s">
        <v>1281</v>
      </c>
      <c r="D77" s="1027"/>
      <c r="E77" s="212">
        <f xml:space="preserve"> 365-E76</f>
        <v>346</v>
      </c>
      <c r="F77" s="212">
        <v>1</v>
      </c>
      <c r="G77" s="138">
        <v>16</v>
      </c>
      <c r="J77" s="139">
        <v>16</v>
      </c>
      <c r="K77" s="140">
        <f t="shared" si="4"/>
        <v>100</v>
      </c>
      <c r="L77" s="140">
        <f t="shared" si="4"/>
        <v>0</v>
      </c>
      <c r="M77" s="140">
        <f t="shared" si="4"/>
        <v>0</v>
      </c>
      <c r="N77" s="141">
        <f t="shared" si="5"/>
        <v>100</v>
      </c>
      <c r="O77" s="142">
        <v>40.200000000000003</v>
      </c>
      <c r="P77" s="140"/>
      <c r="Q77" s="140"/>
      <c r="R77" s="143">
        <f t="shared" si="6"/>
        <v>40.200000000000003</v>
      </c>
      <c r="S77" s="212">
        <v>1</v>
      </c>
      <c r="T77" s="221"/>
      <c r="U77" s="210">
        <v>32528</v>
      </c>
      <c r="V77" s="146" t="s">
        <v>340</v>
      </c>
      <c r="W77" s="212" t="s">
        <v>74</v>
      </c>
      <c r="X77" s="212" t="s">
        <v>11</v>
      </c>
      <c r="Y77" s="147">
        <v>40.200000000000003</v>
      </c>
      <c r="AD77" s="146"/>
      <c r="AG77" s="147"/>
      <c r="AL77" s="146"/>
      <c r="AO77" s="147"/>
      <c r="AP77" s="146"/>
      <c r="AS77" s="147"/>
      <c r="AW77" s="147"/>
      <c r="BA77" s="148"/>
    </row>
    <row r="78" spans="1:53" s="208" customFormat="1">
      <c r="A78" s="208">
        <v>1990</v>
      </c>
      <c r="C78" s="988" t="s">
        <v>1281</v>
      </c>
      <c r="D78" s="988"/>
      <c r="E78" s="208">
        <v>305</v>
      </c>
      <c r="G78" s="123">
        <v>16</v>
      </c>
      <c r="J78" s="134">
        <v>16</v>
      </c>
      <c r="K78" s="92">
        <f t="shared" si="4"/>
        <v>100</v>
      </c>
      <c r="L78" s="92">
        <f t="shared" si="4"/>
        <v>0</v>
      </c>
      <c r="M78" s="92">
        <f t="shared" si="4"/>
        <v>0</v>
      </c>
      <c r="N78" s="125">
        <f t="shared" si="5"/>
        <v>100</v>
      </c>
      <c r="O78" s="91">
        <v>40.200000000000003</v>
      </c>
      <c r="P78" s="92"/>
      <c r="Q78" s="92"/>
      <c r="R78" s="93">
        <f t="shared" si="6"/>
        <v>40.200000000000003</v>
      </c>
      <c r="S78" s="208">
        <v>1</v>
      </c>
      <c r="T78" s="81"/>
      <c r="V78" s="82" t="s">
        <v>340</v>
      </c>
      <c r="W78" s="208" t="s">
        <v>74</v>
      </c>
      <c r="X78" s="208" t="s">
        <v>11</v>
      </c>
      <c r="Y78" s="83">
        <v>40.200000000000003</v>
      </c>
      <c r="AD78" s="82"/>
      <c r="AG78" s="83"/>
      <c r="AL78" s="82"/>
      <c r="AO78" s="83"/>
      <c r="AP78" s="82"/>
      <c r="AS78" s="83"/>
      <c r="AW78" s="83"/>
      <c r="BA78" s="84"/>
    </row>
    <row r="79" spans="1:53" s="208" customFormat="1">
      <c r="A79" s="208">
        <v>1990</v>
      </c>
      <c r="B79" s="149">
        <v>33183</v>
      </c>
      <c r="C79" s="988" t="s">
        <v>1281</v>
      </c>
      <c r="D79" s="988"/>
      <c r="E79" s="208">
        <f>365-E78</f>
        <v>60</v>
      </c>
      <c r="F79" s="150" t="s">
        <v>337</v>
      </c>
      <c r="G79" s="123">
        <v>16</v>
      </c>
      <c r="J79" s="134">
        <v>16</v>
      </c>
      <c r="K79" s="92">
        <f t="shared" si="4"/>
        <v>100</v>
      </c>
      <c r="L79" s="92">
        <f t="shared" si="4"/>
        <v>0</v>
      </c>
      <c r="M79" s="92">
        <f t="shared" si="4"/>
        <v>0</v>
      </c>
      <c r="N79" s="125">
        <f t="shared" si="5"/>
        <v>100</v>
      </c>
      <c r="O79" s="91">
        <v>38.4</v>
      </c>
      <c r="P79" s="92"/>
      <c r="Q79" s="92"/>
      <c r="R79" s="93">
        <f t="shared" si="6"/>
        <v>38.4</v>
      </c>
      <c r="S79" s="208">
        <v>1</v>
      </c>
      <c r="T79" s="95">
        <v>33183</v>
      </c>
      <c r="V79" s="82" t="s">
        <v>340</v>
      </c>
      <c r="W79" s="208" t="s">
        <v>74</v>
      </c>
      <c r="X79" s="208" t="s">
        <v>11</v>
      </c>
      <c r="Y79" s="83">
        <v>38.4</v>
      </c>
      <c r="AD79" s="82"/>
      <c r="AG79" s="83"/>
      <c r="AL79" s="82"/>
      <c r="AO79" s="83"/>
      <c r="AP79" s="82"/>
      <c r="AS79" s="83"/>
      <c r="AW79" s="83"/>
      <c r="BA79" s="84"/>
    </row>
    <row r="80" spans="1:53" s="208" customFormat="1">
      <c r="A80" s="208">
        <v>1991</v>
      </c>
      <c r="C80" s="988" t="s">
        <v>1281</v>
      </c>
      <c r="D80" s="988"/>
      <c r="E80" s="208">
        <v>0</v>
      </c>
      <c r="G80" s="123">
        <v>16</v>
      </c>
      <c r="J80" s="134">
        <v>16</v>
      </c>
      <c r="K80" s="92">
        <f t="shared" si="4"/>
        <v>100</v>
      </c>
      <c r="L80" s="92">
        <f t="shared" si="4"/>
        <v>0</v>
      </c>
      <c r="M80" s="92">
        <f t="shared" si="4"/>
        <v>0</v>
      </c>
      <c r="N80" s="125">
        <f t="shared" si="5"/>
        <v>100</v>
      </c>
      <c r="O80" s="91">
        <v>38.4</v>
      </c>
      <c r="P80" s="92"/>
      <c r="Q80" s="92"/>
      <c r="R80" s="93">
        <f t="shared" si="6"/>
        <v>38.4</v>
      </c>
      <c r="S80" s="208">
        <v>1</v>
      </c>
      <c r="T80" s="81"/>
      <c r="V80" s="82" t="s">
        <v>340</v>
      </c>
      <c r="W80" s="208" t="s">
        <v>74</v>
      </c>
      <c r="X80" s="208" t="s">
        <v>11</v>
      </c>
      <c r="Y80" s="83">
        <v>38.4</v>
      </c>
      <c r="AD80" s="82"/>
      <c r="AG80" s="83"/>
      <c r="AL80" s="82"/>
      <c r="AO80" s="83"/>
      <c r="AP80" s="82"/>
      <c r="AS80" s="83"/>
      <c r="AW80" s="83"/>
      <c r="BA80" s="84"/>
    </row>
    <row r="81" spans="1:53" s="208" customFormat="1">
      <c r="A81" s="208">
        <v>1991</v>
      </c>
      <c r="C81" s="988" t="s">
        <v>1281</v>
      </c>
      <c r="D81" s="988"/>
      <c r="E81" s="208">
        <f>365-E80</f>
        <v>365</v>
      </c>
      <c r="G81" s="123">
        <v>16</v>
      </c>
      <c r="J81" s="134">
        <v>16</v>
      </c>
      <c r="K81" s="92">
        <f t="shared" si="4"/>
        <v>100</v>
      </c>
      <c r="L81" s="92">
        <f t="shared" si="4"/>
        <v>0</v>
      </c>
      <c r="M81" s="92">
        <f t="shared" si="4"/>
        <v>0</v>
      </c>
      <c r="N81" s="125">
        <f t="shared" si="5"/>
        <v>100</v>
      </c>
      <c r="O81" s="91">
        <v>38.4</v>
      </c>
      <c r="P81" s="92"/>
      <c r="Q81" s="92"/>
      <c r="R81" s="93">
        <f t="shared" si="6"/>
        <v>38.4</v>
      </c>
      <c r="S81" s="208">
        <v>1</v>
      </c>
      <c r="T81" s="81"/>
      <c r="V81" s="82" t="s">
        <v>340</v>
      </c>
      <c r="W81" s="208" t="s">
        <v>74</v>
      </c>
      <c r="X81" s="208" t="s">
        <v>11</v>
      </c>
      <c r="Y81" s="83">
        <v>38.4</v>
      </c>
      <c r="AD81" s="82"/>
      <c r="AG81" s="83"/>
      <c r="AL81" s="82"/>
      <c r="AO81" s="83"/>
      <c r="AP81" s="82"/>
      <c r="AS81" s="83"/>
      <c r="AW81" s="83"/>
      <c r="BA81" s="84"/>
    </row>
    <row r="82" spans="1:53" s="208" customFormat="1">
      <c r="A82" s="208">
        <v>1992</v>
      </c>
      <c r="C82" s="988" t="s">
        <v>1281</v>
      </c>
      <c r="D82" s="988"/>
      <c r="E82" s="208">
        <v>307</v>
      </c>
      <c r="G82" s="123">
        <v>16</v>
      </c>
      <c r="J82" s="134">
        <v>16</v>
      </c>
      <c r="K82" s="92">
        <f t="shared" si="4"/>
        <v>100</v>
      </c>
      <c r="L82" s="92">
        <f t="shared" si="4"/>
        <v>0</v>
      </c>
      <c r="M82" s="92">
        <f t="shared" si="4"/>
        <v>0</v>
      </c>
      <c r="N82" s="125">
        <f t="shared" si="5"/>
        <v>100</v>
      </c>
      <c r="O82" s="91">
        <v>38.4</v>
      </c>
      <c r="P82" s="92"/>
      <c r="Q82" s="92"/>
      <c r="R82" s="93">
        <f t="shared" si="6"/>
        <v>38.4</v>
      </c>
      <c r="S82" s="208">
        <v>1</v>
      </c>
      <c r="T82" s="81"/>
      <c r="V82" s="82" t="s">
        <v>340</v>
      </c>
      <c r="W82" s="208" t="s">
        <v>74</v>
      </c>
      <c r="X82" s="208" t="s">
        <v>11</v>
      </c>
      <c r="Y82" s="83">
        <v>38.4</v>
      </c>
      <c r="AD82" s="82"/>
      <c r="AG82" s="83"/>
      <c r="AL82" s="82"/>
      <c r="AO82" s="83"/>
      <c r="AP82" s="82"/>
      <c r="AS82" s="83"/>
      <c r="AW82" s="83"/>
      <c r="BA82" s="84"/>
    </row>
    <row r="83" spans="1:53" s="208" customFormat="1">
      <c r="A83" s="208">
        <v>1992</v>
      </c>
      <c r="B83" s="149">
        <v>33911</v>
      </c>
      <c r="C83" s="988" t="s">
        <v>1281</v>
      </c>
      <c r="D83" s="988"/>
      <c r="E83" s="208">
        <v>59</v>
      </c>
      <c r="F83" s="150" t="s">
        <v>337</v>
      </c>
      <c r="G83" s="123">
        <v>16</v>
      </c>
      <c r="J83" s="134">
        <v>16</v>
      </c>
      <c r="K83" s="92">
        <f t="shared" si="4"/>
        <v>100</v>
      </c>
      <c r="L83" s="92">
        <f t="shared" si="4"/>
        <v>0</v>
      </c>
      <c r="M83" s="92">
        <f t="shared" si="4"/>
        <v>0</v>
      </c>
      <c r="N83" s="125">
        <f t="shared" si="5"/>
        <v>100</v>
      </c>
      <c r="O83" s="91">
        <v>40.5</v>
      </c>
      <c r="P83" s="92"/>
      <c r="Q83" s="92"/>
      <c r="R83" s="93">
        <f t="shared" si="6"/>
        <v>40.5</v>
      </c>
      <c r="S83" s="208">
        <v>1</v>
      </c>
      <c r="T83" s="95">
        <v>33911</v>
      </c>
      <c r="V83" s="82" t="s">
        <v>340</v>
      </c>
      <c r="W83" s="208" t="s">
        <v>74</v>
      </c>
      <c r="X83" s="208" t="s">
        <v>11</v>
      </c>
      <c r="Y83" s="83">
        <v>40.5</v>
      </c>
      <c r="AD83" s="82"/>
      <c r="AG83" s="83"/>
      <c r="AL83" s="82"/>
      <c r="AO83" s="83"/>
      <c r="AP83" s="82"/>
      <c r="AS83" s="83"/>
      <c r="AW83" s="83"/>
      <c r="BA83" s="84"/>
    </row>
    <row r="84" spans="1:53" s="208" customFormat="1">
      <c r="A84" s="208">
        <v>1993</v>
      </c>
      <c r="C84" s="988" t="s">
        <v>1281</v>
      </c>
      <c r="D84" s="988"/>
      <c r="E84" s="208">
        <v>19</v>
      </c>
      <c r="G84" s="123">
        <v>16</v>
      </c>
      <c r="J84" s="134">
        <v>16</v>
      </c>
      <c r="K84" s="92">
        <f t="shared" si="4"/>
        <v>100</v>
      </c>
      <c r="L84" s="92">
        <f t="shared" si="4"/>
        <v>0</v>
      </c>
      <c r="M84" s="92">
        <f t="shared" si="4"/>
        <v>0</v>
      </c>
      <c r="N84" s="125">
        <f t="shared" si="5"/>
        <v>100</v>
      </c>
      <c r="O84" s="91">
        <v>40.5</v>
      </c>
      <c r="P84" s="92"/>
      <c r="Q84" s="92"/>
      <c r="R84" s="93">
        <f t="shared" si="6"/>
        <v>40.5</v>
      </c>
      <c r="S84" s="208">
        <v>1</v>
      </c>
      <c r="T84" s="81"/>
      <c r="V84" s="82" t="s">
        <v>340</v>
      </c>
      <c r="W84" s="208" t="s">
        <v>74</v>
      </c>
      <c r="X84" s="208" t="s">
        <v>11</v>
      </c>
      <c r="Y84" s="83">
        <v>40.5</v>
      </c>
      <c r="AD84" s="82"/>
      <c r="AG84" s="83"/>
      <c r="AL84" s="82"/>
      <c r="AO84" s="83"/>
      <c r="AP84" s="82"/>
      <c r="AS84" s="83"/>
      <c r="AW84" s="83"/>
      <c r="BA84" s="84"/>
    </row>
    <row r="85" spans="1:53" s="334" customFormat="1">
      <c r="A85" s="334">
        <v>1993</v>
      </c>
      <c r="B85" s="355">
        <v>33989</v>
      </c>
      <c r="C85" s="992" t="s">
        <v>592</v>
      </c>
      <c r="D85" s="992"/>
      <c r="E85" s="334">
        <f>365-E84</f>
        <v>346</v>
      </c>
      <c r="F85" s="334">
        <v>1</v>
      </c>
      <c r="G85" s="419"/>
      <c r="H85" s="334">
        <v>18</v>
      </c>
      <c r="J85" s="435">
        <v>18</v>
      </c>
      <c r="K85" s="384">
        <f t="shared" si="4"/>
        <v>0</v>
      </c>
      <c r="L85" s="384">
        <f t="shared" si="4"/>
        <v>100</v>
      </c>
      <c r="M85" s="384">
        <f t="shared" si="4"/>
        <v>0</v>
      </c>
      <c r="N85" s="421">
        <f t="shared" si="5"/>
        <v>100</v>
      </c>
      <c r="O85" s="383"/>
      <c r="P85" s="384">
        <v>59.3</v>
      </c>
      <c r="Q85" s="384"/>
      <c r="R85" s="385">
        <f t="shared" si="6"/>
        <v>59.3</v>
      </c>
      <c r="S85" s="334">
        <v>1</v>
      </c>
      <c r="T85" s="357"/>
      <c r="U85" s="355">
        <v>33989</v>
      </c>
      <c r="V85" s="343" t="s">
        <v>131</v>
      </c>
      <c r="W85" s="334" t="s">
        <v>22</v>
      </c>
      <c r="X85" s="334" t="s">
        <v>18</v>
      </c>
      <c r="Y85" s="344">
        <v>59.3</v>
      </c>
      <c r="AD85" s="343"/>
      <c r="AG85" s="344"/>
      <c r="AL85" s="343"/>
      <c r="AO85" s="344"/>
      <c r="AP85" s="343"/>
      <c r="AS85" s="344"/>
      <c r="AW85" s="344"/>
      <c r="BA85" s="345"/>
    </row>
    <row r="86" spans="1:53" s="334" customFormat="1">
      <c r="A86" s="334">
        <v>1994</v>
      </c>
      <c r="C86" s="992" t="s">
        <v>592</v>
      </c>
      <c r="D86" s="992"/>
      <c r="E86" s="334">
        <v>311</v>
      </c>
      <c r="G86" s="419"/>
      <c r="H86" s="334">
        <v>18</v>
      </c>
      <c r="J86" s="435">
        <v>18</v>
      </c>
      <c r="K86" s="384">
        <f t="shared" si="4"/>
        <v>0</v>
      </c>
      <c r="L86" s="384">
        <f t="shared" si="4"/>
        <v>100</v>
      </c>
      <c r="M86" s="384">
        <f t="shared" si="4"/>
        <v>0</v>
      </c>
      <c r="N86" s="421">
        <f t="shared" si="5"/>
        <v>100</v>
      </c>
      <c r="O86" s="383"/>
      <c r="P86" s="384">
        <v>59.3</v>
      </c>
      <c r="Q86" s="384"/>
      <c r="R86" s="385">
        <f t="shared" si="6"/>
        <v>59.3</v>
      </c>
      <c r="S86" s="334">
        <v>1</v>
      </c>
      <c r="T86" s="357"/>
      <c r="V86" s="343" t="s">
        <v>131</v>
      </c>
      <c r="W86" s="334" t="s">
        <v>22</v>
      </c>
      <c r="X86" s="334" t="s">
        <v>18</v>
      </c>
      <c r="Y86" s="344">
        <v>59.3</v>
      </c>
      <c r="AD86" s="343"/>
      <c r="AG86" s="344"/>
      <c r="AL86" s="343"/>
      <c r="AO86" s="344"/>
      <c r="AP86" s="343"/>
      <c r="AS86" s="344"/>
      <c r="AW86" s="344"/>
      <c r="BA86" s="345"/>
    </row>
    <row r="87" spans="1:53" s="334" customFormat="1">
      <c r="A87" s="334">
        <v>1994</v>
      </c>
      <c r="B87" s="445">
        <v>34646</v>
      </c>
      <c r="C87" s="992" t="s">
        <v>592</v>
      </c>
      <c r="D87" s="992"/>
      <c r="E87" s="334">
        <f>365-E86</f>
        <v>54</v>
      </c>
      <c r="F87" s="441" t="s">
        <v>337</v>
      </c>
      <c r="G87" s="419"/>
      <c r="H87" s="334">
        <v>18</v>
      </c>
      <c r="J87" s="435">
        <v>18</v>
      </c>
      <c r="K87" s="384">
        <f t="shared" si="4"/>
        <v>0</v>
      </c>
      <c r="L87" s="384">
        <f t="shared" si="4"/>
        <v>100</v>
      </c>
      <c r="M87" s="384">
        <f t="shared" si="4"/>
        <v>0</v>
      </c>
      <c r="N87" s="421">
        <f t="shared" si="5"/>
        <v>100</v>
      </c>
      <c r="O87" s="383"/>
      <c r="P87" s="384">
        <v>46.9</v>
      </c>
      <c r="Q87" s="384"/>
      <c r="R87" s="385">
        <f t="shared" si="6"/>
        <v>46.9</v>
      </c>
      <c r="S87" s="334">
        <v>1</v>
      </c>
      <c r="T87" s="342">
        <v>34646</v>
      </c>
      <c r="V87" s="343" t="s">
        <v>131</v>
      </c>
      <c r="W87" s="334" t="s">
        <v>22</v>
      </c>
      <c r="X87" s="334" t="s">
        <v>18</v>
      </c>
      <c r="Y87" s="344">
        <v>46.9</v>
      </c>
      <c r="AD87" s="343"/>
      <c r="AG87" s="344"/>
      <c r="AL87" s="343"/>
      <c r="AO87" s="344"/>
      <c r="AP87" s="343"/>
      <c r="AS87" s="344"/>
      <c r="AW87" s="344"/>
      <c r="BA87" s="345"/>
    </row>
    <row r="88" spans="1:53" s="334" customFormat="1">
      <c r="A88" s="334">
        <v>1995</v>
      </c>
      <c r="C88" s="992" t="s">
        <v>592</v>
      </c>
      <c r="D88" s="992"/>
      <c r="E88" s="334">
        <v>0</v>
      </c>
      <c r="G88" s="419"/>
      <c r="H88" s="334">
        <v>18</v>
      </c>
      <c r="J88" s="435">
        <v>18</v>
      </c>
      <c r="K88" s="384">
        <f t="shared" si="4"/>
        <v>0</v>
      </c>
      <c r="L88" s="384">
        <f t="shared" si="4"/>
        <v>100</v>
      </c>
      <c r="M88" s="384">
        <f t="shared" si="4"/>
        <v>0</v>
      </c>
      <c r="N88" s="421">
        <f t="shared" si="5"/>
        <v>100</v>
      </c>
      <c r="O88" s="383"/>
      <c r="P88" s="384">
        <v>46.9</v>
      </c>
      <c r="Q88" s="384"/>
      <c r="R88" s="385">
        <f t="shared" si="6"/>
        <v>46.9</v>
      </c>
      <c r="S88" s="334">
        <v>1</v>
      </c>
      <c r="T88" s="357"/>
      <c r="V88" s="343" t="s">
        <v>131</v>
      </c>
      <c r="W88" s="334" t="s">
        <v>22</v>
      </c>
      <c r="X88" s="334" t="s">
        <v>18</v>
      </c>
      <c r="Y88" s="344">
        <v>46.9</v>
      </c>
      <c r="AD88" s="343"/>
      <c r="AG88" s="344"/>
      <c r="AL88" s="343"/>
      <c r="AO88" s="344"/>
      <c r="AP88" s="343"/>
      <c r="AS88" s="344"/>
      <c r="AW88" s="344"/>
      <c r="BA88" s="345"/>
    </row>
    <row r="89" spans="1:53" s="334" customFormat="1">
      <c r="A89" s="334">
        <v>1995</v>
      </c>
      <c r="C89" s="992" t="s">
        <v>592</v>
      </c>
      <c r="D89" s="992"/>
      <c r="E89" s="334">
        <f>365-E88</f>
        <v>365</v>
      </c>
      <c r="G89" s="419"/>
      <c r="H89" s="334">
        <v>18</v>
      </c>
      <c r="J89" s="435">
        <v>18</v>
      </c>
      <c r="K89" s="384">
        <f t="shared" si="4"/>
        <v>0</v>
      </c>
      <c r="L89" s="384">
        <f t="shared" si="4"/>
        <v>100</v>
      </c>
      <c r="M89" s="384">
        <f t="shared" si="4"/>
        <v>0</v>
      </c>
      <c r="N89" s="421">
        <f t="shared" si="5"/>
        <v>100</v>
      </c>
      <c r="O89" s="383"/>
      <c r="P89" s="384">
        <v>46.9</v>
      </c>
      <c r="Q89" s="384"/>
      <c r="R89" s="385">
        <f t="shared" si="6"/>
        <v>46.9</v>
      </c>
      <c r="S89" s="334">
        <v>1</v>
      </c>
      <c r="T89" s="357"/>
      <c r="V89" s="343" t="s">
        <v>131</v>
      </c>
      <c r="W89" s="334" t="s">
        <v>22</v>
      </c>
      <c r="X89" s="334" t="s">
        <v>18</v>
      </c>
      <c r="Y89" s="344">
        <v>46.9</v>
      </c>
      <c r="AD89" s="343"/>
      <c r="AG89" s="344"/>
      <c r="AL89" s="343"/>
      <c r="AO89" s="344"/>
      <c r="AP89" s="343"/>
      <c r="AS89" s="344"/>
      <c r="AW89" s="344"/>
      <c r="BA89" s="345"/>
    </row>
    <row r="90" spans="1:53" s="334" customFormat="1">
      <c r="A90" s="334">
        <v>1996</v>
      </c>
      <c r="C90" s="992" t="s">
        <v>592</v>
      </c>
      <c r="D90" s="992"/>
      <c r="E90" s="334">
        <v>309</v>
      </c>
      <c r="G90" s="419"/>
      <c r="H90" s="334">
        <v>18</v>
      </c>
      <c r="J90" s="435">
        <v>18</v>
      </c>
      <c r="K90" s="384">
        <f t="shared" si="4"/>
        <v>0</v>
      </c>
      <c r="L90" s="384">
        <f t="shared" si="4"/>
        <v>100</v>
      </c>
      <c r="M90" s="384">
        <f t="shared" si="4"/>
        <v>0</v>
      </c>
      <c r="N90" s="421">
        <f t="shared" si="5"/>
        <v>100</v>
      </c>
      <c r="O90" s="383"/>
      <c r="P90" s="384">
        <v>46.9</v>
      </c>
      <c r="Q90" s="384"/>
      <c r="R90" s="385">
        <f t="shared" si="6"/>
        <v>46.9</v>
      </c>
      <c r="S90" s="334">
        <v>1</v>
      </c>
      <c r="T90" s="357"/>
      <c r="V90" s="343" t="s">
        <v>131</v>
      </c>
      <c r="W90" s="334" t="s">
        <v>22</v>
      </c>
      <c r="X90" s="334" t="s">
        <v>18</v>
      </c>
      <c r="Y90" s="344">
        <v>46.9</v>
      </c>
      <c r="AD90" s="343"/>
      <c r="AG90" s="344"/>
      <c r="AL90" s="343"/>
      <c r="AO90" s="344"/>
      <c r="AP90" s="343"/>
      <c r="AS90" s="344"/>
      <c r="AW90" s="344"/>
      <c r="BA90" s="345"/>
    </row>
    <row r="91" spans="1:53" s="334" customFormat="1">
      <c r="A91" s="334">
        <v>1996</v>
      </c>
      <c r="B91" s="445">
        <v>35374</v>
      </c>
      <c r="C91" s="992" t="s">
        <v>592</v>
      </c>
      <c r="D91" s="992"/>
      <c r="E91" s="334">
        <v>57</v>
      </c>
      <c r="F91" s="441" t="s">
        <v>337</v>
      </c>
      <c r="G91" s="419"/>
      <c r="H91" s="334">
        <v>18</v>
      </c>
      <c r="J91" s="435">
        <v>18</v>
      </c>
      <c r="K91" s="384">
        <f t="shared" si="4"/>
        <v>0</v>
      </c>
      <c r="L91" s="384">
        <f t="shared" si="4"/>
        <v>100</v>
      </c>
      <c r="M91" s="384">
        <f t="shared" si="4"/>
        <v>0</v>
      </c>
      <c r="N91" s="421">
        <f t="shared" si="5"/>
        <v>100</v>
      </c>
      <c r="O91" s="383"/>
      <c r="P91" s="384">
        <v>47.6</v>
      </c>
      <c r="Q91" s="384"/>
      <c r="R91" s="385">
        <f t="shared" si="6"/>
        <v>47.6</v>
      </c>
      <c r="S91" s="334">
        <v>1</v>
      </c>
      <c r="T91" s="342">
        <v>35374</v>
      </c>
      <c r="V91" s="343" t="s">
        <v>131</v>
      </c>
      <c r="W91" s="334" t="s">
        <v>22</v>
      </c>
      <c r="X91" s="334" t="s">
        <v>18</v>
      </c>
      <c r="Y91" s="344">
        <v>47.6</v>
      </c>
      <c r="AD91" s="343"/>
      <c r="AG91" s="344"/>
      <c r="AL91" s="343"/>
      <c r="AO91" s="344"/>
      <c r="AP91" s="343"/>
      <c r="AS91" s="344"/>
      <c r="AW91" s="344"/>
      <c r="BA91" s="345"/>
    </row>
    <row r="92" spans="1:53" s="334" customFormat="1">
      <c r="A92" s="334">
        <v>1997</v>
      </c>
      <c r="C92" s="992" t="s">
        <v>592</v>
      </c>
      <c r="D92" s="992"/>
      <c r="E92" s="334">
        <v>19</v>
      </c>
      <c r="G92" s="419"/>
      <c r="H92" s="334">
        <v>18</v>
      </c>
      <c r="J92" s="435">
        <v>18</v>
      </c>
      <c r="K92" s="384">
        <f t="shared" si="4"/>
        <v>0</v>
      </c>
      <c r="L92" s="384">
        <f t="shared" si="4"/>
        <v>100</v>
      </c>
      <c r="M92" s="384">
        <f t="shared" si="4"/>
        <v>0</v>
      </c>
      <c r="N92" s="421">
        <f t="shared" si="5"/>
        <v>100</v>
      </c>
      <c r="O92" s="383"/>
      <c r="P92" s="384">
        <v>47.6</v>
      </c>
      <c r="Q92" s="384"/>
      <c r="R92" s="385">
        <f t="shared" si="6"/>
        <v>47.6</v>
      </c>
      <c r="S92" s="334">
        <v>1</v>
      </c>
      <c r="T92" s="357"/>
      <c r="V92" s="343" t="s">
        <v>131</v>
      </c>
      <c r="W92" s="334" t="s">
        <v>22</v>
      </c>
      <c r="X92" s="334" t="s">
        <v>18</v>
      </c>
      <c r="Y92" s="344">
        <v>47.6</v>
      </c>
      <c r="AD92" s="343"/>
      <c r="AG92" s="344"/>
      <c r="AL92" s="343"/>
      <c r="AO92" s="344"/>
      <c r="AP92" s="343"/>
      <c r="AS92" s="344"/>
      <c r="AW92" s="344"/>
      <c r="BA92" s="345"/>
    </row>
    <row r="93" spans="1:53" s="208" customFormat="1">
      <c r="A93" s="208">
        <v>1997</v>
      </c>
      <c r="B93" s="207">
        <v>35450</v>
      </c>
      <c r="C93" s="988" t="s">
        <v>593</v>
      </c>
      <c r="D93" s="988"/>
      <c r="E93" s="208">
        <v>346</v>
      </c>
      <c r="F93" s="208">
        <v>1</v>
      </c>
      <c r="G93" s="123">
        <v>1</v>
      </c>
      <c r="H93" s="208">
        <v>17</v>
      </c>
      <c r="J93" s="134">
        <v>18</v>
      </c>
      <c r="K93" s="92">
        <f t="shared" si="4"/>
        <v>5.5555555555555554</v>
      </c>
      <c r="L93" s="92">
        <f t="shared" si="4"/>
        <v>94.444444444444443</v>
      </c>
      <c r="M93" s="92">
        <f t="shared" si="4"/>
        <v>0</v>
      </c>
      <c r="N93" s="125">
        <f t="shared" si="5"/>
        <v>100</v>
      </c>
      <c r="O93" s="91"/>
      <c r="P93" s="92">
        <v>47.6</v>
      </c>
      <c r="Q93" s="92"/>
      <c r="R93" s="93">
        <f t="shared" si="6"/>
        <v>47.6</v>
      </c>
      <c r="S93" s="208">
        <v>1</v>
      </c>
      <c r="T93" s="81"/>
      <c r="U93" s="207">
        <v>35450</v>
      </c>
      <c r="V93" s="82" t="s">
        <v>131</v>
      </c>
      <c r="W93" s="208" t="s">
        <v>22</v>
      </c>
      <c r="X93" s="208" t="s">
        <v>18</v>
      </c>
      <c r="Y93" s="83">
        <v>47.6</v>
      </c>
      <c r="AD93" s="82"/>
      <c r="AG93" s="83"/>
      <c r="AL93" s="82"/>
      <c r="AO93" s="83"/>
      <c r="AP93" s="82"/>
      <c r="AS93" s="83"/>
      <c r="AW93" s="83"/>
      <c r="BA93" s="84"/>
    </row>
    <row r="94" spans="1:53" s="208" customFormat="1">
      <c r="A94" s="208">
        <v>1998</v>
      </c>
      <c r="C94" s="988" t="s">
        <v>593</v>
      </c>
      <c r="D94" s="988"/>
      <c r="E94" s="208">
        <v>306</v>
      </c>
      <c r="G94" s="123">
        <v>1</v>
      </c>
      <c r="H94" s="208">
        <v>17</v>
      </c>
      <c r="J94" s="134">
        <v>18</v>
      </c>
      <c r="K94" s="92">
        <f t="shared" si="4"/>
        <v>5.5555555555555554</v>
      </c>
      <c r="L94" s="92">
        <f t="shared" si="4"/>
        <v>94.444444444444443</v>
      </c>
      <c r="M94" s="92">
        <f t="shared" si="4"/>
        <v>0</v>
      </c>
      <c r="N94" s="125">
        <f t="shared" si="5"/>
        <v>100</v>
      </c>
      <c r="O94" s="91"/>
      <c r="P94" s="92">
        <v>47.6</v>
      </c>
      <c r="Q94" s="92"/>
      <c r="R94" s="93">
        <f t="shared" si="6"/>
        <v>47.6</v>
      </c>
      <c r="S94" s="208">
        <v>1</v>
      </c>
      <c r="T94" s="81"/>
      <c r="V94" s="82" t="s">
        <v>131</v>
      </c>
      <c r="W94" s="208" t="s">
        <v>22</v>
      </c>
      <c r="X94" s="208" t="s">
        <v>18</v>
      </c>
      <c r="Y94" s="83">
        <v>47.6</v>
      </c>
      <c r="Z94" s="150" t="s">
        <v>340</v>
      </c>
      <c r="AA94" s="150" t="s">
        <v>74</v>
      </c>
      <c r="AB94" s="150" t="s">
        <v>11</v>
      </c>
      <c r="AC94" s="150">
        <v>52.2</v>
      </c>
      <c r="AD94" s="82"/>
      <c r="AG94" s="83"/>
      <c r="AL94" s="82"/>
      <c r="AO94" s="83"/>
      <c r="AP94" s="82"/>
      <c r="AS94" s="83"/>
      <c r="AW94" s="83"/>
      <c r="BA94" s="84"/>
    </row>
    <row r="95" spans="1:53" s="208" customFormat="1">
      <c r="A95" s="208">
        <v>1998</v>
      </c>
      <c r="B95" s="149">
        <v>36102</v>
      </c>
      <c r="C95" s="988" t="s">
        <v>593</v>
      </c>
      <c r="D95" s="988"/>
      <c r="E95" s="208">
        <v>59</v>
      </c>
      <c r="F95" s="150" t="s">
        <v>337</v>
      </c>
      <c r="G95" s="123">
        <v>1</v>
      </c>
      <c r="H95" s="208">
        <v>17</v>
      </c>
      <c r="J95" s="134">
        <v>18</v>
      </c>
      <c r="K95" s="92">
        <f t="shared" si="4"/>
        <v>5.5555555555555554</v>
      </c>
      <c r="L95" s="92">
        <f t="shared" si="4"/>
        <v>94.444444444444443</v>
      </c>
      <c r="M95" s="92">
        <f t="shared" si="4"/>
        <v>0</v>
      </c>
      <c r="N95" s="125">
        <f t="shared" si="5"/>
        <v>100</v>
      </c>
      <c r="O95" s="91"/>
      <c r="P95" s="92">
        <v>48.5</v>
      </c>
      <c r="Q95" s="92"/>
      <c r="R95" s="93">
        <f t="shared" si="6"/>
        <v>48.5</v>
      </c>
      <c r="S95" s="208">
        <v>1</v>
      </c>
      <c r="T95" s="95">
        <v>36102</v>
      </c>
      <c r="V95" s="82" t="s">
        <v>131</v>
      </c>
      <c r="W95" s="208" t="s">
        <v>22</v>
      </c>
      <c r="X95" s="208" t="s">
        <v>18</v>
      </c>
      <c r="Y95" s="83">
        <v>48.5</v>
      </c>
      <c r="Z95" s="150" t="s">
        <v>340</v>
      </c>
      <c r="AA95" s="150" t="s">
        <v>74</v>
      </c>
      <c r="AB95" s="150" t="s">
        <v>11</v>
      </c>
      <c r="AC95" s="150">
        <v>51.3</v>
      </c>
      <c r="AD95" s="82"/>
      <c r="AG95" s="83"/>
      <c r="AL95" s="82"/>
      <c r="AO95" s="83"/>
      <c r="AP95" s="82"/>
      <c r="AS95" s="83"/>
      <c r="AW95" s="83"/>
      <c r="BA95" s="84"/>
    </row>
    <row r="96" spans="1:53" s="208" customFormat="1">
      <c r="A96" s="208">
        <v>1999</v>
      </c>
      <c r="B96" s="149"/>
      <c r="C96" s="988" t="s">
        <v>593</v>
      </c>
      <c r="D96" s="988"/>
      <c r="E96" s="208">
        <v>0</v>
      </c>
      <c r="G96" s="123">
        <v>1</v>
      </c>
      <c r="H96" s="208">
        <v>17</v>
      </c>
      <c r="J96" s="134">
        <v>18</v>
      </c>
      <c r="K96" s="92">
        <f t="shared" si="4"/>
        <v>5.5555555555555554</v>
      </c>
      <c r="L96" s="92">
        <f t="shared" si="4"/>
        <v>94.444444444444443</v>
      </c>
      <c r="M96" s="92">
        <f t="shared" si="4"/>
        <v>0</v>
      </c>
      <c r="N96" s="125">
        <f t="shared" si="5"/>
        <v>100</v>
      </c>
      <c r="O96" s="91"/>
      <c r="P96" s="92">
        <v>48.5</v>
      </c>
      <c r="Q96" s="92"/>
      <c r="R96" s="93">
        <f t="shared" si="6"/>
        <v>48.5</v>
      </c>
      <c r="S96" s="208">
        <v>1</v>
      </c>
      <c r="T96" s="81"/>
      <c r="V96" s="82" t="s">
        <v>131</v>
      </c>
      <c r="W96" s="208" t="s">
        <v>22</v>
      </c>
      <c r="X96" s="208" t="s">
        <v>18</v>
      </c>
      <c r="Y96" s="83">
        <v>48.5</v>
      </c>
      <c r="Z96" s="150" t="s">
        <v>340</v>
      </c>
      <c r="AA96" s="150" t="s">
        <v>74</v>
      </c>
      <c r="AB96" s="150" t="s">
        <v>11</v>
      </c>
      <c r="AC96" s="150">
        <v>51.3</v>
      </c>
      <c r="AD96" s="82"/>
      <c r="AG96" s="83"/>
      <c r="AL96" s="82"/>
      <c r="AO96" s="83"/>
      <c r="AP96" s="82"/>
      <c r="AS96" s="83"/>
      <c r="AW96" s="83"/>
      <c r="BA96" s="84"/>
    </row>
    <row r="97" spans="1:53" s="208" customFormat="1">
      <c r="A97" s="208">
        <v>1999</v>
      </c>
      <c r="C97" s="988" t="s">
        <v>593</v>
      </c>
      <c r="D97" s="988"/>
      <c r="E97" s="208">
        <f>365-E96</f>
        <v>365</v>
      </c>
      <c r="G97" s="123">
        <v>1</v>
      </c>
      <c r="H97" s="208">
        <v>17</v>
      </c>
      <c r="J97" s="134">
        <v>18</v>
      </c>
      <c r="K97" s="92">
        <f t="shared" si="4"/>
        <v>5.5555555555555554</v>
      </c>
      <c r="L97" s="92">
        <f t="shared" si="4"/>
        <v>94.444444444444443</v>
      </c>
      <c r="M97" s="92">
        <f t="shared" si="4"/>
        <v>0</v>
      </c>
      <c r="N97" s="125">
        <f t="shared" si="5"/>
        <v>100</v>
      </c>
      <c r="O97" s="91"/>
      <c r="P97" s="92">
        <v>48.5</v>
      </c>
      <c r="Q97" s="92"/>
      <c r="R97" s="93">
        <f t="shared" si="6"/>
        <v>48.5</v>
      </c>
      <c r="S97" s="208">
        <v>1</v>
      </c>
      <c r="T97" s="81"/>
      <c r="V97" s="82" t="s">
        <v>131</v>
      </c>
      <c r="W97" s="208" t="s">
        <v>22</v>
      </c>
      <c r="X97" s="208" t="s">
        <v>18</v>
      </c>
      <c r="Y97" s="83">
        <v>48.5</v>
      </c>
      <c r="Z97" s="150" t="s">
        <v>340</v>
      </c>
      <c r="AA97" s="150" t="s">
        <v>74</v>
      </c>
      <c r="AB97" s="150" t="s">
        <v>11</v>
      </c>
      <c r="AC97" s="150">
        <v>51.3</v>
      </c>
      <c r="AD97" s="82"/>
      <c r="AG97" s="83"/>
      <c r="AL97" s="82"/>
      <c r="AO97" s="83"/>
      <c r="AP97" s="82"/>
      <c r="AS97" s="83"/>
      <c r="AW97" s="83"/>
      <c r="BA97" s="84"/>
    </row>
    <row r="98" spans="1:53" s="208" customFormat="1">
      <c r="A98" s="208">
        <v>2000</v>
      </c>
      <c r="C98" s="988" t="s">
        <v>593</v>
      </c>
      <c r="D98" s="988"/>
      <c r="E98" s="208">
        <v>311</v>
      </c>
      <c r="G98" s="123">
        <v>1</v>
      </c>
      <c r="H98" s="208">
        <v>17</v>
      </c>
      <c r="J98" s="134">
        <v>18</v>
      </c>
      <c r="K98" s="92">
        <f t="shared" si="4"/>
        <v>5.5555555555555554</v>
      </c>
      <c r="L98" s="92">
        <f t="shared" si="4"/>
        <v>94.444444444444443</v>
      </c>
      <c r="M98" s="92">
        <f t="shared" si="4"/>
        <v>0</v>
      </c>
      <c r="N98" s="125">
        <f t="shared" si="5"/>
        <v>100</v>
      </c>
      <c r="O98" s="91"/>
      <c r="P98" s="92">
        <v>48.5</v>
      </c>
      <c r="Q98" s="92"/>
      <c r="R98" s="93">
        <f t="shared" si="6"/>
        <v>48.5</v>
      </c>
      <c r="S98" s="208">
        <v>1</v>
      </c>
      <c r="T98" s="81"/>
      <c r="V98" s="82" t="s">
        <v>131</v>
      </c>
      <c r="W98" s="208" t="s">
        <v>22</v>
      </c>
      <c r="X98" s="208" t="s">
        <v>18</v>
      </c>
      <c r="Y98" s="83">
        <v>48.5</v>
      </c>
      <c r="Z98" s="150" t="s">
        <v>340</v>
      </c>
      <c r="AA98" s="150" t="s">
        <v>74</v>
      </c>
      <c r="AB98" s="150" t="s">
        <v>11</v>
      </c>
      <c r="AC98" s="150">
        <v>51.3</v>
      </c>
      <c r="AD98" s="82"/>
      <c r="AG98" s="83"/>
      <c r="AL98" s="82"/>
      <c r="AO98" s="83"/>
      <c r="AP98" s="82"/>
      <c r="AS98" s="83"/>
      <c r="AW98" s="83"/>
      <c r="BA98" s="84"/>
    </row>
    <row r="99" spans="1:53" s="208" customFormat="1">
      <c r="A99" s="208">
        <v>2000</v>
      </c>
      <c r="B99" s="149">
        <v>36837</v>
      </c>
      <c r="C99" s="988" t="s">
        <v>593</v>
      </c>
      <c r="D99" s="988"/>
      <c r="E99" s="208">
        <v>55</v>
      </c>
      <c r="F99" s="150" t="s">
        <v>337</v>
      </c>
      <c r="G99" s="123">
        <v>1</v>
      </c>
      <c r="H99" s="208">
        <v>17</v>
      </c>
      <c r="J99" s="134">
        <v>18</v>
      </c>
      <c r="K99" s="92">
        <f t="shared" si="4"/>
        <v>5.5555555555555554</v>
      </c>
      <c r="L99" s="92">
        <f t="shared" si="4"/>
        <v>94.444444444444443</v>
      </c>
      <c r="M99" s="92">
        <f t="shared" si="4"/>
        <v>0</v>
      </c>
      <c r="N99" s="125">
        <f t="shared" si="5"/>
        <v>100</v>
      </c>
      <c r="O99" s="91"/>
      <c r="P99" s="92">
        <v>48.7</v>
      </c>
      <c r="Q99" s="92"/>
      <c r="R99" s="93">
        <f t="shared" si="6"/>
        <v>48.7</v>
      </c>
      <c r="S99" s="208">
        <v>1</v>
      </c>
      <c r="T99" s="95">
        <v>36837</v>
      </c>
      <c r="V99" s="82" t="s">
        <v>131</v>
      </c>
      <c r="W99" s="208" t="s">
        <v>22</v>
      </c>
      <c r="X99" s="208" t="s">
        <v>18</v>
      </c>
      <c r="Y99" s="83">
        <v>48.7</v>
      </c>
      <c r="Z99" s="150" t="s">
        <v>340</v>
      </c>
      <c r="AA99" s="150" t="s">
        <v>74</v>
      </c>
      <c r="AB99" s="150" t="s">
        <v>11</v>
      </c>
      <c r="AC99" s="150">
        <v>50.8</v>
      </c>
      <c r="AD99" s="82"/>
      <c r="AG99" s="83"/>
      <c r="AL99" s="82"/>
      <c r="AO99" s="83"/>
      <c r="AP99" s="82"/>
      <c r="AS99" s="83"/>
      <c r="AW99" s="83"/>
      <c r="BA99" s="84"/>
    </row>
    <row r="100" spans="1:53" s="208" customFormat="1">
      <c r="A100" s="208">
        <v>2001</v>
      </c>
      <c r="C100" s="988" t="s">
        <v>593</v>
      </c>
      <c r="D100" s="988"/>
      <c r="E100" s="208">
        <v>19</v>
      </c>
      <c r="G100" s="123">
        <v>1</v>
      </c>
      <c r="H100" s="208">
        <v>17</v>
      </c>
      <c r="J100" s="134">
        <v>18</v>
      </c>
      <c r="K100" s="92">
        <f t="shared" si="4"/>
        <v>5.5555555555555554</v>
      </c>
      <c r="L100" s="92">
        <f t="shared" si="4"/>
        <v>94.444444444444443</v>
      </c>
      <c r="M100" s="92">
        <f t="shared" si="4"/>
        <v>0</v>
      </c>
      <c r="N100" s="125">
        <f t="shared" si="5"/>
        <v>100</v>
      </c>
      <c r="O100" s="91"/>
      <c r="P100" s="92">
        <v>48.7</v>
      </c>
      <c r="Q100" s="92"/>
      <c r="R100" s="93">
        <f t="shared" si="6"/>
        <v>48.7</v>
      </c>
      <c r="S100" s="208">
        <v>1</v>
      </c>
      <c r="T100" s="81"/>
      <c r="V100" s="82" t="s">
        <v>131</v>
      </c>
      <c r="W100" s="208" t="s">
        <v>22</v>
      </c>
      <c r="X100" s="208" t="s">
        <v>18</v>
      </c>
      <c r="Y100" s="83">
        <v>48.7</v>
      </c>
      <c r="Z100" s="150" t="s">
        <v>340</v>
      </c>
      <c r="AA100" s="150" t="s">
        <v>74</v>
      </c>
      <c r="AB100" s="150" t="s">
        <v>11</v>
      </c>
      <c r="AC100" s="150">
        <v>50.8</v>
      </c>
      <c r="AD100" s="82"/>
      <c r="AG100" s="83"/>
      <c r="AL100" s="82"/>
      <c r="AO100" s="83"/>
      <c r="AP100" s="82"/>
      <c r="AS100" s="83"/>
      <c r="AW100" s="83"/>
      <c r="BA100" s="84"/>
    </row>
    <row r="101" spans="1:53" s="334" customFormat="1">
      <c r="A101" s="334">
        <v>2001</v>
      </c>
      <c r="B101" s="355">
        <v>36911</v>
      </c>
      <c r="C101" s="992" t="s">
        <v>1279</v>
      </c>
      <c r="D101" s="992"/>
      <c r="E101" s="334">
        <f>365-E100</f>
        <v>346</v>
      </c>
      <c r="F101" s="334">
        <v>1</v>
      </c>
      <c r="G101" s="419">
        <v>17</v>
      </c>
      <c r="H101" s="334">
        <v>1</v>
      </c>
      <c r="J101" s="435">
        <v>18</v>
      </c>
      <c r="K101" s="384">
        <f t="shared" si="4"/>
        <v>94.444444444444443</v>
      </c>
      <c r="L101" s="384">
        <f t="shared" si="4"/>
        <v>5.5555555555555554</v>
      </c>
      <c r="M101" s="384">
        <f t="shared" si="4"/>
        <v>0</v>
      </c>
      <c r="N101" s="421">
        <f t="shared" si="5"/>
        <v>100</v>
      </c>
      <c r="O101" s="383">
        <v>50.8</v>
      </c>
      <c r="P101" s="384"/>
      <c r="Q101" s="384"/>
      <c r="R101" s="385">
        <f t="shared" si="6"/>
        <v>50.8</v>
      </c>
      <c r="S101" s="334">
        <v>1</v>
      </c>
      <c r="T101" s="357"/>
      <c r="U101" s="355">
        <v>36911</v>
      </c>
      <c r="V101" s="343" t="s">
        <v>340</v>
      </c>
      <c r="W101" s="334" t="s">
        <v>74</v>
      </c>
      <c r="X101" s="334" t="s">
        <v>11</v>
      </c>
      <c r="Y101" s="344">
        <v>50.8</v>
      </c>
      <c r="Z101" s="441" t="s">
        <v>131</v>
      </c>
      <c r="AA101" s="441" t="s">
        <v>22</v>
      </c>
      <c r="AB101" s="441" t="s">
        <v>18</v>
      </c>
      <c r="AC101" s="441">
        <v>48.7</v>
      </c>
      <c r="AD101" s="343"/>
      <c r="AG101" s="344"/>
      <c r="AL101" s="343"/>
      <c r="AO101" s="344"/>
      <c r="AP101" s="343"/>
      <c r="AS101" s="344"/>
      <c r="AW101" s="344"/>
      <c r="BA101" s="345"/>
    </row>
    <row r="102" spans="1:53" s="334" customFormat="1">
      <c r="A102" s="334">
        <v>2002</v>
      </c>
      <c r="C102" s="992" t="s">
        <v>1279</v>
      </c>
      <c r="D102" s="992"/>
      <c r="E102" s="334">
        <v>308</v>
      </c>
      <c r="G102" s="419">
        <v>17</v>
      </c>
      <c r="H102" s="334">
        <v>1</v>
      </c>
      <c r="J102" s="435">
        <v>18</v>
      </c>
      <c r="K102" s="384">
        <f t="shared" si="4"/>
        <v>94.444444444444443</v>
      </c>
      <c r="L102" s="384">
        <f t="shared" si="4"/>
        <v>5.5555555555555554</v>
      </c>
      <c r="M102" s="384">
        <f t="shared" si="4"/>
        <v>0</v>
      </c>
      <c r="N102" s="421">
        <f t="shared" si="5"/>
        <v>100</v>
      </c>
      <c r="O102" s="383">
        <v>50.8</v>
      </c>
      <c r="P102" s="384"/>
      <c r="Q102" s="384"/>
      <c r="R102" s="385">
        <f t="shared" si="6"/>
        <v>50.8</v>
      </c>
      <c r="S102" s="334">
        <v>1</v>
      </c>
      <c r="T102" s="357"/>
      <c r="V102" s="343" t="s">
        <v>340</v>
      </c>
      <c r="W102" s="334" t="s">
        <v>74</v>
      </c>
      <c r="X102" s="334" t="s">
        <v>11</v>
      </c>
      <c r="Y102" s="344">
        <v>50.8</v>
      </c>
      <c r="Z102" s="441" t="s">
        <v>131</v>
      </c>
      <c r="AA102" s="441" t="s">
        <v>22</v>
      </c>
      <c r="AB102" s="441" t="s">
        <v>18</v>
      </c>
      <c r="AC102" s="441">
        <v>48.7</v>
      </c>
      <c r="AD102" s="343"/>
      <c r="AG102" s="344"/>
      <c r="AL102" s="343"/>
      <c r="AO102" s="344"/>
      <c r="AP102" s="343"/>
      <c r="AS102" s="344"/>
      <c r="AW102" s="344"/>
      <c r="BA102" s="345"/>
    </row>
    <row r="103" spans="1:53" s="334" customFormat="1">
      <c r="A103" s="334">
        <v>2002</v>
      </c>
      <c r="B103" s="445">
        <v>37565</v>
      </c>
      <c r="C103" s="992" t="s">
        <v>1279</v>
      </c>
      <c r="D103" s="992"/>
      <c r="E103" s="334">
        <f>365-E102</f>
        <v>57</v>
      </c>
      <c r="F103" s="441" t="s">
        <v>337</v>
      </c>
      <c r="G103" s="419">
        <v>17</v>
      </c>
      <c r="H103" s="334">
        <v>1</v>
      </c>
      <c r="J103" s="435">
        <v>18</v>
      </c>
      <c r="K103" s="384">
        <f t="shared" si="4"/>
        <v>94.444444444444443</v>
      </c>
      <c r="L103" s="384">
        <f t="shared" si="4"/>
        <v>5.5555555555555554</v>
      </c>
      <c r="M103" s="384">
        <f t="shared" si="4"/>
        <v>0</v>
      </c>
      <c r="N103" s="421">
        <f t="shared" si="5"/>
        <v>100</v>
      </c>
      <c r="O103" s="383">
        <v>52.6</v>
      </c>
      <c r="P103" s="384"/>
      <c r="Q103" s="384"/>
      <c r="R103" s="385">
        <f t="shared" si="6"/>
        <v>52.6</v>
      </c>
      <c r="S103" s="334">
        <v>1</v>
      </c>
      <c r="T103" s="342">
        <v>37565</v>
      </c>
      <c r="V103" s="343" t="s">
        <v>340</v>
      </c>
      <c r="W103" s="334" t="s">
        <v>74</v>
      </c>
      <c r="X103" s="334" t="s">
        <v>11</v>
      </c>
      <c r="Y103" s="344">
        <v>52.6</v>
      </c>
      <c r="Z103" s="441" t="s">
        <v>131</v>
      </c>
      <c r="AA103" s="441" t="s">
        <v>22</v>
      </c>
      <c r="AB103" s="441" t="s">
        <v>18</v>
      </c>
      <c r="AC103" s="441">
        <v>47.1</v>
      </c>
      <c r="AD103" s="343"/>
      <c r="AG103" s="344"/>
      <c r="AL103" s="343"/>
      <c r="AO103" s="344"/>
      <c r="AP103" s="343"/>
      <c r="AS103" s="344"/>
      <c r="AW103" s="344"/>
      <c r="BA103" s="345"/>
    </row>
    <row r="104" spans="1:53" s="334" customFormat="1">
      <c r="A104" s="334">
        <v>2003</v>
      </c>
      <c r="C104" s="992" t="s">
        <v>1279</v>
      </c>
      <c r="D104" s="992"/>
      <c r="E104" s="334">
        <v>21</v>
      </c>
      <c r="G104" s="419">
        <v>17</v>
      </c>
      <c r="H104" s="334">
        <v>1</v>
      </c>
      <c r="J104" s="435">
        <v>18</v>
      </c>
      <c r="K104" s="384">
        <f t="shared" si="4"/>
        <v>94.444444444444443</v>
      </c>
      <c r="L104" s="384">
        <f t="shared" si="4"/>
        <v>5.5555555555555554</v>
      </c>
      <c r="M104" s="384">
        <f t="shared" si="4"/>
        <v>0</v>
      </c>
      <c r="N104" s="421">
        <f t="shared" si="5"/>
        <v>100</v>
      </c>
      <c r="O104" s="383">
        <v>52.6</v>
      </c>
      <c r="P104" s="384"/>
      <c r="Q104" s="384"/>
      <c r="R104" s="385">
        <f t="shared" si="6"/>
        <v>52.6</v>
      </c>
      <c r="S104" s="334">
        <v>1</v>
      </c>
      <c r="T104" s="357"/>
      <c r="V104" s="343" t="s">
        <v>340</v>
      </c>
      <c r="W104" s="334" t="s">
        <v>74</v>
      </c>
      <c r="X104" s="334" t="s">
        <v>11</v>
      </c>
      <c r="Y104" s="344">
        <v>52.6</v>
      </c>
      <c r="Z104" s="441" t="s">
        <v>131</v>
      </c>
      <c r="AA104" s="441" t="s">
        <v>22</v>
      </c>
      <c r="AB104" s="441" t="s">
        <v>18</v>
      </c>
      <c r="AC104" s="441">
        <v>47.1</v>
      </c>
      <c r="AD104" s="343"/>
      <c r="AG104" s="344"/>
      <c r="AL104" s="343"/>
      <c r="AO104" s="344"/>
      <c r="AP104" s="343"/>
      <c r="AS104" s="344"/>
      <c r="AW104" s="344"/>
      <c r="BA104" s="345"/>
    </row>
    <row r="105" spans="1:53" s="334" customFormat="1">
      <c r="A105" s="334">
        <v>2003</v>
      </c>
      <c r="B105" s="445">
        <v>37643</v>
      </c>
      <c r="C105" s="992" t="s">
        <v>1279</v>
      </c>
      <c r="D105" s="992"/>
      <c r="E105" s="334">
        <f>365-E104</f>
        <v>344</v>
      </c>
      <c r="F105" s="441">
        <v>0</v>
      </c>
      <c r="G105" s="419">
        <v>18</v>
      </c>
      <c r="H105" s="334">
        <v>1</v>
      </c>
      <c r="J105" s="435">
        <v>19</v>
      </c>
      <c r="K105" s="384">
        <f t="shared" si="4"/>
        <v>94.73684210526315</v>
      </c>
      <c r="L105" s="384">
        <f t="shared" si="4"/>
        <v>5.2631578947368416</v>
      </c>
      <c r="M105" s="384">
        <f t="shared" si="4"/>
        <v>0</v>
      </c>
      <c r="N105" s="421">
        <f t="shared" si="5"/>
        <v>99.999999999999986</v>
      </c>
      <c r="O105" s="383">
        <v>52.6</v>
      </c>
      <c r="P105" s="384"/>
      <c r="Q105" s="384"/>
      <c r="R105" s="385">
        <f t="shared" si="6"/>
        <v>52.6</v>
      </c>
      <c r="S105" s="334">
        <v>1</v>
      </c>
      <c r="T105" s="357"/>
      <c r="V105" s="343" t="s">
        <v>340</v>
      </c>
      <c r="W105" s="334" t="s">
        <v>74</v>
      </c>
      <c r="X105" s="334" t="s">
        <v>11</v>
      </c>
      <c r="Y105" s="344">
        <v>52.6</v>
      </c>
      <c r="Z105" s="441" t="s">
        <v>131</v>
      </c>
      <c r="AA105" s="441" t="s">
        <v>22</v>
      </c>
      <c r="AB105" s="441" t="s">
        <v>18</v>
      </c>
      <c r="AC105" s="441">
        <v>47.1</v>
      </c>
      <c r="AD105" s="343"/>
      <c r="AG105" s="344"/>
      <c r="AL105" s="343"/>
      <c r="AO105" s="344"/>
      <c r="AP105" s="343"/>
      <c r="AS105" s="344"/>
      <c r="AW105" s="344"/>
      <c r="BA105" s="345"/>
    </row>
    <row r="106" spans="1:53" s="334" customFormat="1">
      <c r="A106" s="334">
        <v>2004</v>
      </c>
      <c r="C106" s="992" t="s">
        <v>1279</v>
      </c>
      <c r="D106" s="992"/>
      <c r="E106" s="334">
        <v>306</v>
      </c>
      <c r="G106" s="419">
        <v>18</v>
      </c>
      <c r="H106" s="334">
        <v>1</v>
      </c>
      <c r="J106" s="435">
        <v>19</v>
      </c>
      <c r="K106" s="384">
        <f t="shared" si="4"/>
        <v>94.73684210526315</v>
      </c>
      <c r="L106" s="384">
        <f t="shared" si="4"/>
        <v>5.2631578947368416</v>
      </c>
      <c r="M106" s="384">
        <f t="shared" si="4"/>
        <v>0</v>
      </c>
      <c r="N106" s="421">
        <f t="shared" si="5"/>
        <v>99.999999999999986</v>
      </c>
      <c r="O106" s="383">
        <v>52.6</v>
      </c>
      <c r="P106" s="384"/>
      <c r="Q106" s="384"/>
      <c r="R106" s="385">
        <f t="shared" si="6"/>
        <v>52.6</v>
      </c>
      <c r="S106" s="334">
        <v>1</v>
      </c>
      <c r="T106" s="357"/>
      <c r="V106" s="343" t="s">
        <v>340</v>
      </c>
      <c r="W106" s="334" t="s">
        <v>74</v>
      </c>
      <c r="X106" s="334" t="s">
        <v>11</v>
      </c>
      <c r="Y106" s="344">
        <v>52.6</v>
      </c>
      <c r="Z106" s="441" t="s">
        <v>131</v>
      </c>
      <c r="AA106" s="441" t="s">
        <v>22</v>
      </c>
      <c r="AB106" s="441" t="s">
        <v>18</v>
      </c>
      <c r="AC106" s="441">
        <v>47.1</v>
      </c>
      <c r="AD106" s="343"/>
      <c r="AG106" s="344"/>
      <c r="AL106" s="343"/>
      <c r="AO106" s="344"/>
      <c r="AP106" s="343"/>
      <c r="AS106" s="344"/>
      <c r="AW106" s="344"/>
      <c r="BA106" s="345"/>
    </row>
    <row r="107" spans="1:53" s="334" customFormat="1">
      <c r="A107" s="334">
        <v>2004</v>
      </c>
      <c r="B107" s="445">
        <v>38293</v>
      </c>
      <c r="C107" s="992" t="s">
        <v>1279</v>
      </c>
      <c r="D107" s="992"/>
      <c r="E107" s="334">
        <v>60</v>
      </c>
      <c r="F107" s="441" t="s">
        <v>337</v>
      </c>
      <c r="G107" s="419">
        <v>18</v>
      </c>
      <c r="H107" s="334">
        <v>1</v>
      </c>
      <c r="J107" s="435">
        <v>19</v>
      </c>
      <c r="K107" s="384">
        <f t="shared" si="4"/>
        <v>94.73684210526315</v>
      </c>
      <c r="L107" s="384">
        <f t="shared" si="4"/>
        <v>5.2631578947368416</v>
      </c>
      <c r="M107" s="384">
        <f t="shared" si="4"/>
        <v>0</v>
      </c>
      <c r="N107" s="421">
        <f t="shared" si="5"/>
        <v>99.999999999999986</v>
      </c>
      <c r="O107" s="383">
        <v>53.1</v>
      </c>
      <c r="P107" s="384"/>
      <c r="Q107" s="384"/>
      <c r="R107" s="385">
        <f t="shared" si="6"/>
        <v>53.1</v>
      </c>
      <c r="S107" s="334">
        <v>1</v>
      </c>
      <c r="T107" s="342">
        <v>38293</v>
      </c>
      <c r="V107" s="343" t="s">
        <v>340</v>
      </c>
      <c r="W107" s="334" t="s">
        <v>74</v>
      </c>
      <c r="X107" s="334" t="s">
        <v>11</v>
      </c>
      <c r="Y107" s="344">
        <v>53.1</v>
      </c>
      <c r="Z107" s="441" t="s">
        <v>131</v>
      </c>
      <c r="AA107" s="441" t="s">
        <v>22</v>
      </c>
      <c r="AB107" s="441" t="s">
        <v>18</v>
      </c>
      <c r="AC107" s="441">
        <v>46.7</v>
      </c>
      <c r="AD107" s="343"/>
      <c r="AG107" s="344"/>
      <c r="AL107" s="343"/>
      <c r="AO107" s="344"/>
      <c r="AP107" s="343"/>
      <c r="AS107" s="344"/>
      <c r="AW107" s="344"/>
      <c r="BA107" s="345"/>
    </row>
    <row r="108" spans="1:53" s="334" customFormat="1">
      <c r="A108" s="334">
        <v>2005</v>
      </c>
      <c r="C108" s="992" t="s">
        <v>1279</v>
      </c>
      <c r="D108" s="992"/>
      <c r="E108" s="334">
        <v>19</v>
      </c>
      <c r="G108" s="419">
        <v>18</v>
      </c>
      <c r="H108" s="334">
        <v>1</v>
      </c>
      <c r="J108" s="435">
        <v>19</v>
      </c>
      <c r="K108" s="384">
        <f t="shared" si="4"/>
        <v>94.73684210526315</v>
      </c>
      <c r="L108" s="384">
        <f t="shared" si="4"/>
        <v>5.2631578947368416</v>
      </c>
      <c r="M108" s="384">
        <f t="shared" si="4"/>
        <v>0</v>
      </c>
      <c r="N108" s="421">
        <f t="shared" si="5"/>
        <v>99.999999999999986</v>
      </c>
      <c r="O108" s="383">
        <v>53.1</v>
      </c>
      <c r="P108" s="384"/>
      <c r="Q108" s="384"/>
      <c r="R108" s="385">
        <f t="shared" si="6"/>
        <v>53.1</v>
      </c>
      <c r="S108" s="334">
        <v>1</v>
      </c>
      <c r="T108" s="357"/>
      <c r="V108" s="343" t="s">
        <v>340</v>
      </c>
      <c r="W108" s="334" t="s">
        <v>74</v>
      </c>
      <c r="X108" s="334" t="s">
        <v>11</v>
      </c>
      <c r="Y108" s="344">
        <v>53.1</v>
      </c>
      <c r="Z108" s="441" t="s">
        <v>131</v>
      </c>
      <c r="AA108" s="441" t="s">
        <v>22</v>
      </c>
      <c r="AB108" s="441" t="s">
        <v>18</v>
      </c>
      <c r="AC108" s="441">
        <v>46.7</v>
      </c>
      <c r="AD108" s="343"/>
      <c r="AG108" s="344"/>
      <c r="AL108" s="343"/>
      <c r="AO108" s="344"/>
      <c r="AP108" s="343"/>
      <c r="AS108" s="344"/>
      <c r="AW108" s="344"/>
      <c r="BA108" s="345"/>
    </row>
    <row r="109" spans="1:53" s="208" customFormat="1">
      <c r="A109" s="208">
        <v>2005</v>
      </c>
      <c r="B109" s="207">
        <v>38372</v>
      </c>
      <c r="C109" s="988" t="s">
        <v>1280</v>
      </c>
      <c r="D109" s="988"/>
      <c r="E109" s="208">
        <f>365-E108</f>
        <v>346</v>
      </c>
      <c r="F109" s="208">
        <v>1</v>
      </c>
      <c r="G109" s="123">
        <v>21</v>
      </c>
      <c r="H109" s="208">
        <v>1</v>
      </c>
      <c r="J109" s="134">
        <v>22</v>
      </c>
      <c r="K109" s="92">
        <f t="shared" si="4"/>
        <v>95.454545454545453</v>
      </c>
      <c r="L109" s="92">
        <f t="shared" si="4"/>
        <v>4.5454545454545459</v>
      </c>
      <c r="M109" s="92">
        <f t="shared" si="4"/>
        <v>0</v>
      </c>
      <c r="N109" s="125">
        <f t="shared" si="5"/>
        <v>100</v>
      </c>
      <c r="O109" s="91">
        <v>53.1</v>
      </c>
      <c r="P109" s="92"/>
      <c r="Q109" s="92"/>
      <c r="R109" s="93">
        <f t="shared" si="6"/>
        <v>53.1</v>
      </c>
      <c r="S109" s="208">
        <v>1</v>
      </c>
      <c r="T109" s="81"/>
      <c r="U109" s="207">
        <v>38372</v>
      </c>
      <c r="V109" s="82" t="s">
        <v>340</v>
      </c>
      <c r="W109" s="208" t="s">
        <v>74</v>
      </c>
      <c r="X109" s="208" t="s">
        <v>11</v>
      </c>
      <c r="Y109" s="83">
        <v>53.1</v>
      </c>
      <c r="Z109" s="150" t="s">
        <v>131</v>
      </c>
      <c r="AA109" s="150" t="s">
        <v>22</v>
      </c>
      <c r="AB109" s="150" t="s">
        <v>18</v>
      </c>
      <c r="AC109" s="150">
        <v>46.7</v>
      </c>
      <c r="AD109" s="82"/>
      <c r="AG109" s="83"/>
      <c r="AL109" s="82"/>
      <c r="AO109" s="83"/>
      <c r="AP109" s="82"/>
      <c r="AS109" s="83"/>
      <c r="AW109" s="83"/>
      <c r="BA109" s="84"/>
    </row>
    <row r="110" spans="1:53" s="208" customFormat="1">
      <c r="A110" s="208">
        <v>2006</v>
      </c>
      <c r="C110" s="988" t="s">
        <v>1280</v>
      </c>
      <c r="D110" s="988"/>
      <c r="E110" s="208">
        <v>272</v>
      </c>
      <c r="G110" s="123">
        <v>21</v>
      </c>
      <c r="H110" s="208">
        <v>1</v>
      </c>
      <c r="J110" s="134">
        <v>22</v>
      </c>
      <c r="K110" s="92">
        <f t="shared" si="4"/>
        <v>95.454545454545453</v>
      </c>
      <c r="L110" s="92">
        <f t="shared" si="4"/>
        <v>4.5454545454545459</v>
      </c>
      <c r="M110" s="92">
        <f t="shared" si="4"/>
        <v>0</v>
      </c>
      <c r="N110" s="125">
        <f t="shared" si="5"/>
        <v>100</v>
      </c>
      <c r="O110" s="91">
        <v>53.1</v>
      </c>
      <c r="P110" s="92"/>
      <c r="Q110" s="92"/>
      <c r="R110" s="93">
        <f t="shared" si="6"/>
        <v>53.1</v>
      </c>
      <c r="S110" s="208">
        <v>1</v>
      </c>
      <c r="T110" s="81"/>
      <c r="V110" s="82" t="s">
        <v>340</v>
      </c>
      <c r="W110" s="208" t="s">
        <v>74</v>
      </c>
      <c r="X110" s="208" t="s">
        <v>11</v>
      </c>
      <c r="Y110" s="83">
        <v>53.1</v>
      </c>
      <c r="Z110" s="150" t="s">
        <v>131</v>
      </c>
      <c r="AA110" s="150" t="s">
        <v>22</v>
      </c>
      <c r="AB110" s="150" t="s">
        <v>18</v>
      </c>
      <c r="AC110" s="150">
        <v>46.7</v>
      </c>
      <c r="AD110" s="82"/>
      <c r="AG110" s="83"/>
      <c r="AL110" s="82"/>
      <c r="AO110" s="83"/>
      <c r="AP110" s="82"/>
      <c r="AS110" s="83"/>
      <c r="AW110" s="83"/>
      <c r="BA110" s="84"/>
    </row>
    <row r="111" spans="1:53" s="208" customFormat="1">
      <c r="A111" s="208">
        <v>2006</v>
      </c>
      <c r="B111" s="149">
        <v>38990</v>
      </c>
      <c r="C111" s="988" t="s">
        <v>1280</v>
      </c>
      <c r="D111" s="988"/>
      <c r="E111" s="208">
        <v>38</v>
      </c>
      <c r="F111" s="150">
        <v>0</v>
      </c>
      <c r="G111" s="123">
        <v>22</v>
      </c>
      <c r="J111" s="134">
        <v>22</v>
      </c>
      <c r="K111" s="92">
        <f>G111/$J111*100</f>
        <v>100</v>
      </c>
      <c r="L111" s="92">
        <f>H111/$J111*100</f>
        <v>0</v>
      </c>
      <c r="M111" s="92">
        <f>I111/$J111*100</f>
        <v>0</v>
      </c>
      <c r="N111" s="125">
        <f>K111+L111+M111</f>
        <v>100</v>
      </c>
      <c r="O111" s="91">
        <v>53.1</v>
      </c>
      <c r="P111" s="92"/>
      <c r="Q111" s="92"/>
      <c r="R111" s="93">
        <f>O111+P111+Q111</f>
        <v>53.1</v>
      </c>
      <c r="S111" s="208">
        <v>1</v>
      </c>
      <c r="T111" s="95">
        <v>39028</v>
      </c>
      <c r="V111" s="82" t="s">
        <v>340</v>
      </c>
      <c r="W111" s="208" t="s">
        <v>74</v>
      </c>
      <c r="X111" s="208" t="s">
        <v>11</v>
      </c>
      <c r="Y111" s="83">
        <v>53.1</v>
      </c>
      <c r="Z111" s="150" t="s">
        <v>131</v>
      </c>
      <c r="AA111" s="150" t="s">
        <v>22</v>
      </c>
      <c r="AB111" s="150" t="s">
        <v>18</v>
      </c>
      <c r="AC111" s="150">
        <v>46.7</v>
      </c>
      <c r="AD111" s="82"/>
      <c r="AG111" s="83"/>
      <c r="AL111" s="82"/>
      <c r="AO111" s="83"/>
      <c r="AP111" s="82"/>
      <c r="AS111" s="83"/>
      <c r="AW111" s="83"/>
      <c r="BA111" s="84"/>
    </row>
    <row r="112" spans="1:53" s="208" customFormat="1">
      <c r="A112" s="208">
        <v>2006</v>
      </c>
      <c r="B112" s="149">
        <v>39028</v>
      </c>
      <c r="C112" s="988" t="s">
        <v>1280</v>
      </c>
      <c r="D112" s="988"/>
      <c r="E112" s="208">
        <v>55</v>
      </c>
      <c r="F112" s="150" t="s">
        <v>337</v>
      </c>
      <c r="G112" s="123">
        <v>22</v>
      </c>
      <c r="J112" s="134">
        <v>22</v>
      </c>
      <c r="K112" s="92">
        <f t="shared" si="4"/>
        <v>100</v>
      </c>
      <c r="L112" s="92">
        <f t="shared" si="4"/>
        <v>0</v>
      </c>
      <c r="M112" s="92">
        <f t="shared" si="4"/>
        <v>0</v>
      </c>
      <c r="N112" s="125">
        <f t="shared" si="5"/>
        <v>100</v>
      </c>
      <c r="O112" s="91">
        <v>46.4</v>
      </c>
      <c r="P112" s="92"/>
      <c r="Q112" s="92"/>
      <c r="R112" s="93">
        <f t="shared" si="6"/>
        <v>46.4</v>
      </c>
      <c r="S112" s="208">
        <v>1</v>
      </c>
      <c r="T112" s="95">
        <v>39028</v>
      </c>
      <c r="V112" s="82" t="s">
        <v>340</v>
      </c>
      <c r="W112" s="208" t="s">
        <v>74</v>
      </c>
      <c r="X112" s="208" t="s">
        <v>11</v>
      </c>
      <c r="Y112" s="83">
        <v>46.4</v>
      </c>
      <c r="Z112" s="150"/>
      <c r="AA112" s="150"/>
      <c r="AB112" s="150"/>
      <c r="AC112" s="150"/>
      <c r="AD112" s="82"/>
      <c r="AG112" s="83"/>
      <c r="AL112" s="82"/>
      <c r="AO112" s="83"/>
      <c r="AP112" s="82"/>
      <c r="AS112" s="83"/>
      <c r="AW112" s="83"/>
      <c r="BA112" s="84"/>
    </row>
    <row r="113" spans="1:53" s="208" customFormat="1">
      <c r="A113" s="208">
        <v>2007</v>
      </c>
      <c r="C113" s="988" t="s">
        <v>1280</v>
      </c>
      <c r="D113" s="988"/>
      <c r="E113" s="208">
        <v>0</v>
      </c>
      <c r="G113" s="123">
        <v>22</v>
      </c>
      <c r="J113" s="134">
        <v>22</v>
      </c>
      <c r="K113" s="92">
        <f t="shared" si="4"/>
        <v>100</v>
      </c>
      <c r="L113" s="92">
        <f t="shared" si="4"/>
        <v>0</v>
      </c>
      <c r="M113" s="92">
        <f t="shared" si="4"/>
        <v>0</v>
      </c>
      <c r="N113" s="125">
        <f t="shared" si="5"/>
        <v>100</v>
      </c>
      <c r="O113" s="91">
        <v>46.4</v>
      </c>
      <c r="P113" s="92"/>
      <c r="Q113" s="92"/>
      <c r="R113" s="93">
        <f t="shared" si="6"/>
        <v>46.4</v>
      </c>
      <c r="S113" s="208">
        <v>1</v>
      </c>
      <c r="T113" s="81"/>
      <c r="V113" s="82" t="s">
        <v>340</v>
      </c>
      <c r="W113" s="208" t="s">
        <v>74</v>
      </c>
      <c r="X113" s="208" t="s">
        <v>11</v>
      </c>
      <c r="Y113" s="83">
        <v>46.4</v>
      </c>
      <c r="Z113" s="150"/>
      <c r="AA113" s="150"/>
      <c r="AB113" s="150"/>
      <c r="AC113" s="150"/>
      <c r="AD113" s="82"/>
      <c r="AG113" s="83"/>
      <c r="AL113" s="82"/>
      <c r="AO113" s="83"/>
      <c r="AP113" s="82"/>
      <c r="AS113" s="83"/>
      <c r="AW113" s="83"/>
      <c r="BA113" s="84"/>
    </row>
    <row r="114" spans="1:53" s="208" customFormat="1">
      <c r="A114" s="208">
        <v>2007</v>
      </c>
      <c r="C114" s="988" t="s">
        <v>1280</v>
      </c>
      <c r="D114" s="988"/>
      <c r="E114" s="208">
        <v>365</v>
      </c>
      <c r="G114" s="123">
        <v>22</v>
      </c>
      <c r="J114" s="134">
        <v>22</v>
      </c>
      <c r="K114" s="92">
        <f t="shared" si="4"/>
        <v>100</v>
      </c>
      <c r="L114" s="92">
        <f t="shared" si="4"/>
        <v>0</v>
      </c>
      <c r="M114" s="92">
        <f t="shared" si="4"/>
        <v>0</v>
      </c>
      <c r="N114" s="125">
        <f t="shared" si="5"/>
        <v>100</v>
      </c>
      <c r="O114" s="91">
        <v>46.4</v>
      </c>
      <c r="P114" s="92"/>
      <c r="Q114" s="92"/>
      <c r="R114" s="93">
        <f t="shared" si="6"/>
        <v>46.4</v>
      </c>
      <c r="S114" s="208">
        <v>1</v>
      </c>
      <c r="T114" s="81"/>
      <c r="V114" s="82" t="s">
        <v>340</v>
      </c>
      <c r="W114" s="208" t="s">
        <v>74</v>
      </c>
      <c r="X114" s="208" t="s">
        <v>11</v>
      </c>
      <c r="Y114" s="83">
        <v>46.4</v>
      </c>
      <c r="Z114" s="150"/>
      <c r="AA114" s="150"/>
      <c r="AB114" s="150"/>
      <c r="AC114" s="150"/>
      <c r="AD114" s="82"/>
      <c r="AG114" s="83"/>
      <c r="AL114" s="82"/>
      <c r="AO114" s="83"/>
      <c r="AP114" s="82"/>
      <c r="AS114" s="83"/>
      <c r="AW114" s="83"/>
      <c r="BA114" s="84"/>
    </row>
    <row r="115" spans="1:53" s="208" customFormat="1">
      <c r="A115" s="208">
        <v>2008</v>
      </c>
      <c r="C115" s="988" t="s">
        <v>1280</v>
      </c>
      <c r="D115" s="988"/>
      <c r="E115" s="208">
        <v>308</v>
      </c>
      <c r="G115" s="123">
        <v>22</v>
      </c>
      <c r="J115" s="134">
        <v>22</v>
      </c>
      <c r="K115" s="92">
        <f t="shared" si="4"/>
        <v>100</v>
      </c>
      <c r="L115" s="92">
        <f t="shared" si="4"/>
        <v>0</v>
      </c>
      <c r="M115" s="92">
        <f t="shared" si="4"/>
        <v>0</v>
      </c>
      <c r="N115" s="125">
        <f t="shared" si="5"/>
        <v>100</v>
      </c>
      <c r="O115" s="91">
        <v>46.4</v>
      </c>
      <c r="P115" s="92"/>
      <c r="Q115" s="92"/>
      <c r="R115" s="93">
        <f t="shared" si="6"/>
        <v>46.4</v>
      </c>
      <c r="S115" s="208">
        <v>1</v>
      </c>
      <c r="T115" s="81"/>
      <c r="V115" s="82" t="s">
        <v>340</v>
      </c>
      <c r="W115" s="208" t="s">
        <v>74</v>
      </c>
      <c r="X115" s="208" t="s">
        <v>11</v>
      </c>
      <c r="Y115" s="83">
        <v>46.4</v>
      </c>
      <c r="Z115" s="150"/>
      <c r="AA115" s="150"/>
      <c r="AB115" s="150"/>
      <c r="AC115" s="150"/>
      <c r="AD115" s="82"/>
      <c r="AG115" s="83"/>
      <c r="AL115" s="82"/>
      <c r="AO115" s="83"/>
      <c r="AP115" s="82"/>
      <c r="AS115" s="83"/>
      <c r="AW115" s="83"/>
      <c r="BA115" s="84"/>
    </row>
    <row r="116" spans="1:53" s="208" customFormat="1">
      <c r="A116" s="208">
        <v>2008</v>
      </c>
      <c r="B116" s="149">
        <v>39756</v>
      </c>
      <c r="C116" s="988" t="s">
        <v>1280</v>
      </c>
      <c r="D116" s="988"/>
      <c r="E116" s="208">
        <v>58</v>
      </c>
      <c r="F116" s="150" t="s">
        <v>337</v>
      </c>
      <c r="G116" s="123">
        <v>22</v>
      </c>
      <c r="J116" s="134">
        <v>22</v>
      </c>
      <c r="K116" s="92">
        <f t="shared" si="4"/>
        <v>100</v>
      </c>
      <c r="L116" s="92">
        <f t="shared" si="4"/>
        <v>0</v>
      </c>
      <c r="M116" s="92">
        <f t="shared" si="4"/>
        <v>0</v>
      </c>
      <c r="N116" s="125">
        <f t="shared" si="5"/>
        <v>100</v>
      </c>
      <c r="O116" s="91">
        <v>40.9</v>
      </c>
      <c r="P116" s="92"/>
      <c r="Q116" s="92"/>
      <c r="R116" s="93">
        <f t="shared" si="6"/>
        <v>40.9</v>
      </c>
      <c r="S116" s="208">
        <v>1</v>
      </c>
      <c r="T116" s="95">
        <v>39756</v>
      </c>
      <c r="V116" s="82" t="s">
        <v>340</v>
      </c>
      <c r="W116" s="208" t="s">
        <v>74</v>
      </c>
      <c r="X116" s="208" t="s">
        <v>11</v>
      </c>
      <c r="Y116" s="83">
        <v>40.9</v>
      </c>
      <c r="Z116" s="150"/>
      <c r="AA116" s="150"/>
      <c r="AB116" s="150"/>
      <c r="AC116" s="150"/>
      <c r="AD116" s="82"/>
      <c r="AG116" s="83"/>
      <c r="AL116" s="82"/>
      <c r="AO116" s="83"/>
      <c r="AP116" s="82"/>
      <c r="AS116" s="83"/>
      <c r="AW116" s="83"/>
      <c r="BA116" s="84"/>
    </row>
    <row r="117" spans="1:53" s="208" customFormat="1">
      <c r="A117" s="208">
        <v>2009</v>
      </c>
      <c r="C117" s="988" t="s">
        <v>1280</v>
      </c>
      <c r="D117" s="988"/>
      <c r="E117" s="208">
        <v>19</v>
      </c>
      <c r="G117" s="123">
        <v>22</v>
      </c>
      <c r="J117" s="134">
        <v>22</v>
      </c>
      <c r="K117" s="92">
        <f t="shared" si="4"/>
        <v>100</v>
      </c>
      <c r="L117" s="92">
        <f t="shared" si="4"/>
        <v>0</v>
      </c>
      <c r="M117" s="92">
        <f t="shared" si="4"/>
        <v>0</v>
      </c>
      <c r="N117" s="125">
        <f t="shared" si="5"/>
        <v>100</v>
      </c>
      <c r="O117" s="91">
        <v>40.9</v>
      </c>
      <c r="P117" s="92"/>
      <c r="Q117" s="92"/>
      <c r="R117" s="93">
        <f t="shared" si="6"/>
        <v>40.9</v>
      </c>
      <c r="S117" s="208">
        <v>1</v>
      </c>
      <c r="T117" s="81"/>
      <c r="V117" s="82" t="s">
        <v>340</v>
      </c>
      <c r="W117" s="208" t="s">
        <v>74</v>
      </c>
      <c r="X117" s="208" t="s">
        <v>11</v>
      </c>
      <c r="Y117" s="83">
        <v>40.9</v>
      </c>
      <c r="Z117" s="150"/>
      <c r="AA117" s="150"/>
      <c r="AB117" s="150"/>
      <c r="AC117" s="150"/>
      <c r="AD117" s="82"/>
      <c r="AG117" s="83"/>
      <c r="AL117" s="82"/>
      <c r="AO117" s="83"/>
      <c r="AP117" s="82"/>
      <c r="AS117" s="83"/>
      <c r="AW117" s="83"/>
      <c r="BA117" s="84"/>
    </row>
    <row r="118" spans="1:53" s="334" customFormat="1">
      <c r="A118" s="334">
        <v>2009</v>
      </c>
      <c r="B118" s="355">
        <v>39833</v>
      </c>
      <c r="C118" s="992" t="s">
        <v>594</v>
      </c>
      <c r="D118" s="992"/>
      <c r="E118" s="334">
        <f>365-E117</f>
        <v>346</v>
      </c>
      <c r="F118" s="334">
        <v>1</v>
      </c>
      <c r="G118" s="419">
        <v>2</v>
      </c>
      <c r="H118" s="334">
        <v>15</v>
      </c>
      <c r="J118" s="435">
        <v>17</v>
      </c>
      <c r="K118" s="384">
        <f t="shared" si="4"/>
        <v>11.76470588235294</v>
      </c>
      <c r="L118" s="384">
        <f t="shared" si="4"/>
        <v>88.235294117647058</v>
      </c>
      <c r="M118" s="384">
        <f t="shared" si="4"/>
        <v>0</v>
      </c>
      <c r="N118" s="421">
        <f t="shared" si="5"/>
        <v>100</v>
      </c>
      <c r="O118" s="383"/>
      <c r="P118" s="384">
        <v>59.1</v>
      </c>
      <c r="Q118" s="384"/>
      <c r="R118" s="385">
        <f t="shared" si="6"/>
        <v>59.1</v>
      </c>
      <c r="S118" s="334">
        <v>1</v>
      </c>
      <c r="T118" s="357"/>
      <c r="U118" s="355">
        <v>39833</v>
      </c>
      <c r="V118" s="343" t="s">
        <v>131</v>
      </c>
      <c r="W118" s="334" t="s">
        <v>22</v>
      </c>
      <c r="X118" s="334" t="s">
        <v>18</v>
      </c>
      <c r="Y118" s="344">
        <v>59.1</v>
      </c>
      <c r="Z118" s="441" t="s">
        <v>340</v>
      </c>
      <c r="AA118" s="441" t="s">
        <v>74</v>
      </c>
      <c r="AB118" s="441" t="s">
        <v>11</v>
      </c>
      <c r="AC118" s="441">
        <v>40.9</v>
      </c>
      <c r="AD118" s="343"/>
      <c r="AG118" s="344"/>
      <c r="AL118" s="343"/>
      <c r="AO118" s="344"/>
      <c r="AP118" s="343"/>
      <c r="AS118" s="344"/>
      <c r="AW118" s="344"/>
      <c r="BA118" s="345"/>
    </row>
    <row r="119" spans="1:53" s="334" customFormat="1">
      <c r="A119" s="334">
        <v>2010</v>
      </c>
      <c r="C119" s="992" t="s">
        <v>594</v>
      </c>
      <c r="D119" s="992"/>
      <c r="E119" s="334">
        <v>305</v>
      </c>
      <c r="G119" s="419">
        <v>2</v>
      </c>
      <c r="H119" s="334">
        <v>15</v>
      </c>
      <c r="J119" s="435">
        <v>17</v>
      </c>
      <c r="K119" s="384">
        <f t="shared" si="4"/>
        <v>11.76470588235294</v>
      </c>
      <c r="L119" s="384">
        <f t="shared" si="4"/>
        <v>88.235294117647058</v>
      </c>
      <c r="M119" s="384">
        <f t="shared" si="4"/>
        <v>0</v>
      </c>
      <c r="N119" s="421">
        <f t="shared" si="5"/>
        <v>100</v>
      </c>
      <c r="O119" s="383"/>
      <c r="P119" s="384">
        <v>59.1</v>
      </c>
      <c r="Q119" s="384"/>
      <c r="R119" s="385">
        <f t="shared" si="6"/>
        <v>59.1</v>
      </c>
      <c r="S119" s="334">
        <v>1</v>
      </c>
      <c r="T119" s="357"/>
      <c r="V119" s="343" t="s">
        <v>131</v>
      </c>
      <c r="W119" s="334" t="s">
        <v>22</v>
      </c>
      <c r="X119" s="334" t="s">
        <v>18</v>
      </c>
      <c r="Y119" s="344">
        <v>59.1</v>
      </c>
      <c r="Z119" s="441" t="s">
        <v>340</v>
      </c>
      <c r="AA119" s="441" t="s">
        <v>74</v>
      </c>
      <c r="AB119" s="441" t="s">
        <v>11</v>
      </c>
      <c r="AC119" s="441">
        <v>40.9</v>
      </c>
      <c r="AD119" s="343"/>
      <c r="AG119" s="344"/>
      <c r="AL119" s="343"/>
      <c r="AO119" s="344"/>
      <c r="AP119" s="343"/>
      <c r="AS119" s="344"/>
      <c r="AW119" s="344"/>
      <c r="BA119" s="345"/>
    </row>
    <row r="120" spans="1:53" s="334" customFormat="1">
      <c r="A120" s="334">
        <v>2010</v>
      </c>
      <c r="B120" s="445">
        <v>40484</v>
      </c>
      <c r="C120" s="992" t="s">
        <v>594</v>
      </c>
      <c r="D120" s="992"/>
      <c r="E120" s="334">
        <v>60</v>
      </c>
      <c r="F120" s="441" t="s">
        <v>337</v>
      </c>
      <c r="G120" s="419">
        <v>2</v>
      </c>
      <c r="H120" s="334">
        <v>15</v>
      </c>
      <c r="J120" s="435">
        <v>17</v>
      </c>
      <c r="K120" s="384">
        <f t="shared" ref="K120:M124" si="7">G120/$J120*100</f>
        <v>11.76470588235294</v>
      </c>
      <c r="L120" s="384">
        <f t="shared" si="7"/>
        <v>88.235294117647058</v>
      </c>
      <c r="M120" s="384">
        <f t="shared" si="7"/>
        <v>0</v>
      </c>
      <c r="N120" s="421">
        <f t="shared" ref="N120:N125" si="8">K120+L120+M120</f>
        <v>100</v>
      </c>
      <c r="O120" s="383"/>
      <c r="P120" s="384">
        <v>44.4</v>
      </c>
      <c r="Q120" s="384"/>
      <c r="R120" s="385">
        <f t="shared" si="6"/>
        <v>44.4</v>
      </c>
      <c r="S120" s="334">
        <v>1</v>
      </c>
      <c r="T120" s="342">
        <v>40484</v>
      </c>
      <c r="V120" s="343" t="s">
        <v>131</v>
      </c>
      <c r="W120" s="334" t="s">
        <v>22</v>
      </c>
      <c r="X120" s="334" t="s">
        <v>18</v>
      </c>
      <c r="Y120" s="344">
        <v>44.4</v>
      </c>
      <c r="Z120" s="441" t="s">
        <v>340</v>
      </c>
      <c r="AA120" s="441" t="s">
        <v>74</v>
      </c>
      <c r="AB120" s="441" t="s">
        <v>11</v>
      </c>
      <c r="AC120" s="441">
        <v>55.6</v>
      </c>
      <c r="AD120" s="343"/>
      <c r="AG120" s="344"/>
      <c r="AL120" s="343"/>
      <c r="AO120" s="344"/>
      <c r="AP120" s="343"/>
      <c r="AS120" s="344"/>
      <c r="AW120" s="344"/>
      <c r="BA120" s="345"/>
    </row>
    <row r="121" spans="1:53" s="334" customFormat="1">
      <c r="A121" s="334">
        <v>2011</v>
      </c>
      <c r="C121" s="992" t="s">
        <v>594</v>
      </c>
      <c r="D121" s="992"/>
      <c r="E121" s="334">
        <v>181</v>
      </c>
      <c r="G121" s="419">
        <v>2</v>
      </c>
      <c r="H121" s="334">
        <v>15</v>
      </c>
      <c r="J121" s="435">
        <v>17</v>
      </c>
      <c r="K121" s="384">
        <f t="shared" si="7"/>
        <v>11.76470588235294</v>
      </c>
      <c r="L121" s="384">
        <f t="shared" si="7"/>
        <v>88.235294117647058</v>
      </c>
      <c r="M121" s="384">
        <f t="shared" si="7"/>
        <v>0</v>
      </c>
      <c r="N121" s="421">
        <f t="shared" si="8"/>
        <v>100</v>
      </c>
      <c r="O121" s="383"/>
      <c r="P121" s="384">
        <v>44.4</v>
      </c>
      <c r="Q121" s="384"/>
      <c r="R121" s="385">
        <f t="shared" si="6"/>
        <v>44.4</v>
      </c>
      <c r="S121" s="334">
        <v>1</v>
      </c>
      <c r="T121" s="357"/>
      <c r="V121" s="343" t="s">
        <v>131</v>
      </c>
      <c r="W121" s="334" t="s">
        <v>22</v>
      </c>
      <c r="X121" s="334" t="s">
        <v>18</v>
      </c>
      <c r="Y121" s="344">
        <v>44.4</v>
      </c>
      <c r="Z121" s="441" t="s">
        <v>340</v>
      </c>
      <c r="AA121" s="441" t="s">
        <v>74</v>
      </c>
      <c r="AB121" s="441" t="s">
        <v>11</v>
      </c>
      <c r="AC121" s="441">
        <v>55.6</v>
      </c>
      <c r="AD121" s="343"/>
      <c r="AG121" s="344"/>
      <c r="AL121" s="343"/>
      <c r="AO121" s="344"/>
      <c r="AP121" s="343"/>
      <c r="AS121" s="344"/>
      <c r="AW121" s="344"/>
      <c r="BA121" s="345"/>
    </row>
    <row r="122" spans="1:53" s="334" customFormat="1">
      <c r="A122" s="334">
        <v>2011</v>
      </c>
      <c r="B122" s="445">
        <v>40725</v>
      </c>
      <c r="C122" s="992" t="s">
        <v>594</v>
      </c>
      <c r="D122" s="992"/>
      <c r="E122" s="334">
        <v>184</v>
      </c>
      <c r="F122" s="441">
        <v>0</v>
      </c>
      <c r="G122" s="419">
        <v>1</v>
      </c>
      <c r="H122" s="334">
        <v>16</v>
      </c>
      <c r="J122" s="435">
        <v>17</v>
      </c>
      <c r="K122" s="384">
        <f t="shared" si="7"/>
        <v>5.8823529411764701</v>
      </c>
      <c r="L122" s="384">
        <f t="shared" si="7"/>
        <v>94.117647058823522</v>
      </c>
      <c r="M122" s="384">
        <f t="shared" si="7"/>
        <v>0</v>
      </c>
      <c r="N122" s="421">
        <f t="shared" si="8"/>
        <v>99.999999999999986</v>
      </c>
      <c r="O122" s="383"/>
      <c r="P122" s="384">
        <v>44.4</v>
      </c>
      <c r="Q122" s="384"/>
      <c r="R122" s="385">
        <f t="shared" si="6"/>
        <v>44.4</v>
      </c>
      <c r="S122" s="334">
        <v>1</v>
      </c>
      <c r="T122" s="357"/>
      <c r="V122" s="343" t="s">
        <v>131</v>
      </c>
      <c r="W122" s="334" t="s">
        <v>22</v>
      </c>
      <c r="X122" s="334" t="s">
        <v>18</v>
      </c>
      <c r="Y122" s="344">
        <v>44.4</v>
      </c>
      <c r="Z122" s="441" t="s">
        <v>340</v>
      </c>
      <c r="AA122" s="441" t="s">
        <v>74</v>
      </c>
      <c r="AB122" s="441" t="s">
        <v>11</v>
      </c>
      <c r="AC122" s="441">
        <v>55.6</v>
      </c>
      <c r="AD122" s="343"/>
      <c r="AG122" s="344"/>
      <c r="AL122" s="343"/>
      <c r="AO122" s="344"/>
      <c r="AP122" s="343"/>
      <c r="AS122" s="344"/>
      <c r="AW122" s="344"/>
      <c r="BA122" s="345"/>
    </row>
    <row r="123" spans="1:53" s="334" customFormat="1">
      <c r="A123" s="334">
        <v>2012</v>
      </c>
      <c r="B123" s="467"/>
      <c r="C123" s="992" t="s">
        <v>594</v>
      </c>
      <c r="D123" s="992"/>
      <c r="E123" s="334">
        <v>310</v>
      </c>
      <c r="G123" s="419">
        <v>1</v>
      </c>
      <c r="H123" s="334">
        <v>16</v>
      </c>
      <c r="J123" s="435">
        <v>17</v>
      </c>
      <c r="K123" s="384">
        <f t="shared" si="7"/>
        <v>5.8823529411764701</v>
      </c>
      <c r="L123" s="384">
        <f t="shared" si="7"/>
        <v>94.117647058823522</v>
      </c>
      <c r="M123" s="384">
        <f t="shared" si="7"/>
        <v>0</v>
      </c>
      <c r="N123" s="421">
        <f t="shared" si="8"/>
        <v>99.999999999999986</v>
      </c>
      <c r="O123" s="383"/>
      <c r="P123" s="384">
        <v>44.4</v>
      </c>
      <c r="Q123" s="384"/>
      <c r="R123" s="385">
        <f t="shared" si="6"/>
        <v>44.4</v>
      </c>
      <c r="S123" s="334">
        <v>1</v>
      </c>
      <c r="T123" s="357"/>
      <c r="V123" s="343" t="s">
        <v>131</v>
      </c>
      <c r="W123" s="334" t="s">
        <v>22</v>
      </c>
      <c r="X123" s="334" t="s">
        <v>18</v>
      </c>
      <c r="Y123" s="344">
        <v>44.4</v>
      </c>
      <c r="Z123" s="441" t="s">
        <v>340</v>
      </c>
      <c r="AA123" s="441" t="s">
        <v>74</v>
      </c>
      <c r="AB123" s="441" t="s">
        <v>11</v>
      </c>
      <c r="AC123" s="441">
        <v>55.6</v>
      </c>
      <c r="AD123" s="343"/>
      <c r="AG123" s="344"/>
      <c r="AL123" s="343"/>
      <c r="AO123" s="344"/>
      <c r="AP123" s="343"/>
      <c r="AS123" s="344"/>
      <c r="AW123" s="344"/>
      <c r="BA123" s="345"/>
    </row>
    <row r="124" spans="1:53" s="334" customFormat="1">
      <c r="A124" s="334">
        <v>2012</v>
      </c>
      <c r="B124" s="445">
        <v>41219</v>
      </c>
      <c r="C124" s="992" t="s">
        <v>594</v>
      </c>
      <c r="D124" s="992"/>
      <c r="E124" s="334">
        <v>56</v>
      </c>
      <c r="F124" s="441" t="s">
        <v>337</v>
      </c>
      <c r="G124" s="419">
        <v>1</v>
      </c>
      <c r="H124" s="334">
        <v>16</v>
      </c>
      <c r="J124" s="435">
        <v>17</v>
      </c>
      <c r="K124" s="384">
        <f t="shared" si="7"/>
        <v>5.8823529411764701</v>
      </c>
      <c r="L124" s="384">
        <f t="shared" si="7"/>
        <v>94.117647058823522</v>
      </c>
      <c r="M124" s="384">
        <f t="shared" si="7"/>
        <v>0</v>
      </c>
      <c r="N124" s="421">
        <f t="shared" si="8"/>
        <v>99.999999999999986</v>
      </c>
      <c r="O124" s="383"/>
      <c r="P124" s="384">
        <v>46.2</v>
      </c>
      <c r="Q124" s="384"/>
      <c r="R124" s="385">
        <f t="shared" si="6"/>
        <v>46.2</v>
      </c>
      <c r="S124" s="334">
        <v>1</v>
      </c>
      <c r="T124" s="342">
        <v>41219</v>
      </c>
      <c r="V124" s="343" t="s">
        <v>131</v>
      </c>
      <c r="W124" s="334" t="s">
        <v>22</v>
      </c>
      <c r="X124" s="334" t="s">
        <v>18</v>
      </c>
      <c r="Y124" s="344">
        <v>46.2</v>
      </c>
      <c r="Z124" s="441" t="s">
        <v>340</v>
      </c>
      <c r="AA124" s="441" t="s">
        <v>74</v>
      </c>
      <c r="AB124" s="441" t="s">
        <v>11</v>
      </c>
      <c r="AC124" s="441">
        <v>53.8</v>
      </c>
      <c r="AD124" s="343"/>
      <c r="AG124" s="344"/>
      <c r="AL124" s="343"/>
      <c r="AO124" s="344"/>
      <c r="AP124" s="343"/>
      <c r="AS124" s="344"/>
      <c r="AW124" s="344"/>
      <c r="BA124" s="345"/>
    </row>
    <row r="125" spans="1:53" s="334" customFormat="1">
      <c r="A125" s="334">
        <v>2013</v>
      </c>
      <c r="B125" s="445"/>
      <c r="C125" s="992" t="s">
        <v>594</v>
      </c>
      <c r="D125" s="992"/>
      <c r="E125" s="334">
        <v>19</v>
      </c>
      <c r="F125" s="441"/>
      <c r="G125" s="419">
        <v>1</v>
      </c>
      <c r="H125" s="334">
        <v>16</v>
      </c>
      <c r="J125" s="435">
        <v>17</v>
      </c>
      <c r="K125" s="384">
        <f t="shared" ref="K125:M125" si="9">G125/$J125*100</f>
        <v>5.8823529411764701</v>
      </c>
      <c r="L125" s="384">
        <f t="shared" si="9"/>
        <v>94.117647058823522</v>
      </c>
      <c r="M125" s="384">
        <f t="shared" si="9"/>
        <v>0</v>
      </c>
      <c r="N125" s="421">
        <f t="shared" si="8"/>
        <v>99.999999999999986</v>
      </c>
      <c r="O125" s="383"/>
      <c r="P125" s="384">
        <v>46.2</v>
      </c>
      <c r="Q125" s="384"/>
      <c r="R125" s="641">
        <f t="shared" si="6"/>
        <v>46.2</v>
      </c>
      <c r="S125" s="334">
        <v>1</v>
      </c>
      <c r="T125" s="342"/>
      <c r="V125" s="343" t="s">
        <v>131</v>
      </c>
      <c r="W125" s="334" t="s">
        <v>22</v>
      </c>
      <c r="X125" s="334" t="s">
        <v>18</v>
      </c>
      <c r="Y125" s="344">
        <v>46.2</v>
      </c>
      <c r="Z125" s="441" t="s">
        <v>340</v>
      </c>
      <c r="AA125" s="441" t="s">
        <v>74</v>
      </c>
      <c r="AB125" s="441" t="s">
        <v>11</v>
      </c>
      <c r="AC125" s="441">
        <v>53.8</v>
      </c>
      <c r="AD125" s="343"/>
      <c r="AG125" s="344"/>
      <c r="AL125" s="343"/>
      <c r="AO125" s="344"/>
      <c r="AP125" s="343"/>
      <c r="AS125" s="344"/>
      <c r="AW125" s="344"/>
      <c r="BA125" s="345"/>
    </row>
    <row r="126" spans="1:53" s="310" customFormat="1">
      <c r="A126" s="310">
        <v>2013</v>
      </c>
      <c r="B126" s="308">
        <v>41294</v>
      </c>
      <c r="C126" s="988" t="s">
        <v>1263</v>
      </c>
      <c r="D126" s="988"/>
      <c r="E126" s="310">
        <f>365-E125</f>
        <v>346</v>
      </c>
      <c r="F126" s="310">
        <v>1</v>
      </c>
      <c r="G126" s="123">
        <v>1</v>
      </c>
      <c r="H126" s="310">
        <v>16</v>
      </c>
      <c r="J126" s="134">
        <v>17</v>
      </c>
      <c r="K126" s="593">
        <f t="shared" ref="K126:K139" si="10">G126/$J126*100</f>
        <v>5.8823529411764701</v>
      </c>
      <c r="L126" s="593">
        <f t="shared" ref="L126:L139" si="11">H126/$J126*100</f>
        <v>94.117647058823522</v>
      </c>
      <c r="M126" s="593">
        <f t="shared" ref="M126:M139" si="12">I126/$J126*100</f>
        <v>0</v>
      </c>
      <c r="N126" s="597">
        <f t="shared" ref="N126:N139" si="13">K126+L126+M126</f>
        <v>99.999999999999986</v>
      </c>
      <c r="O126" s="91"/>
      <c r="P126" s="92">
        <v>46.2</v>
      </c>
      <c r="Q126" s="92"/>
      <c r="R126" s="594">
        <f t="shared" si="6"/>
        <v>46.2</v>
      </c>
      <c r="S126" s="310">
        <v>1</v>
      </c>
      <c r="T126" s="81"/>
      <c r="U126" s="308">
        <v>41294</v>
      </c>
      <c r="V126" s="82" t="s">
        <v>131</v>
      </c>
      <c r="W126" s="310" t="s">
        <v>22</v>
      </c>
      <c r="X126" s="310" t="s">
        <v>18</v>
      </c>
      <c r="Y126" s="83">
        <v>46.2</v>
      </c>
      <c r="Z126" s="150" t="s">
        <v>340</v>
      </c>
      <c r="AA126" s="150" t="s">
        <v>74</v>
      </c>
      <c r="AB126" s="150" t="s">
        <v>11</v>
      </c>
      <c r="AC126" s="150">
        <v>53.8</v>
      </c>
      <c r="AD126" s="82"/>
      <c r="AG126" s="83"/>
      <c r="AL126" s="82"/>
      <c r="AO126" s="83"/>
      <c r="AP126" s="82"/>
      <c r="AS126" s="83"/>
      <c r="AW126" s="83"/>
      <c r="BA126" s="84"/>
    </row>
    <row r="127" spans="1:53" s="562" customFormat="1">
      <c r="A127" s="563">
        <v>2014</v>
      </c>
      <c r="B127" s="568"/>
      <c r="C127" s="988" t="s">
        <v>1263</v>
      </c>
      <c r="D127" s="988"/>
      <c r="E127" s="563">
        <v>209</v>
      </c>
      <c r="F127" s="563"/>
      <c r="G127" s="571">
        <v>1</v>
      </c>
      <c r="H127" s="563">
        <v>16</v>
      </c>
      <c r="I127" s="563"/>
      <c r="J127" s="572">
        <v>17</v>
      </c>
      <c r="K127" s="593">
        <f t="shared" si="10"/>
        <v>5.8823529411764701</v>
      </c>
      <c r="L127" s="593">
        <f t="shared" si="11"/>
        <v>94.117647058823522</v>
      </c>
      <c r="M127" s="593">
        <f t="shared" si="12"/>
        <v>0</v>
      </c>
      <c r="N127" s="597">
        <f t="shared" si="13"/>
        <v>99.999999999999986</v>
      </c>
      <c r="O127" s="569"/>
      <c r="P127" s="570">
        <v>46.2</v>
      </c>
      <c r="Q127" s="570"/>
      <c r="R127" s="594">
        <f t="shared" si="6"/>
        <v>46.2</v>
      </c>
      <c r="S127" s="563">
        <v>1</v>
      </c>
      <c r="T127" s="564"/>
      <c r="U127" s="568"/>
      <c r="V127" s="565" t="s">
        <v>131</v>
      </c>
      <c r="W127" s="563" t="s">
        <v>22</v>
      </c>
      <c r="X127" s="563" t="s">
        <v>18</v>
      </c>
      <c r="Y127" s="566">
        <v>46.2</v>
      </c>
      <c r="Z127" s="573" t="s">
        <v>340</v>
      </c>
      <c r="AA127" s="573" t="s">
        <v>74</v>
      </c>
      <c r="AB127" s="573" t="s">
        <v>11</v>
      </c>
      <c r="AC127" s="573">
        <v>53.8</v>
      </c>
      <c r="AD127" s="565"/>
      <c r="AE127" s="563"/>
      <c r="AF127" s="563"/>
      <c r="AG127" s="566"/>
      <c r="AH127" s="563"/>
      <c r="AI127" s="563"/>
      <c r="AJ127" s="563"/>
      <c r="AK127" s="563"/>
      <c r="AL127" s="565"/>
      <c r="AM127" s="563"/>
      <c r="AN127" s="563"/>
      <c r="AO127" s="566"/>
      <c r="AP127" s="565"/>
      <c r="AQ127" s="563"/>
      <c r="AR127" s="563"/>
      <c r="AS127" s="566"/>
      <c r="AT127" s="563"/>
      <c r="AU127" s="563"/>
      <c r="AV127" s="563"/>
      <c r="AW127" s="566"/>
      <c r="AX127" s="563"/>
      <c r="AY127" s="563"/>
      <c r="AZ127" s="563"/>
      <c r="BA127" s="567"/>
    </row>
    <row r="128" spans="1:53" s="562" customFormat="1">
      <c r="A128" s="574">
        <v>2014</v>
      </c>
      <c r="B128" s="584">
        <v>41849</v>
      </c>
      <c r="C128" s="988" t="s">
        <v>1263</v>
      </c>
      <c r="D128" s="988"/>
      <c r="E128" s="574">
        <v>98</v>
      </c>
      <c r="F128" s="585">
        <v>0</v>
      </c>
      <c r="G128" s="582">
        <v>2</v>
      </c>
      <c r="H128" s="574">
        <v>15</v>
      </c>
      <c r="I128" s="574"/>
      <c r="J128" s="583">
        <v>17</v>
      </c>
      <c r="K128" s="593">
        <f t="shared" si="10"/>
        <v>11.76470588235294</v>
      </c>
      <c r="L128" s="593">
        <f t="shared" si="11"/>
        <v>88.235294117647058</v>
      </c>
      <c r="M128" s="593">
        <f t="shared" si="12"/>
        <v>0</v>
      </c>
      <c r="N128" s="597">
        <f t="shared" si="13"/>
        <v>100</v>
      </c>
      <c r="O128" s="580"/>
      <c r="P128" s="581">
        <v>46.2</v>
      </c>
      <c r="Q128" s="581"/>
      <c r="R128" s="594">
        <f t="shared" si="6"/>
        <v>46.2</v>
      </c>
      <c r="S128" s="574">
        <v>1</v>
      </c>
      <c r="T128" s="575"/>
      <c r="U128" s="579"/>
      <c r="V128" s="576" t="s">
        <v>131</v>
      </c>
      <c r="W128" s="574" t="s">
        <v>22</v>
      </c>
      <c r="X128" s="574" t="s">
        <v>18</v>
      </c>
      <c r="Y128" s="577">
        <v>46.2</v>
      </c>
      <c r="Z128" s="585" t="s">
        <v>340</v>
      </c>
      <c r="AA128" s="585" t="s">
        <v>74</v>
      </c>
      <c r="AB128" s="585" t="s">
        <v>11</v>
      </c>
      <c r="AC128" s="585">
        <v>53.8</v>
      </c>
      <c r="AD128" s="576"/>
      <c r="AE128" s="574"/>
      <c r="AF128" s="574"/>
      <c r="AG128" s="577"/>
      <c r="AH128" s="574"/>
      <c r="AI128" s="574"/>
      <c r="AJ128" s="574"/>
      <c r="AK128" s="574"/>
      <c r="AL128" s="576"/>
      <c r="AM128" s="574"/>
      <c r="AN128" s="574"/>
      <c r="AO128" s="577"/>
      <c r="AP128" s="576"/>
      <c r="AQ128" s="574"/>
      <c r="AR128" s="574"/>
      <c r="AS128" s="577"/>
      <c r="AT128" s="574"/>
      <c r="AU128" s="574"/>
      <c r="AV128" s="574"/>
      <c r="AW128" s="577"/>
      <c r="AX128" s="574"/>
      <c r="AY128" s="574"/>
      <c r="AZ128" s="574"/>
      <c r="BA128" s="578"/>
    </row>
    <row r="129" spans="1:53" s="562" customFormat="1">
      <c r="A129" s="587">
        <v>2014</v>
      </c>
      <c r="B129" s="599">
        <v>41947</v>
      </c>
      <c r="C129" s="988" t="s">
        <v>1263</v>
      </c>
      <c r="D129" s="988"/>
      <c r="E129" s="587">
        <v>58</v>
      </c>
      <c r="F129" s="600" t="s">
        <v>337</v>
      </c>
      <c r="G129" s="596">
        <v>2</v>
      </c>
      <c r="H129" s="587">
        <v>15</v>
      </c>
      <c r="I129" s="587"/>
      <c r="J129" s="598">
        <v>17</v>
      </c>
      <c r="K129" s="593">
        <f t="shared" si="10"/>
        <v>11.76470588235294</v>
      </c>
      <c r="L129" s="593">
        <f t="shared" si="11"/>
        <v>88.235294117647058</v>
      </c>
      <c r="M129" s="593">
        <f t="shared" si="12"/>
        <v>0</v>
      </c>
      <c r="N129" s="597">
        <f t="shared" si="13"/>
        <v>100</v>
      </c>
      <c r="O129" s="592"/>
      <c r="P129" s="593">
        <v>43.2</v>
      </c>
      <c r="Q129" s="593"/>
      <c r="R129" s="594">
        <f t="shared" si="6"/>
        <v>43.2</v>
      </c>
      <c r="S129" s="587">
        <v>1</v>
      </c>
      <c r="T129" s="595">
        <v>41947</v>
      </c>
      <c r="U129" s="591"/>
      <c r="V129" s="588" t="s">
        <v>131</v>
      </c>
      <c r="W129" s="587" t="s">
        <v>22</v>
      </c>
      <c r="X129" s="587" t="s">
        <v>18</v>
      </c>
      <c r="Y129" s="589">
        <v>43.2</v>
      </c>
      <c r="Z129" s="600" t="s">
        <v>340</v>
      </c>
      <c r="AA129" s="600" t="s">
        <v>74</v>
      </c>
      <c r="AB129" s="600" t="s">
        <v>11</v>
      </c>
      <c r="AC129" s="600">
        <v>56.8</v>
      </c>
      <c r="AD129" s="588"/>
      <c r="AE129" s="587"/>
      <c r="AF129" s="587"/>
      <c r="AG129" s="589"/>
      <c r="AH129" s="587"/>
      <c r="AI129" s="587"/>
      <c r="AJ129" s="587"/>
      <c r="AK129" s="587"/>
      <c r="AL129" s="588"/>
      <c r="AM129" s="587"/>
      <c r="AN129" s="587"/>
      <c r="AO129" s="589"/>
      <c r="AP129" s="588"/>
      <c r="AQ129" s="587"/>
      <c r="AR129" s="587"/>
      <c r="AS129" s="589"/>
      <c r="AT129" s="587"/>
      <c r="AU129" s="587"/>
      <c r="AV129" s="587"/>
      <c r="AW129" s="589"/>
      <c r="AX129" s="587"/>
      <c r="AY129" s="587"/>
      <c r="AZ129" s="587"/>
      <c r="BA129" s="590"/>
    </row>
    <row r="130" spans="1:53" s="762" customFormat="1">
      <c r="A130" s="762">
        <v>2015</v>
      </c>
      <c r="B130" s="599"/>
      <c r="C130" s="988" t="s">
        <v>1263</v>
      </c>
      <c r="D130" s="988"/>
      <c r="E130" s="762">
        <v>42</v>
      </c>
      <c r="F130" s="600"/>
      <c r="G130" s="596">
        <v>2</v>
      </c>
      <c r="H130" s="762">
        <v>15</v>
      </c>
      <c r="J130" s="598">
        <v>17</v>
      </c>
      <c r="K130" s="593">
        <f t="shared" si="10"/>
        <v>11.76470588235294</v>
      </c>
      <c r="L130" s="593">
        <f t="shared" si="11"/>
        <v>88.235294117647058</v>
      </c>
      <c r="M130" s="593">
        <f t="shared" si="12"/>
        <v>0</v>
      </c>
      <c r="N130" s="597">
        <f t="shared" si="13"/>
        <v>100</v>
      </c>
      <c r="O130" s="592"/>
      <c r="P130" s="593">
        <v>43.2</v>
      </c>
      <c r="Q130" s="593"/>
      <c r="R130" s="594">
        <f t="shared" si="6"/>
        <v>43.2</v>
      </c>
      <c r="S130" s="762">
        <v>1</v>
      </c>
      <c r="T130" s="595"/>
      <c r="U130" s="758"/>
      <c r="V130" s="588" t="s">
        <v>131</v>
      </c>
      <c r="W130" s="762" t="s">
        <v>22</v>
      </c>
      <c r="X130" s="762" t="s">
        <v>18</v>
      </c>
      <c r="Y130" s="589">
        <v>43.2</v>
      </c>
      <c r="Z130" s="600" t="s">
        <v>340</v>
      </c>
      <c r="AA130" s="600" t="s">
        <v>74</v>
      </c>
      <c r="AB130" s="600" t="s">
        <v>11</v>
      </c>
      <c r="AC130" s="600">
        <v>56.8</v>
      </c>
      <c r="AD130" s="588"/>
      <c r="AG130" s="589"/>
      <c r="AL130" s="588"/>
      <c r="AO130" s="589"/>
      <c r="AP130" s="588"/>
      <c r="AS130" s="589"/>
      <c r="AW130" s="589"/>
      <c r="BA130" s="590"/>
    </row>
    <row r="131" spans="1:53" s="762" customFormat="1">
      <c r="A131" s="762">
        <v>2015</v>
      </c>
      <c r="B131" s="599">
        <v>42047</v>
      </c>
      <c r="C131" s="988" t="s">
        <v>1263</v>
      </c>
      <c r="D131" s="988"/>
      <c r="E131" s="762">
        <v>323</v>
      </c>
      <c r="F131" s="600">
        <v>0</v>
      </c>
      <c r="G131" s="596">
        <v>1</v>
      </c>
      <c r="H131" s="762">
        <v>16</v>
      </c>
      <c r="J131" s="598">
        <v>17</v>
      </c>
      <c r="K131" s="593">
        <f t="shared" si="10"/>
        <v>5.8823529411764701</v>
      </c>
      <c r="L131" s="593">
        <f t="shared" si="11"/>
        <v>94.117647058823522</v>
      </c>
      <c r="M131" s="593">
        <f t="shared" si="12"/>
        <v>0</v>
      </c>
      <c r="N131" s="597">
        <f t="shared" si="13"/>
        <v>99.999999999999986</v>
      </c>
      <c r="O131" s="592"/>
      <c r="P131" s="593">
        <v>43.2</v>
      </c>
      <c r="Q131" s="593"/>
      <c r="R131" s="594">
        <f t="shared" si="6"/>
        <v>43.2</v>
      </c>
      <c r="S131" s="762">
        <v>1</v>
      </c>
      <c r="T131" s="595"/>
      <c r="U131" s="758"/>
      <c r="V131" s="588" t="s">
        <v>131</v>
      </c>
      <c r="W131" s="762" t="s">
        <v>22</v>
      </c>
      <c r="X131" s="762" t="s">
        <v>18</v>
      </c>
      <c r="Y131" s="589">
        <v>43.2</v>
      </c>
      <c r="Z131" s="600" t="s">
        <v>340</v>
      </c>
      <c r="AA131" s="600" t="s">
        <v>74</v>
      </c>
      <c r="AB131" s="600" t="s">
        <v>11</v>
      </c>
      <c r="AC131" s="600">
        <v>56.8</v>
      </c>
      <c r="AD131" s="588"/>
      <c r="AG131" s="589"/>
      <c r="AL131" s="588"/>
      <c r="AO131" s="589"/>
      <c r="AP131" s="588"/>
      <c r="AS131" s="589"/>
      <c r="AW131" s="589"/>
      <c r="BA131" s="590"/>
    </row>
    <row r="132" spans="1:53" s="849" customFormat="1">
      <c r="A132" s="849">
        <v>2016</v>
      </c>
      <c r="B132" s="599"/>
      <c r="C132" s="988" t="s">
        <v>1263</v>
      </c>
      <c r="D132" s="988"/>
      <c r="E132" s="849">
        <v>0</v>
      </c>
      <c r="F132" s="600"/>
      <c r="G132" s="596">
        <v>1</v>
      </c>
      <c r="H132" s="864">
        <v>16</v>
      </c>
      <c r="I132" s="864"/>
      <c r="J132" s="598">
        <v>17</v>
      </c>
      <c r="K132" s="593">
        <f t="shared" si="10"/>
        <v>5.8823529411764701</v>
      </c>
      <c r="L132" s="593">
        <f t="shared" si="11"/>
        <v>94.117647058823522</v>
      </c>
      <c r="M132" s="593">
        <f t="shared" si="12"/>
        <v>0</v>
      </c>
      <c r="N132" s="597">
        <f t="shared" si="13"/>
        <v>99.999999999999986</v>
      </c>
      <c r="O132" s="592"/>
      <c r="P132" s="593">
        <v>43.2</v>
      </c>
      <c r="Q132" s="593"/>
      <c r="R132" s="594">
        <f t="shared" si="6"/>
        <v>43.2</v>
      </c>
      <c r="S132" s="849">
        <v>1</v>
      </c>
      <c r="T132" s="595"/>
      <c r="U132" s="846"/>
      <c r="V132" s="588" t="s">
        <v>131</v>
      </c>
      <c r="W132" s="849" t="s">
        <v>22</v>
      </c>
      <c r="X132" s="849" t="s">
        <v>18</v>
      </c>
      <c r="Y132" s="589">
        <v>43.2</v>
      </c>
      <c r="Z132" s="600" t="s">
        <v>340</v>
      </c>
      <c r="AA132" s="600" t="s">
        <v>74</v>
      </c>
      <c r="AB132" s="600" t="s">
        <v>11</v>
      </c>
      <c r="AC132" s="600">
        <v>56.8</v>
      </c>
      <c r="AD132" s="588"/>
      <c r="AG132" s="589"/>
      <c r="AL132" s="588"/>
      <c r="AO132" s="589"/>
      <c r="AP132" s="588"/>
      <c r="AS132" s="589"/>
      <c r="AW132" s="589"/>
      <c r="BA132" s="590"/>
    </row>
    <row r="133" spans="1:53" s="849" customFormat="1">
      <c r="A133" s="849">
        <v>2016</v>
      </c>
      <c r="B133" s="599"/>
      <c r="C133" s="988" t="s">
        <v>1263</v>
      </c>
      <c r="D133" s="988"/>
      <c r="E133" s="849">
        <v>366</v>
      </c>
      <c r="F133" s="600"/>
      <c r="G133" s="596">
        <v>1</v>
      </c>
      <c r="H133" s="864">
        <v>16</v>
      </c>
      <c r="I133" s="864"/>
      <c r="J133" s="598">
        <v>17</v>
      </c>
      <c r="K133" s="593">
        <f t="shared" si="10"/>
        <v>5.8823529411764701</v>
      </c>
      <c r="L133" s="593">
        <f t="shared" si="11"/>
        <v>94.117647058823522</v>
      </c>
      <c r="M133" s="593">
        <f t="shared" si="12"/>
        <v>0</v>
      </c>
      <c r="N133" s="597">
        <f t="shared" si="13"/>
        <v>99.999999999999986</v>
      </c>
      <c r="O133" s="592"/>
      <c r="P133" s="593">
        <v>43.2</v>
      </c>
      <c r="Q133" s="593"/>
      <c r="R133" s="594">
        <f t="shared" si="6"/>
        <v>43.2</v>
      </c>
      <c r="S133" s="849">
        <v>1</v>
      </c>
      <c r="T133" s="595"/>
      <c r="U133" s="846"/>
      <c r="V133" s="588" t="s">
        <v>131</v>
      </c>
      <c r="W133" s="849" t="s">
        <v>22</v>
      </c>
      <c r="X133" s="849" t="s">
        <v>18</v>
      </c>
      <c r="Y133" s="589">
        <v>43.2</v>
      </c>
      <c r="Z133" s="600" t="s">
        <v>340</v>
      </c>
      <c r="AA133" s="600" t="s">
        <v>74</v>
      </c>
      <c r="AB133" s="600" t="s">
        <v>11</v>
      </c>
      <c r="AC133" s="600">
        <v>56.8</v>
      </c>
      <c r="AD133" s="588"/>
      <c r="AG133" s="589"/>
      <c r="AL133" s="588"/>
      <c r="AO133" s="589"/>
      <c r="AP133" s="588"/>
      <c r="AS133" s="589"/>
      <c r="AW133" s="589"/>
      <c r="BA133" s="590"/>
    </row>
    <row r="134" spans="1:53" s="903" customFormat="1">
      <c r="A134" s="903">
        <v>2017</v>
      </c>
      <c r="B134" s="599"/>
      <c r="C134" s="988" t="s">
        <v>1263</v>
      </c>
      <c r="D134" s="988"/>
      <c r="E134" s="903">
        <v>19</v>
      </c>
      <c r="F134" s="600"/>
      <c r="G134" s="596">
        <v>1</v>
      </c>
      <c r="H134" s="903">
        <v>16</v>
      </c>
      <c r="J134" s="598">
        <v>17</v>
      </c>
      <c r="K134" s="593">
        <f t="shared" si="10"/>
        <v>5.8823529411764701</v>
      </c>
      <c r="L134" s="593">
        <f t="shared" si="11"/>
        <v>94.117647058823522</v>
      </c>
      <c r="M134" s="593">
        <f t="shared" si="12"/>
        <v>0</v>
      </c>
      <c r="N134" s="597">
        <f t="shared" si="13"/>
        <v>99.999999999999986</v>
      </c>
      <c r="O134" s="592"/>
      <c r="P134" s="593">
        <v>43.2</v>
      </c>
      <c r="Q134" s="593"/>
      <c r="R134" s="594">
        <f t="shared" si="6"/>
        <v>43.2</v>
      </c>
      <c r="S134" s="903">
        <v>1</v>
      </c>
      <c r="T134" s="595"/>
      <c r="U134" s="900"/>
      <c r="V134" s="588" t="s">
        <v>131</v>
      </c>
      <c r="W134" s="903" t="s">
        <v>22</v>
      </c>
      <c r="X134" s="903" t="s">
        <v>18</v>
      </c>
      <c r="Y134" s="589">
        <v>43.2</v>
      </c>
      <c r="Z134" s="600" t="s">
        <v>340</v>
      </c>
      <c r="AA134" s="600" t="s">
        <v>74</v>
      </c>
      <c r="AB134" s="600" t="s">
        <v>11</v>
      </c>
      <c r="AC134" s="600">
        <v>56.8</v>
      </c>
      <c r="AD134" s="588"/>
      <c r="AG134" s="589"/>
      <c r="AL134" s="588"/>
      <c r="AO134" s="589"/>
      <c r="AP134" s="588"/>
      <c r="AS134" s="589"/>
      <c r="AW134" s="589"/>
      <c r="BA134" s="590"/>
    </row>
    <row r="135" spans="1:53" s="902" customFormat="1">
      <c r="A135" s="902">
        <v>2017</v>
      </c>
      <c r="B135" s="901">
        <v>42755</v>
      </c>
      <c r="C135" s="992" t="s">
        <v>1403</v>
      </c>
      <c r="D135" s="992"/>
      <c r="E135" s="902">
        <v>192</v>
      </c>
      <c r="F135" s="902">
        <v>1</v>
      </c>
      <c r="G135" s="642">
        <v>15</v>
      </c>
      <c r="H135" s="902">
        <v>2</v>
      </c>
      <c r="J135" s="644">
        <v>17</v>
      </c>
      <c r="K135" s="640">
        <f t="shared" si="10"/>
        <v>88.235294117647058</v>
      </c>
      <c r="L135" s="640">
        <f t="shared" si="11"/>
        <v>11.76470588235294</v>
      </c>
      <c r="M135" s="640">
        <f t="shared" si="12"/>
        <v>0</v>
      </c>
      <c r="N135" s="643">
        <f t="shared" si="13"/>
        <v>100</v>
      </c>
      <c r="O135" s="639">
        <v>55.4</v>
      </c>
      <c r="P135" s="640"/>
      <c r="Q135" s="640"/>
      <c r="R135" s="641">
        <f t="shared" si="6"/>
        <v>55.4</v>
      </c>
      <c r="S135" s="902">
        <v>1</v>
      </c>
      <c r="T135" s="487"/>
      <c r="U135" s="901">
        <v>42755</v>
      </c>
      <c r="V135" s="634" t="s">
        <v>340</v>
      </c>
      <c r="W135" s="902" t="s">
        <v>74</v>
      </c>
      <c r="X135" s="902" t="s">
        <v>11</v>
      </c>
      <c r="Y135" s="635">
        <v>55.4</v>
      </c>
      <c r="Z135" s="501"/>
      <c r="AA135" s="501"/>
      <c r="AB135" s="501"/>
      <c r="AC135" s="501"/>
      <c r="AD135" s="634"/>
      <c r="AG135" s="635"/>
      <c r="AL135" s="634"/>
      <c r="AO135" s="635"/>
      <c r="AP135" s="634"/>
      <c r="AS135" s="635"/>
      <c r="AW135" s="635"/>
      <c r="BA135" s="636"/>
    </row>
    <row r="136" spans="1:53" s="902" customFormat="1">
      <c r="A136" s="902">
        <v>2017</v>
      </c>
      <c r="B136" s="502">
        <v>42947</v>
      </c>
      <c r="C136" s="992" t="s">
        <v>1403</v>
      </c>
      <c r="D136" s="992"/>
      <c r="E136" s="902">
        <v>128</v>
      </c>
      <c r="F136" s="501">
        <v>0</v>
      </c>
      <c r="G136" s="642">
        <v>14</v>
      </c>
      <c r="H136" s="902">
        <v>3</v>
      </c>
      <c r="J136" s="644">
        <v>17</v>
      </c>
      <c r="K136" s="640">
        <f t="shared" si="10"/>
        <v>82.35294117647058</v>
      </c>
      <c r="L136" s="640">
        <f t="shared" si="11"/>
        <v>17.647058823529413</v>
      </c>
      <c r="M136" s="640">
        <f t="shared" si="12"/>
        <v>0</v>
      </c>
      <c r="N136" s="643">
        <f t="shared" si="13"/>
        <v>100</v>
      </c>
      <c r="O136" s="639">
        <v>55.4</v>
      </c>
      <c r="P136" s="640"/>
      <c r="Q136" s="640"/>
      <c r="R136" s="641">
        <f t="shared" si="6"/>
        <v>55.4</v>
      </c>
      <c r="S136" s="902">
        <v>1</v>
      </c>
      <c r="T136" s="487"/>
      <c r="U136" s="901"/>
      <c r="V136" s="634" t="s">
        <v>340</v>
      </c>
      <c r="W136" s="902" t="s">
        <v>74</v>
      </c>
      <c r="X136" s="902" t="s">
        <v>11</v>
      </c>
      <c r="Y136" s="635">
        <v>55.4</v>
      </c>
      <c r="Z136" s="501"/>
      <c r="AA136" s="501"/>
      <c r="AB136" s="501"/>
      <c r="AC136" s="501"/>
      <c r="AD136" s="634"/>
      <c r="AG136" s="635"/>
      <c r="AL136" s="634"/>
      <c r="AO136" s="635"/>
      <c r="AP136" s="634"/>
      <c r="AS136" s="635"/>
      <c r="AW136" s="635"/>
      <c r="BA136" s="636"/>
    </row>
    <row r="137" spans="1:53" s="902" customFormat="1">
      <c r="A137" s="902">
        <v>2017</v>
      </c>
      <c r="B137" s="502">
        <v>43075</v>
      </c>
      <c r="C137" s="992" t="s">
        <v>1403</v>
      </c>
      <c r="D137" s="992"/>
      <c r="E137" s="902">
        <v>26</v>
      </c>
      <c r="F137" s="501">
        <v>0</v>
      </c>
      <c r="G137" s="642">
        <v>15</v>
      </c>
      <c r="H137" s="902">
        <v>2</v>
      </c>
      <c r="J137" s="644">
        <v>17</v>
      </c>
      <c r="K137" s="640">
        <f t="shared" si="10"/>
        <v>88.235294117647058</v>
      </c>
      <c r="L137" s="640">
        <f t="shared" si="11"/>
        <v>11.76470588235294</v>
      </c>
      <c r="M137" s="640">
        <f t="shared" si="12"/>
        <v>0</v>
      </c>
      <c r="N137" s="643">
        <f t="shared" si="13"/>
        <v>100</v>
      </c>
      <c r="O137" s="639">
        <v>55.4</v>
      </c>
      <c r="P137" s="640"/>
      <c r="Q137" s="640"/>
      <c r="R137" s="641">
        <f t="shared" si="6"/>
        <v>55.4</v>
      </c>
      <c r="S137" s="902">
        <v>1</v>
      </c>
      <c r="T137" s="487"/>
      <c r="U137" s="901"/>
      <c r="V137" s="634" t="s">
        <v>340</v>
      </c>
      <c r="W137" s="902" t="s">
        <v>74</v>
      </c>
      <c r="X137" s="902" t="s">
        <v>11</v>
      </c>
      <c r="Y137" s="635">
        <v>55.4</v>
      </c>
      <c r="Z137" s="501"/>
      <c r="AA137" s="501"/>
      <c r="AB137" s="501"/>
      <c r="AC137" s="501"/>
      <c r="AD137" s="634"/>
      <c r="AG137" s="635"/>
      <c r="AL137" s="634"/>
      <c r="AO137" s="635"/>
      <c r="AP137" s="634"/>
      <c r="AS137" s="635"/>
      <c r="AW137" s="635"/>
      <c r="BA137" s="636"/>
    </row>
    <row r="138" spans="1:53" s="945" customFormat="1">
      <c r="A138" s="945">
        <v>2018</v>
      </c>
      <c r="B138" s="502"/>
      <c r="C138" s="992" t="s">
        <v>1425</v>
      </c>
      <c r="D138" s="992"/>
      <c r="E138" s="945">
        <v>86</v>
      </c>
      <c r="F138" s="501"/>
      <c r="G138" s="642">
        <v>15</v>
      </c>
      <c r="H138" s="945">
        <v>2</v>
      </c>
      <c r="J138" s="644">
        <v>17</v>
      </c>
      <c r="K138" s="640">
        <f t="shared" si="10"/>
        <v>88.235294117647058</v>
      </c>
      <c r="L138" s="640">
        <f t="shared" si="11"/>
        <v>11.76470588235294</v>
      </c>
      <c r="M138" s="640">
        <f t="shared" si="12"/>
        <v>0</v>
      </c>
      <c r="N138" s="643">
        <f t="shared" si="13"/>
        <v>100</v>
      </c>
      <c r="O138" s="639">
        <v>55.4</v>
      </c>
      <c r="P138" s="640"/>
      <c r="Q138" s="640"/>
      <c r="R138" s="641">
        <f t="shared" ref="R138:R139" si="14">O138+P138+Q138</f>
        <v>55.4</v>
      </c>
      <c r="S138" s="945">
        <v>1</v>
      </c>
      <c r="T138" s="487"/>
      <c r="U138" s="944"/>
      <c r="V138" s="634" t="s">
        <v>340</v>
      </c>
      <c r="W138" s="945" t="s">
        <v>74</v>
      </c>
      <c r="X138" s="945" t="s">
        <v>11</v>
      </c>
      <c r="Y138" s="635">
        <v>55.4</v>
      </c>
      <c r="Z138" s="501"/>
      <c r="AA138" s="501"/>
      <c r="AB138" s="501"/>
      <c r="AC138" s="501"/>
      <c r="AD138" s="634"/>
      <c r="AG138" s="635"/>
      <c r="AL138" s="634"/>
      <c r="AO138" s="635"/>
      <c r="AP138" s="634"/>
      <c r="AS138" s="635"/>
      <c r="AW138" s="635"/>
      <c r="BA138" s="636"/>
    </row>
    <row r="139" spans="1:53" s="945" customFormat="1">
      <c r="A139" s="945">
        <v>2018</v>
      </c>
      <c r="B139" s="502">
        <v>43187</v>
      </c>
      <c r="C139" s="1046" t="s">
        <v>1403</v>
      </c>
      <c r="D139" s="1046"/>
      <c r="E139" s="945">
        <v>279</v>
      </c>
      <c r="F139" s="501">
        <v>0</v>
      </c>
      <c r="G139" s="642">
        <v>16</v>
      </c>
      <c r="H139" s="945">
        <v>1</v>
      </c>
      <c r="J139" s="644">
        <v>17</v>
      </c>
      <c r="K139" s="640">
        <f t="shared" si="10"/>
        <v>94.117647058823522</v>
      </c>
      <c r="L139" s="640">
        <f t="shared" si="11"/>
        <v>5.8823529411764701</v>
      </c>
      <c r="M139" s="640">
        <f t="shared" si="12"/>
        <v>0</v>
      </c>
      <c r="N139" s="643">
        <f t="shared" si="13"/>
        <v>99.999999999999986</v>
      </c>
      <c r="O139" s="639">
        <v>55.4</v>
      </c>
      <c r="P139" s="640"/>
      <c r="Q139" s="640"/>
      <c r="R139" s="641">
        <f t="shared" si="14"/>
        <v>55.4</v>
      </c>
      <c r="S139" s="945">
        <v>1</v>
      </c>
      <c r="T139" s="487">
        <v>43410</v>
      </c>
      <c r="U139" s="944"/>
      <c r="V139" s="634" t="s">
        <v>340</v>
      </c>
      <c r="W139" s="945" t="s">
        <v>74</v>
      </c>
      <c r="X139" s="945" t="s">
        <v>11</v>
      </c>
      <c r="Y139" s="635">
        <v>51</v>
      </c>
      <c r="Z139" s="501"/>
      <c r="AA139" s="501"/>
      <c r="AB139" s="501"/>
      <c r="AC139" s="501"/>
      <c r="AD139" s="634"/>
      <c r="AG139" s="635"/>
      <c r="AL139" s="634"/>
      <c r="AO139" s="635"/>
      <c r="AP139" s="634"/>
      <c r="AS139" s="635"/>
      <c r="AW139" s="635"/>
      <c r="BA139" s="636"/>
    </row>
    <row r="140" spans="1:53">
      <c r="M140" s="2"/>
      <c r="N140" s="2"/>
      <c r="AW140" s="23"/>
      <c r="BA140" s="3"/>
    </row>
    <row r="142" spans="1:53" s="2" customFormat="1" ht="18" customHeight="1">
      <c r="B142" s="22" t="s">
        <v>1278</v>
      </c>
      <c r="H142" s="6"/>
    </row>
    <row r="143" spans="1:53" s="2" customFormat="1" ht="9" customHeight="1">
      <c r="H143" s="6"/>
    </row>
    <row r="144" spans="1:53" s="364" customFormat="1" ht="9" customHeight="1">
      <c r="A144" s="362"/>
      <c r="B144" s="363" t="s">
        <v>1229</v>
      </c>
      <c r="C144" s="363"/>
      <c r="D144" s="363"/>
      <c r="E144" s="363"/>
      <c r="F144" s="363"/>
      <c r="G144" s="363" t="s">
        <v>1230</v>
      </c>
      <c r="H144" s="363"/>
      <c r="I144" s="363"/>
      <c r="J144" s="363"/>
      <c r="K144" s="363"/>
      <c r="L144" s="363"/>
      <c r="M144" s="363"/>
      <c r="N144" s="363"/>
      <c r="R144" s="982" t="s">
        <v>1231</v>
      </c>
      <c r="S144" s="982"/>
      <c r="T144" s="982"/>
      <c r="U144" s="982"/>
      <c r="V144" s="982"/>
      <c r="W144" s="982"/>
      <c r="X144" s="365"/>
      <c r="Y144" s="365"/>
      <c r="AA144" s="365"/>
      <c r="AB144" s="365"/>
      <c r="AC144" s="365"/>
      <c r="AD144" s="365"/>
    </row>
    <row r="145" spans="1:30" s="369" customFormat="1" ht="9" customHeight="1">
      <c r="A145" s="366"/>
      <c r="B145" s="367" t="s">
        <v>1233</v>
      </c>
      <c r="C145" s="368"/>
      <c r="D145" s="368"/>
      <c r="E145" s="368"/>
      <c r="F145" s="368"/>
      <c r="G145" s="367" t="s">
        <v>1232</v>
      </c>
      <c r="H145" s="368"/>
      <c r="I145" s="368"/>
      <c r="J145" s="368"/>
      <c r="K145" s="368"/>
      <c r="L145" s="368"/>
      <c r="M145" s="368"/>
      <c r="N145" s="368"/>
      <c r="R145" s="370" t="s">
        <v>1234</v>
      </c>
      <c r="S145" s="371"/>
      <c r="T145" s="372"/>
      <c r="U145" s="372"/>
      <c r="V145" s="372"/>
      <c r="W145" s="370" t="s">
        <v>1235</v>
      </c>
      <c r="X145" s="372"/>
      <c r="Y145" s="372"/>
      <c r="AA145" s="372"/>
      <c r="AB145" s="372"/>
      <c r="AC145" s="372"/>
      <c r="AD145" s="372"/>
    </row>
    <row r="146" spans="1:30" s="351" customFormat="1" ht="12" customHeight="1">
      <c r="A146" s="373" t="s">
        <v>3</v>
      </c>
      <c r="B146" s="374" t="s">
        <v>8</v>
      </c>
      <c r="C146" s="374" t="s">
        <v>9</v>
      </c>
      <c r="D146" s="374" t="s">
        <v>10</v>
      </c>
      <c r="E146" s="375" t="s">
        <v>1209</v>
      </c>
      <c r="F146" s="374"/>
      <c r="G146" s="351" t="s">
        <v>3</v>
      </c>
      <c r="H146" s="983" t="s">
        <v>0</v>
      </c>
      <c r="I146" s="983"/>
      <c r="J146" s="983" t="s">
        <v>1</v>
      </c>
      <c r="K146" s="983"/>
      <c r="L146" s="983" t="s">
        <v>2</v>
      </c>
      <c r="M146" s="983"/>
      <c r="N146" s="984" t="s">
        <v>1209</v>
      </c>
      <c r="O146" s="984"/>
      <c r="P146" s="376"/>
      <c r="Q146" s="376"/>
      <c r="R146" s="377" t="s">
        <v>3</v>
      </c>
      <c r="S146" s="378" t="s">
        <v>136</v>
      </c>
      <c r="T146" s="376" t="s">
        <v>134</v>
      </c>
      <c r="U146" s="374" t="s">
        <v>135</v>
      </c>
      <c r="V146" s="376"/>
      <c r="W146" s="379" t="s">
        <v>26</v>
      </c>
    </row>
    <row r="147" spans="1:30" s="273" customFormat="1">
      <c r="A147" s="273">
        <v>1959</v>
      </c>
      <c r="B147" s="260">
        <f>(K6*($E6/365)) + (K7*($E7/365))</f>
        <v>92.307692307692307</v>
      </c>
      <c r="C147" s="260">
        <f>(L6*($E6/365)) + (L7*($E7/365))</f>
        <v>7.6923076923076925</v>
      </c>
      <c r="D147" s="260">
        <f>(M6*($E6/365)) + (M7*($E7/365))</f>
        <v>0</v>
      </c>
      <c r="E147" s="261">
        <f>B147+C147+D147</f>
        <v>100</v>
      </c>
      <c r="G147" s="273">
        <v>1959</v>
      </c>
      <c r="H147" s="991">
        <f>(O6/$R6*100*($E6/365))+(O7/$R7*100*($E7/365))</f>
        <v>100</v>
      </c>
      <c r="I147" s="991"/>
      <c r="J147" s="991">
        <f>(P6/$R6*100*($E6/365))+(P7/$R7*100*($E7/365))</f>
        <v>0</v>
      </c>
      <c r="K147" s="991"/>
      <c r="L147" s="991">
        <f>(Q6/$R6*100*($E6/365))+(Q7/$R7*100*($E7/365))</f>
        <v>0</v>
      </c>
      <c r="M147" s="991"/>
      <c r="N147" s="993">
        <f>H147+J147+L147</f>
        <v>100</v>
      </c>
      <c r="O147" s="993"/>
      <c r="R147" s="273">
        <v>1959</v>
      </c>
      <c r="S147" s="260">
        <f>(O6*($E6/365)) + (O7*($E7/365))</f>
        <v>35</v>
      </c>
      <c r="T147" s="260">
        <f>(P6*($E6/365)) + (P7*($E7/365))</f>
        <v>0</v>
      </c>
      <c r="U147" s="260">
        <f>(Q6*($E6/365)) + (Q7*($E7/365))</f>
        <v>0</v>
      </c>
      <c r="V147" s="274"/>
      <c r="W147" s="274">
        <f>S147+T147+U147</f>
        <v>35</v>
      </c>
    </row>
    <row r="148" spans="1:30">
      <c r="A148" s="1">
        <v>1960</v>
      </c>
      <c r="B148" s="8">
        <f>(K8*($E8/366))+(K9*($E9/366))</f>
        <v>92.307692307692292</v>
      </c>
      <c r="C148" s="8">
        <f>(L8*($E8/366))+(L9*($E9/366))</f>
        <v>7.6923076923076925</v>
      </c>
      <c r="D148" s="8">
        <f>(M8*($E8/366))+(M9*($E9/366))</f>
        <v>0</v>
      </c>
      <c r="E148" s="50">
        <f>B148+C148+D148</f>
        <v>99.999999999999986</v>
      </c>
      <c r="G148" s="1">
        <v>1960</v>
      </c>
      <c r="H148" s="989">
        <f>(O8/$R8*100*($E8/366))+(O9/$R9*100*($E9/366))</f>
        <v>99.999999999999986</v>
      </c>
      <c r="I148" s="989"/>
      <c r="J148" s="989">
        <f>(P8/$R8*100*($E8/366))+(P9/$R9*100*($E9/366))</f>
        <v>0</v>
      </c>
      <c r="K148" s="989"/>
      <c r="L148" s="989">
        <f>(Q8/$R8*100*($E8/366))+(Q9/$R9*100*($E9/366))</f>
        <v>0</v>
      </c>
      <c r="M148" s="989"/>
      <c r="N148" s="990">
        <f t="shared" ref="N148:N179" si="15">H148+J148+L148</f>
        <v>99.999999999999986</v>
      </c>
      <c r="O148" s="990"/>
      <c r="R148" s="1">
        <v>1960</v>
      </c>
      <c r="S148" s="8">
        <f>(O8*($E8/366))+(O9*($E9/366))</f>
        <v>35.737704918032783</v>
      </c>
      <c r="T148" s="8">
        <f>(P8*($E8/366))+(P9*($E9/366))</f>
        <v>0</v>
      </c>
      <c r="U148" s="8">
        <f>(Q8*($E8/366))+(Q9*($E9/366))</f>
        <v>0</v>
      </c>
      <c r="V148" s="7"/>
      <c r="W148" s="7">
        <f>S148+T148+U148</f>
        <v>35.737704918032783</v>
      </c>
    </row>
    <row r="149" spans="1:30">
      <c r="A149" s="1">
        <v>1961</v>
      </c>
      <c r="B149" s="8">
        <f>(K10*($E10/365))+(K11*($E11/365))</f>
        <v>11.124692658939235</v>
      </c>
      <c r="C149" s="8">
        <f>(L10*($E10/365))+(L11*($E11/365))</f>
        <v>88.875307341060761</v>
      </c>
      <c r="D149" s="8">
        <f>(M10*($E10/365))+(M11*($E11/365))</f>
        <v>0</v>
      </c>
      <c r="E149" s="50">
        <f t="shared" ref="E149:E201" si="16">B149+C149+D149</f>
        <v>100</v>
      </c>
      <c r="G149" s="1">
        <v>1961</v>
      </c>
      <c r="H149" s="989">
        <f>(O10/$R10*100*($E10/365))+(O11/$R11*100*($E11/365))</f>
        <v>5.2054794520547949</v>
      </c>
      <c r="I149" s="989"/>
      <c r="J149" s="989">
        <f>(P10/$R10*100*($E10/365))+(P11/$R11*100*($E11/365))</f>
        <v>94.794520547945211</v>
      </c>
      <c r="K149" s="989"/>
      <c r="L149" s="989">
        <f>(Q10/$R10*100*($E10/365))+(Q11/$R11*100*($E11/365))</f>
        <v>0</v>
      </c>
      <c r="M149" s="989"/>
      <c r="N149" s="959">
        <f t="shared" si="15"/>
        <v>100</v>
      </c>
      <c r="O149" s="959"/>
      <c r="R149" s="1">
        <v>1961</v>
      </c>
      <c r="S149" s="8">
        <f>(O10*($E10/365))+(O11*($E11/365))</f>
        <v>2.0821917808219177</v>
      </c>
      <c r="T149" s="8">
        <f>(P10*($E10/365))+(P11*($E11/365))</f>
        <v>56.87671232876712</v>
      </c>
      <c r="U149" s="8">
        <f>(Q10*($E10/365))+(Q11*($E11/365))</f>
        <v>0</v>
      </c>
      <c r="V149" s="7"/>
      <c r="W149" s="7">
        <f t="shared" ref="W149:W201" si="17">S149+T149+U149</f>
        <v>58.958904109589035</v>
      </c>
    </row>
    <row r="150" spans="1:30">
      <c r="A150" s="1">
        <v>1962</v>
      </c>
      <c r="B150" s="8">
        <f>(K12*($E12/365))+(K13*($E13/365))</f>
        <v>6.666666666666667</v>
      </c>
      <c r="C150" s="8">
        <f>(L12*($E12/365))+(L13*($E13/365))</f>
        <v>93.333333333333329</v>
      </c>
      <c r="D150" s="8">
        <f>(M12*($E12/365))+(M13*($E13/365))</f>
        <v>0</v>
      </c>
      <c r="E150" s="50">
        <f t="shared" si="16"/>
        <v>100</v>
      </c>
      <c r="G150" s="1">
        <v>1962</v>
      </c>
      <c r="H150" s="989">
        <f>(O12/$R12*100*($E12/365))+(O13/$R13*100*($E13/365))</f>
        <v>0</v>
      </c>
      <c r="I150" s="989"/>
      <c r="J150" s="989">
        <f>(P12/$R12*100*($E12/365))+(P13/$R13*100*($E13/365))</f>
        <v>100</v>
      </c>
      <c r="K150" s="989"/>
      <c r="L150" s="989">
        <f>(Q12/$R12*100*($E12/365))+(Q13/$R13*100*($E13/365))</f>
        <v>0</v>
      </c>
      <c r="M150" s="989"/>
      <c r="N150" s="959">
        <f t="shared" si="15"/>
        <v>100</v>
      </c>
      <c r="O150" s="959"/>
      <c r="R150" s="1">
        <v>1962</v>
      </c>
      <c r="S150" s="8">
        <f>(O12*($E12/365))+(O13*($E13/365))</f>
        <v>0</v>
      </c>
      <c r="T150" s="8">
        <f>(P12*($E12/365))+(P13*($E13/365))</f>
        <v>59.923287671232877</v>
      </c>
      <c r="U150" s="8">
        <f>(Q12*($E12/365))+(Q13*($E13/365))</f>
        <v>0</v>
      </c>
      <c r="V150" s="7"/>
      <c r="W150" s="7">
        <f t="shared" si="17"/>
        <v>59.923287671232877</v>
      </c>
    </row>
    <row r="151" spans="1:30">
      <c r="A151" s="1">
        <v>1963</v>
      </c>
      <c r="B151" s="8">
        <f>(K14*($E14/365))+(K15*($E15/365))+(K16*($E16/365))</f>
        <v>6.7449445531637311</v>
      </c>
      <c r="C151" s="8">
        <f>(L14*($E14/365))+(L15*($E15/365))+(L16*($E16/365))</f>
        <v>93.255055446836252</v>
      </c>
      <c r="D151" s="8">
        <f>(M14*($E14/365))+(M15*($E15/365))+(M16*($E16/365))</f>
        <v>0</v>
      </c>
      <c r="E151" s="50">
        <f t="shared" si="16"/>
        <v>99.999999999999986</v>
      </c>
      <c r="G151" s="1">
        <v>1963</v>
      </c>
      <c r="H151" s="989">
        <f>(O14/$R14*100*($E14/365))+(O15/$R15*100*($E15/365))+(O16/$R16*100*($E16/365))</f>
        <v>0</v>
      </c>
      <c r="I151" s="989"/>
      <c r="J151" s="989">
        <f>(P14/$R14*100*($E14/365))+(P15/$R15*100*($E15/365))+(P16/$R16*100*($E16/365))</f>
        <v>100</v>
      </c>
      <c r="K151" s="989"/>
      <c r="L151" s="989">
        <f>(Q14/$R14*100*($E14/365))+(Q15/$R15*100*($E15/365))+(Q16/$R16*100*($E16/365))</f>
        <v>0</v>
      </c>
      <c r="M151" s="989"/>
      <c r="N151" s="959">
        <f t="shared" si="15"/>
        <v>100</v>
      </c>
      <c r="O151" s="959"/>
      <c r="R151" s="1">
        <v>1963</v>
      </c>
      <c r="S151" s="8">
        <f>(O14*($E14/365))+(O15*($E15/365))+(O16*($E16/365))</f>
        <v>0</v>
      </c>
      <c r="T151" s="8">
        <f>(P14*($E14/365))+(P15*($E15/365))+(P16*($E16/365))</f>
        <v>59.5</v>
      </c>
      <c r="U151" s="8">
        <f>(Q14*($E14/365))+(Q15*($E15/365))+(Q16*($E16/365))</f>
        <v>0</v>
      </c>
      <c r="V151" s="7"/>
      <c r="W151" s="7">
        <f t="shared" si="17"/>
        <v>59.5</v>
      </c>
    </row>
    <row r="152" spans="1:30">
      <c r="A152" s="1">
        <v>1964</v>
      </c>
      <c r="B152" s="8">
        <f>(K17*($E17/366))+(K18*($E18/366))</f>
        <v>7.1428571428571423</v>
      </c>
      <c r="C152" s="8">
        <f>(L17*($E17/366))+(L18*($E18/366))</f>
        <v>92.857142857142861</v>
      </c>
      <c r="D152" s="8">
        <f>(M17*($E17/366))+(M18*($E18/366))</f>
        <v>0</v>
      </c>
      <c r="E152" s="50">
        <f t="shared" si="16"/>
        <v>100</v>
      </c>
      <c r="G152" s="1">
        <v>1964</v>
      </c>
      <c r="H152" s="989">
        <f>(O17/$R17*100*($E17/366))+(O18/$R18*100*($E18/366))</f>
        <v>0</v>
      </c>
      <c r="I152" s="989"/>
      <c r="J152" s="989">
        <f>(P17/$R17*100*($E17/366))+(P18/$R18*100*($E18/366))</f>
        <v>100</v>
      </c>
      <c r="K152" s="989"/>
      <c r="L152" s="989">
        <f>(Q17/$R17*100*($E17/366))+(Q18/$R18*100*($E18/366))</f>
        <v>0</v>
      </c>
      <c r="M152" s="989"/>
      <c r="N152" s="959">
        <f t="shared" si="15"/>
        <v>100</v>
      </c>
      <c r="O152" s="959"/>
      <c r="R152" s="1">
        <v>1964</v>
      </c>
      <c r="S152" s="8">
        <f>(O17*($E17/366))+(O18*($E18/366))</f>
        <v>0</v>
      </c>
      <c r="T152" s="8">
        <f>(P17*($E17/366))+(P18*($E18/366))</f>
        <v>60.837978142076508</v>
      </c>
      <c r="U152" s="8">
        <f>(Q17*($E17/366))+(Q18*($E18/366))</f>
        <v>0</v>
      </c>
      <c r="V152" s="7"/>
      <c r="W152" s="7">
        <f t="shared" si="17"/>
        <v>60.837978142076508</v>
      </c>
    </row>
    <row r="153" spans="1:30">
      <c r="A153" s="1">
        <v>1965</v>
      </c>
      <c r="B153" s="8">
        <f>(K19*($E19/365))+(K20*($E20/365))+(K21*($E21/365))+(K22*($E22/365))</f>
        <v>14.198303979125898</v>
      </c>
      <c r="C153" s="8">
        <f>(L19*($E19/365))+(L20*($E20/365))+(L21*($E21/365))+(L22*($E22/365))</f>
        <v>85.801696020874104</v>
      </c>
      <c r="D153" s="8">
        <f>(M19*($E19/365))+(M20*($E20/365))+(M21*($E21/365))+(M22*($E22/365))</f>
        <v>0</v>
      </c>
      <c r="E153" s="50">
        <f t="shared" si="16"/>
        <v>100</v>
      </c>
      <c r="G153" s="1">
        <v>1965</v>
      </c>
      <c r="H153" s="989">
        <f>(O19/$R19*100*($E19/365))+(O20/$R20*100*($E20/365))+(O21/$R21*100*($E21/365))+(O22/$R22*100*($E22/365))</f>
        <v>0</v>
      </c>
      <c r="I153" s="989"/>
      <c r="J153" s="989">
        <f>(P19/$R19*100*($E19/365))+(P20/$R20*100*($E20/365))+(P21/$R21*100*($E21/365))+(P22/$R22*100*($E22/365))</f>
        <v>100</v>
      </c>
      <c r="K153" s="989"/>
      <c r="L153" s="989">
        <f>(Q19/$R19*100*($E19/365))+(Q20/$R20*100*($E20/365))+(Q21/$R21*100*($E21/365))+(Q22/$R22*100*($E22/365))</f>
        <v>0</v>
      </c>
      <c r="M153" s="989"/>
      <c r="N153" s="959">
        <f t="shared" si="15"/>
        <v>100</v>
      </c>
      <c r="O153" s="959"/>
      <c r="R153" s="1">
        <v>1965</v>
      </c>
      <c r="S153" s="8">
        <f>(O19*($E19/365))+(O20*($E20/365))+(O21*($E21/365))+(O22*($E22/365))</f>
        <v>0</v>
      </c>
      <c r="T153" s="8">
        <f>(P19*($E19/365))+(P20*($E20/365))+(P21*($E21/365))+(P22*($E22/365))</f>
        <v>67.8</v>
      </c>
      <c r="U153" s="8">
        <f>(Q19*($E19/365))+(Q20*($E20/365))+(Q21*($E21/365))+(Q22*($E22/365))</f>
        <v>0</v>
      </c>
      <c r="V153" s="7"/>
      <c r="W153" s="7">
        <f t="shared" si="17"/>
        <v>67.8</v>
      </c>
    </row>
    <row r="154" spans="1:30">
      <c r="A154" s="1">
        <v>1966</v>
      </c>
      <c r="B154" s="8">
        <f>(K23*($E23/365))+(K24*($E24/365))+(K25*($E25/365))</f>
        <v>18.80821917808219</v>
      </c>
      <c r="C154" s="8">
        <f>(L23*($E23/365))+(L24*($E24/365))+(L25*($E25/365))</f>
        <v>81.191780821917803</v>
      </c>
      <c r="D154" s="8">
        <f>(M23*($E23/365))+(M24*($E24/365))+(M25*($E25/365))</f>
        <v>0</v>
      </c>
      <c r="E154" s="50">
        <f t="shared" si="16"/>
        <v>100</v>
      </c>
      <c r="G154" s="1">
        <v>1966</v>
      </c>
      <c r="H154" s="989">
        <f>(O23/$R23*100*($E23/365))+(O24/$R24*100*($E24/365))+(O25/$R25*100*($E25/365))</f>
        <v>0</v>
      </c>
      <c r="I154" s="989"/>
      <c r="J154" s="989">
        <f>(P23/$R23*100*($E23/365))+(P24/$R24*100*($E24/365))+(P25/$R25*100*($E25/365))</f>
        <v>100</v>
      </c>
      <c r="K154" s="989"/>
      <c r="L154" s="989">
        <f>(Q23/$R23*100*($E23/365))+(Q24/$R24*100*($E24/365))+(Q25/$R25*100*($E25/365))</f>
        <v>0</v>
      </c>
      <c r="M154" s="989"/>
      <c r="N154" s="959">
        <f t="shared" si="15"/>
        <v>100</v>
      </c>
      <c r="O154" s="959"/>
      <c r="R154" s="1">
        <v>1966</v>
      </c>
      <c r="S154" s="8">
        <f>(O23*($E23/365))+(O24*($E24/365))+(O25*($E25/365))</f>
        <v>0</v>
      </c>
      <c r="T154" s="8">
        <f>(P23*($E23/365))+(P24*($E24/365))+(P25*($E25/365))</f>
        <v>66.231780821917809</v>
      </c>
      <c r="U154" s="8">
        <f>(Q23*($E23/365))+(Q24*($E24/365))+(Q25*($E25/365))</f>
        <v>0</v>
      </c>
      <c r="V154" s="7"/>
      <c r="W154" s="7">
        <f>S154+T154+U154</f>
        <v>66.231780821917809</v>
      </c>
    </row>
    <row r="155" spans="1:30">
      <c r="A155" s="1">
        <v>1967</v>
      </c>
      <c r="B155" s="8">
        <f>(K26*($E26/365))+(K27*($E27/365))</f>
        <v>18.75</v>
      </c>
      <c r="C155" s="8">
        <f>(L26*($E26/365))+(L27*($E27/365))</f>
        <v>81.25</v>
      </c>
      <c r="D155" s="8">
        <f>(M26*($E26/365))+(M27*($E27/365))</f>
        <v>0</v>
      </c>
      <c r="E155" s="50">
        <f t="shared" si="16"/>
        <v>100</v>
      </c>
      <c r="G155" s="1">
        <v>1967</v>
      </c>
      <c r="H155" s="989">
        <f>(O26/$R26*100*($E26/365))+(O27/$R27*100*($E27/365))</f>
        <v>0</v>
      </c>
      <c r="I155" s="989"/>
      <c r="J155" s="989">
        <f>(P26/$R26*100*($E26/365))+(P27/$R27*100*($E27/365))</f>
        <v>100</v>
      </c>
      <c r="K155" s="989"/>
      <c r="L155" s="989">
        <f>(Q26/$R26*100*($E26/365))+(Q27/$R27*100*($E27/365))</f>
        <v>0</v>
      </c>
      <c r="M155" s="989"/>
      <c r="N155" s="959">
        <f t="shared" si="15"/>
        <v>100</v>
      </c>
      <c r="O155" s="959"/>
      <c r="R155" s="1">
        <v>1967</v>
      </c>
      <c r="S155" s="8">
        <f>(O26*($E26/365))+(O27*($E27/365))</f>
        <v>0</v>
      </c>
      <c r="T155" s="8">
        <f>(P26*($E26/365))+(P27*($E27/365))</f>
        <v>57.2</v>
      </c>
      <c r="U155" s="8">
        <f>(Q26*($E26/365))+(Q27*($E27/365))</f>
        <v>0</v>
      </c>
      <c r="V155" s="7"/>
      <c r="W155" s="7">
        <f t="shared" si="17"/>
        <v>57.2</v>
      </c>
    </row>
    <row r="156" spans="1:30">
      <c r="A156" s="1">
        <v>1968</v>
      </c>
      <c r="B156" s="8">
        <f>(K28*($E28/366))+(K29*($E29/366))+(K30*($E30/366))+(K31*($E31/366))</f>
        <v>8.1113387978142075</v>
      </c>
      <c r="C156" s="8">
        <f>(L28*($E28/366))+(L29*($E29/366))+(L30*($E30/366))+(L31*($E31/366))</f>
        <v>91.888661202185787</v>
      </c>
      <c r="D156" s="8">
        <f>(M28*($E28/366))+(M29*($E29/366))+(M30*($E30/366))+(M31*($E31/366))</f>
        <v>0</v>
      </c>
      <c r="E156" s="50">
        <f t="shared" si="16"/>
        <v>100</v>
      </c>
      <c r="G156" s="1">
        <v>1968</v>
      </c>
      <c r="H156" s="989">
        <f>(O28/$R28*100*($E28/366))+(O29/$R29*100*($E29/366))+(O30/$R30*100*($E30/366))+(O31/$R31*100*($E31/366))</f>
        <v>0</v>
      </c>
      <c r="I156" s="989"/>
      <c r="J156" s="989">
        <f>(P28/$R28*100*($E28/366))+(P29/$R29*100*($E29/366))+(P30/$R30*100*($E30/366))+(P31/$R31*100*($E31/366))</f>
        <v>100</v>
      </c>
      <c r="K156" s="989"/>
      <c r="L156" s="989">
        <f>(Q28/$R28*100*($E28/366))+(Q29/$R29*100*($E29/366))+(Q30/$R30*100*($E30/366))+(Q31/$R31*100*($E31/366))</f>
        <v>0</v>
      </c>
      <c r="M156" s="989"/>
      <c r="N156" s="959">
        <f t="shared" si="15"/>
        <v>100</v>
      </c>
      <c r="O156" s="959"/>
      <c r="R156" s="1">
        <v>1968</v>
      </c>
      <c r="S156" s="8">
        <f>(O28*($E28/366))+(O29*($E29/366))+(O30*($E30/366))+(O31*($E31/366))</f>
        <v>0</v>
      </c>
      <c r="T156" s="8">
        <f>(P28*($E28/366))+(P29*($E29/366))+(P30*($E30/366))+(P31*($E31/366))</f>
        <v>56.997540983606548</v>
      </c>
      <c r="U156" s="8">
        <f>(Q28*($E28/366))+(Q29*($E29/366))+(Q30*($E30/366))+(Q31*($E31/366))</f>
        <v>0</v>
      </c>
      <c r="V156" s="7"/>
      <c r="W156" s="7">
        <f>S156+T156+U156</f>
        <v>56.997540983606548</v>
      </c>
    </row>
    <row r="157" spans="1:30">
      <c r="A157" s="1">
        <v>1969</v>
      </c>
      <c r="B157" s="8">
        <f>(K32*($E32/365))+(K33*($E33/365))</f>
        <v>94.794520547945211</v>
      </c>
      <c r="C157" s="8">
        <f>(L32*($E32/365))+(L33*($E33/365))</f>
        <v>5.2054794520547949</v>
      </c>
      <c r="D157" s="8">
        <f>(M32*($E32/365))+(M33*($E33/365))</f>
        <v>0</v>
      </c>
      <c r="E157" s="50">
        <f t="shared" si="16"/>
        <v>100</v>
      </c>
      <c r="G157" s="1">
        <v>1969</v>
      </c>
      <c r="H157" s="989">
        <f>(O32/$R32*100*($E32/365))+(O33/$R33*100*($E33/365))</f>
        <v>94.794520547945211</v>
      </c>
      <c r="I157" s="989"/>
      <c r="J157" s="989">
        <f>(P32/$R32*100*($E32/365))+(P33/$R33*100*($E33/365))</f>
        <v>5.2054794520547949</v>
      </c>
      <c r="K157" s="989"/>
      <c r="L157" s="989">
        <f>(Q32/$R32*100*($E32/365))+(Q33/$R33*100*($E33/365))</f>
        <v>0</v>
      </c>
      <c r="M157" s="989"/>
      <c r="N157" s="959">
        <f t="shared" si="15"/>
        <v>100</v>
      </c>
      <c r="O157" s="959"/>
      <c r="R157" s="1">
        <v>1969</v>
      </c>
      <c r="S157" s="8">
        <f>(O32*($E32/365))+(O33*($E33/365))</f>
        <v>41.804383561643839</v>
      </c>
      <c r="T157" s="8">
        <f>(P32*($E32/365))+(P33*($E33/365))</f>
        <v>2.9098630136986303</v>
      </c>
      <c r="U157" s="8">
        <f>(Q32*($E32/365))+(Q33*($E33/365))</f>
        <v>0</v>
      </c>
      <c r="V157" s="7"/>
      <c r="W157" s="7">
        <f t="shared" si="17"/>
        <v>44.714246575342472</v>
      </c>
    </row>
    <row r="158" spans="1:30">
      <c r="A158" s="1">
        <v>1970</v>
      </c>
      <c r="B158" s="8">
        <f>(K34*($E34/365))+(K35*($E35/365))</f>
        <v>100</v>
      </c>
      <c r="C158" s="8">
        <f>(L34*($E34/365))+(L35*($E35/365))</f>
        <v>0</v>
      </c>
      <c r="D158" s="8">
        <f>(M34*($E34/365))+(M35*($E35/365))</f>
        <v>0</v>
      </c>
      <c r="E158" s="50">
        <f t="shared" si="16"/>
        <v>100</v>
      </c>
      <c r="G158" s="1">
        <v>1970</v>
      </c>
      <c r="H158" s="989">
        <f>(O34/$R34*100*($E34/365))+(O35/$R35*100*($E35/365))</f>
        <v>100</v>
      </c>
      <c r="I158" s="989"/>
      <c r="J158" s="989">
        <f>(P34/$R34*100*($E34/365))+(P35/$R35*100*($E35/365))</f>
        <v>0</v>
      </c>
      <c r="K158" s="989"/>
      <c r="L158" s="989">
        <f>(Q34/$R34*100*($E34/365))+(Q35/$R35*100*($E35/365))</f>
        <v>0</v>
      </c>
      <c r="M158" s="989"/>
      <c r="N158" s="959">
        <f t="shared" si="15"/>
        <v>100</v>
      </c>
      <c r="O158" s="959"/>
      <c r="R158" s="1">
        <v>1970</v>
      </c>
      <c r="S158" s="8">
        <f>(O34*($E34/365))+(O35*($E35/365))</f>
        <v>43.663561643835621</v>
      </c>
      <c r="T158" s="8">
        <f>(P34*($E34/365))+(P35*($E35/365))</f>
        <v>0</v>
      </c>
      <c r="U158" s="8">
        <f>(Q34*($E34/365))+(Q35*($E35/365))</f>
        <v>0</v>
      </c>
      <c r="V158" s="7"/>
      <c r="W158" s="7">
        <f t="shared" si="17"/>
        <v>43.663561643835621</v>
      </c>
    </row>
    <row r="159" spans="1:30">
      <c r="A159" s="1">
        <v>1971</v>
      </c>
      <c r="B159" s="8">
        <f>(K36*($E36/365))+(K37*($E37/365))</f>
        <v>100</v>
      </c>
      <c r="C159" s="8">
        <f>(L36*($E36/365))+(L37*($E37/365))</f>
        <v>0</v>
      </c>
      <c r="D159" s="8">
        <f>(M36*($E36/365))+(M37*($E37/365))</f>
        <v>0</v>
      </c>
      <c r="E159" s="50">
        <f t="shared" si="16"/>
        <v>100</v>
      </c>
      <c r="G159" s="1">
        <v>1971</v>
      </c>
      <c r="H159" s="989">
        <f>(O36/$R36*100*($E36/365))+(O37/$R37*100*($E37/365))</f>
        <v>100</v>
      </c>
      <c r="I159" s="989"/>
      <c r="J159" s="989">
        <f>(P36/$R36*100*($E36/365))+(P37/$R37*100*($E37/365))</f>
        <v>0</v>
      </c>
      <c r="K159" s="989"/>
      <c r="L159" s="989">
        <f>(Q36/$R36*100*($E36/365))+(Q37/$R37*100*($E37/365))</f>
        <v>0</v>
      </c>
      <c r="M159" s="989"/>
      <c r="N159" s="959">
        <f t="shared" si="15"/>
        <v>100</v>
      </c>
      <c r="O159" s="959"/>
      <c r="R159" s="1">
        <v>1971</v>
      </c>
      <c r="S159" s="8">
        <f>(O36*($E36/365))+(O37*($E37/365))</f>
        <v>41.4</v>
      </c>
      <c r="T159" s="8">
        <f>(P36*($E36/365))+(P37*($E37/365))</f>
        <v>0</v>
      </c>
      <c r="U159" s="8">
        <f>(Q36*($E36/365))+(Q37*($E37/365))</f>
        <v>0</v>
      </c>
      <c r="V159" s="7"/>
      <c r="W159" s="7">
        <f t="shared" si="17"/>
        <v>41.4</v>
      </c>
    </row>
    <row r="160" spans="1:30">
      <c r="A160" s="1">
        <v>1972</v>
      </c>
      <c r="B160" s="8">
        <f>(K38*($E38/366))+(K39*($E39/366))</f>
        <v>100.00000000000001</v>
      </c>
      <c r="C160" s="8">
        <f>(L38*($E38/366))+(L39*($E39/366))</f>
        <v>0</v>
      </c>
      <c r="D160" s="8">
        <f>(M38*($E38/366))+(M39*($E39/366))</f>
        <v>0</v>
      </c>
      <c r="E160" s="50">
        <f t="shared" si="16"/>
        <v>100.00000000000001</v>
      </c>
      <c r="G160" s="1">
        <v>1972</v>
      </c>
      <c r="H160" s="989">
        <f>(O38/$R38*100*($E38/366))+(O39/$R39*100*($E39/366))</f>
        <v>100.00000000000001</v>
      </c>
      <c r="I160" s="989"/>
      <c r="J160" s="989">
        <f>(P38/$R38*100*($E38/366))+(P39/$R39*100*($E39/366))</f>
        <v>0</v>
      </c>
      <c r="K160" s="989"/>
      <c r="L160" s="989">
        <f>(Q38/$R38*100*($E38/366))+(Q39/$R39*100*($E39/366))</f>
        <v>0</v>
      </c>
      <c r="M160" s="989"/>
      <c r="N160" s="959">
        <f t="shared" si="15"/>
        <v>100.00000000000001</v>
      </c>
      <c r="O160" s="959"/>
      <c r="R160" s="1">
        <v>1972</v>
      </c>
      <c r="S160" s="8">
        <f>(O38*($E38/366))+(O39*($E39/366))</f>
        <v>41.80573770491803</v>
      </c>
      <c r="T160" s="8">
        <f>(P38*($E38/366))+(P39*($E39/366))</f>
        <v>0</v>
      </c>
      <c r="U160" s="8">
        <f>(Q38*($E38/366))+(Q39*($E39/366))</f>
        <v>0</v>
      </c>
      <c r="V160" s="7"/>
      <c r="W160" s="7">
        <f t="shared" si="17"/>
        <v>41.80573770491803</v>
      </c>
    </row>
    <row r="161" spans="1:23">
      <c r="A161" s="1">
        <v>1973</v>
      </c>
      <c r="B161" s="8">
        <f>(K40*($E40/365))+(K41*($E41/365))+(K42*($E42/365))</f>
        <v>93.483365949119388</v>
      </c>
      <c r="C161" s="8">
        <f>(L40*($E40/365))+(L41*($E41/365))+(L42*($E42/365))</f>
        <v>6.5166340508806258</v>
      </c>
      <c r="D161" s="8">
        <f>(M40*($E40/365))+(M41*($E41/365))+(M42*($E42/365))</f>
        <v>0</v>
      </c>
      <c r="E161" s="50">
        <f t="shared" si="16"/>
        <v>100.00000000000001</v>
      </c>
      <c r="G161" s="1">
        <v>1973</v>
      </c>
      <c r="H161" s="989">
        <f>(O40/$R40*100*($E40/365))+(O41/$R41*100*($E41/365))+(O42/$R42*100*($E42/365))</f>
        <v>100</v>
      </c>
      <c r="I161" s="989"/>
      <c r="J161" s="989">
        <f>(P40/$R40*100*($E40/365))+(P41/$R41*100*($E41/365))+(P42/$R42*100*($E42/365))</f>
        <v>0</v>
      </c>
      <c r="K161" s="989"/>
      <c r="L161" s="989">
        <f>(Q40/$R40*100*($E40/365))+(Q41/$R41*100*($E41/365))+(Q42/$R42*100*($E42/365))</f>
        <v>0</v>
      </c>
      <c r="M161" s="989"/>
      <c r="N161" s="959">
        <f t="shared" si="15"/>
        <v>100</v>
      </c>
      <c r="O161" s="959"/>
      <c r="R161" s="1">
        <v>1973</v>
      </c>
      <c r="S161" s="8">
        <f>(O40*($E40/365))+(O41*($E41/365))+(O42*($E42/365))</f>
        <v>44.100000000000009</v>
      </c>
      <c r="T161" s="8">
        <f>(P40*($E40/365))+(P41*($E41/365))+(P42*($E42/365))</f>
        <v>0</v>
      </c>
      <c r="U161" s="8">
        <f>(Q40*($E40/365))+(Q41*($E41/365))+(Q42*($E42/365))</f>
        <v>0</v>
      </c>
      <c r="V161" s="7"/>
      <c r="W161" s="7">
        <f t="shared" si="17"/>
        <v>44.100000000000009</v>
      </c>
    </row>
    <row r="162" spans="1:23">
      <c r="A162" s="1">
        <v>1974</v>
      </c>
      <c r="B162" s="8">
        <f>(K43*($E43/365))+(K44*($E44/365))+(K45*($E45/365))</f>
        <v>92.638867981333732</v>
      </c>
      <c r="C162" s="8">
        <f>(L43*($E43/365))+(L44*($E44/365))+(L45*($E45/365))</f>
        <v>7.3611320186662645</v>
      </c>
      <c r="D162" s="8">
        <f>(M43*($E43/365))+(M44*($E44/365))+(M45*($E45/365))</f>
        <v>0</v>
      </c>
      <c r="E162" s="50">
        <f t="shared" si="16"/>
        <v>100</v>
      </c>
      <c r="G162" s="1">
        <v>1974</v>
      </c>
      <c r="H162" s="989">
        <f>(O43/$R43*100*($E43/365))+(O44/$R44*100*($E44/365))+(O45/$R45*100*($E45/365))</f>
        <v>100</v>
      </c>
      <c r="I162" s="989"/>
      <c r="J162" s="989">
        <f>(P43/$R43*100*($E43/365))+(P44/$R44*100*($E44/365))+(P45/$R45*100*($E45/365))</f>
        <v>0</v>
      </c>
      <c r="K162" s="989"/>
      <c r="L162" s="989">
        <f>(Q43/$R43*100*($E43/365))+(Q45/$R45*100*($E45/365))</f>
        <v>0</v>
      </c>
      <c r="M162" s="989"/>
      <c r="N162" s="959">
        <f t="shared" si="15"/>
        <v>100</v>
      </c>
      <c r="O162" s="959"/>
      <c r="R162" s="1">
        <v>1974</v>
      </c>
      <c r="S162" s="8">
        <f>(O43*($E43/365))+(O44*($E44/365))+(O45*($E45/365))</f>
        <v>42.38219178082192</v>
      </c>
      <c r="T162" s="8">
        <f>(P43*($E43/365))+(P44*($E44/365))+(P45*($E45/365))</f>
        <v>0</v>
      </c>
      <c r="U162" s="8">
        <f>(Q43*($E43/365))+(Q44*($E44/365))+(Q45*($E45/365))</f>
        <v>0</v>
      </c>
      <c r="V162" s="7"/>
      <c r="W162" s="7">
        <f>S162+T162+U162</f>
        <v>42.38219178082192</v>
      </c>
    </row>
    <row r="163" spans="1:23">
      <c r="A163" s="1">
        <v>1975</v>
      </c>
      <c r="B163" s="8">
        <f>(K46*($E46/365))+(K47*($E47/365))+(K48*($E48/365))</f>
        <v>82.318229715489991</v>
      </c>
      <c r="C163" s="8">
        <f>(L46*($E46/365))+(L47*($E47/365))+(L48*($E48/365))</f>
        <v>17.681770284510012</v>
      </c>
      <c r="D163" s="8">
        <f>(M46*($E46/365))+(M47*($E47/365))+(M48*($E48/365))</f>
        <v>0</v>
      </c>
      <c r="E163" s="50">
        <f t="shared" si="16"/>
        <v>100</v>
      </c>
      <c r="G163" s="1">
        <v>1975</v>
      </c>
      <c r="H163" s="989">
        <f>(O46/$R46*100*($E46/365))+(O47/$R47*100*($E47/365))+(O48/$R48*100*($E48/365))</f>
        <v>100</v>
      </c>
      <c r="I163" s="989"/>
      <c r="J163" s="989">
        <f>(P46/$R46*100*($E46/365))+(P47/$R47*100*($E47/365))+(P48/$R48*100*($E48/365))</f>
        <v>0</v>
      </c>
      <c r="K163" s="989"/>
      <c r="L163" s="989">
        <f>(Q46/$R46*100*($E46/365))+(Q47/$R47*100*($E47/365))+(Q48/$R48*100*($E48/365))</f>
        <v>0</v>
      </c>
      <c r="M163" s="989"/>
      <c r="N163" s="959">
        <f t="shared" si="15"/>
        <v>100</v>
      </c>
      <c r="O163" s="959"/>
      <c r="R163" s="1">
        <v>1975</v>
      </c>
      <c r="S163" s="8">
        <f>(O46*($E46/365))+(O47*($E47/365))+(O48*($E48/365))</f>
        <v>33.1</v>
      </c>
      <c r="T163" s="8">
        <f>(P46*($E46/365))+(P47*($E47/365))+(P48*($E48/365))</f>
        <v>0</v>
      </c>
      <c r="U163" s="8">
        <f>(Q46*($E46/365))+(Q47*($E47/365))+(Q48*($E48/365))</f>
        <v>0</v>
      </c>
      <c r="V163" s="7"/>
      <c r="W163" s="7">
        <f t="shared" si="17"/>
        <v>33.1</v>
      </c>
    </row>
    <row r="164" spans="1:23">
      <c r="A164" s="1">
        <v>1976</v>
      </c>
      <c r="B164" s="8">
        <f>(K49*($E49/366))+(K50*($E50/366))</f>
        <v>76.923076923076934</v>
      </c>
      <c r="C164" s="8">
        <f>(L49*($E49/366))+(L50*($E50/366))</f>
        <v>23.076923076923077</v>
      </c>
      <c r="D164" s="8">
        <f>(M49*($E49/366))+(M50*($E50/366))</f>
        <v>0</v>
      </c>
      <c r="E164" s="50">
        <f t="shared" si="16"/>
        <v>100.00000000000001</v>
      </c>
      <c r="G164" s="1">
        <v>1976</v>
      </c>
      <c r="H164" s="989">
        <f>(O49/$R49*100*($E49/366))+(O50/$R50*100*($E50/366))</f>
        <v>100</v>
      </c>
      <c r="I164" s="989"/>
      <c r="J164" s="989">
        <f>(P49/$R49*100*($E49/366))+(P50/$R50*100*($E50/366))</f>
        <v>0</v>
      </c>
      <c r="K164" s="989"/>
      <c r="L164" s="989">
        <f>(Q49/$R49*100*($E49/366))+(Q50/$R50*100*($E50/366))</f>
        <v>0</v>
      </c>
      <c r="M164" s="989"/>
      <c r="N164" s="959">
        <f t="shared" si="15"/>
        <v>100</v>
      </c>
      <c r="O164" s="959"/>
      <c r="R164" s="1">
        <v>1976</v>
      </c>
      <c r="S164" s="8">
        <f>(O49*($E49/366))+(O50*($E50/366))</f>
        <v>33.067213114754104</v>
      </c>
      <c r="T164" s="8">
        <f>(P49*($E49/366))+(P50*($E50/366))</f>
        <v>0</v>
      </c>
      <c r="U164" s="8">
        <f>(Q49*($E49/366))+(Q50*($E50/366))</f>
        <v>0</v>
      </c>
      <c r="V164" s="7"/>
      <c r="W164" s="7">
        <f t="shared" si="17"/>
        <v>33.067213114754104</v>
      </c>
    </row>
    <row r="165" spans="1:23">
      <c r="A165" s="1">
        <v>1977</v>
      </c>
      <c r="B165" s="8">
        <f>(K51*($E51/365))+(K52*($E52/365))</f>
        <v>10.775252145115159</v>
      </c>
      <c r="C165" s="8">
        <f>(L51*($E51/365))+(L52*($E52/365))</f>
        <v>89.224747854884839</v>
      </c>
      <c r="D165" s="8">
        <f>(M51*($E51/365))+(M52*($E52/365))</f>
        <v>0</v>
      </c>
      <c r="E165" s="50">
        <f t="shared" si="16"/>
        <v>100</v>
      </c>
      <c r="G165" s="1">
        <v>1977</v>
      </c>
      <c r="H165" s="989">
        <f>(O51/$R51*100*($E51/365))+(O52/$R52*100*($E52/365))</f>
        <v>5.2054794520547949</v>
      </c>
      <c r="I165" s="989"/>
      <c r="J165" s="989">
        <f>(P51/$R51*100*($E51/365))+(P52/$R52*100*($E52/365))</f>
        <v>94.794520547945211</v>
      </c>
      <c r="K165" s="989"/>
      <c r="L165" s="989">
        <f>(Q51/$R51*100*($E51/365))+(Q52/$R52*100*($E52/365))</f>
        <v>0</v>
      </c>
      <c r="M165" s="989"/>
      <c r="N165" s="959">
        <f t="shared" si="15"/>
        <v>100</v>
      </c>
      <c r="O165" s="959"/>
      <c r="R165" s="1">
        <v>1977</v>
      </c>
      <c r="S165" s="8">
        <f>(O51*($E51/365))+(O52*($E52/365))</f>
        <v>1.7126027397260273</v>
      </c>
      <c r="T165" s="8">
        <f>(P51*($E51/365))+(P52*($E52/365))</f>
        <v>63.607123287671229</v>
      </c>
      <c r="U165" s="8">
        <f>(Q51*($E51/365))+(Q52*($E52/365))</f>
        <v>0</v>
      </c>
      <c r="V165" s="7"/>
      <c r="W165" s="7">
        <f t="shared" si="17"/>
        <v>65.319726027397252</v>
      </c>
    </row>
    <row r="166" spans="1:23">
      <c r="A166" s="1">
        <v>1978</v>
      </c>
      <c r="B166" s="8">
        <f>(K53*($E53/365))+(K54*($E54/365))</f>
        <v>7.1428571428571432</v>
      </c>
      <c r="C166" s="8">
        <f>(L53*($E53/365))+(L54*($E54/365))</f>
        <v>92.857142857142861</v>
      </c>
      <c r="D166" s="8">
        <f>(M53*($E53/365))+(M54*($E54/365))</f>
        <v>0</v>
      </c>
      <c r="E166" s="50">
        <f t="shared" si="16"/>
        <v>100</v>
      </c>
      <c r="G166" s="1">
        <v>1978</v>
      </c>
      <c r="H166" s="989">
        <f>(O53/$R53*100*($E53/365))+(O54/$R54*100*($E54/365))</f>
        <v>0</v>
      </c>
      <c r="I166" s="989"/>
      <c r="J166" s="989">
        <f>(P53/$R53*100*($E53/365))+(P54/$R54*100*($E54/365))</f>
        <v>100.00000000000001</v>
      </c>
      <c r="K166" s="989"/>
      <c r="L166" s="989">
        <f>(Q53/$R53*100*($E53/365))+(Q54/$R54*100*($E54/365))</f>
        <v>0</v>
      </c>
      <c r="M166" s="989"/>
      <c r="N166" s="959">
        <f t="shared" si="15"/>
        <v>100.00000000000001</v>
      </c>
      <c r="O166" s="959"/>
      <c r="R166" s="1">
        <v>1978</v>
      </c>
      <c r="S166" s="8">
        <f>(O53*($E53/365))+(O54*($E54/365))</f>
        <v>0</v>
      </c>
      <c r="T166" s="8">
        <f>(P53*($E53/365))+(P54*($E54/365))</f>
        <v>66.596986301369867</v>
      </c>
      <c r="U166" s="8">
        <f>(Q53*($E53/365))+(Q54*($E54/365))</f>
        <v>0</v>
      </c>
      <c r="V166" s="7"/>
      <c r="W166" s="7">
        <f t="shared" si="17"/>
        <v>66.596986301369867</v>
      </c>
    </row>
    <row r="167" spans="1:23">
      <c r="A167" s="1">
        <v>1979</v>
      </c>
      <c r="B167" s="8">
        <f>(K55*($E55/365))+(K56*($E56/365))+(K57*($E57/365))</f>
        <v>4.5988258317025439</v>
      </c>
      <c r="C167" s="8">
        <f>(L55*($E55/365))+(L56*($E56/365))+(L57*($E57/365))</f>
        <v>95.401174168297473</v>
      </c>
      <c r="D167" s="8">
        <f>(M55*($E55/365))+(M56*($E56/365))+(M57*($E57/365))</f>
        <v>0</v>
      </c>
      <c r="E167" s="50">
        <f t="shared" si="16"/>
        <v>100.00000000000001</v>
      </c>
      <c r="G167" s="1">
        <v>1979</v>
      </c>
      <c r="H167" s="989">
        <f>(O55/$R55*100*($E55/365))+(O56/$R56*100*($E56/365))+(O57/$R57*100*($E57/365))</f>
        <v>0</v>
      </c>
      <c r="I167" s="989"/>
      <c r="J167" s="989">
        <f>(P55/$R55*100*($E55/365))+(P56/$R56*100*($E56/365))+(P57/$R57*100*($E57/365))</f>
        <v>100</v>
      </c>
      <c r="K167" s="989"/>
      <c r="L167" s="989">
        <f>(Q55/$R55*100*($E55/365))+(Q56/$R56*100*($E56/365))+(Q57/$R57*100*($E57/365))</f>
        <v>0</v>
      </c>
      <c r="M167" s="989"/>
      <c r="N167" s="959">
        <f t="shared" si="15"/>
        <v>100</v>
      </c>
      <c r="O167" s="959"/>
      <c r="R167" s="1">
        <v>1979</v>
      </c>
      <c r="S167" s="8">
        <f>(O55*($E55/365))+(O56*($E56/365))+(O57*($E57/365))</f>
        <v>0</v>
      </c>
      <c r="T167" s="8">
        <f>(P55*($E55/365))+(P56*($E56/365))+(P57*($E57/365))</f>
        <v>63.70000000000001</v>
      </c>
      <c r="U167" s="8">
        <f>(Q55*($E55/365))+(Q56*($E56/365))+(Q57*($E57/365))</f>
        <v>0</v>
      </c>
      <c r="V167" s="7"/>
      <c r="W167" s="7">
        <f t="shared" si="17"/>
        <v>63.70000000000001</v>
      </c>
    </row>
    <row r="168" spans="1:23">
      <c r="A168" s="1">
        <v>1980</v>
      </c>
      <c r="B168" s="8">
        <f>(K58*($E58/366))+(K59*($E59/366))</f>
        <v>0</v>
      </c>
      <c r="C168" s="8">
        <f>(L58*($E58/366))+(L59*($E59/366))</f>
        <v>100.00000000000001</v>
      </c>
      <c r="D168" s="8">
        <f>(M58*($E58/366))+(M59*($E59/366))</f>
        <v>0</v>
      </c>
      <c r="E168" s="50">
        <f t="shared" si="16"/>
        <v>100.00000000000001</v>
      </c>
      <c r="G168" s="1">
        <v>1980</v>
      </c>
      <c r="H168" s="989">
        <f>(O58/$R58*100*($E58/366))+(O59/$R59*100*($E59/366))</f>
        <v>0</v>
      </c>
      <c r="I168" s="989"/>
      <c r="J168" s="989">
        <f>(P58/$R58*100*($E58/366))+(P59/$R59*100*($E59/366))</f>
        <v>100.00000000000001</v>
      </c>
      <c r="K168" s="989"/>
      <c r="L168" s="989">
        <f>(Q58/$R58*100*($E58/366))+(Q59/$R59*100*($E59/366))</f>
        <v>0</v>
      </c>
      <c r="M168" s="989"/>
      <c r="N168" s="959">
        <f t="shared" si="15"/>
        <v>100.00000000000001</v>
      </c>
      <c r="O168" s="959"/>
      <c r="R168" s="1">
        <v>1980</v>
      </c>
      <c r="S168" s="8">
        <f>(O58*($E58/366))+(O59*($E59/366))</f>
        <v>0</v>
      </c>
      <c r="T168" s="8">
        <f>(P58*($E58/366))+(P59*($E59/366))</f>
        <v>62.463934426229514</v>
      </c>
      <c r="U168" s="8">
        <f>(Q58*($E58/366))+(Q59*($E59/366))</f>
        <v>0</v>
      </c>
      <c r="V168" s="7"/>
      <c r="W168" s="7">
        <f t="shared" si="17"/>
        <v>62.463934426229514</v>
      </c>
    </row>
    <row r="169" spans="1:23">
      <c r="A169" s="1">
        <v>1981</v>
      </c>
      <c r="B169" s="8">
        <f>(K60*($E60/365))+(K61*($E61/365))</f>
        <v>94.794520547945211</v>
      </c>
      <c r="C169" s="8">
        <f>(L60*($E60/365))+(L61*($E61/365))</f>
        <v>5.2054794520547949</v>
      </c>
      <c r="D169" s="8">
        <f>(M60*($E60/365))+(M61*($E61/365))</f>
        <v>0</v>
      </c>
      <c r="E169" s="50">
        <f t="shared" si="16"/>
        <v>100</v>
      </c>
      <c r="G169" s="1">
        <v>1981</v>
      </c>
      <c r="H169" s="989">
        <f>(O60/$R60*100*($E60/365))+(O61/$R61*100*($E61/365))</f>
        <v>94.794520547945211</v>
      </c>
      <c r="I169" s="989"/>
      <c r="J169" s="989">
        <f>(P60/$R60*100*($E60/365))+(P61/$R61*100*($E61/365))</f>
        <v>5.2054794520547949</v>
      </c>
      <c r="K169" s="989"/>
      <c r="L169" s="989">
        <f>(Q60/$R60*100*($E60/365))+(Q61/$R61*100*($E61/365))</f>
        <v>0</v>
      </c>
      <c r="M169" s="989"/>
      <c r="N169" s="959">
        <f t="shared" si="15"/>
        <v>100</v>
      </c>
      <c r="O169" s="959"/>
      <c r="R169" s="1">
        <v>1981</v>
      </c>
      <c r="S169" s="8">
        <f>(O60*($E60/365))+(O61*($E61/365))</f>
        <v>41.804383561643839</v>
      </c>
      <c r="T169" s="8">
        <f>(P60*($E60/365))+(P61*($E61/365))</f>
        <v>2.9098630136986303</v>
      </c>
      <c r="U169" s="8">
        <f>(Q60*($E60/365))+(Q61*($E61/365))</f>
        <v>0</v>
      </c>
      <c r="V169" s="7"/>
      <c r="W169" s="7">
        <f t="shared" si="17"/>
        <v>44.714246575342472</v>
      </c>
    </row>
    <row r="170" spans="1:23">
      <c r="A170" s="1">
        <v>1982</v>
      </c>
      <c r="B170" s="8">
        <f>(K62*($E62/365))+(K63*($E63/365))</f>
        <v>100</v>
      </c>
      <c r="C170" s="8">
        <f>(L62*($E62/365))+(L63*($E63/365))</f>
        <v>0</v>
      </c>
      <c r="D170" s="8">
        <f>(M62*($E62/365))+(M63*($E63/365))</f>
        <v>0</v>
      </c>
      <c r="E170" s="50">
        <f t="shared" si="16"/>
        <v>100</v>
      </c>
      <c r="G170" s="1">
        <v>1982</v>
      </c>
      <c r="H170" s="989">
        <f>(O62/$R62*100*($E62/365))+(O63/$R63*100*($E63/365))</f>
        <v>100</v>
      </c>
      <c r="I170" s="989"/>
      <c r="J170" s="989">
        <f>(P62/$R62*100*($E62/365))+(P63/$R63*100*($E63/365))</f>
        <v>0</v>
      </c>
      <c r="K170" s="989"/>
      <c r="L170" s="989">
        <f>(Q62/$R62*100*($E62/365))+(Q63/$R63*100*($E63/365))</f>
        <v>0</v>
      </c>
      <c r="M170" s="989"/>
      <c r="N170" s="959">
        <f t="shared" si="15"/>
        <v>100</v>
      </c>
      <c r="O170" s="959"/>
      <c r="R170" s="1">
        <v>1982</v>
      </c>
      <c r="S170" s="8">
        <f>(O62*($E62/365))+(O63*($E63/365))</f>
        <v>43.130136986301366</v>
      </c>
      <c r="T170" s="8">
        <f>(P62*($E62/365))+(P63*($E63/365))</f>
        <v>0</v>
      </c>
      <c r="U170" s="8">
        <f>(Q62*($E62/365))+(Q63*($E63/365))</f>
        <v>0</v>
      </c>
      <c r="V170" s="7"/>
      <c r="W170" s="7">
        <f t="shared" si="17"/>
        <v>43.130136986301366</v>
      </c>
    </row>
    <row r="171" spans="1:23">
      <c r="A171" s="1">
        <v>1983</v>
      </c>
      <c r="B171" s="8">
        <f>(K64*($E64/365))+(K65*($E65/365))</f>
        <v>100</v>
      </c>
      <c r="C171" s="8">
        <f>(L64*($E64/365))+(L65*($E65/365))</f>
        <v>0</v>
      </c>
      <c r="D171" s="8">
        <f>(M64*($E64/365))+(M65*($E65/365))</f>
        <v>0</v>
      </c>
      <c r="E171" s="50">
        <f t="shared" si="16"/>
        <v>100</v>
      </c>
      <c r="G171" s="1">
        <v>1983</v>
      </c>
      <c r="H171" s="989">
        <f>(O64/$R64*100*($E64/365))+(O65/$R65*100*($E65/365))</f>
        <v>100</v>
      </c>
      <c r="I171" s="989"/>
      <c r="J171" s="989">
        <f>(P64/$R64*100*($E64/365))+(P65/$R65*100*($E65/365))</f>
        <v>0</v>
      </c>
      <c r="K171" s="989"/>
      <c r="L171" s="989">
        <f>(Q64/$R64*100*($E64/365))+(Q65/$R65*100*($E65/365))</f>
        <v>0</v>
      </c>
      <c r="M171" s="989"/>
      <c r="N171" s="959">
        <f t="shared" si="15"/>
        <v>100</v>
      </c>
      <c r="O171" s="959"/>
      <c r="R171" s="1">
        <v>1983</v>
      </c>
      <c r="S171" s="8">
        <f>(O64*($E64/365))+(O65*($E65/365))</f>
        <v>38.200000000000003</v>
      </c>
      <c r="T171" s="8">
        <f>(P64*($E64/365))+(P65*($E65/365))</f>
        <v>0</v>
      </c>
      <c r="U171" s="8">
        <f>(Q64*($E64/365))+(Q65*($E65/365))</f>
        <v>0</v>
      </c>
      <c r="V171" s="7"/>
      <c r="W171" s="7">
        <f t="shared" si="17"/>
        <v>38.200000000000003</v>
      </c>
    </row>
    <row r="172" spans="1:23">
      <c r="A172" s="1">
        <v>1984</v>
      </c>
      <c r="B172" s="8">
        <f>(K66*($E66/366))+(K67*($E67/366))</f>
        <v>100</v>
      </c>
      <c r="C172" s="8">
        <f>(L66*($E66/366))+(L67*($E67/366))</f>
        <v>0</v>
      </c>
      <c r="D172" s="8">
        <f>(M66*($E66/366))+(M67*($E67/366))</f>
        <v>0</v>
      </c>
      <c r="E172" s="50">
        <f t="shared" si="16"/>
        <v>100</v>
      </c>
      <c r="G172" s="1">
        <v>1984</v>
      </c>
      <c r="H172" s="989">
        <f>(O66/$R66*100*($E66/366))+(O67/$R67*100*($E67/366))</f>
        <v>100</v>
      </c>
      <c r="I172" s="989"/>
      <c r="J172" s="989">
        <f>(P66/$R66*100*($E66/366))+(P67/$R67*100*($E67/366))</f>
        <v>0</v>
      </c>
      <c r="K172" s="989"/>
      <c r="L172" s="989">
        <f>(Q66/$R66*100*($E66/366))+(Q67/$R67*100*($E67/366))</f>
        <v>0</v>
      </c>
      <c r="M172" s="989"/>
      <c r="N172" s="959">
        <f t="shared" si="15"/>
        <v>100</v>
      </c>
      <c r="O172" s="959"/>
      <c r="R172" s="1">
        <v>1984</v>
      </c>
      <c r="S172" s="8">
        <f>(O66*($E66/366))+(O67*($E67/366))</f>
        <v>38.750819672131158</v>
      </c>
      <c r="T172" s="8">
        <f>(P66*($E66/366))+(P67*($E67/366))</f>
        <v>0</v>
      </c>
      <c r="U172" s="8">
        <f>(Q66*($E66/366))+(Q67*($E67/366))</f>
        <v>0</v>
      </c>
      <c r="V172" s="7"/>
      <c r="W172" s="7">
        <f t="shared" si="17"/>
        <v>38.750819672131158</v>
      </c>
    </row>
    <row r="173" spans="1:23">
      <c r="A173" s="1">
        <v>1985</v>
      </c>
      <c r="B173" s="8">
        <f>(K68*($E68/365))+(K69*($E69/365))</f>
        <v>100</v>
      </c>
      <c r="C173" s="8">
        <f>(L68*($E68/365))+(L69*($E69/365))</f>
        <v>0</v>
      </c>
      <c r="D173" s="8">
        <f>(M68*($E68/365))+(M69*($E69/365))</f>
        <v>0</v>
      </c>
      <c r="E173" s="50">
        <f t="shared" si="16"/>
        <v>100</v>
      </c>
      <c r="G173" s="1">
        <v>1985</v>
      </c>
      <c r="H173" s="989">
        <f>(O68/$R68*100*($E68/365))+(O69/$R69*100*($E69/365))</f>
        <v>100</v>
      </c>
      <c r="I173" s="989"/>
      <c r="J173" s="989">
        <f>(P68/$R68*100*($E68/365))+(P69/$R69*100*($E69/365))</f>
        <v>0</v>
      </c>
      <c r="K173" s="989"/>
      <c r="L173" s="989">
        <f>(Q68/$R68*100*($E68/365))+(Q69/$R69*100*($E69/365))</f>
        <v>0</v>
      </c>
      <c r="M173" s="989"/>
      <c r="N173" s="959">
        <f t="shared" si="15"/>
        <v>100</v>
      </c>
      <c r="O173" s="959"/>
      <c r="R173" s="1">
        <v>1985</v>
      </c>
      <c r="S173" s="8">
        <f>(O68*($E68/365))+(O69*($E69/365))</f>
        <v>41.8</v>
      </c>
      <c r="T173" s="8">
        <f>(P68*($E68/365))+(P69*($E69/365))</f>
        <v>0</v>
      </c>
      <c r="U173" s="8">
        <f>(Q68*($E68/365))+(Q69*($E69/365))</f>
        <v>0</v>
      </c>
      <c r="V173" s="7"/>
      <c r="W173" s="7">
        <f t="shared" si="17"/>
        <v>41.8</v>
      </c>
    </row>
    <row r="174" spans="1:23">
      <c r="A174" s="1">
        <v>1986</v>
      </c>
      <c r="B174" s="8">
        <f>(K70*($E70/365))+(K71*($E71/365))</f>
        <v>100</v>
      </c>
      <c r="C174" s="8">
        <f>(L70*($E70/365))+(L71*($E71/365))</f>
        <v>0</v>
      </c>
      <c r="D174" s="8">
        <f>(M70*($E70/365))+(M71*($E71/365))</f>
        <v>0</v>
      </c>
      <c r="E174" s="50">
        <f t="shared" si="16"/>
        <v>100</v>
      </c>
      <c r="G174" s="1">
        <v>1986</v>
      </c>
      <c r="H174" s="989">
        <f>(O70/$R70*100*($E70/365))+(O71/$R71*100*($E71/365))</f>
        <v>100</v>
      </c>
      <c r="I174" s="989"/>
      <c r="J174" s="989">
        <f>(P70/$R70*100*($E70/365))+(P71/$R71*100*($E71/365))</f>
        <v>0</v>
      </c>
      <c r="K174" s="989"/>
      <c r="L174" s="989">
        <f>(Q70/$R70*100*($E70/365))+(Q71/$R71*100*($E71/365))</f>
        <v>0</v>
      </c>
      <c r="M174" s="989"/>
      <c r="N174" s="959">
        <f t="shared" si="15"/>
        <v>100</v>
      </c>
      <c r="O174" s="959"/>
      <c r="R174" s="1">
        <v>1986</v>
      </c>
      <c r="S174" s="8">
        <f>(O70*($E70/365))+(O71*($E71/365))</f>
        <v>41.616164383561646</v>
      </c>
      <c r="T174" s="8">
        <f>(P70*($E70/365))+(P71*($E71/365))</f>
        <v>0</v>
      </c>
      <c r="U174" s="8">
        <f>(Q70*($E70/365))+(Q71*($E71/365))</f>
        <v>0</v>
      </c>
      <c r="V174" s="7"/>
      <c r="W174" s="7">
        <f t="shared" si="17"/>
        <v>41.616164383561646</v>
      </c>
    </row>
    <row r="175" spans="1:23">
      <c r="A175" s="1">
        <v>1987</v>
      </c>
      <c r="B175" s="8">
        <f>(K72*($E72/365))+(K73*($E73/365))</f>
        <v>100</v>
      </c>
      <c r="C175" s="8">
        <f>(L72*($E72/365))+(L73*($E73/365))</f>
        <v>0</v>
      </c>
      <c r="D175" s="8">
        <f>(M72*($E72/365))+(M73*($E73/365))</f>
        <v>0</v>
      </c>
      <c r="E175" s="50">
        <f t="shared" si="16"/>
        <v>100</v>
      </c>
      <c r="G175" s="1">
        <v>1987</v>
      </c>
      <c r="H175" s="989">
        <f>(O72/$R72*100*($E72/365))+(O73/$R73*100*($E73/365))</f>
        <v>100</v>
      </c>
      <c r="I175" s="989"/>
      <c r="J175" s="989">
        <f>(P72/$R72*100*($E72/365))+(P73/$R73*100*($E73/365))</f>
        <v>0</v>
      </c>
      <c r="K175" s="989"/>
      <c r="L175" s="989">
        <f>(Q72/$R72*100*($E72/365))+(Q73/$R73*100*($E73/365))</f>
        <v>0</v>
      </c>
      <c r="M175" s="989"/>
      <c r="N175" s="959">
        <f t="shared" si="15"/>
        <v>100</v>
      </c>
      <c r="O175" s="959"/>
      <c r="R175" s="1">
        <v>1987</v>
      </c>
      <c r="S175" s="8">
        <f>(O72*($E72/365))+(O73*($E73/365))</f>
        <v>40.700000000000003</v>
      </c>
      <c r="T175" s="8">
        <f>(P72*($E72/365))+(P73*($E73/365))</f>
        <v>0</v>
      </c>
      <c r="U175" s="8">
        <f>(Q72*($E72/365))+(Q73*($E73/365))</f>
        <v>0</v>
      </c>
      <c r="V175" s="7"/>
      <c r="W175" s="7">
        <f t="shared" si="17"/>
        <v>40.700000000000003</v>
      </c>
    </row>
    <row r="176" spans="1:23">
      <c r="A176" s="1">
        <v>1988</v>
      </c>
      <c r="B176" s="8">
        <f>(K74*($E74/366))+(K75*($E75/366))</f>
        <v>99.999999999999986</v>
      </c>
      <c r="C176" s="8">
        <f>(L74*($E74/366))+(L75*($E75/366))</f>
        <v>0</v>
      </c>
      <c r="D176" s="8">
        <f>(M74*($E74/366))+(M75*($E75/366))</f>
        <v>0</v>
      </c>
      <c r="E176" s="50">
        <f t="shared" si="16"/>
        <v>99.999999999999986</v>
      </c>
      <c r="G176" s="1">
        <v>1988</v>
      </c>
      <c r="H176" s="989">
        <f>(O74/$R74*100*($E74/366))+(O75/$R75*100*($E75/366))</f>
        <v>99.999999999999986</v>
      </c>
      <c r="I176" s="989"/>
      <c r="J176" s="989">
        <f>(P74/$R74*100*($E74/366))+(P75/$R75*100*($E75/366))</f>
        <v>0</v>
      </c>
      <c r="K176" s="989"/>
      <c r="L176" s="989">
        <f>(Q74/$R74*100*($E74/366))+(Q75/$R75*100*($E75/366))</f>
        <v>0</v>
      </c>
      <c r="M176" s="989"/>
      <c r="N176" s="959">
        <f t="shared" si="15"/>
        <v>99.999999999999986</v>
      </c>
      <c r="O176" s="959"/>
      <c r="R176" s="1">
        <v>1988</v>
      </c>
      <c r="S176" s="8">
        <f>(O74*($E74/366))+(O75*($E75/366))</f>
        <v>40.626229508196722</v>
      </c>
      <c r="T176" s="8">
        <f>(P74*($E74/366))+(P75*($E75/366))</f>
        <v>0</v>
      </c>
      <c r="U176" s="8">
        <f>(Q74*($E74/366))+(Q75*($E75/366))</f>
        <v>0</v>
      </c>
      <c r="V176" s="7"/>
      <c r="W176" s="7">
        <f t="shared" si="17"/>
        <v>40.626229508196722</v>
      </c>
    </row>
    <row r="177" spans="1:23">
      <c r="A177" s="1">
        <v>1989</v>
      </c>
      <c r="B177" s="8">
        <f>(K76*($E76/365))+(K77*($E77/365))</f>
        <v>100</v>
      </c>
      <c r="C177" s="8">
        <f>(L76*($E76/365))+(L77*($E77/365))</f>
        <v>0</v>
      </c>
      <c r="D177" s="8">
        <f>(M76*($E76/365))+(M77*($E77/365))</f>
        <v>0</v>
      </c>
      <c r="E177" s="50">
        <f t="shared" si="16"/>
        <v>100</v>
      </c>
      <c r="G177" s="1">
        <v>1989</v>
      </c>
      <c r="H177" s="989">
        <f>(O76/$R76*100*($E76/365))+(O77/$R77*100*($E77/365))</f>
        <v>100</v>
      </c>
      <c r="I177" s="989"/>
      <c r="J177" s="989">
        <f>(P76/$R76*100*($E76/365))+(P77/$R77*100*($E77/365))</f>
        <v>0</v>
      </c>
      <c r="K177" s="989"/>
      <c r="L177" s="989">
        <f>(Q76/$R76*100*($E76/365))+(Q77/$R77*100*($E77/365))</f>
        <v>0</v>
      </c>
      <c r="M177" s="989"/>
      <c r="N177" s="959">
        <f t="shared" si="15"/>
        <v>100</v>
      </c>
      <c r="O177" s="959"/>
      <c r="R177" s="1">
        <v>1989</v>
      </c>
      <c r="S177" s="8">
        <f>(O76*($E76/365))+(O77*($E77/365))</f>
        <v>40.200000000000003</v>
      </c>
      <c r="T177" s="8">
        <f>(P76*($E76/365))+(P77*($E77/365))</f>
        <v>0</v>
      </c>
      <c r="U177" s="8">
        <f>(Q76*($E76/365))+(Q77*($E77/365))</f>
        <v>0</v>
      </c>
      <c r="V177" s="7"/>
      <c r="W177" s="7">
        <f t="shared" si="17"/>
        <v>40.200000000000003</v>
      </c>
    </row>
    <row r="178" spans="1:23">
      <c r="A178" s="1">
        <v>1990</v>
      </c>
      <c r="B178" s="8">
        <f>(K78*($E78/365))+(K79*($E79/365))</f>
        <v>100</v>
      </c>
      <c r="C178" s="8">
        <f>(L78*($E78/365))+(L79*($E79/365))</f>
        <v>0</v>
      </c>
      <c r="D178" s="8">
        <f>(M78*($E78/365))+(M79*($E79/365))</f>
        <v>0</v>
      </c>
      <c r="E178" s="50">
        <f t="shared" si="16"/>
        <v>100</v>
      </c>
      <c r="G178" s="1">
        <v>1990</v>
      </c>
      <c r="H178" s="989">
        <f>(O78/$R78*100*($E78/365))+(O79/$R79*100*($E79/365))</f>
        <v>100</v>
      </c>
      <c r="I178" s="989"/>
      <c r="J178" s="989">
        <f>(P78/$R78*100*($E78/365))+(P79/$R79*100*($E79/365))</f>
        <v>0</v>
      </c>
      <c r="K178" s="989"/>
      <c r="L178" s="989">
        <f>(Q78/$R78*100*($E78/365))+(Q79/$R79*100*($E79/365))</f>
        <v>0</v>
      </c>
      <c r="M178" s="989"/>
      <c r="N178" s="959">
        <f t="shared" si="15"/>
        <v>100</v>
      </c>
      <c r="O178" s="959"/>
      <c r="R178" s="1">
        <v>1990</v>
      </c>
      <c r="S178" s="8">
        <f>(O78*($E78/365))+(O79*($E79/365))</f>
        <v>39.904109589041099</v>
      </c>
      <c r="T178" s="8">
        <f>(P78*($E78/365))+(P79*($E79/365))</f>
        <v>0</v>
      </c>
      <c r="U178" s="8">
        <f>(Q78*($E78/365))+(Q79*($E79/365))</f>
        <v>0</v>
      </c>
      <c r="V178" s="7"/>
      <c r="W178" s="7">
        <f t="shared" si="17"/>
        <v>39.904109589041099</v>
      </c>
    </row>
    <row r="179" spans="1:23">
      <c r="A179" s="1">
        <v>1991</v>
      </c>
      <c r="B179" s="8">
        <f>(K80*($E80/365))+(K81*($E81/365))</f>
        <v>100</v>
      </c>
      <c r="C179" s="8">
        <f>(L80*($E80/365))+(L81*($E81/365))</f>
        <v>0</v>
      </c>
      <c r="D179" s="8">
        <f>(M80*($E80/365))+(M81*($E81/365))</f>
        <v>0</v>
      </c>
      <c r="E179" s="50">
        <f t="shared" si="16"/>
        <v>100</v>
      </c>
      <c r="G179" s="1">
        <v>1991</v>
      </c>
      <c r="H179" s="989">
        <f>(O80/$R80*100*($E80/365))+(O81/$R81*100*($E81/365))</f>
        <v>100</v>
      </c>
      <c r="I179" s="989"/>
      <c r="J179" s="989">
        <f>(P80/$R80*100*($E80/365))+(P81/$R81*100*($E81/365))</f>
        <v>0</v>
      </c>
      <c r="K179" s="989"/>
      <c r="L179" s="989">
        <f>(Q80/$R80*100*($E80/365))+(Q81/$R81*100*($E81/365))</f>
        <v>0</v>
      </c>
      <c r="M179" s="989"/>
      <c r="N179" s="959">
        <f t="shared" si="15"/>
        <v>100</v>
      </c>
      <c r="O179" s="959"/>
      <c r="R179" s="1">
        <v>1991</v>
      </c>
      <c r="S179" s="8">
        <f>(O80*($E80/365))+(O81*($E81/365))</f>
        <v>38.4</v>
      </c>
      <c r="T179" s="8">
        <f>(P80*($E80/365))+(P81*($E81/365))</f>
        <v>0</v>
      </c>
      <c r="U179" s="8">
        <f>(Q80*($E80/365))+(Q81*($E81/365))</f>
        <v>0</v>
      </c>
      <c r="V179" s="7"/>
      <c r="W179" s="7">
        <f t="shared" si="17"/>
        <v>38.4</v>
      </c>
    </row>
    <row r="180" spans="1:23">
      <c r="A180" s="1">
        <v>1992</v>
      </c>
      <c r="B180" s="8">
        <f>(K82*($E82/366))+(K83*($E83/366))</f>
        <v>100</v>
      </c>
      <c r="C180" s="8">
        <f>(L82*($E82/366))+(L83*($E83/366))</f>
        <v>0</v>
      </c>
      <c r="D180" s="8">
        <f>(M82*($E82/366))+(M83*($E83/366))</f>
        <v>0</v>
      </c>
      <c r="E180" s="50">
        <f t="shared" si="16"/>
        <v>100</v>
      </c>
      <c r="G180" s="1">
        <v>1992</v>
      </c>
      <c r="H180" s="989">
        <f>(O82/$R82*100*($E82/366))+(O83/$R83*100*($E83/366))</f>
        <v>100</v>
      </c>
      <c r="I180" s="989"/>
      <c r="J180" s="989">
        <f>(P82/$R82*100*($E82/366))+(P83/$R83*100*($E83/366))</f>
        <v>0</v>
      </c>
      <c r="K180" s="989"/>
      <c r="L180" s="989">
        <f>(Q82/$R82*100*($E82/366))+(Q83/$R83*100*($E83/366))</f>
        <v>0</v>
      </c>
      <c r="M180" s="989"/>
      <c r="N180" s="959">
        <f t="shared" ref="N180:N200" si="18">H180+J180+L180</f>
        <v>100</v>
      </c>
      <c r="O180" s="959"/>
      <c r="R180" s="1">
        <v>1992</v>
      </c>
      <c r="S180" s="8">
        <f>(O82*($E82/366))+(O83*($E83/366))</f>
        <v>38.738524590163934</v>
      </c>
      <c r="T180" s="8">
        <f>(P82*($E82/366))+(P83*($E83/366))</f>
        <v>0</v>
      </c>
      <c r="U180" s="8">
        <f>(Q82*($E82/366))+(Q83*($E83/366))</f>
        <v>0</v>
      </c>
      <c r="V180" s="7"/>
      <c r="W180" s="7">
        <f t="shared" si="17"/>
        <v>38.738524590163934</v>
      </c>
    </row>
    <row r="181" spans="1:23">
      <c r="A181" s="1">
        <v>1993</v>
      </c>
      <c r="B181" s="8">
        <f>(K84*($E84/365))+(K85*($E85/365))</f>
        <v>5.2054794520547949</v>
      </c>
      <c r="C181" s="8">
        <f>(L84*($E84/365))+(L85*($E85/365))</f>
        <v>94.794520547945211</v>
      </c>
      <c r="D181" s="8">
        <f>(M84*($E84/365))+(M85*($E85/365))</f>
        <v>0</v>
      </c>
      <c r="E181" s="50">
        <f t="shared" si="16"/>
        <v>100</v>
      </c>
      <c r="G181" s="1">
        <v>1993</v>
      </c>
      <c r="H181" s="989">
        <f>(O84/$R84*100*($E84/365))+(O85/$R85*100*($E85/365))</f>
        <v>5.2054794520547949</v>
      </c>
      <c r="I181" s="989"/>
      <c r="J181" s="989">
        <f>(P84/$R84*100*($E84/365))+(P85/$R85*100*($E85/365))</f>
        <v>94.794520547945211</v>
      </c>
      <c r="K181" s="989"/>
      <c r="L181" s="989">
        <f>(Q84/$R84*100*($E84/365))+(Q85/$R85*100*($E85/365))</f>
        <v>0</v>
      </c>
      <c r="M181" s="989"/>
      <c r="N181" s="959">
        <f t="shared" si="18"/>
        <v>100</v>
      </c>
      <c r="O181" s="959"/>
      <c r="R181" s="1">
        <v>1993</v>
      </c>
      <c r="S181" s="8">
        <f>(O84*($E84/365))+(O85*($E85/365))</f>
        <v>2.1082191780821917</v>
      </c>
      <c r="T181" s="8">
        <f>(P84*($E84/365))+(P85*($E85/365))</f>
        <v>56.213150684931506</v>
      </c>
      <c r="U181" s="8">
        <f>(Q84*($E84/365))+(Q85*($E85/365))</f>
        <v>0</v>
      </c>
      <c r="V181" s="7"/>
      <c r="W181" s="7">
        <f t="shared" si="17"/>
        <v>58.3213698630137</v>
      </c>
    </row>
    <row r="182" spans="1:23">
      <c r="A182" s="1">
        <v>1994</v>
      </c>
      <c r="B182" s="8">
        <f>(K86*($E86/365))+(K87*($E87/365))</f>
        <v>0</v>
      </c>
      <c r="C182" s="8">
        <f>(L86*($E86/365))+(L87*($E87/365))</f>
        <v>100.00000000000001</v>
      </c>
      <c r="D182" s="8">
        <f>(M86*($E86/365))+(M87*($E87/365))</f>
        <v>0</v>
      </c>
      <c r="E182" s="50">
        <f t="shared" si="16"/>
        <v>100.00000000000001</v>
      </c>
      <c r="G182" s="1">
        <v>1994</v>
      </c>
      <c r="H182" s="989">
        <f>(O86/$R86*100*($E86/365))+(O87/$R87*100*($E87/365))</f>
        <v>0</v>
      </c>
      <c r="I182" s="989"/>
      <c r="J182" s="989">
        <f>(P86/$R86*100*($E86/365))+(P87/$R87*100*($E87/365))</f>
        <v>100.00000000000001</v>
      </c>
      <c r="K182" s="989"/>
      <c r="L182" s="989">
        <f>(Q86/$R86*100*($E86/365))+(Q87/$R87*100*($E87/365))</f>
        <v>0</v>
      </c>
      <c r="M182" s="989"/>
      <c r="N182" s="959">
        <f t="shared" si="18"/>
        <v>100.00000000000001</v>
      </c>
      <c r="O182" s="959"/>
      <c r="R182" s="1">
        <v>1994</v>
      </c>
      <c r="S182" s="8">
        <f>(O86*($E86/365))+(O87*($E87/365))</f>
        <v>0</v>
      </c>
      <c r="T182" s="8">
        <f>(P86*($E86/365))+(P87*($E87/365))</f>
        <v>57.465479452054794</v>
      </c>
      <c r="U182" s="8">
        <f>(Q86*($E86/365))+(Q87*($E87/365))</f>
        <v>0</v>
      </c>
      <c r="V182" s="7"/>
      <c r="W182" s="7">
        <f t="shared" si="17"/>
        <v>57.465479452054794</v>
      </c>
    </row>
    <row r="183" spans="1:23">
      <c r="A183" s="1">
        <v>1995</v>
      </c>
      <c r="B183" s="8">
        <f>(K88*($E88/365))+(K89*($E89/365))</f>
        <v>0</v>
      </c>
      <c r="C183" s="8">
        <f>(L88*($E88/365))+(L89*($E89/365))</f>
        <v>100</v>
      </c>
      <c r="D183" s="8">
        <f>(M88*($E88/365))+(M89*($E89/365))</f>
        <v>0</v>
      </c>
      <c r="E183" s="50">
        <f t="shared" si="16"/>
        <v>100</v>
      </c>
      <c r="G183" s="1">
        <v>1995</v>
      </c>
      <c r="H183" s="989">
        <f>(O88/$R88*100*($E88/365))+(O89/$R89*100*($E89/365))</f>
        <v>0</v>
      </c>
      <c r="I183" s="989"/>
      <c r="J183" s="989">
        <f>(P88/$R88*100*($E88/365))+(P89/$R89*100*($E89/365))</f>
        <v>100</v>
      </c>
      <c r="K183" s="989"/>
      <c r="L183" s="989">
        <f>(Q88/$R88*100*($E88/365))+(Q89/$R89*100*($E89/365))</f>
        <v>0</v>
      </c>
      <c r="M183" s="989"/>
      <c r="N183" s="959">
        <f t="shared" si="18"/>
        <v>100</v>
      </c>
      <c r="O183" s="959"/>
      <c r="R183" s="1">
        <v>1995</v>
      </c>
      <c r="S183" s="8">
        <f>(O88*($E88/365))+(O89*($E89/365))</f>
        <v>0</v>
      </c>
      <c r="T183" s="8">
        <f>(P88*($E88/365))+(P89*($E89/365))</f>
        <v>46.9</v>
      </c>
      <c r="U183" s="8">
        <f>(Q88*($E88/365))+(Q89*($E89/365))</f>
        <v>0</v>
      </c>
      <c r="V183" s="7"/>
      <c r="W183" s="7">
        <f t="shared" si="17"/>
        <v>46.9</v>
      </c>
    </row>
    <row r="184" spans="1:23">
      <c r="A184" s="1">
        <v>1996</v>
      </c>
      <c r="B184" s="8">
        <f>(K90*($E90/366))+(K91*($E91/366))</f>
        <v>0</v>
      </c>
      <c r="C184" s="8">
        <f>(L90*($E90/366))+(L91*($E91/366))</f>
        <v>100</v>
      </c>
      <c r="D184" s="8">
        <f>(M90*($E90/366))+(M91*($E91/366))</f>
        <v>0</v>
      </c>
      <c r="E184" s="50">
        <f t="shared" si="16"/>
        <v>100</v>
      </c>
      <c r="G184" s="1">
        <v>1996</v>
      </c>
      <c r="H184" s="989">
        <f>(O90/$R90*100*($E90/366))+(O91/$R91*100*($E91/366))</f>
        <v>0</v>
      </c>
      <c r="I184" s="989"/>
      <c r="J184" s="989">
        <f>(P90/$R90*100*($E90/366))+(P91/$R91*100*($E91/366))</f>
        <v>100</v>
      </c>
      <c r="K184" s="989"/>
      <c r="L184" s="989">
        <f>(Q90/$R90*100*($E90/366))+(Q91/$R91*100*($E91/366))</f>
        <v>0</v>
      </c>
      <c r="M184" s="989"/>
      <c r="N184" s="959">
        <f t="shared" si="18"/>
        <v>100</v>
      </c>
      <c r="O184" s="959"/>
      <c r="R184" s="1">
        <v>1996</v>
      </c>
      <c r="S184" s="8">
        <f>(O90*($E90/366))+(O91*($E91/366))</f>
        <v>0</v>
      </c>
      <c r="T184" s="8">
        <f>(P90*($E90/366))+(P91*($E91/366))</f>
        <v>47.009016393442622</v>
      </c>
      <c r="U184" s="8">
        <f>(Q90*($E90/366))+(Q91*($E91/366))</f>
        <v>0</v>
      </c>
      <c r="V184" s="7"/>
      <c r="W184" s="7">
        <f t="shared" si="17"/>
        <v>47.009016393442622</v>
      </c>
    </row>
    <row r="185" spans="1:23">
      <c r="A185" s="1">
        <v>1997</v>
      </c>
      <c r="B185" s="8">
        <f>(K92*($E92/365))+(K93*($E93/365))</f>
        <v>5.2663622526636225</v>
      </c>
      <c r="C185" s="8">
        <f>(L92*($E92/365))+(L93*($E93/365))</f>
        <v>94.733637747336374</v>
      </c>
      <c r="D185" s="8">
        <f>(M92*($E92/365))+(M93*($E93/365))</f>
        <v>0</v>
      </c>
      <c r="E185" s="50">
        <f t="shared" si="16"/>
        <v>100</v>
      </c>
      <c r="G185" s="1">
        <v>1997</v>
      </c>
      <c r="H185" s="989">
        <f>(O92/$R92*100*($E92/365))+(O93/$R93*100*($E93/365))</f>
        <v>0</v>
      </c>
      <c r="I185" s="989"/>
      <c r="J185" s="989">
        <f>(P92/$R92*100*($E92/365))+(P93/$R93*100*($E93/365))</f>
        <v>100</v>
      </c>
      <c r="K185" s="989"/>
      <c r="L185" s="989">
        <f>(Q92/$R92*100*($E92/365))+(Q93/$R93*100*($E93/365))</f>
        <v>0</v>
      </c>
      <c r="M185" s="989"/>
      <c r="N185" s="959">
        <f t="shared" si="18"/>
        <v>100</v>
      </c>
      <c r="O185" s="959"/>
      <c r="R185" s="1">
        <v>1997</v>
      </c>
      <c r="S185" s="8">
        <f>(O92*($E92/365))+(O93*($E93/365))</f>
        <v>0</v>
      </c>
      <c r="T185" s="8">
        <f>(P92*($E92/365))+(P93*($E93/365))</f>
        <v>47.6</v>
      </c>
      <c r="U185" s="8">
        <f>(Q92*($E92/365))+(Q93*($E93/365))</f>
        <v>0</v>
      </c>
      <c r="V185" s="7"/>
      <c r="W185" s="7">
        <f>S185+T185+U185</f>
        <v>47.6</v>
      </c>
    </row>
    <row r="186" spans="1:23">
      <c r="A186" s="1">
        <v>1998</v>
      </c>
      <c r="B186" s="8">
        <f>(K94*($E94/365))+(K95*($E95/365))</f>
        <v>5.5555555555555554</v>
      </c>
      <c r="C186" s="8">
        <f>(L94*($E94/365))+(L95*($E95/365))</f>
        <v>94.444444444444443</v>
      </c>
      <c r="D186" s="8">
        <f>(M94*($E94/365))+(M95*($E95/365))</f>
        <v>0</v>
      </c>
      <c r="E186" s="50">
        <f t="shared" si="16"/>
        <v>100</v>
      </c>
      <c r="G186" s="1">
        <v>1998</v>
      </c>
      <c r="H186" s="989">
        <f>(O94/$R94*100*($E94/365))+(O95/$R95*100*($E95/365))</f>
        <v>0</v>
      </c>
      <c r="I186" s="989"/>
      <c r="J186" s="989">
        <f>(P94/$R94*100*($E94/365))+(P95/$R95*100*($E95/365))</f>
        <v>100</v>
      </c>
      <c r="K186" s="989"/>
      <c r="L186" s="989">
        <f>(Q94/$R94*100*($E94/365))+(Q95/$R95*100*($E95/365))</f>
        <v>0</v>
      </c>
      <c r="M186" s="989"/>
      <c r="N186" s="959">
        <f t="shared" si="18"/>
        <v>100</v>
      </c>
      <c r="O186" s="959"/>
      <c r="R186" s="1">
        <v>1998</v>
      </c>
      <c r="S186" s="8">
        <f>(O94*($E94/365))+(O95*($E95/365))</f>
        <v>0</v>
      </c>
      <c r="T186" s="8">
        <f>(P94*($E94/365))+(P95*($E95/365))</f>
        <v>47.745479452054795</v>
      </c>
      <c r="U186" s="8">
        <f>(Q94*($E94/365))+(Q95*($E95/365))</f>
        <v>0</v>
      </c>
      <c r="V186" s="7"/>
      <c r="W186" s="7">
        <f t="shared" si="17"/>
        <v>47.745479452054795</v>
      </c>
    </row>
    <row r="187" spans="1:23">
      <c r="A187" s="1">
        <v>1999</v>
      </c>
      <c r="B187" s="8">
        <f>(K96*($E96/365))+(K97*($E97/365))</f>
        <v>5.5555555555555554</v>
      </c>
      <c r="C187" s="8">
        <f>(L96*($E96/365))+(L97*($E97/365))</f>
        <v>94.444444444444443</v>
      </c>
      <c r="D187" s="8">
        <f>(M96*($E96/365))+(M97*($E97/365))</f>
        <v>0</v>
      </c>
      <c r="E187" s="50">
        <f t="shared" si="16"/>
        <v>100</v>
      </c>
      <c r="G187" s="1">
        <v>1999</v>
      </c>
      <c r="H187" s="989">
        <f>(O96/$R96*100*($E96/365))+(O97/$R97*100*($E97/365))</f>
        <v>0</v>
      </c>
      <c r="I187" s="989"/>
      <c r="J187" s="989">
        <f>(P96/$R96*100*($E96/365))+(P97/$R97*100*($E97/365))</f>
        <v>100</v>
      </c>
      <c r="K187" s="989"/>
      <c r="L187" s="989">
        <f>(Q96/$R96*100*($E96/365))+(Q97/$R97*100*($E97/365))</f>
        <v>0</v>
      </c>
      <c r="M187" s="989"/>
      <c r="N187" s="959">
        <f t="shared" si="18"/>
        <v>100</v>
      </c>
      <c r="O187" s="959"/>
      <c r="R187" s="1">
        <v>1999</v>
      </c>
      <c r="S187" s="8">
        <f>(O96*($E96/365))+(O97*($E97/365))</f>
        <v>0</v>
      </c>
      <c r="T187" s="8">
        <f>(P96*($E96/365))+(P97*($E97/365))</f>
        <v>48.5</v>
      </c>
      <c r="U187" s="8">
        <f>(Q96*($E96/365))+(Q97*($E97/365))</f>
        <v>0</v>
      </c>
      <c r="V187" s="7"/>
      <c r="W187" s="7">
        <f t="shared" si="17"/>
        <v>48.5</v>
      </c>
    </row>
    <row r="188" spans="1:23">
      <c r="A188" s="1">
        <v>2000</v>
      </c>
      <c r="B188" s="8">
        <f>(K98*($E98/366))+(K99*($E99/366))</f>
        <v>5.5555555555555554</v>
      </c>
      <c r="C188" s="8">
        <f>(L98*($E98/366))+(L99*($E99/366))</f>
        <v>94.444444444444443</v>
      </c>
      <c r="D188" s="8">
        <f>(M98*($E98/366))+(M99*($E99/366))</f>
        <v>0</v>
      </c>
      <c r="E188" s="50">
        <f t="shared" si="16"/>
        <v>100</v>
      </c>
      <c r="G188" s="1">
        <v>2000</v>
      </c>
      <c r="H188" s="989">
        <f>(O98/$R98*100*($E98/366))+(O99/$R99*100*($E99/366))</f>
        <v>0</v>
      </c>
      <c r="I188" s="989"/>
      <c r="J188" s="989">
        <f>(P98/$R98*100*($E98/366))+(P99/$R99*100*($E99/366))</f>
        <v>100.00000000000001</v>
      </c>
      <c r="K188" s="989"/>
      <c r="L188" s="989">
        <f>(Q98/$R98*100*($E98/366))+(Q99/$R99*100*($E99/366))</f>
        <v>0</v>
      </c>
      <c r="M188" s="989"/>
      <c r="N188" s="959">
        <f t="shared" si="18"/>
        <v>100.00000000000001</v>
      </c>
      <c r="O188" s="959"/>
      <c r="R188" s="1">
        <v>2000</v>
      </c>
      <c r="S188" s="8">
        <f>(O98*($E98/366))+(O99*($E99/366))</f>
        <v>0</v>
      </c>
      <c r="T188" s="8">
        <f>(P98*($E98/366))+(P99*($E99/366))</f>
        <v>48.53005464480875</v>
      </c>
      <c r="U188" s="8">
        <f>(Q98*($E98/366))+(Q99*($E99/366))</f>
        <v>0</v>
      </c>
      <c r="V188" s="7"/>
      <c r="W188" s="7">
        <f t="shared" si="17"/>
        <v>48.53005464480875</v>
      </c>
    </row>
    <row r="189" spans="1:23">
      <c r="A189" s="1">
        <v>2001</v>
      </c>
      <c r="B189" s="8">
        <f>(K100*($E100/365))+(K101*($E101/365))</f>
        <v>89.817351598173516</v>
      </c>
      <c r="C189" s="8">
        <f>(L100*($E100/365))+(L101*($E101/365))</f>
        <v>10.182648401826484</v>
      </c>
      <c r="D189" s="8">
        <f>(M100*($E100/365))+(M101*($E101/365))</f>
        <v>0</v>
      </c>
      <c r="E189" s="50">
        <f t="shared" si="16"/>
        <v>100</v>
      </c>
      <c r="G189" s="1">
        <v>2001</v>
      </c>
      <c r="H189" s="989">
        <f>(O100/$R100*100*($E100/365))+(O101/$R101*100*($E101/365))</f>
        <v>94.794520547945211</v>
      </c>
      <c r="I189" s="989"/>
      <c r="J189" s="989">
        <f>(P100/$R100*100*($E100/365))+(P101/$R101*100*($E101/365))</f>
        <v>5.2054794520547949</v>
      </c>
      <c r="K189" s="989"/>
      <c r="L189" s="989">
        <f>(Q100/$R100*100*($E100/365))+(Q101/$R101*100*($E101/365))</f>
        <v>0</v>
      </c>
      <c r="M189" s="989"/>
      <c r="N189" s="959">
        <f t="shared" si="18"/>
        <v>100</v>
      </c>
      <c r="O189" s="959"/>
      <c r="R189" s="1">
        <v>2001</v>
      </c>
      <c r="S189" s="8">
        <f>(O100*($E100/365))+(O101*($E101/365))</f>
        <v>48.155616438356162</v>
      </c>
      <c r="T189" s="8">
        <f>(P100*($E100/365))+(P101*($E101/365))</f>
        <v>2.5350684931506851</v>
      </c>
      <c r="U189" s="8">
        <f>(Q100*($E100/365))+(Q101*($E101/365))</f>
        <v>0</v>
      </c>
      <c r="V189" s="7"/>
      <c r="W189" s="7">
        <f t="shared" si="17"/>
        <v>50.690684931506844</v>
      </c>
    </row>
    <row r="190" spans="1:23">
      <c r="A190" s="1">
        <v>2002</v>
      </c>
      <c r="B190" s="8">
        <f>(K102*($E102/365))+(K103*($E103/365))</f>
        <v>94.444444444444443</v>
      </c>
      <c r="C190" s="8">
        <f>(L102*($E102/365))+(L103*($E103/365))</f>
        <v>5.5555555555555545</v>
      </c>
      <c r="D190" s="8">
        <f>(M102*($E102/365))+(M103*($E103/365))</f>
        <v>0</v>
      </c>
      <c r="E190" s="50">
        <f t="shared" si="16"/>
        <v>100</v>
      </c>
      <c r="G190" s="1">
        <v>2002</v>
      </c>
      <c r="H190" s="989">
        <f>(O102/$R102*100*($E102/365))+(O103/$R103*100*($E103/365))</f>
        <v>100</v>
      </c>
      <c r="I190" s="989"/>
      <c r="J190" s="989">
        <f>(P102/$R102*100*($E102/365))+(P103/$R103*100*($E103/365))</f>
        <v>0</v>
      </c>
      <c r="K190" s="989"/>
      <c r="L190" s="989">
        <f>(Q102/$R102*100*($E102/365))+(Q103/$R103*100*($E103/365))</f>
        <v>0</v>
      </c>
      <c r="M190" s="989"/>
      <c r="N190" s="959">
        <f t="shared" si="18"/>
        <v>100</v>
      </c>
      <c r="O190" s="959"/>
      <c r="R190" s="1">
        <v>2002</v>
      </c>
      <c r="S190" s="8">
        <f>(O102*($E102/365))+(O103*($E103/365))</f>
        <v>51.081095890410957</v>
      </c>
      <c r="T190" s="8">
        <f>(P102*($E102/365))+(P103*($E103/365))</f>
        <v>0</v>
      </c>
      <c r="U190" s="8">
        <f>(Q102*($E102/365))+(Q103*($E103/365))</f>
        <v>0</v>
      </c>
      <c r="V190" s="7"/>
      <c r="W190" s="7">
        <f t="shared" si="17"/>
        <v>51.081095890410957</v>
      </c>
    </row>
    <row r="191" spans="1:23">
      <c r="A191" s="1">
        <v>2003</v>
      </c>
      <c r="B191" s="8">
        <f>(K104*($E104/365))+(K105*($E105/365))</f>
        <v>94.720019226147556</v>
      </c>
      <c r="C191" s="8">
        <f>(L104*($E104/365))+(L105*($E105/365))</f>
        <v>5.2799807738524391</v>
      </c>
      <c r="D191" s="8">
        <f>(M104*($E104/365))+(M105*($E105/365))</f>
        <v>0</v>
      </c>
      <c r="E191" s="50">
        <f t="shared" si="16"/>
        <v>100</v>
      </c>
      <c r="G191" s="1">
        <v>2003</v>
      </c>
      <c r="H191" s="989">
        <f>(O104/$R104*100*($E104/365))+(O105/$R105*100*($E105/365))</f>
        <v>100</v>
      </c>
      <c r="I191" s="989"/>
      <c r="J191" s="989">
        <f>(P104/$R104*100*($E104/365))+(P105/$R105*100*($E105/365))</f>
        <v>0</v>
      </c>
      <c r="K191" s="989"/>
      <c r="L191" s="989">
        <f>(Q104/$R104*100*($E104/365))+(Q105/$R105*100*($E105/365))</f>
        <v>0</v>
      </c>
      <c r="M191" s="989"/>
      <c r="N191" s="959">
        <f t="shared" si="18"/>
        <v>100</v>
      </c>
      <c r="O191" s="959"/>
      <c r="R191" s="1">
        <v>2003</v>
      </c>
      <c r="S191" s="8">
        <f>(O104*($E104/365))+(O105*($E105/365))</f>
        <v>52.6</v>
      </c>
      <c r="T191" s="8">
        <f>(P104*($E104/365))+(P105*($E105/365))</f>
        <v>0</v>
      </c>
      <c r="U191" s="8">
        <f>(Q104*($E104/365))+(Q105*($E105/365))</f>
        <v>0</v>
      </c>
      <c r="V191" s="7"/>
      <c r="W191" s="7">
        <f t="shared" si="17"/>
        <v>52.6</v>
      </c>
    </row>
    <row r="192" spans="1:23">
      <c r="A192" s="1">
        <v>2004</v>
      </c>
      <c r="B192" s="8">
        <f>(K106*($E106/366))+(K107*($E107/366))</f>
        <v>94.73684210526315</v>
      </c>
      <c r="C192" s="8">
        <f>(L106*($E106/366))+(L107*($E107/366))</f>
        <v>5.2631578947368425</v>
      </c>
      <c r="D192" s="8">
        <f>(M106*($E106/366))+(M107*($E107/366))</f>
        <v>0</v>
      </c>
      <c r="E192" s="50">
        <f t="shared" si="16"/>
        <v>100</v>
      </c>
      <c r="G192" s="1">
        <v>2004</v>
      </c>
      <c r="H192" s="989">
        <f>(O106/$R106*100*($E106/366))+(O107/$R107*100*($E107/366))</f>
        <v>100</v>
      </c>
      <c r="I192" s="989"/>
      <c r="J192" s="989">
        <f>(P106/$R106*100*($E106/366))+(P107/$R107*100*($E107/366))</f>
        <v>0</v>
      </c>
      <c r="K192" s="989"/>
      <c r="L192" s="989">
        <f>(Q106/$R106*100*($E106/366))+(Q107/$R107*100*($E107/366))</f>
        <v>0</v>
      </c>
      <c r="M192" s="989"/>
      <c r="N192" s="959">
        <f t="shared" si="18"/>
        <v>100</v>
      </c>
      <c r="O192" s="959"/>
      <c r="R192" s="1">
        <v>2004</v>
      </c>
      <c r="S192" s="8">
        <f>(O106*($E106/366))+(O107*($E107/366))</f>
        <v>52.68196721311476</v>
      </c>
      <c r="T192" s="8">
        <f>(P106*($E106/366))+(P107*($E107/366))</f>
        <v>0</v>
      </c>
      <c r="U192" s="8">
        <f>(Q106*($E106/366))+(Q107*($E107/366))</f>
        <v>0</v>
      </c>
      <c r="V192" s="7"/>
      <c r="W192" s="7">
        <f t="shared" si="17"/>
        <v>52.68196721311476</v>
      </c>
    </row>
    <row r="193" spans="1:23">
      <c r="A193" s="1">
        <v>2005</v>
      </c>
      <c r="B193" s="8">
        <f>(K108*($E108/365))+(K109*($E109/365))</f>
        <v>95.417185554171851</v>
      </c>
      <c r="C193" s="8">
        <f>(L108*($E108/365))+(L109*($E109/365))</f>
        <v>4.582814445828145</v>
      </c>
      <c r="D193" s="8">
        <f>(M108*($E108/365))+(M109*($E109/365))</f>
        <v>0</v>
      </c>
      <c r="E193" s="50">
        <f t="shared" si="16"/>
        <v>100</v>
      </c>
      <c r="G193" s="1">
        <v>2005</v>
      </c>
      <c r="H193" s="989">
        <f>(O108/$R108*100*($E108/365))+(O109/$R109*100*($E109/365))</f>
        <v>100</v>
      </c>
      <c r="I193" s="989"/>
      <c r="J193" s="989">
        <f>(P108/$R108*100*($E108/365))+(P109/$R109*100*($E109/365))</f>
        <v>0</v>
      </c>
      <c r="K193" s="989"/>
      <c r="L193" s="989">
        <f>(Q108/$R108*100*($E108/365))+(Q109/$R109*100*($E109/365))</f>
        <v>0</v>
      </c>
      <c r="M193" s="989"/>
      <c r="N193" s="959">
        <f t="shared" si="18"/>
        <v>100</v>
      </c>
      <c r="O193" s="959"/>
      <c r="R193" s="1">
        <v>2005</v>
      </c>
      <c r="S193" s="8">
        <f>(O108*($E108/365))+(O109*($E109/365))</f>
        <v>53.1</v>
      </c>
      <c r="T193" s="8">
        <f>(P108*($E108/365))+(P109*($E109/365))</f>
        <v>0</v>
      </c>
      <c r="U193" s="8">
        <f>(Q108*($E108/365))+(Q109*($E109/365))</f>
        <v>0</v>
      </c>
      <c r="V193" s="7"/>
      <c r="W193" s="7">
        <f t="shared" si="17"/>
        <v>53.1</v>
      </c>
    </row>
    <row r="194" spans="1:23">
      <c r="A194" s="1">
        <v>2006</v>
      </c>
      <c r="B194" s="8">
        <f>(K110*($E110/365))+(K111*($E111/365))+(K112*($E112/365))</f>
        <v>96.612702366127024</v>
      </c>
      <c r="C194" s="8">
        <f>(L110*($E110/365))+(L111*($E111/365))+(L112*($E112/365))</f>
        <v>3.387297633872977</v>
      </c>
      <c r="D194" s="8">
        <f>(M110*($E110/365))+(M111*($E111/365))+(M112*($E112/365))</f>
        <v>0</v>
      </c>
      <c r="E194" s="50">
        <f t="shared" si="16"/>
        <v>100</v>
      </c>
      <c r="G194" s="1">
        <v>2006</v>
      </c>
      <c r="H194" s="989">
        <f>(O110/$R110*100*($E110/365))+(O111/$R111*100*($E111/365))+(O112/$R112*100*($E112/365))</f>
        <v>100</v>
      </c>
      <c r="I194" s="989"/>
      <c r="J194" s="989">
        <f>(P110/$R110*100*($E110/365))+(P111/$R111*100*($E111/365))+(P112/$R112*100*($E112/365))</f>
        <v>0</v>
      </c>
      <c r="K194" s="989"/>
      <c r="L194" s="989">
        <f>(Q110/$R110*100*($E110/365))+(Q111/$R111*100*($E111/365))+(Q112/$R112*100*($E112/365))</f>
        <v>0</v>
      </c>
      <c r="M194" s="989"/>
      <c r="N194" s="959">
        <f t="shared" si="18"/>
        <v>100</v>
      </c>
      <c r="O194" s="959"/>
      <c r="R194" s="1">
        <v>2006</v>
      </c>
      <c r="S194" s="8">
        <f>(O110*($E110/365))+(O111*($E111/365))+(O112*($E112/365))</f>
        <v>52.090410958904108</v>
      </c>
      <c r="T194" s="8">
        <f>(P110*($E110/365))+(P111*($E111/365))+(P112*($E112/365))</f>
        <v>0</v>
      </c>
      <c r="U194" s="8">
        <f>(Q110*($E110/365))+(Q111*($E111/365))+(Q112*($E112/365))</f>
        <v>0</v>
      </c>
      <c r="V194" s="7"/>
      <c r="W194" s="7">
        <f>S194+T194+U194</f>
        <v>52.090410958904108</v>
      </c>
    </row>
    <row r="195" spans="1:23">
      <c r="A195" s="1">
        <v>2007</v>
      </c>
      <c r="B195" s="8">
        <f>(K113*($E113/365))+(K114*($E114/365))</f>
        <v>100</v>
      </c>
      <c r="C195" s="8">
        <f>(L113*($E113/365))+(L114*($E114/365))</f>
        <v>0</v>
      </c>
      <c r="D195" s="8">
        <f>(M113*($E113/365))+(M114*($E114/365))</f>
        <v>0</v>
      </c>
      <c r="E195" s="50">
        <f t="shared" si="16"/>
        <v>100</v>
      </c>
      <c r="G195" s="1">
        <v>2007</v>
      </c>
      <c r="H195" s="989">
        <f>(O113/$R113*100*($E113/365))+(O114/$R114*100*($E114/365))</f>
        <v>100</v>
      </c>
      <c r="I195" s="989"/>
      <c r="J195" s="989">
        <f>(P113/$R113*100*($E113/365))+(P114/$R114*100*($E114/365))</f>
        <v>0</v>
      </c>
      <c r="K195" s="989"/>
      <c r="L195" s="989">
        <f>(Q113/$R113*100*($E113/365))+(Q114/$R114*100*($E114/365))</f>
        <v>0</v>
      </c>
      <c r="M195" s="989"/>
      <c r="N195" s="959">
        <f t="shared" si="18"/>
        <v>100</v>
      </c>
      <c r="O195" s="959"/>
      <c r="R195" s="1">
        <v>2007</v>
      </c>
      <c r="S195" s="8">
        <f>(O113*($E113/365))+(O114*($E114/365))</f>
        <v>46.4</v>
      </c>
      <c r="T195" s="8">
        <f>(P113*($E113/365))+(P114*($E114/365))</f>
        <v>0</v>
      </c>
      <c r="U195" s="8">
        <f>(Q113*($E113/365))+(Q114*($E114/365))</f>
        <v>0</v>
      </c>
      <c r="V195" s="7"/>
      <c r="W195" s="7">
        <f t="shared" si="17"/>
        <v>46.4</v>
      </c>
    </row>
    <row r="196" spans="1:23">
      <c r="A196" s="1">
        <v>2008</v>
      </c>
      <c r="B196" s="8">
        <f>(K115*($E115/366))+(K116*($E116/366))</f>
        <v>100.00000000000001</v>
      </c>
      <c r="C196" s="8">
        <f>(L115*($E115/366))+(L116*($E116/366))</f>
        <v>0</v>
      </c>
      <c r="D196" s="8">
        <f>(M115*($E115/366))+(M116*($E116/366))</f>
        <v>0</v>
      </c>
      <c r="E196" s="50">
        <f t="shared" si="16"/>
        <v>100.00000000000001</v>
      </c>
      <c r="G196" s="1">
        <v>2008</v>
      </c>
      <c r="H196" s="989">
        <f>(O115/$R115*100*($E115/366))+(O116/$R116*100*($E116/366))</f>
        <v>100.00000000000001</v>
      </c>
      <c r="I196" s="989"/>
      <c r="J196" s="989">
        <f>(P115/$R115*100*($E115/366))+(P116/$R116*100*($E116/366))</f>
        <v>0</v>
      </c>
      <c r="K196" s="989"/>
      <c r="L196" s="989">
        <f>(Q115/$R115*100*($E115/366))+(Q116/$R116*100*($E116/366))</f>
        <v>0</v>
      </c>
      <c r="M196" s="989"/>
      <c r="N196" s="959">
        <f t="shared" si="18"/>
        <v>100.00000000000001</v>
      </c>
      <c r="O196" s="959"/>
      <c r="R196" s="1">
        <v>2008</v>
      </c>
      <c r="S196" s="8">
        <f>(O115*($E115/366))+(O116*($E116/366))</f>
        <v>45.528415300546449</v>
      </c>
      <c r="T196" s="8">
        <f>(P115*($E115/366))+(P116*($E116/366))</f>
        <v>0</v>
      </c>
      <c r="U196" s="8">
        <f>(Q115*($E115/366))+(Q116*($E116/366))</f>
        <v>0</v>
      </c>
      <c r="V196" s="7"/>
      <c r="W196" s="7">
        <f t="shared" si="17"/>
        <v>45.528415300546449</v>
      </c>
    </row>
    <row r="197" spans="1:23">
      <c r="A197" s="1">
        <v>2009</v>
      </c>
      <c r="B197" s="8">
        <f>(K117*($E117/365))+(K118*($E118/365))</f>
        <v>16.357775987107171</v>
      </c>
      <c r="C197" s="8">
        <f>(L117*($E117/365))+(L118*($E118/365))</f>
        <v>83.642224012892825</v>
      </c>
      <c r="D197" s="8">
        <f>(M117*($E117/365))+(M118*($E118/365))</f>
        <v>0</v>
      </c>
      <c r="E197" s="50">
        <f t="shared" si="16"/>
        <v>100</v>
      </c>
      <c r="G197" s="1">
        <v>2009</v>
      </c>
      <c r="H197" s="989">
        <f>(O117/$R117*100*($E117/365))+(O118/$R118*100*($E118/365))</f>
        <v>5.2054794520547949</v>
      </c>
      <c r="I197" s="989"/>
      <c r="J197" s="989">
        <f>(P117/$R117*100*($E117/365))+(P118/$R118*100*($E118/365))</f>
        <v>94.794520547945211</v>
      </c>
      <c r="K197" s="989"/>
      <c r="L197" s="989">
        <f>(Q117/$R117*100*($E117/365))+(Q118/$R118*100*($E118/365))</f>
        <v>0</v>
      </c>
      <c r="M197" s="989"/>
      <c r="N197" s="959">
        <f t="shared" si="18"/>
        <v>100</v>
      </c>
      <c r="O197" s="959"/>
      <c r="R197" s="1">
        <v>2009</v>
      </c>
      <c r="S197" s="8">
        <f>(O117*($E117/365))+(O118*($E118/365))</f>
        <v>2.1290410958904111</v>
      </c>
      <c r="T197" s="8">
        <f>(P117*($E117/365))+(P118*($E118/365))</f>
        <v>56.02356164383562</v>
      </c>
      <c r="U197" s="8">
        <f>(Q117*($E117/365))+(Q118*($E118/365))</f>
        <v>0</v>
      </c>
      <c r="V197" s="7"/>
      <c r="W197" s="7">
        <f t="shared" si="17"/>
        <v>58.152602739726035</v>
      </c>
    </row>
    <row r="198" spans="1:23">
      <c r="A198" s="1">
        <v>2010</v>
      </c>
      <c r="B198" s="8">
        <f>(K119*($E119/365))+(K120*($E120/365))</f>
        <v>11.764705882352938</v>
      </c>
      <c r="C198" s="8">
        <f>(L119*($E119/365))+(L120*($E120/365))</f>
        <v>88.235294117647058</v>
      </c>
      <c r="D198" s="8">
        <f>(M119*($E119/365))+(M120*($E120/365))</f>
        <v>0</v>
      </c>
      <c r="E198" s="50">
        <f t="shared" si="16"/>
        <v>100</v>
      </c>
      <c r="G198" s="1">
        <v>2010</v>
      </c>
      <c r="H198" s="989">
        <f>(O119/$R119*100*($E119/365))+(O120/$R120*100*($E120/365))</f>
        <v>0</v>
      </c>
      <c r="I198" s="989"/>
      <c r="J198" s="989">
        <f>(P119/$R119*100*($E119/365))+(P120/$R120*100*($E120/365))</f>
        <v>100</v>
      </c>
      <c r="K198" s="989"/>
      <c r="L198" s="989">
        <f>(Q119/$R119*100*($E119/365))+(Q120/$R120*100*($E120/365))</f>
        <v>0</v>
      </c>
      <c r="M198" s="989"/>
      <c r="N198" s="959">
        <f t="shared" si="18"/>
        <v>100</v>
      </c>
      <c r="O198" s="959"/>
      <c r="R198" s="1">
        <v>2010</v>
      </c>
      <c r="S198" s="8">
        <f>(O119*($E119/365))+(O120*($E120/365))</f>
        <v>0</v>
      </c>
      <c r="T198" s="8">
        <f>(P119*($E119/365))+(P120*($E120/365))</f>
        <v>56.683561643835617</v>
      </c>
      <c r="U198" s="8">
        <f>(Q119*($E119/365))+(Q120*($E120/365))</f>
        <v>0</v>
      </c>
      <c r="V198" s="7"/>
      <c r="W198" s="7">
        <f t="shared" si="17"/>
        <v>56.683561643835617</v>
      </c>
    </row>
    <row r="199" spans="1:23">
      <c r="A199" s="1">
        <v>2011</v>
      </c>
      <c r="B199" s="8">
        <f>(K121*($E121/365))+(K122*($E122/365))</f>
        <v>8.7993553585817885</v>
      </c>
      <c r="C199" s="8">
        <f>(L121*($E121/365))+(L122*($E122/365))</f>
        <v>91.200644641418208</v>
      </c>
      <c r="D199" s="8">
        <f>(M121*($E121/365))+(M122*($E122/365))</f>
        <v>0</v>
      </c>
      <c r="E199" s="50">
        <f t="shared" si="16"/>
        <v>100</v>
      </c>
      <c r="G199" s="1">
        <v>2011</v>
      </c>
      <c r="H199" s="989">
        <f>(O121/$R121*100*($E121/365))+(O122/$R122*100*($E122/365))</f>
        <v>0</v>
      </c>
      <c r="I199" s="989"/>
      <c r="J199" s="989">
        <f>(P121/$R121*100*($E121/365))+(P122/$R122*100*($E122/365))</f>
        <v>100</v>
      </c>
      <c r="K199" s="989"/>
      <c r="L199" s="989">
        <f>(Q121/$R121*100*($E121/365))+(Q122/$R122*100*($E122/365))</f>
        <v>0</v>
      </c>
      <c r="M199" s="989"/>
      <c r="N199" s="959">
        <f t="shared" si="18"/>
        <v>100</v>
      </c>
      <c r="O199" s="959"/>
      <c r="R199" s="1">
        <v>2011</v>
      </c>
      <c r="S199" s="8">
        <f>(O121*($E121/365))+(O122*($E122/365))</f>
        <v>0</v>
      </c>
      <c r="T199" s="8">
        <f>(P121*($E121/365))+(P122*($E122/365))</f>
        <v>44.4</v>
      </c>
      <c r="U199" s="8">
        <f>(Q121*($E121/365))+(Q122*($E122/365))</f>
        <v>0</v>
      </c>
      <c r="V199" s="7"/>
      <c r="W199" s="7">
        <f t="shared" si="17"/>
        <v>44.4</v>
      </c>
    </row>
    <row r="200" spans="1:23">
      <c r="A200" s="1">
        <v>2012</v>
      </c>
      <c r="B200" s="8">
        <f>(K123*($E123/366))+(K124*($E124/366))</f>
        <v>5.882352941176471</v>
      </c>
      <c r="C200" s="8">
        <f>(L123*($E123/366))+(L124*($E124/366))</f>
        <v>94.117647058823536</v>
      </c>
      <c r="D200" s="8">
        <f>(M123*($E123/366))+(M124*($E124/366))</f>
        <v>0</v>
      </c>
      <c r="E200" s="50">
        <f t="shared" si="16"/>
        <v>100</v>
      </c>
      <c r="G200" s="1">
        <v>2012</v>
      </c>
      <c r="H200" s="989">
        <f>(O123/$R123*100*($E123/366))+(O124/$R124*100*($E124/366))</f>
        <v>0</v>
      </c>
      <c r="I200" s="989"/>
      <c r="J200" s="989">
        <f>(P123/$R123*100*($E123/366))+(P124/$R124*100*($E124/366))</f>
        <v>100</v>
      </c>
      <c r="K200" s="989"/>
      <c r="L200" s="989">
        <f>(Q123/$R123*100*($E123/366))+(Q124/$R124*100*($E124/366))</f>
        <v>0</v>
      </c>
      <c r="M200" s="989"/>
      <c r="N200" s="959">
        <f t="shared" si="18"/>
        <v>100</v>
      </c>
      <c r="O200" s="959"/>
      <c r="R200" s="1">
        <v>2012</v>
      </c>
      <c r="S200" s="8">
        <f>(O123*($E123/366))+(O124*($E124/366))</f>
        <v>0</v>
      </c>
      <c r="T200" s="8">
        <f>(P123*($E123/366))+(P124*($E124/366))</f>
        <v>44.675409836065569</v>
      </c>
      <c r="U200" s="8">
        <f>(Q123*($E123/366))+(Q124*($E124/366))</f>
        <v>0</v>
      </c>
      <c r="V200" s="7"/>
      <c r="W200" s="7">
        <f t="shared" si="17"/>
        <v>44.675409836065569</v>
      </c>
    </row>
    <row r="201" spans="1:23">
      <c r="A201" s="1">
        <v>2013</v>
      </c>
      <c r="B201" s="8">
        <f>(K125*($E125/365))+(K126*($E126/365))</f>
        <v>5.8823529411764701</v>
      </c>
      <c r="C201" s="8">
        <f>(L125*($E125/365))+(L126*($E126/365))</f>
        <v>94.117647058823522</v>
      </c>
      <c r="D201" s="8">
        <f>(M125*($E125/365))+(M126*($E126/365))</f>
        <v>0</v>
      </c>
      <c r="E201" s="309">
        <f t="shared" si="16"/>
        <v>99.999999999999986</v>
      </c>
      <c r="G201" s="1">
        <v>2013</v>
      </c>
      <c r="H201" s="989">
        <f>(O125/$R125*100*($E125/365))+(O126/$R126*100*($E126/365))</f>
        <v>0</v>
      </c>
      <c r="I201" s="989"/>
      <c r="J201" s="989">
        <f>(P125/$R125*100*($E125/365))+(P126/$R126*100*($E126/365))</f>
        <v>100</v>
      </c>
      <c r="K201" s="989"/>
      <c r="L201" s="989">
        <f>(Q125/$R125*100*($E125/365))+(Q126/$R126*100*($E126/365))</f>
        <v>0</v>
      </c>
      <c r="M201" s="989"/>
      <c r="N201" s="959">
        <f>H201+J201+L201</f>
        <v>100</v>
      </c>
      <c r="O201" s="959"/>
      <c r="R201" s="1">
        <v>2013</v>
      </c>
      <c r="S201" s="8">
        <f>(O125*($E125/365))+(O126*($E126/365))</f>
        <v>0</v>
      </c>
      <c r="T201" s="8">
        <f>(P125*($E125/365))+(P126*($E126/365))</f>
        <v>46.2</v>
      </c>
      <c r="U201" s="8">
        <f>(Q125*($E125/365))+(Q126*($E126/365))</f>
        <v>0</v>
      </c>
      <c r="W201" s="7">
        <f t="shared" si="17"/>
        <v>46.2</v>
      </c>
    </row>
    <row r="202" spans="1:23">
      <c r="A202" s="1">
        <v>2014</v>
      </c>
      <c r="B202" s="8">
        <f>(K127*($E127/365))+(K128*($E128/365))+(K129*($E129/365))</f>
        <v>8.3964544721998386</v>
      </c>
      <c r="C202" s="8">
        <f>(L127*($E127/365))+(L128*($E128/365))+(L129*($E129/365))</f>
        <v>91.603545527800151</v>
      </c>
      <c r="D202" s="8">
        <f>(M127*($E127/365))+(M128*($E128/365))+(M129*($E129/365))</f>
        <v>0</v>
      </c>
      <c r="E202" s="586">
        <f>B202+C202+D202</f>
        <v>99.999999999999986</v>
      </c>
      <c r="G202" s="1">
        <v>2014</v>
      </c>
      <c r="H202" s="989">
        <f>(O127/$R127*100*($E127/365))+(O128/$R128*100*($E128/365))+(O129/$R129*100*($E129/365))</f>
        <v>0</v>
      </c>
      <c r="I202" s="989"/>
      <c r="J202" s="989">
        <f>(P127/$R127*100*($E127/365))+(P128/$R128*100*($E128/365))+(P129/$R129*100*($E129/365))</f>
        <v>100</v>
      </c>
      <c r="K202" s="989"/>
      <c r="L202" s="989">
        <f>(Q127/$R127*100*($E127/365))+(Q128/$R128*100*($E128/365))+(Q129/$R129*100*($E129/365))</f>
        <v>0</v>
      </c>
      <c r="M202" s="989"/>
      <c r="N202" s="959">
        <f>H202+J202+L202</f>
        <v>100</v>
      </c>
      <c r="O202" s="959"/>
      <c r="R202" s="1">
        <v>2014</v>
      </c>
      <c r="S202" s="8">
        <f>(O127*($E127/365))+(O128*($E128/365))+(O129*($E129/365))</f>
        <v>0</v>
      </c>
      <c r="T202" s="8">
        <f>(P127*($E127/365))+(P128*($E128/365))+(P129*($E129/365))</f>
        <v>45.723287671232882</v>
      </c>
      <c r="U202" s="8">
        <f>(Q127*($E127/365))+(Q128*($E128/365))+(Q129*($E129/365))</f>
        <v>0</v>
      </c>
      <c r="W202" s="7">
        <f>S202+T202+U202</f>
        <v>45.723287671232882</v>
      </c>
    </row>
    <row r="203" spans="1:23" s="765" customFormat="1">
      <c r="A203" s="765">
        <v>2015</v>
      </c>
      <c r="B203" s="760">
        <f>(K130*($E130/365))+(K131*($E131/365))</f>
        <v>6.5592264302981462</v>
      </c>
      <c r="C203" s="760">
        <f>(L130*($E130/365))+(L131*($E131/365))</f>
        <v>93.440773569701847</v>
      </c>
      <c r="D203" s="760">
        <f>(M130*($E130/365))+(M131*($E131/365))</f>
        <v>0</v>
      </c>
      <c r="E203" s="761">
        <f>B203+C203+D203</f>
        <v>100</v>
      </c>
      <c r="G203" s="765">
        <v>2015</v>
      </c>
      <c r="H203" s="989">
        <f>(O130/$R130*100*($E130/365))+(O131/$R131*100*($E131/365))</f>
        <v>0</v>
      </c>
      <c r="I203" s="989"/>
      <c r="J203" s="989">
        <f>(P130/$R130*100*($E130/365))+(P131/$R131*100*($E131/365))</f>
        <v>100</v>
      </c>
      <c r="K203" s="989"/>
      <c r="L203" s="989">
        <f>(Q130/$R130*100*($E130/365))+(Q131/$R131*100*($E131/365))</f>
        <v>0</v>
      </c>
      <c r="M203" s="989"/>
      <c r="N203" s="959">
        <f>H203+J203+L203</f>
        <v>100</v>
      </c>
      <c r="O203" s="959"/>
      <c r="R203" s="765">
        <v>2015</v>
      </c>
      <c r="S203" s="760">
        <f>(O130*($E130/365))+(O131*($E131/365))</f>
        <v>0</v>
      </c>
      <c r="T203" s="760">
        <f>(P130*($E130/365))+(P131*($E131/365))</f>
        <v>43.2</v>
      </c>
      <c r="U203" s="760">
        <f>(Q130*($E130/365))+(Q131*($E131/365))</f>
        <v>0</v>
      </c>
      <c r="W203" s="764">
        <f>S203+T203+U203</f>
        <v>43.2</v>
      </c>
    </row>
    <row r="204" spans="1:23" s="765" customFormat="1">
      <c r="A204" s="853">
        <v>2016</v>
      </c>
      <c r="B204" s="850">
        <f>(K132*($E132/366))+(K133*($E133/366))</f>
        <v>5.8823529411764701</v>
      </c>
      <c r="C204" s="850">
        <f>(L132*($E132/366))+(L133*($E133/366))</f>
        <v>94.117647058823522</v>
      </c>
      <c r="D204" s="850">
        <f>(M132*($E132/366))+(M133*($E133/366))</f>
        <v>0</v>
      </c>
      <c r="E204" s="851">
        <f t="shared" ref="E204" si="19">B204+C204+D204</f>
        <v>99.999999999999986</v>
      </c>
      <c r="F204" s="853"/>
      <c r="G204" s="853">
        <v>2016</v>
      </c>
      <c r="H204" s="989">
        <f>(O132/$R132*100*($E132/366))+(O133/$R133*100*($E133/366))</f>
        <v>0</v>
      </c>
      <c r="I204" s="989"/>
      <c r="J204" s="989">
        <f>(P132/$R132*100*($E132/366))+(P133/$R133*100*($E133/366))</f>
        <v>100</v>
      </c>
      <c r="K204" s="989"/>
      <c r="L204" s="989">
        <f>(Q132/$R132*100*($E132/366))+(Q133/$R133*100*($E133/366))</f>
        <v>0</v>
      </c>
      <c r="M204" s="989"/>
      <c r="N204" s="959">
        <f t="shared" ref="N204" si="20">H204+J204+L204</f>
        <v>100</v>
      </c>
      <c r="O204" s="959"/>
      <c r="P204" s="853"/>
      <c r="Q204" s="853"/>
      <c r="R204" s="853">
        <v>2016</v>
      </c>
      <c r="S204" s="850">
        <f>(O132*($E132/366))+(O133*($E133/366))</f>
        <v>0</v>
      </c>
      <c r="T204" s="850">
        <f>(P132*($E132/366))+(P133*($E133/366))</f>
        <v>43.2</v>
      </c>
      <c r="U204" s="850">
        <f>(Q132*($E132/366))+(Q133*($E133/366))</f>
        <v>0</v>
      </c>
      <c r="V204" s="853"/>
      <c r="W204" s="852">
        <f t="shared" ref="W204" si="21">S204+T204+U204</f>
        <v>43.2</v>
      </c>
    </row>
    <row r="205" spans="1:23">
      <c r="A205" s="920">
        <v>2017</v>
      </c>
      <c r="B205" s="915">
        <f>(K134*($E134/365))+(K135*($E135/365))+(K136*($E136/365))+(K137*($E137/365))</f>
        <v>81.885576148267518</v>
      </c>
      <c r="C205" s="915">
        <f t="shared" ref="C205:D205" si="22">(L134*($E134/365))+(L135*($E135/365))+(L136*($E136/365))+(L137*($E137/365))</f>
        <v>18.114423851732472</v>
      </c>
      <c r="D205" s="915">
        <f t="shared" si="22"/>
        <v>0</v>
      </c>
      <c r="E205" s="916">
        <f t="shared" ref="E205" si="23">B205+C205+D205</f>
        <v>99.999999999999986</v>
      </c>
      <c r="F205" s="920"/>
      <c r="G205" s="920">
        <v>2017</v>
      </c>
      <c r="H205" s="989">
        <f>(O134/$R134*100*($E134/365))+(O135/$R135*100*($E135/365))+(O136/$R135*100*($E136/365))+(O137/$R137*100*($E137/365))</f>
        <v>94.794520547945197</v>
      </c>
      <c r="I205" s="989"/>
      <c r="J205" s="989">
        <f>(P134/$R134*100*($E134/365))+(P135/$R135*100*($E135/365))+(P136/$R135*100*($E136/365))+(P137/$R137*100*($E137/365))</f>
        <v>5.2054794520547949</v>
      </c>
      <c r="K205" s="989"/>
      <c r="L205" s="989">
        <f>(Q134/$R134*100*($E134/365))+(Q135/$R135*100*($E135/365))+(Q136/$R135*100*($E136/365))+(Q137/$R137*100*($E137/365))</f>
        <v>0</v>
      </c>
      <c r="M205" s="989"/>
      <c r="N205" s="959">
        <f t="shared" ref="N205" si="24">H205+J205+L205</f>
        <v>99.999999999999986</v>
      </c>
      <c r="O205" s="959"/>
      <c r="P205" s="920"/>
      <c r="Q205" s="920"/>
      <c r="R205" s="920">
        <v>2017</v>
      </c>
      <c r="S205" s="915">
        <f>(O134*($E134/365))+(O135*($E135/365))+(O136*($E136/365))+(O137*($E137/365))</f>
        <v>52.516164383561637</v>
      </c>
      <c r="T205" s="915">
        <f t="shared" ref="T205:U205" si="25">(P134*($E134/365))+(P135*($E135/365))+(P136*($E136/365))+(P137*($E137/365))</f>
        <v>2.2487671232876716</v>
      </c>
      <c r="U205" s="915">
        <f t="shared" si="25"/>
        <v>0</v>
      </c>
      <c r="V205" s="920"/>
      <c r="W205" s="917">
        <f t="shared" ref="W205" si="26">S205+T205+U205</f>
        <v>54.764931506849308</v>
      </c>
    </row>
    <row r="206" spans="1:23">
      <c r="A206" s="950">
        <v>2018</v>
      </c>
      <c r="B206" s="947">
        <f>(K138*($E138/365))+(K139*($E139/365))</f>
        <v>92.731668009669619</v>
      </c>
      <c r="C206" s="947">
        <f t="shared" ref="C206:D206" si="27">(L138*($E138/365))+(L139*($E139/365))</f>
        <v>7.2683319903303776</v>
      </c>
      <c r="D206" s="947">
        <f t="shared" si="27"/>
        <v>0</v>
      </c>
      <c r="E206" s="948">
        <f t="shared" ref="E206" si="28">B206+C206+D206</f>
        <v>100</v>
      </c>
      <c r="F206" s="950"/>
      <c r="G206" s="950">
        <v>2018</v>
      </c>
      <c r="H206" s="989">
        <f>(O138/$R138*100*($E138/365))+(O139/$R139*100*($E139/365))</f>
        <v>100</v>
      </c>
      <c r="I206" s="989"/>
      <c r="J206" s="989">
        <f>(P138/$R138*100*($E138/365))+(P139/$R139*100*($E139/365))</f>
        <v>0</v>
      </c>
      <c r="K206" s="989"/>
      <c r="L206" s="989">
        <f>(Q138/$R138*100*($E138/365))+(Q139/$R139*100*($E139/365))</f>
        <v>0</v>
      </c>
      <c r="M206" s="989"/>
      <c r="N206" s="959">
        <f t="shared" ref="N206" si="29">H206+J206+L206</f>
        <v>100</v>
      </c>
      <c r="O206" s="959"/>
      <c r="P206" s="950"/>
      <c r="Q206" s="950"/>
      <c r="R206" s="950">
        <v>2018</v>
      </c>
      <c r="S206" s="947">
        <f>(O138*($E138/365))+(O139*($E139/365))</f>
        <v>55.4</v>
      </c>
      <c r="T206" s="947">
        <f>(P138*($E138/365))+(P139*($E139/365))</f>
        <v>0</v>
      </c>
      <c r="U206" s="947">
        <f>(Q138*($E138/365))+(Q139*($E139/365))</f>
        <v>0</v>
      </c>
      <c r="V206" s="950"/>
      <c r="W206" s="949">
        <f t="shared" ref="W206" si="30">S206+T206+U206</f>
        <v>55.4</v>
      </c>
    </row>
  </sheetData>
  <mergeCells count="400">
    <mergeCell ref="C138:D138"/>
    <mergeCell ref="C139:D139"/>
    <mergeCell ref="H206:I206"/>
    <mergeCell ref="L206:M206"/>
    <mergeCell ref="N206:O206"/>
    <mergeCell ref="J206:K206"/>
    <mergeCell ref="H204:I204"/>
    <mergeCell ref="J204:K204"/>
    <mergeCell ref="L204:M204"/>
    <mergeCell ref="H191:I191"/>
    <mergeCell ref="H192:I192"/>
    <mergeCell ref="H186:I186"/>
    <mergeCell ref="H187:I187"/>
    <mergeCell ref="J191:K191"/>
    <mergeCell ref="J192:K192"/>
    <mergeCell ref="J188:K188"/>
    <mergeCell ref="J189:K189"/>
    <mergeCell ref="J190:K190"/>
    <mergeCell ref="N204:O204"/>
    <mergeCell ref="L198:M198"/>
    <mergeCell ref="N197:O197"/>
    <mergeCell ref="L171:M171"/>
    <mergeCell ref="J179:K179"/>
    <mergeCell ref="J180:K180"/>
    <mergeCell ref="C130:D130"/>
    <mergeCell ref="C131:D131"/>
    <mergeCell ref="H203:I203"/>
    <mergeCell ref="J203:K203"/>
    <mergeCell ref="L203:M203"/>
    <mergeCell ref="N203:O203"/>
    <mergeCell ref="J182:K182"/>
    <mergeCell ref="J183:K183"/>
    <mergeCell ref="J184:K184"/>
    <mergeCell ref="H193:I193"/>
    <mergeCell ref="J193:K193"/>
    <mergeCell ref="L193:M193"/>
    <mergeCell ref="N193:O193"/>
    <mergeCell ref="N191:O191"/>
    <mergeCell ref="N192:O192"/>
    <mergeCell ref="N185:O185"/>
    <mergeCell ref="N189:O189"/>
    <mergeCell ref="N190:O190"/>
    <mergeCell ref="H188:I188"/>
    <mergeCell ref="H189:I189"/>
    <mergeCell ref="H190:I190"/>
    <mergeCell ref="L180:M180"/>
    <mergeCell ref="L181:M181"/>
    <mergeCell ref="L170:M170"/>
    <mergeCell ref="AT4:AW4"/>
    <mergeCell ref="H202:I202"/>
    <mergeCell ref="J202:K202"/>
    <mergeCell ref="L202:M202"/>
    <mergeCell ref="N202:O202"/>
    <mergeCell ref="N198:O198"/>
    <mergeCell ref="H199:I199"/>
    <mergeCell ref="J199:K199"/>
    <mergeCell ref="L199:M199"/>
    <mergeCell ref="N199:O199"/>
    <mergeCell ref="H196:I196"/>
    <mergeCell ref="J196:K196"/>
    <mergeCell ref="L196:M196"/>
    <mergeCell ref="N196:O196"/>
    <mergeCell ref="H197:I197"/>
    <mergeCell ref="J197:K197"/>
    <mergeCell ref="L197:M197"/>
    <mergeCell ref="L188:M188"/>
    <mergeCell ref="L189:M189"/>
    <mergeCell ref="L190:M190"/>
    <mergeCell ref="L191:M191"/>
    <mergeCell ref="L192:M192"/>
    <mergeCell ref="N168:O168"/>
    <mergeCell ref="N169:O169"/>
    <mergeCell ref="AX4:BA4"/>
    <mergeCell ref="N201:O201"/>
    <mergeCell ref="C126:D126"/>
    <mergeCell ref="C125:D125"/>
    <mergeCell ref="H201:I201"/>
    <mergeCell ref="J201:K201"/>
    <mergeCell ref="L201:M201"/>
    <mergeCell ref="H200:I200"/>
    <mergeCell ref="J200:K200"/>
    <mergeCell ref="C127:D127"/>
    <mergeCell ref="C128:D128"/>
    <mergeCell ref="C129:D129"/>
    <mergeCell ref="L200:M200"/>
    <mergeCell ref="N200:O200"/>
    <mergeCell ref="H198:I198"/>
    <mergeCell ref="J198:K198"/>
    <mergeCell ref="H194:I194"/>
    <mergeCell ref="J194:K194"/>
    <mergeCell ref="L194:M194"/>
    <mergeCell ref="N194:O194"/>
    <mergeCell ref="H195:I195"/>
    <mergeCell ref="J195:K195"/>
    <mergeCell ref="L195:M195"/>
    <mergeCell ref="N195:O195"/>
    <mergeCell ref="J181:K181"/>
    <mergeCell ref="J173:K173"/>
    <mergeCell ref="N179:O179"/>
    <mergeCell ref="N180:O180"/>
    <mergeCell ref="N181:O181"/>
    <mergeCell ref="J174:K174"/>
    <mergeCell ref="J170:K170"/>
    <mergeCell ref="J171:K171"/>
    <mergeCell ref="J172:K172"/>
    <mergeCell ref="J175:K175"/>
    <mergeCell ref="J176:K176"/>
    <mergeCell ref="J177:K177"/>
    <mergeCell ref="J178:K178"/>
    <mergeCell ref="N175:O175"/>
    <mergeCell ref="N176:O176"/>
    <mergeCell ref="L176:M176"/>
    <mergeCell ref="H175:I175"/>
    <mergeCell ref="R144:W144"/>
    <mergeCell ref="L177:M177"/>
    <mergeCell ref="L178:M178"/>
    <mergeCell ref="L179:M179"/>
    <mergeCell ref="L167:M167"/>
    <mergeCell ref="N167:O167"/>
    <mergeCell ref="J167:K167"/>
    <mergeCell ref="J169:K169"/>
    <mergeCell ref="L169:M169"/>
    <mergeCell ref="L148:M148"/>
    <mergeCell ref="H169:I169"/>
    <mergeCell ref="N177:O177"/>
    <mergeCell ref="N178:O178"/>
    <mergeCell ref="L172:M172"/>
    <mergeCell ref="L173:M173"/>
    <mergeCell ref="L174:M174"/>
    <mergeCell ref="L175:M175"/>
    <mergeCell ref="J165:K165"/>
    <mergeCell ref="L165:M165"/>
    <mergeCell ref="N165:O165"/>
    <mergeCell ref="J166:K166"/>
    <mergeCell ref="L166:M166"/>
    <mergeCell ref="N166:O166"/>
    <mergeCell ref="N186:O186"/>
    <mergeCell ref="N187:O187"/>
    <mergeCell ref="N188:O188"/>
    <mergeCell ref="L186:M186"/>
    <mergeCell ref="L187:M187"/>
    <mergeCell ref="J185:K185"/>
    <mergeCell ref="J186:K186"/>
    <mergeCell ref="J187:K187"/>
    <mergeCell ref="N182:O182"/>
    <mergeCell ref="N183:O183"/>
    <mergeCell ref="L182:M182"/>
    <mergeCell ref="L183:M183"/>
    <mergeCell ref="L184:M184"/>
    <mergeCell ref="L185:M185"/>
    <mergeCell ref="N184:O184"/>
    <mergeCell ref="C117:D117"/>
    <mergeCell ref="C118:D118"/>
    <mergeCell ref="C119:D119"/>
    <mergeCell ref="C120:D120"/>
    <mergeCell ref="C121:D121"/>
    <mergeCell ref="C122:D122"/>
    <mergeCell ref="H185:I185"/>
    <mergeCell ref="H176:I176"/>
    <mergeCell ref="H177:I177"/>
    <mergeCell ref="H178:I178"/>
    <mergeCell ref="H179:I179"/>
    <mergeCell ref="H180:I180"/>
    <mergeCell ref="H181:I181"/>
    <mergeCell ref="H170:I170"/>
    <mergeCell ref="H171:I171"/>
    <mergeCell ref="H172:I172"/>
    <mergeCell ref="H163:I163"/>
    <mergeCell ref="H159:I159"/>
    <mergeCell ref="H155:I155"/>
    <mergeCell ref="H182:I182"/>
    <mergeCell ref="H183:I183"/>
    <mergeCell ref="H184:I184"/>
    <mergeCell ref="H165:I165"/>
    <mergeCell ref="H166:I166"/>
    <mergeCell ref="J168:K168"/>
    <mergeCell ref="L168:M168"/>
    <mergeCell ref="H167:I167"/>
    <mergeCell ref="H168:I168"/>
    <mergeCell ref="N173:O173"/>
    <mergeCell ref="N174:O174"/>
    <mergeCell ref="N170:O170"/>
    <mergeCell ref="N171:O171"/>
    <mergeCell ref="N172:O172"/>
    <mergeCell ref="H173:I173"/>
    <mergeCell ref="H174:I174"/>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L147:M147"/>
    <mergeCell ref="N147:O147"/>
    <mergeCell ref="H151:I151"/>
    <mergeCell ref="J151:K151"/>
    <mergeCell ref="L151:M151"/>
    <mergeCell ref="N151:O151"/>
    <mergeCell ref="G3:M3"/>
    <mergeCell ref="O3:Q3"/>
    <mergeCell ref="H152:I152"/>
    <mergeCell ref="J152:K152"/>
    <mergeCell ref="L152:M152"/>
    <mergeCell ref="N152:O152"/>
    <mergeCell ref="H149:I149"/>
    <mergeCell ref="J149:K149"/>
    <mergeCell ref="L149:M149"/>
    <mergeCell ref="N149:O149"/>
    <mergeCell ref="H150:I150"/>
    <mergeCell ref="J150:K150"/>
    <mergeCell ref="L150:M150"/>
    <mergeCell ref="N150:O150"/>
    <mergeCell ref="N148:O148"/>
    <mergeCell ref="A4:A5"/>
    <mergeCell ref="B4:B5"/>
    <mergeCell ref="C4:D5"/>
    <mergeCell ref="E4:E5"/>
    <mergeCell ref="F4:F5"/>
    <mergeCell ref="G4:J4"/>
    <mergeCell ref="C11:D11"/>
    <mergeCell ref="H147:I147"/>
    <mergeCell ref="J147:K147"/>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Z4:AC4"/>
    <mergeCell ref="AD4:AG4"/>
    <mergeCell ref="AH4:AK4"/>
    <mergeCell ref="AL4:AO4"/>
    <mergeCell ref="U4:U5"/>
    <mergeCell ref="V4:Y4"/>
    <mergeCell ref="AP4:AS4"/>
    <mergeCell ref="C8:D8"/>
    <mergeCell ref="K4:N4"/>
    <mergeCell ref="O4:R4"/>
    <mergeCell ref="S4:S5"/>
    <mergeCell ref="T4:T5"/>
    <mergeCell ref="C7:D7"/>
    <mergeCell ref="C6:D6"/>
    <mergeCell ref="C17:D17"/>
    <mergeCell ref="C18:D18"/>
    <mergeCell ref="C19:D19"/>
    <mergeCell ref="C20:D20"/>
    <mergeCell ref="C21:D21"/>
    <mergeCell ref="C22:D22"/>
    <mergeCell ref="C23:D23"/>
    <mergeCell ref="C25:D25"/>
    <mergeCell ref="C24:D24"/>
    <mergeCell ref="C26:D26"/>
    <mergeCell ref="C27:D27"/>
    <mergeCell ref="C28:D28"/>
    <mergeCell ref="C29:D29"/>
    <mergeCell ref="C31:D31"/>
    <mergeCell ref="C32:D32"/>
    <mergeCell ref="C30:D30"/>
    <mergeCell ref="C33:D33"/>
    <mergeCell ref="C34:D34"/>
    <mergeCell ref="C35:D35"/>
    <mergeCell ref="C36:D36"/>
    <mergeCell ref="C37:D37"/>
    <mergeCell ref="C38:D38"/>
    <mergeCell ref="C39:D39"/>
    <mergeCell ref="C40:D40"/>
    <mergeCell ref="C41:D41"/>
    <mergeCell ref="C42:D42"/>
    <mergeCell ref="C43:D43"/>
    <mergeCell ref="C45:D45"/>
    <mergeCell ref="C44:D44"/>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9:D79"/>
    <mergeCell ref="C80:D80"/>
    <mergeCell ref="C81:D81"/>
    <mergeCell ref="C99:D99"/>
    <mergeCell ref="C100:D100"/>
    <mergeCell ref="C101:D101"/>
    <mergeCell ref="C102:D102"/>
    <mergeCell ref="C103:D103"/>
    <mergeCell ref="C104:D104"/>
    <mergeCell ref="C93:D93"/>
    <mergeCell ref="C82:D82"/>
    <mergeCell ref="C83:D83"/>
    <mergeCell ref="C84:D84"/>
    <mergeCell ref="C85:D85"/>
    <mergeCell ref="C86:D86"/>
    <mergeCell ref="C87:D87"/>
    <mergeCell ref="C88:D88"/>
    <mergeCell ref="C89:D89"/>
    <mergeCell ref="C90:D90"/>
    <mergeCell ref="C91:D91"/>
    <mergeCell ref="C92:D92"/>
    <mergeCell ref="C94:D94"/>
    <mergeCell ref="C95:D95"/>
    <mergeCell ref="C96:D96"/>
    <mergeCell ref="J205:K205"/>
    <mergeCell ref="L205:M205"/>
    <mergeCell ref="H205:I205"/>
    <mergeCell ref="N205:O205"/>
    <mergeCell ref="C97:D97"/>
    <mergeCell ref="C98:D98"/>
    <mergeCell ref="C113:D113"/>
    <mergeCell ref="C105:D105"/>
    <mergeCell ref="C106:D106"/>
    <mergeCell ref="C114:D114"/>
    <mergeCell ref="C115:D115"/>
    <mergeCell ref="C116:D116"/>
    <mergeCell ref="C107:D107"/>
    <mergeCell ref="C108:D108"/>
    <mergeCell ref="C109:D109"/>
    <mergeCell ref="C110:D110"/>
    <mergeCell ref="C112:D112"/>
    <mergeCell ref="C111:D111"/>
    <mergeCell ref="H146:I146"/>
    <mergeCell ref="J146:K146"/>
    <mergeCell ref="L146:M146"/>
    <mergeCell ref="N146:O146"/>
    <mergeCell ref="H148:I148"/>
    <mergeCell ref="J148:K148"/>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Microsoft Office User</cp:lastModifiedBy>
  <cp:lastPrinted>2014-09-26T08:25:19Z</cp:lastPrinted>
  <dcterms:created xsi:type="dcterms:W3CDTF">2005-12-13T12:13:00Z</dcterms:created>
  <dcterms:modified xsi:type="dcterms:W3CDTF">2020-08-13T10:05:43Z</dcterms:modified>
</cp:coreProperties>
</file>